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One drive\OneDrive\Bureau\Cours EPFL\MASTER\MA2\Semester Project\"/>
    </mc:Choice>
  </mc:AlternateContent>
  <xr:revisionPtr revIDLastSave="0" documentId="13_ncr:1_{78CEA064-D8D4-423D-B3E1-E8DD8925ED20}" xr6:coauthVersionLast="47" xr6:coauthVersionMax="47" xr10:uidLastSave="{00000000-0000-0000-0000-000000000000}"/>
  <bookViews>
    <workbookView xWindow="-105" yWindow="0" windowWidth="19410" windowHeight="20985" tabRatio="500" activeTab="1" xr2:uid="{00000000-000D-0000-FFFF-FFFF00000000}"/>
  </bookViews>
  <sheets>
    <sheet name="Instructions" sheetId="1" r:id="rId1"/>
    <sheet name="Design Calculator" sheetId="2" r:id="rId2"/>
    <sheet name="Device Parmaters" sheetId="3" state="hidden" r:id="rId3"/>
    <sheet name="Equations" sheetId="4" r:id="rId4"/>
    <sheet name="Start_up" sheetId="5" state="hidden" r:id="rId5"/>
    <sheet name="SOA" sheetId="6" state="hidden" r:id="rId6"/>
    <sheet name="dv_dt_recommendations" sheetId="7" state="hidden" r:id="rId7"/>
  </sheets>
  <externalReferences>
    <externalReference r:id="rId8"/>
    <externalReference r:id="rId9"/>
  </externalReferences>
  <definedNames>
    <definedName name="CLMAX">Equations!$F$26</definedName>
    <definedName name="CLMAX_Threshold">Equations!$E$17</definedName>
    <definedName name="CLMIN">Equations!$F$24</definedName>
    <definedName name="CLMIN_Threshold">Equations!$E$15</definedName>
    <definedName name="CLNOM">Equations!$F$25</definedName>
    <definedName name="CLNOM_Threshold">Equations!$E$16</definedName>
    <definedName name="COUTMAX">'Design Calculator'!$F$31</definedName>
    <definedName name="CTIMER">'Design Calculator'!#REF!</definedName>
    <definedName name="FETPDISS">'Design Calculator'!$F$60</definedName>
    <definedName name="I_Cout_ss">Equations!$F$66</definedName>
    <definedName name="ILIM" localSheetId="5">[2]ILIM_SOA_considerations!$C$25</definedName>
    <definedName name="ILIM">[1]ILIM_SOA_considerations!$C$25</definedName>
    <definedName name="Ilim_min" localSheetId="5">[2]ILIM_SOA_considerations!$C$61</definedName>
    <definedName name="Ilim_min">[1]ILIM_SOA_considerations!$C$61</definedName>
    <definedName name="IOUTMAX">'Design Calculator'!$F$30</definedName>
    <definedName name="MaxFETPW">'Design Calculator'!#REF!</definedName>
    <definedName name="NUMFETS">'Design Calculator'!$F$52</definedName>
    <definedName name="PLIM" localSheetId="5">[2]ILIM_SOA_considerations!$C$40</definedName>
    <definedName name="PLIM">[1]ILIM_SOA_considerations!$C$40</definedName>
    <definedName name="PLIMMAX">'Design Calculator'!#REF!</definedName>
    <definedName name="PLIMMIN">'Design Calculator'!#REF!</definedName>
    <definedName name="PLIMNOM">'Design Calculator'!#REF!</definedName>
    <definedName name="_xlnm.Print_Area" localSheetId="1">'Design Calculator'!$A$1:$M$177</definedName>
    <definedName name="RDIV1">'Design Calculator'!$F$43</definedName>
    <definedName name="RDIV2">'Design Calculator'!$F$44</definedName>
    <definedName name="RDSON">'Design Calculator'!$AN$53</definedName>
    <definedName name="RPWR">'Design Calculator'!$F$66</definedName>
    <definedName name="Rrflt" localSheetId="5">[2]ILIM_SOA_considerations!$C$46</definedName>
    <definedName name="Rrflt">[1]ILIM_SOA_considerations!$C$46</definedName>
    <definedName name="Rs">'Design Calculator'!$F$40</definedName>
    <definedName name="RsEFF">Equations!$F$23</definedName>
    <definedName name="Rsense" localSheetId="5">[2]ILIM_SOA_considerations!$C$30</definedName>
    <definedName name="Rsense">[1]ILIM_SOA_considerations!$C$30</definedName>
    <definedName name="RsMAX">'Design Calculator'!$F$38</definedName>
    <definedName name="SOA_av" localSheetId="5">[2]ILIM_SOA_considerations!$C$52</definedName>
    <definedName name="SOA_av">[1]ILIM_SOA_considerations!$C$52</definedName>
    <definedName name="solver_adj" localSheetId="5">SOA!#REF!</definedName>
    <definedName name="solver_cvg" localSheetId="5">0.0001</definedName>
    <definedName name="solver_drv" localSheetId="5">1</definedName>
    <definedName name="solver_eng" localSheetId="5">1</definedName>
    <definedName name="solver_est" localSheetId="5">1</definedName>
    <definedName name="solver_itr" localSheetId="5">2147483647</definedName>
    <definedName name="solver_mip" localSheetId="5">2147483647</definedName>
    <definedName name="solver_mni" localSheetId="5">30</definedName>
    <definedName name="solver_mrt" localSheetId="5">0.075</definedName>
    <definedName name="solver_msl" localSheetId="5">2</definedName>
    <definedName name="solver_neg" localSheetId="5">1</definedName>
    <definedName name="solver_nod" localSheetId="5">2147483647</definedName>
    <definedName name="solver_num" localSheetId="5">0</definedName>
    <definedName name="solver_nwt" localSheetId="5">1</definedName>
    <definedName name="solver_opt" localSheetId="5">SOA!#REF!</definedName>
    <definedName name="solver_pre" localSheetId="5">0.000001</definedName>
    <definedName name="solver_rbv" localSheetId="5">1</definedName>
    <definedName name="solver_rlx" localSheetId="5">2</definedName>
    <definedName name="solver_rsd" localSheetId="5">0</definedName>
    <definedName name="solver_scl" localSheetId="5">1</definedName>
    <definedName name="solver_sho" localSheetId="5">2</definedName>
    <definedName name="solver_ssz" localSheetId="5">100</definedName>
    <definedName name="solver_tim" localSheetId="5">2147483647</definedName>
    <definedName name="solver_tol" localSheetId="5">0.01</definedName>
    <definedName name="solver_typ" localSheetId="5">3</definedName>
    <definedName name="solver_val" localSheetId="5">0</definedName>
    <definedName name="solver_ver" localSheetId="5">3</definedName>
    <definedName name="ss_rate">Equations!$F$62</definedName>
    <definedName name="T_cap_charge" localSheetId="5">[2]ILIM_SOA_considerations!$C$45</definedName>
    <definedName name="T_cap_charge">[1]ILIM_SOA_considerations!$C$45</definedName>
    <definedName name="T_margin" localSheetId="5">[2]ILIM_SOA_considerations!$C$9</definedName>
    <definedName name="T_margin">[1]ILIM_SOA_considerations!$C$9</definedName>
    <definedName name="T_total" localSheetId="5">[2]ILIM_SOA_considerations!$C$47</definedName>
    <definedName name="T_total">[1]ILIM_SOA_considerations!$C$47</definedName>
    <definedName name="TAMB">'Design Calculator'!$F$32</definedName>
    <definedName name="Tfault">'Design Calculator'!$F$77</definedName>
    <definedName name="Tfaultmax">'Design Calculator'!#REF!</definedName>
    <definedName name="ThetaJA">'Design Calculator'!$F$51</definedName>
    <definedName name="TINSERT">'Design Calculator'!#REF!</definedName>
    <definedName name="TINSERTMAX">Equations!#REF!</definedName>
    <definedName name="TINSERTMIN">Equations!#REF!</definedName>
    <definedName name="TJ">'Design Calculator'!$F$61</definedName>
    <definedName name="TJMAX">'Design Calculator'!$AN$54</definedName>
    <definedName name="Tsd" localSheetId="5">[2]ILIM_SOA_considerations!$C$67</definedName>
    <definedName name="Tsd">[1]ILIM_SOA_considerations!$C$67</definedName>
    <definedName name="TSTARTMAX">Equations!#REF!</definedName>
    <definedName name="TSTARTMIN">Equations!#REF!</definedName>
    <definedName name="TSTARTNOM">Equations!#REF!</definedName>
    <definedName name="V_sns_cl_max" localSheetId="5">[2]ILIM_SOA_considerations!$C$15</definedName>
    <definedName name="V_sns_cl_max">[1]ILIM_SOA_considerations!$C$15</definedName>
    <definedName name="Vbus" localSheetId="5">[2]ILIM_SOA_considerations!$C$23</definedName>
    <definedName name="Vbus">[1]ILIM_SOA_considerations!$C$23</definedName>
    <definedName name="VINMAX">'Design Calculator'!$F$29</definedName>
    <definedName name="VINMIN">'Design Calculator'!$F$27</definedName>
    <definedName name="VINNOM">'Design Calculator'!$F$28</definedName>
    <definedName name="yesno">'Design Calculator'!$AS$8:$AS$9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V43" i="7" l="1"/>
  <c r="V44" i="7" s="1"/>
  <c r="U43" i="7"/>
  <c r="U44" i="7" s="1"/>
  <c r="Q43" i="7"/>
  <c r="Q44" i="7" s="1"/>
  <c r="P43" i="7"/>
  <c r="P44" i="7" s="1"/>
  <c r="J43" i="7"/>
  <c r="J44" i="7" s="1"/>
  <c r="I43" i="7"/>
  <c r="I44" i="7" s="1"/>
  <c r="E43" i="7"/>
  <c r="E44" i="7" s="1"/>
  <c r="E27" i="7"/>
  <c r="E26" i="7"/>
  <c r="S43" i="7" s="1"/>
  <c r="S44" i="7" s="1"/>
  <c r="E25" i="7"/>
  <c r="E21" i="7"/>
  <c r="H25" i="6"/>
  <c r="E19" i="7" s="1"/>
  <c r="H24" i="6"/>
  <c r="H9" i="6"/>
  <c r="C9" i="6"/>
  <c r="B114" i="5"/>
  <c r="A114" i="5"/>
  <c r="B113" i="5"/>
  <c r="A113" i="5"/>
  <c r="B112" i="5"/>
  <c r="A112" i="5"/>
  <c r="B111" i="5"/>
  <c r="A111" i="5"/>
  <c r="B110" i="5"/>
  <c r="A110" i="5"/>
  <c r="B109" i="5"/>
  <c r="A109" i="5"/>
  <c r="B108" i="5"/>
  <c r="A108" i="5"/>
  <c r="B107" i="5"/>
  <c r="A107" i="5"/>
  <c r="B106" i="5"/>
  <c r="A106" i="5"/>
  <c r="B105" i="5"/>
  <c r="A105" i="5"/>
  <c r="B104" i="5"/>
  <c r="A104" i="5"/>
  <c r="B103" i="5"/>
  <c r="A103" i="5"/>
  <c r="B102" i="5"/>
  <c r="A102" i="5"/>
  <c r="B101" i="5"/>
  <c r="A101" i="5"/>
  <c r="B100" i="5"/>
  <c r="A100" i="5"/>
  <c r="B99" i="5"/>
  <c r="A99" i="5"/>
  <c r="B98" i="5"/>
  <c r="A98" i="5"/>
  <c r="B97" i="5"/>
  <c r="A97" i="5"/>
  <c r="B96" i="5"/>
  <c r="A96" i="5"/>
  <c r="B95" i="5"/>
  <c r="A95" i="5"/>
  <c r="B94" i="5"/>
  <c r="A94" i="5"/>
  <c r="B93" i="5"/>
  <c r="A93" i="5"/>
  <c r="B92" i="5"/>
  <c r="A92" i="5"/>
  <c r="B91" i="5"/>
  <c r="A91" i="5"/>
  <c r="B90" i="5"/>
  <c r="A90" i="5"/>
  <c r="B89" i="5"/>
  <c r="A89" i="5"/>
  <c r="B88" i="5"/>
  <c r="A88" i="5"/>
  <c r="B87" i="5"/>
  <c r="A87" i="5"/>
  <c r="B86" i="5"/>
  <c r="A86" i="5"/>
  <c r="B85" i="5"/>
  <c r="A85" i="5"/>
  <c r="B84" i="5"/>
  <c r="A84" i="5"/>
  <c r="B83" i="5"/>
  <c r="A83" i="5"/>
  <c r="B82" i="5"/>
  <c r="A82" i="5"/>
  <c r="B81" i="5"/>
  <c r="A81" i="5"/>
  <c r="B80" i="5"/>
  <c r="A80" i="5"/>
  <c r="B79" i="5"/>
  <c r="A79" i="5"/>
  <c r="B78" i="5"/>
  <c r="A78" i="5"/>
  <c r="B77" i="5"/>
  <c r="A77" i="5"/>
  <c r="B76" i="5"/>
  <c r="A76" i="5"/>
  <c r="B75" i="5"/>
  <c r="A75" i="5"/>
  <c r="B74" i="5"/>
  <c r="A74" i="5"/>
  <c r="B73" i="5"/>
  <c r="A73" i="5"/>
  <c r="B72" i="5"/>
  <c r="A72" i="5"/>
  <c r="B71" i="5"/>
  <c r="A71" i="5"/>
  <c r="B70" i="5"/>
  <c r="A70" i="5"/>
  <c r="B69" i="5"/>
  <c r="A69" i="5"/>
  <c r="B68" i="5"/>
  <c r="A68" i="5"/>
  <c r="B67" i="5"/>
  <c r="A67" i="5"/>
  <c r="B66" i="5"/>
  <c r="A66" i="5"/>
  <c r="B65" i="5"/>
  <c r="A65" i="5"/>
  <c r="B64" i="5"/>
  <c r="A64" i="5"/>
  <c r="B63" i="5"/>
  <c r="A63" i="5"/>
  <c r="B62" i="5"/>
  <c r="A62" i="5"/>
  <c r="B61" i="5"/>
  <c r="A61" i="5"/>
  <c r="B60" i="5"/>
  <c r="A60" i="5"/>
  <c r="B59" i="5"/>
  <c r="A59" i="5"/>
  <c r="B58" i="5"/>
  <c r="A58" i="5"/>
  <c r="B57" i="5"/>
  <c r="A57" i="5"/>
  <c r="B56" i="5"/>
  <c r="A56" i="5"/>
  <c r="B55" i="5"/>
  <c r="A55" i="5"/>
  <c r="B54" i="5"/>
  <c r="A54" i="5"/>
  <c r="B53" i="5"/>
  <c r="A53" i="5"/>
  <c r="B52" i="5"/>
  <c r="A52" i="5"/>
  <c r="B51" i="5"/>
  <c r="A51" i="5"/>
  <c r="B50" i="5"/>
  <c r="A50" i="5"/>
  <c r="B49" i="5"/>
  <c r="A49" i="5"/>
  <c r="B48" i="5"/>
  <c r="A48" i="5"/>
  <c r="B47" i="5"/>
  <c r="A47" i="5"/>
  <c r="B46" i="5"/>
  <c r="A46" i="5"/>
  <c r="B45" i="5"/>
  <c r="A45" i="5"/>
  <c r="B44" i="5"/>
  <c r="A44" i="5"/>
  <c r="B43" i="5"/>
  <c r="A43" i="5"/>
  <c r="B42" i="5"/>
  <c r="A42" i="5"/>
  <c r="B41" i="5"/>
  <c r="A41" i="5"/>
  <c r="B40" i="5"/>
  <c r="A40" i="5"/>
  <c r="B39" i="5"/>
  <c r="A39" i="5"/>
  <c r="B38" i="5"/>
  <c r="A38" i="5"/>
  <c r="B37" i="5"/>
  <c r="A37" i="5"/>
  <c r="B36" i="5"/>
  <c r="A36" i="5"/>
  <c r="B35" i="5"/>
  <c r="C35" i="5" s="1"/>
  <c r="A35" i="5"/>
  <c r="B34" i="5"/>
  <c r="A34" i="5"/>
  <c r="B33" i="5"/>
  <c r="A33" i="5"/>
  <c r="B32" i="5"/>
  <c r="A32" i="5"/>
  <c r="B31" i="5"/>
  <c r="A31" i="5"/>
  <c r="B30" i="5"/>
  <c r="A30" i="5"/>
  <c r="B29" i="5"/>
  <c r="A29" i="5"/>
  <c r="B28" i="5"/>
  <c r="A28" i="5"/>
  <c r="B27" i="5"/>
  <c r="A27" i="5"/>
  <c r="B26" i="5"/>
  <c r="A26" i="5"/>
  <c r="B25" i="5"/>
  <c r="A25" i="5"/>
  <c r="B24" i="5"/>
  <c r="C24" i="5" s="1"/>
  <c r="A24" i="5"/>
  <c r="B23" i="5"/>
  <c r="A23" i="5"/>
  <c r="Y22" i="5"/>
  <c r="B22" i="5"/>
  <c r="A22" i="5"/>
  <c r="B21" i="5"/>
  <c r="A21" i="5"/>
  <c r="B20" i="5"/>
  <c r="A20" i="5"/>
  <c r="B19" i="5"/>
  <c r="A19" i="5"/>
  <c r="Y18" i="5"/>
  <c r="Y24" i="5" s="1"/>
  <c r="B18" i="5"/>
  <c r="A18" i="5"/>
  <c r="B17" i="5"/>
  <c r="A17" i="5"/>
  <c r="B16" i="5"/>
  <c r="A16" i="5"/>
  <c r="Y15" i="5"/>
  <c r="B15" i="5"/>
  <c r="C15" i="5" s="1"/>
  <c r="A15" i="5"/>
  <c r="B14" i="5"/>
  <c r="A14" i="5"/>
  <c r="B13" i="5"/>
  <c r="A13" i="5"/>
  <c r="B12" i="5"/>
  <c r="A12" i="5"/>
  <c r="B11" i="5"/>
  <c r="C11" i="5" s="1"/>
  <c r="A11" i="5"/>
  <c r="C10" i="5"/>
  <c r="B10" i="5"/>
  <c r="A10" i="5"/>
  <c r="R2" i="5"/>
  <c r="Q2" i="5"/>
  <c r="H2" i="5"/>
  <c r="C45" i="5" s="1"/>
  <c r="G2" i="5"/>
  <c r="F2" i="5"/>
  <c r="D2" i="5"/>
  <c r="E168" i="4"/>
  <c r="E166" i="4"/>
  <c r="O165" i="4"/>
  <c r="O164" i="4"/>
  <c r="D161" i="4"/>
  <c r="I161" i="4" s="1"/>
  <c r="D160" i="4"/>
  <c r="D158" i="4"/>
  <c r="I158" i="4" s="1"/>
  <c r="D157" i="4"/>
  <c r="D155" i="4"/>
  <c r="I155" i="4" s="1"/>
  <c r="D154" i="4"/>
  <c r="D152" i="4"/>
  <c r="I152" i="4" s="1"/>
  <c r="D151" i="4"/>
  <c r="D148" i="4"/>
  <c r="I148" i="4" s="1"/>
  <c r="N152" i="4" s="1"/>
  <c r="D146" i="4"/>
  <c r="F129" i="4"/>
  <c r="S165" i="4" s="1"/>
  <c r="F128" i="4"/>
  <c r="E95" i="4"/>
  <c r="G94" i="4"/>
  <c r="F99" i="2" s="1"/>
  <c r="F94" i="4"/>
  <c r="F90" i="4"/>
  <c r="E94" i="4" s="1"/>
  <c r="D99" i="2" s="1"/>
  <c r="F88" i="4"/>
  <c r="F89" i="4" s="1"/>
  <c r="F87" i="4"/>
  <c r="F86" i="4"/>
  <c r="F78" i="4"/>
  <c r="F79" i="4" s="1"/>
  <c r="F90" i="2" s="1"/>
  <c r="F77" i="4"/>
  <c r="F76" i="4"/>
  <c r="F64" i="4"/>
  <c r="F62" i="4"/>
  <c r="F57" i="4"/>
  <c r="F58" i="4" s="1"/>
  <c r="F77" i="2" s="1"/>
  <c r="F54" i="4"/>
  <c r="F44" i="4"/>
  <c r="F41" i="4"/>
  <c r="F39" i="4"/>
  <c r="F36" i="4"/>
  <c r="F35" i="4"/>
  <c r="F34" i="4"/>
  <c r="F33" i="4"/>
  <c r="F20" i="4"/>
  <c r="F38" i="2" s="1"/>
  <c r="D16" i="3"/>
  <c r="F115" i="2"/>
  <c r="F114" i="2"/>
  <c r="F113" i="2"/>
  <c r="F111" i="2"/>
  <c r="F110" i="2"/>
  <c r="F109" i="2"/>
  <c r="F108" i="2"/>
  <c r="F107" i="2"/>
  <c r="F106" i="2"/>
  <c r="F105" i="2"/>
  <c r="F104" i="2"/>
  <c r="D100" i="2"/>
  <c r="E99" i="2"/>
  <c r="K111" i="2" s="1"/>
  <c r="F95" i="2"/>
  <c r="F88" i="2"/>
  <c r="G70" i="2"/>
  <c r="AN59" i="2"/>
  <c r="F4" i="6" s="1"/>
  <c r="AN58" i="2"/>
  <c r="E4" i="6" s="1"/>
  <c r="AN57" i="2"/>
  <c r="D4" i="6" s="1"/>
  <c r="AN56" i="2"/>
  <c r="C4" i="6" s="1"/>
  <c r="AN55" i="2"/>
  <c r="B4" i="6" s="1"/>
  <c r="AN54" i="2"/>
  <c r="AN53" i="2"/>
  <c r="F60" i="2" s="1"/>
  <c r="F61" i="2" s="1"/>
  <c r="AO51" i="2"/>
  <c r="AN43" i="2"/>
  <c r="H33" i="4" l="1"/>
  <c r="F63" i="4"/>
  <c r="F83" i="2" s="1"/>
  <c r="N165" i="4"/>
  <c r="R161" i="4"/>
  <c r="F23" i="4"/>
  <c r="F21" i="4"/>
  <c r="F41" i="2" s="1"/>
  <c r="H35" i="4"/>
  <c r="I151" i="4"/>
  <c r="H34" i="4"/>
  <c r="H36" i="4"/>
  <c r="N156" i="4"/>
  <c r="R152" i="4"/>
  <c r="D34" i="6"/>
  <c r="K25" i="7" s="1"/>
  <c r="C8" i="6"/>
  <c r="C10" i="6" s="1"/>
  <c r="K110" i="2"/>
  <c r="N159" i="4"/>
  <c r="R155" i="4"/>
  <c r="F34" i="6"/>
  <c r="M25" i="7" s="1"/>
  <c r="F46" i="4"/>
  <c r="N162" i="4"/>
  <c r="R158" i="4"/>
  <c r="R148" i="4"/>
  <c r="H27" i="6"/>
  <c r="C25" i="6"/>
  <c r="F95" i="4"/>
  <c r="E100" i="2" s="1"/>
  <c r="K112" i="2" s="1"/>
  <c r="D147" i="4"/>
  <c r="T163" i="4"/>
  <c r="T165" i="4"/>
  <c r="C25" i="5"/>
  <c r="C31" i="5"/>
  <c r="C32" i="5"/>
  <c r="C33" i="5"/>
  <c r="C50" i="5"/>
  <c r="C62" i="5"/>
  <c r="C69" i="5"/>
  <c r="C34" i="6"/>
  <c r="J25" i="7" s="1"/>
  <c r="G95" i="4"/>
  <c r="F100" i="2" s="1"/>
  <c r="I146" i="4"/>
  <c r="U163" i="4"/>
  <c r="U165" i="4"/>
  <c r="C114" i="5"/>
  <c r="C90" i="5"/>
  <c r="C110" i="5"/>
  <c r="C80" i="5"/>
  <c r="C77" i="5"/>
  <c r="C65" i="5"/>
  <c r="C53" i="5"/>
  <c r="C41" i="5"/>
  <c r="C101" i="5"/>
  <c r="C86" i="5"/>
  <c r="C61" i="5"/>
  <c r="C56" i="5"/>
  <c r="C73" i="5"/>
  <c r="C93" i="5"/>
  <c r="C64" i="5"/>
  <c r="C89" i="5"/>
  <c r="C102" i="5"/>
  <c r="C66" i="5"/>
  <c r="C104" i="5"/>
  <c r="C76" i="5"/>
  <c r="C113" i="5"/>
  <c r="C92" i="5"/>
  <c r="C83" i="5"/>
  <c r="C68" i="5"/>
  <c r="C13" i="5"/>
  <c r="C17" i="5"/>
  <c r="C22" i="5"/>
  <c r="C105" i="5"/>
  <c r="I154" i="4"/>
  <c r="I157" i="4"/>
  <c r="I160" i="4"/>
  <c r="C59" i="5"/>
  <c r="E34" i="6"/>
  <c r="L25" i="7" s="1"/>
  <c r="C14" i="5"/>
  <c r="C18" i="5"/>
  <c r="C26" i="5"/>
  <c r="C48" i="5"/>
  <c r="D149" i="4"/>
  <c r="C27" i="5"/>
  <c r="C38" i="5"/>
  <c r="C70" i="5"/>
  <c r="S164" i="4"/>
  <c r="O166" i="4"/>
  <c r="C23" i="5"/>
  <c r="C44" i="5"/>
  <c r="C60" i="5"/>
  <c r="D150" i="4"/>
  <c r="D153" i="4"/>
  <c r="D156" i="4"/>
  <c r="D159" i="4"/>
  <c r="D162" i="4"/>
  <c r="T164" i="4"/>
  <c r="C19" i="5"/>
  <c r="C28" i="5"/>
  <c r="C40" i="5"/>
  <c r="C42" i="5"/>
  <c r="C46" i="5"/>
  <c r="C57" i="5"/>
  <c r="U164" i="4"/>
  <c r="C37" i="5"/>
  <c r="C54" i="5"/>
  <c r="C107" i="5"/>
  <c r="C29" i="5"/>
  <c r="C49" i="5"/>
  <c r="C78" i="5"/>
  <c r="C20" i="5"/>
  <c r="C36" i="5"/>
  <c r="C12" i="5"/>
  <c r="C16" i="5"/>
  <c r="C21" i="5"/>
  <c r="C30" i="5"/>
  <c r="C39" i="5"/>
  <c r="C52" i="5"/>
  <c r="C55" i="5"/>
  <c r="C58" i="5"/>
  <c r="C79" i="5"/>
  <c r="S163" i="4"/>
  <c r="C43" i="5"/>
  <c r="C47" i="5"/>
  <c r="C94" i="5"/>
  <c r="C98" i="5"/>
  <c r="C67" i="5"/>
  <c r="C111" i="5"/>
  <c r="C75" i="5"/>
  <c r="C85" i="5"/>
  <c r="C87" i="5"/>
  <c r="C63" i="5"/>
  <c r="C74" i="5"/>
  <c r="C99" i="5"/>
  <c r="C108" i="5"/>
  <c r="C81" i="5"/>
  <c r="C97" i="5"/>
  <c r="C72" i="5"/>
  <c r="C34" i="5"/>
  <c r="C71" i="5"/>
  <c r="C103" i="5"/>
  <c r="C51" i="5"/>
  <c r="C88" i="5"/>
  <c r="C112" i="5"/>
  <c r="C84" i="5"/>
  <c r="C91" i="5"/>
  <c r="C96" i="5"/>
  <c r="C106" i="5"/>
  <c r="C100" i="5"/>
  <c r="C82" i="5"/>
  <c r="C95" i="5"/>
  <c r="C109" i="5"/>
  <c r="H43" i="7"/>
  <c r="H44" i="7" s="1"/>
  <c r="T43" i="7"/>
  <c r="T44" i="7" s="1"/>
  <c r="K43" i="7"/>
  <c r="K44" i="7" s="1"/>
  <c r="W43" i="7"/>
  <c r="W44" i="7" s="1"/>
  <c r="L43" i="7"/>
  <c r="L44" i="7" s="1"/>
  <c r="X43" i="7"/>
  <c r="X44" i="7" s="1"/>
  <c r="M43" i="7"/>
  <c r="M44" i="7" s="1"/>
  <c r="N43" i="7"/>
  <c r="N44" i="7" s="1"/>
  <c r="O43" i="7"/>
  <c r="O44" i="7" s="1"/>
  <c r="F43" i="7"/>
  <c r="F44" i="7" s="1"/>
  <c r="R43" i="7"/>
  <c r="R44" i="7" s="1"/>
  <c r="G43" i="7"/>
  <c r="G44" i="7" s="1"/>
  <c r="F65" i="4" l="1"/>
  <c r="F85" i="2" s="1"/>
  <c r="F22" i="4"/>
  <c r="F42" i="2" s="1"/>
  <c r="N158" i="4"/>
  <c r="R154" i="4"/>
  <c r="D33" i="6"/>
  <c r="K24" i="7" s="1"/>
  <c r="I162" i="4"/>
  <c r="I149" i="4"/>
  <c r="I156" i="4"/>
  <c r="I153" i="4"/>
  <c r="F26" i="4"/>
  <c r="F25" i="4"/>
  <c r="F47" i="4" s="1"/>
  <c r="F67" i="2" s="1"/>
  <c r="E167" i="4"/>
  <c r="F24" i="4"/>
  <c r="I2" i="5"/>
  <c r="F45" i="2"/>
  <c r="I150" i="4"/>
  <c r="I159" i="4"/>
  <c r="R146" i="4"/>
  <c r="N150" i="4"/>
  <c r="U161" i="4"/>
  <c r="T161" i="4"/>
  <c r="S161" i="4"/>
  <c r="E33" i="6"/>
  <c r="L24" i="7" s="1"/>
  <c r="C33" i="6"/>
  <c r="J24" i="7" s="1"/>
  <c r="F33" i="6"/>
  <c r="M24" i="7" s="1"/>
  <c r="R160" i="4"/>
  <c r="N164" i="4"/>
  <c r="I147" i="4"/>
  <c r="C12" i="6"/>
  <c r="C13" i="6" s="1"/>
  <c r="C15" i="6" s="1"/>
  <c r="C11" i="6"/>
  <c r="C14" i="6" s="1"/>
  <c r="N161" i="4"/>
  <c r="R157" i="4"/>
  <c r="N155" i="4"/>
  <c r="R151" i="4"/>
  <c r="F66" i="4" l="1"/>
  <c r="P104" i="5" s="1"/>
  <c r="F67" i="4"/>
  <c r="E23" i="7" s="1"/>
  <c r="E29" i="7"/>
  <c r="E30" i="7" s="1"/>
  <c r="B2" i="5"/>
  <c r="F135" i="4"/>
  <c r="K109" i="2"/>
  <c r="N153" i="4"/>
  <c r="R149" i="4"/>
  <c r="R147" i="4"/>
  <c r="N151" i="4"/>
  <c r="N163" i="4"/>
  <c r="R159" i="4"/>
  <c r="N154" i="4"/>
  <c r="R150" i="4"/>
  <c r="U160" i="4"/>
  <c r="T160" i="4"/>
  <c r="S160" i="4"/>
  <c r="N166" i="4"/>
  <c r="R162" i="4"/>
  <c r="N157" i="4"/>
  <c r="R153" i="4"/>
  <c r="F109" i="5"/>
  <c r="G109" i="5" s="1"/>
  <c r="F97" i="5"/>
  <c r="G97" i="5" s="1"/>
  <c r="F85" i="5"/>
  <c r="G85" i="5" s="1"/>
  <c r="F104" i="5"/>
  <c r="G104" i="5" s="1"/>
  <c r="F92" i="5"/>
  <c r="G92" i="5" s="1"/>
  <c r="F106" i="5"/>
  <c r="G106" i="5" s="1"/>
  <c r="F94" i="5"/>
  <c r="G94" i="5" s="1"/>
  <c r="F108" i="5"/>
  <c r="G108" i="5" s="1"/>
  <c r="F96" i="5"/>
  <c r="G96" i="5" s="1"/>
  <c r="F84" i="5"/>
  <c r="G84" i="5" s="1"/>
  <c r="F103" i="5"/>
  <c r="G103" i="5" s="1"/>
  <c r="F91" i="5"/>
  <c r="G91" i="5" s="1"/>
  <c r="F105" i="5"/>
  <c r="G105" i="5" s="1"/>
  <c r="F93" i="5"/>
  <c r="G93" i="5" s="1"/>
  <c r="F81" i="5"/>
  <c r="G81" i="5" s="1"/>
  <c r="P93" i="5"/>
  <c r="F48" i="5"/>
  <c r="G48" i="5" s="1"/>
  <c r="F101" i="5"/>
  <c r="G101" i="5" s="1"/>
  <c r="F74" i="5"/>
  <c r="G74" i="5" s="1"/>
  <c r="F62" i="5"/>
  <c r="G62" i="5" s="1"/>
  <c r="F50" i="5"/>
  <c r="G50" i="5" s="1"/>
  <c r="F38" i="5"/>
  <c r="G38" i="5" s="1"/>
  <c r="F111" i="5"/>
  <c r="G111" i="5" s="1"/>
  <c r="F86" i="5"/>
  <c r="G86" i="5" s="1"/>
  <c r="F79" i="5"/>
  <c r="G79" i="5" s="1"/>
  <c r="F45" i="5"/>
  <c r="G45" i="5" s="1"/>
  <c r="F33" i="5"/>
  <c r="G33" i="5" s="1"/>
  <c r="F107" i="5"/>
  <c r="G107" i="5" s="1"/>
  <c r="Q104" i="5"/>
  <c r="Q82" i="5"/>
  <c r="F76" i="5"/>
  <c r="G76" i="5" s="1"/>
  <c r="F64" i="5"/>
  <c r="G64" i="5" s="1"/>
  <c r="F52" i="5"/>
  <c r="G52" i="5" s="1"/>
  <c r="F40" i="5"/>
  <c r="G40" i="5" s="1"/>
  <c r="F113" i="5"/>
  <c r="G113" i="5" s="1"/>
  <c r="Q106" i="5"/>
  <c r="P96" i="5"/>
  <c r="F89" i="5"/>
  <c r="G89" i="5" s="1"/>
  <c r="F68" i="5"/>
  <c r="G68" i="5" s="1"/>
  <c r="F112" i="5"/>
  <c r="G112" i="5" s="1"/>
  <c r="Q93" i="5"/>
  <c r="P77" i="5"/>
  <c r="F73" i="5"/>
  <c r="G73" i="5" s="1"/>
  <c r="F63" i="5"/>
  <c r="G63" i="5" s="1"/>
  <c r="F30" i="5"/>
  <c r="G30" i="5" s="1"/>
  <c r="F27" i="5"/>
  <c r="G27" i="5" s="1"/>
  <c r="F13" i="5"/>
  <c r="G13" i="5" s="1"/>
  <c r="F114" i="5"/>
  <c r="G114" i="5" s="1"/>
  <c r="F99" i="5"/>
  <c r="G99" i="5" s="1"/>
  <c r="P87" i="5"/>
  <c r="Q58" i="5"/>
  <c r="P53" i="5"/>
  <c r="Q46" i="5"/>
  <c r="P41" i="5"/>
  <c r="F22" i="5"/>
  <c r="G22" i="5" s="1"/>
  <c r="Q100" i="5"/>
  <c r="F95" i="5"/>
  <c r="G95" i="5" s="1"/>
  <c r="P85" i="5"/>
  <c r="Q70" i="5"/>
  <c r="F65" i="5"/>
  <c r="G65" i="5" s="1"/>
  <c r="Q60" i="5"/>
  <c r="P56" i="5"/>
  <c r="P44" i="5"/>
  <c r="P100" i="5"/>
  <c r="F87" i="5"/>
  <c r="G87" i="5" s="1"/>
  <c r="Q83" i="5"/>
  <c r="F75" i="5"/>
  <c r="G75" i="5" s="1"/>
  <c r="Q71" i="5"/>
  <c r="F66" i="5"/>
  <c r="G66" i="5" s="1"/>
  <c r="P61" i="5"/>
  <c r="P109" i="5"/>
  <c r="Q105" i="5"/>
  <c r="F102" i="5"/>
  <c r="G102" i="5" s="1"/>
  <c r="P71" i="5"/>
  <c r="P105" i="5"/>
  <c r="P98" i="5"/>
  <c r="F77" i="5"/>
  <c r="G77" i="5" s="1"/>
  <c r="Q72" i="5"/>
  <c r="F100" i="5"/>
  <c r="G100" i="5" s="1"/>
  <c r="Q92" i="5"/>
  <c r="F78" i="5"/>
  <c r="G78" i="5" s="1"/>
  <c r="F67" i="5"/>
  <c r="G67" i="5" s="1"/>
  <c r="F98" i="5"/>
  <c r="G98" i="5" s="1"/>
  <c r="P86" i="5"/>
  <c r="F59" i="5"/>
  <c r="G59" i="5" s="1"/>
  <c r="F54" i="5"/>
  <c r="G54" i="5" s="1"/>
  <c r="F49" i="5"/>
  <c r="G49" i="5" s="1"/>
  <c r="F47" i="5"/>
  <c r="G47" i="5" s="1"/>
  <c r="F42" i="5"/>
  <c r="G42" i="5" s="1"/>
  <c r="P110" i="5"/>
  <c r="F88" i="5"/>
  <c r="G88" i="5" s="1"/>
  <c r="F80" i="5"/>
  <c r="G80" i="5" s="1"/>
  <c r="Q75" i="5"/>
  <c r="F71" i="5"/>
  <c r="G71" i="5" s="1"/>
  <c r="Q66" i="5"/>
  <c r="F61" i="5"/>
  <c r="G61" i="5" s="1"/>
  <c r="F55" i="5"/>
  <c r="G55" i="5" s="1"/>
  <c r="F43" i="5"/>
  <c r="G43" i="5" s="1"/>
  <c r="Q95" i="5"/>
  <c r="F58" i="5"/>
  <c r="G58" i="5" s="1"/>
  <c r="F36" i="5"/>
  <c r="G36" i="5" s="1"/>
  <c r="F29" i="5"/>
  <c r="G29" i="5" s="1"/>
  <c r="P25" i="5"/>
  <c r="F24" i="5"/>
  <c r="G24" i="5" s="1"/>
  <c r="Q21" i="5"/>
  <c r="F20" i="5"/>
  <c r="G20" i="5" s="1"/>
  <c r="Q16" i="5"/>
  <c r="Q12" i="5"/>
  <c r="F11" i="5"/>
  <c r="G11" i="5" s="1"/>
  <c r="F90" i="5"/>
  <c r="G90" i="5" s="1"/>
  <c r="F37" i="5"/>
  <c r="G37" i="5" s="1"/>
  <c r="Q31" i="5"/>
  <c r="F28" i="5"/>
  <c r="G28" i="5" s="1"/>
  <c r="F19" i="5"/>
  <c r="G19" i="5" s="1"/>
  <c r="P16" i="5"/>
  <c r="F15" i="5"/>
  <c r="G15" i="5" s="1"/>
  <c r="P112" i="5"/>
  <c r="Q34" i="5"/>
  <c r="F23" i="5"/>
  <c r="G23" i="5" s="1"/>
  <c r="F46" i="5"/>
  <c r="G46" i="5" s="1"/>
  <c r="F44" i="5"/>
  <c r="G44" i="5" s="1"/>
  <c r="F51" i="5"/>
  <c r="G51" i="5" s="1"/>
  <c r="F14" i="5"/>
  <c r="G14" i="5" s="1"/>
  <c r="F70" i="5"/>
  <c r="G70" i="5" s="1"/>
  <c r="Q36" i="5"/>
  <c r="Q28" i="5"/>
  <c r="F26" i="5"/>
  <c r="G26" i="5" s="1"/>
  <c r="F18" i="5"/>
  <c r="G18" i="5" s="1"/>
  <c r="F10" i="5"/>
  <c r="G10" i="5" s="1"/>
  <c r="P84" i="5"/>
  <c r="P28" i="5"/>
  <c r="F17" i="5"/>
  <c r="G17" i="5" s="1"/>
  <c r="F56" i="5"/>
  <c r="G56" i="5" s="1"/>
  <c r="F53" i="5"/>
  <c r="G53" i="5" s="1"/>
  <c r="F25" i="5"/>
  <c r="G25" i="5" s="1"/>
  <c r="P65" i="5"/>
  <c r="F34" i="5"/>
  <c r="G34" i="5" s="1"/>
  <c r="F32" i="5"/>
  <c r="G32" i="5" s="1"/>
  <c r="F31" i="5"/>
  <c r="G31" i="5" s="1"/>
  <c r="F41" i="5"/>
  <c r="G41" i="5" s="1"/>
  <c r="F39" i="5"/>
  <c r="G39" i="5" s="1"/>
  <c r="F21" i="5"/>
  <c r="G21" i="5" s="1"/>
  <c r="F16" i="5"/>
  <c r="G16" i="5" s="1"/>
  <c r="F12" i="5"/>
  <c r="G12" i="5" s="1"/>
  <c r="F83" i="5"/>
  <c r="G83" i="5" s="1"/>
  <c r="P75" i="5"/>
  <c r="F35" i="5"/>
  <c r="G35" i="5" s="1"/>
  <c r="Q25" i="5"/>
  <c r="P36" i="5"/>
  <c r="P23" i="5"/>
  <c r="Q111" i="5"/>
  <c r="Q30" i="5"/>
  <c r="Q94" i="5"/>
  <c r="P82" i="5"/>
  <c r="Q65" i="5"/>
  <c r="P49" i="5"/>
  <c r="P55" i="5"/>
  <c r="P83" i="5"/>
  <c r="Q33" i="5"/>
  <c r="P111" i="5"/>
  <c r="Q10" i="5"/>
  <c r="P14" i="5"/>
  <c r="P46" i="5"/>
  <c r="Q19" i="5"/>
  <c r="Q67" i="5"/>
  <c r="P33" i="5"/>
  <c r="P39" i="5"/>
  <c r="P79" i="5"/>
  <c r="Q41" i="5"/>
  <c r="P74" i="5"/>
  <c r="Q73" i="5"/>
  <c r="Q97" i="5"/>
  <c r="P54" i="5"/>
  <c r="Q38" i="5"/>
  <c r="Q88" i="5"/>
  <c r="P58" i="5"/>
  <c r="P102" i="5"/>
  <c r="Q114" i="5"/>
  <c r="P32" i="5"/>
  <c r="Q44" i="5"/>
  <c r="Q54" i="5"/>
  <c r="P67" i="5"/>
  <c r="Q49" i="5"/>
  <c r="Q47" i="5"/>
  <c r="Q43" i="5"/>
  <c r="P68" i="5"/>
  <c r="P38" i="5"/>
  <c r="P106" i="5"/>
  <c r="Q17" i="5"/>
  <c r="P12" i="5"/>
  <c r="P13" i="5"/>
  <c r="Q26" i="5"/>
  <c r="P18" i="5"/>
  <c r="P10" i="5"/>
  <c r="Q40" i="5"/>
  <c r="P11" i="5"/>
  <c r="P94" i="5"/>
  <c r="Q52" i="5"/>
  <c r="P43" i="5"/>
  <c r="P107" i="5"/>
  <c r="Q81" i="5"/>
  <c r="Q45" i="5"/>
  <c r="P48" i="5"/>
  <c r="P60" i="5"/>
  <c r="Q77" i="5"/>
  <c r="Q99" i="5"/>
  <c r="P31" i="5"/>
  <c r="P90" i="5"/>
  <c r="P62" i="5"/>
  <c r="Q79" i="5"/>
  <c r="Q102" i="5"/>
  <c r="Q29" i="5"/>
  <c r="Q24" i="5"/>
  <c r="Q22" i="5"/>
  <c r="Q56" i="5"/>
  <c r="P26" i="5"/>
  <c r="Q18" i="5"/>
  <c r="P73" i="5"/>
  <c r="Q42" i="5"/>
  <c r="P15" i="5"/>
  <c r="Q68" i="5"/>
  <c r="P45" i="5"/>
  <c r="Q113" i="5"/>
  <c r="P91" i="5"/>
  <c r="P103" i="5"/>
  <c r="Q57" i="5"/>
  <c r="Q69" i="5"/>
  <c r="P80" i="5"/>
  <c r="P113" i="5"/>
  <c r="P30" i="5"/>
  <c r="P17" i="5"/>
  <c r="Q59" i="5"/>
  <c r="P76" i="5"/>
  <c r="P29" i="5"/>
  <c r="Q11" i="5"/>
  <c r="Q64" i="5"/>
  <c r="Q91" i="5"/>
  <c r="Q103" i="5"/>
  <c r="P78" i="5"/>
  <c r="Q50" i="5"/>
  <c r="P70" i="5"/>
  <c r="Q84" i="5"/>
  <c r="Q110" i="5"/>
  <c r="P57" i="5"/>
  <c r="Q20" i="5"/>
  <c r="P64" i="5"/>
  <c r="P51" i="5"/>
  <c r="Q101" i="5"/>
  <c r="Q96" i="5"/>
  <c r="P22" i="5"/>
  <c r="Q14" i="5"/>
  <c r="Q51" i="5"/>
  <c r="Q37" i="5"/>
  <c r="P63" i="5"/>
  <c r="Q85" i="5"/>
  <c r="P95" i="5"/>
  <c r="Q112" i="5"/>
  <c r="Q86" i="5"/>
  <c r="Q61" i="5"/>
  <c r="P50" i="5"/>
  <c r="Q90" i="5"/>
  <c r="Q109" i="5"/>
  <c r="P27" i="5"/>
  <c r="Q107" i="5"/>
  <c r="P42" i="5"/>
  <c r="Q39" i="5"/>
  <c r="P52" i="5"/>
  <c r="P21" i="5"/>
  <c r="P59" i="5"/>
  <c r="Q89" i="5"/>
  <c r="Q23" i="5"/>
  <c r="Q27" i="5"/>
  <c r="P69" i="5"/>
  <c r="Q76" i="5"/>
  <c r="Q48" i="5"/>
  <c r="Q63" i="5"/>
  <c r="P20" i="5"/>
  <c r="P66" i="5"/>
  <c r="P89" i="5"/>
  <c r="P99" i="5"/>
  <c r="Q62" i="5"/>
  <c r="P40" i="5"/>
  <c r="P101" i="5"/>
  <c r="Q53" i="5"/>
  <c r="P19" i="5"/>
  <c r="Q15" i="5"/>
  <c r="P24" i="5"/>
  <c r="Q32" i="5"/>
  <c r="Q13" i="5"/>
  <c r="Q108" i="5"/>
  <c r="P97" i="5"/>
  <c r="P88" i="5"/>
  <c r="Q98" i="5"/>
  <c r="P35" i="5"/>
  <c r="P108" i="5"/>
  <c r="P72" i="5"/>
  <c r="P47" i="5"/>
  <c r="Q78" i="5"/>
  <c r="Q55" i="5"/>
  <c r="Q87" i="5"/>
  <c r="P81" i="5"/>
  <c r="P114" i="5"/>
  <c r="P37" i="5"/>
  <c r="Q35" i="5"/>
  <c r="P34" i="5"/>
  <c r="Q74" i="5"/>
  <c r="F46" i="2"/>
  <c r="F131" i="4"/>
  <c r="F47" i="2"/>
  <c r="F132" i="4"/>
  <c r="F40" i="4"/>
  <c r="F42" i="4" s="1"/>
  <c r="F43" i="4" s="1"/>
  <c r="F65" i="2" s="1"/>
  <c r="F38" i="4"/>
  <c r="F62" i="2" s="1"/>
  <c r="N160" i="4"/>
  <c r="R156" i="4"/>
  <c r="C19" i="6"/>
  <c r="C18" i="6" s="1"/>
  <c r="C20" i="6" s="1"/>
  <c r="C22" i="6" s="1"/>
  <c r="C26" i="6" s="1"/>
  <c r="F48" i="2"/>
  <c r="F133" i="4"/>
  <c r="F27" i="4"/>
  <c r="F49" i="2" s="1"/>
  <c r="AN51" i="2"/>
  <c r="F57" i="5" l="1"/>
  <c r="G57" i="5" s="1"/>
  <c r="F60" i="5"/>
  <c r="G60" i="5" s="1"/>
  <c r="F82" i="5"/>
  <c r="G82" i="5" s="1"/>
  <c r="H82" i="5" s="1"/>
  <c r="F69" i="5"/>
  <c r="G69" i="5" s="1"/>
  <c r="F72" i="5"/>
  <c r="G72" i="5" s="1"/>
  <c r="O72" i="5" s="1"/>
  <c r="P92" i="5"/>
  <c r="Q80" i="5"/>
  <c r="F110" i="5"/>
  <c r="G110" i="5" s="1"/>
  <c r="Q5" i="5"/>
  <c r="C41" i="6"/>
  <c r="O159" i="4" s="1"/>
  <c r="C39" i="6"/>
  <c r="O150" i="4" s="1"/>
  <c r="C40" i="6"/>
  <c r="O154" i="4" s="1"/>
  <c r="F80" i="4"/>
  <c r="F81" i="4" s="1"/>
  <c r="F91" i="2" s="1"/>
  <c r="F59" i="4"/>
  <c r="F78" i="2" s="1"/>
  <c r="X146" i="4"/>
  <c r="H54" i="5"/>
  <c r="O54" i="5"/>
  <c r="O89" i="5"/>
  <c r="H89" i="5"/>
  <c r="O45" i="5"/>
  <c r="H45" i="5"/>
  <c r="O48" i="5"/>
  <c r="H48" i="5"/>
  <c r="H108" i="5"/>
  <c r="O108" i="5"/>
  <c r="O90" i="5"/>
  <c r="H90" i="5"/>
  <c r="H83" i="5"/>
  <c r="O83" i="5"/>
  <c r="O56" i="5"/>
  <c r="H56" i="5"/>
  <c r="O44" i="5"/>
  <c r="H44" i="5"/>
  <c r="O11" i="5"/>
  <c r="H11" i="5"/>
  <c r="O55" i="5"/>
  <c r="H55" i="5"/>
  <c r="H59" i="5"/>
  <c r="O59" i="5"/>
  <c r="O102" i="5"/>
  <c r="H102" i="5"/>
  <c r="H99" i="5"/>
  <c r="O99" i="5"/>
  <c r="O57" i="5"/>
  <c r="H57" i="5"/>
  <c r="O60" i="5"/>
  <c r="H60" i="5"/>
  <c r="O82" i="5"/>
  <c r="U162" i="4"/>
  <c r="T162" i="4"/>
  <c r="S162" i="4"/>
  <c r="O53" i="5"/>
  <c r="H53" i="5"/>
  <c r="O114" i="5"/>
  <c r="H114" i="5"/>
  <c r="O16" i="5"/>
  <c r="H16" i="5"/>
  <c r="H98" i="5"/>
  <c r="O98" i="5"/>
  <c r="O13" i="5"/>
  <c r="H13" i="5"/>
  <c r="O113" i="5"/>
  <c r="H113" i="5"/>
  <c r="H79" i="5"/>
  <c r="O79" i="5"/>
  <c r="H94" i="5"/>
  <c r="O94" i="5"/>
  <c r="O21" i="5"/>
  <c r="H21" i="5"/>
  <c r="O20" i="5"/>
  <c r="H20" i="5"/>
  <c r="H71" i="5"/>
  <c r="O71" i="5"/>
  <c r="O67" i="5"/>
  <c r="H67" i="5"/>
  <c r="H27" i="5"/>
  <c r="O27" i="5"/>
  <c r="H40" i="5"/>
  <c r="O40" i="5"/>
  <c r="H110" i="5"/>
  <c r="O110" i="5"/>
  <c r="O51" i="5"/>
  <c r="H51" i="5"/>
  <c r="O46" i="5"/>
  <c r="H46" i="5"/>
  <c r="O69" i="5"/>
  <c r="H69" i="5"/>
  <c r="O39" i="5"/>
  <c r="H39" i="5"/>
  <c r="H10" i="5"/>
  <c r="O10" i="5"/>
  <c r="O78" i="5"/>
  <c r="H78" i="5"/>
  <c r="H66" i="5"/>
  <c r="O66" i="5"/>
  <c r="O95" i="5"/>
  <c r="H95" i="5"/>
  <c r="O30" i="5"/>
  <c r="H30" i="5"/>
  <c r="H52" i="5"/>
  <c r="O52" i="5"/>
  <c r="H86" i="5"/>
  <c r="O86" i="5"/>
  <c r="H81" i="5"/>
  <c r="O81" i="5"/>
  <c r="H106" i="5"/>
  <c r="O106" i="5"/>
  <c r="O41" i="5"/>
  <c r="H41" i="5"/>
  <c r="O18" i="5"/>
  <c r="H18" i="5"/>
  <c r="H15" i="5"/>
  <c r="O15" i="5"/>
  <c r="H24" i="5"/>
  <c r="O24" i="5"/>
  <c r="O80" i="5"/>
  <c r="H80" i="5"/>
  <c r="O63" i="5"/>
  <c r="H63" i="5"/>
  <c r="H64" i="5"/>
  <c r="O64" i="5"/>
  <c r="H111" i="5"/>
  <c r="O111" i="5"/>
  <c r="H93" i="5"/>
  <c r="O93" i="5"/>
  <c r="H92" i="5"/>
  <c r="O92" i="5"/>
  <c r="C2" i="5"/>
  <c r="K108" i="2"/>
  <c r="O12" i="5"/>
  <c r="H12" i="5"/>
  <c r="O61" i="5"/>
  <c r="H61" i="5"/>
  <c r="H72" i="5"/>
  <c r="H23" i="5"/>
  <c r="O23" i="5"/>
  <c r="O31" i="5"/>
  <c r="H31" i="5"/>
  <c r="H26" i="5"/>
  <c r="O26" i="5"/>
  <c r="O88" i="5"/>
  <c r="H88" i="5"/>
  <c r="O100" i="5"/>
  <c r="H100" i="5"/>
  <c r="O75" i="5"/>
  <c r="H75" i="5"/>
  <c r="O22" i="5"/>
  <c r="H22" i="5"/>
  <c r="O73" i="5"/>
  <c r="H73" i="5"/>
  <c r="H76" i="5"/>
  <c r="O76" i="5"/>
  <c r="H38" i="5"/>
  <c r="O38" i="5"/>
  <c r="H105" i="5"/>
  <c r="O105" i="5"/>
  <c r="O104" i="5"/>
  <c r="H104" i="5"/>
  <c r="O32" i="5"/>
  <c r="H32" i="5"/>
  <c r="H19" i="5"/>
  <c r="O19" i="5"/>
  <c r="O29" i="5"/>
  <c r="H29" i="5"/>
  <c r="H50" i="5"/>
  <c r="O50" i="5"/>
  <c r="O91" i="5"/>
  <c r="H91" i="5"/>
  <c r="O85" i="5"/>
  <c r="H85" i="5"/>
  <c r="O43" i="5"/>
  <c r="H43" i="5"/>
  <c r="Q6" i="5"/>
  <c r="O34" i="5"/>
  <c r="H34" i="5"/>
  <c r="O28" i="5"/>
  <c r="H28" i="5"/>
  <c r="O36" i="5"/>
  <c r="H36" i="5"/>
  <c r="H42" i="5"/>
  <c r="O42" i="5"/>
  <c r="O77" i="5"/>
  <c r="H77" i="5"/>
  <c r="H87" i="5"/>
  <c r="O87" i="5"/>
  <c r="H62" i="5"/>
  <c r="O62" i="5"/>
  <c r="O103" i="5"/>
  <c r="H103" i="5"/>
  <c r="O97" i="5"/>
  <c r="H97" i="5"/>
  <c r="F146" i="4"/>
  <c r="F162" i="4"/>
  <c r="F159" i="4"/>
  <c r="F156" i="4"/>
  <c r="F153" i="4"/>
  <c r="F150" i="4"/>
  <c r="F149" i="4"/>
  <c r="F161" i="4"/>
  <c r="F158" i="4"/>
  <c r="F155" i="4"/>
  <c r="F152" i="4"/>
  <c r="F148" i="4"/>
  <c r="F160" i="4"/>
  <c r="F157" i="4"/>
  <c r="F154" i="4"/>
  <c r="F151" i="4"/>
  <c r="F147" i="4"/>
  <c r="H17" i="5"/>
  <c r="O17" i="5"/>
  <c r="O65" i="5"/>
  <c r="H65" i="5"/>
  <c r="H70" i="5"/>
  <c r="O70" i="5"/>
  <c r="O58" i="5"/>
  <c r="H58" i="5"/>
  <c r="H47" i="5"/>
  <c r="O47" i="5"/>
  <c r="O112" i="5"/>
  <c r="H112" i="5"/>
  <c r="O107" i="5"/>
  <c r="H107" i="5"/>
  <c r="H74" i="5"/>
  <c r="O74" i="5"/>
  <c r="H84" i="5"/>
  <c r="O84" i="5"/>
  <c r="O109" i="5"/>
  <c r="H109" i="5"/>
  <c r="D107" i="5"/>
  <c r="D95" i="5"/>
  <c r="D83" i="5"/>
  <c r="D114" i="5"/>
  <c r="D102" i="5"/>
  <c r="D90" i="5"/>
  <c r="D104" i="5"/>
  <c r="D92" i="5"/>
  <c r="D106" i="5"/>
  <c r="D94" i="5"/>
  <c r="D82" i="5"/>
  <c r="D113" i="5"/>
  <c r="D101" i="5"/>
  <c r="D89" i="5"/>
  <c r="D103" i="5"/>
  <c r="D91" i="5"/>
  <c r="D105" i="5"/>
  <c r="D70" i="5"/>
  <c r="D58" i="5"/>
  <c r="D46" i="5"/>
  <c r="D96" i="5"/>
  <c r="D84" i="5"/>
  <c r="D72" i="5"/>
  <c r="D60" i="5"/>
  <c r="D48" i="5"/>
  <c r="D67" i="5"/>
  <c r="D55" i="5"/>
  <c r="D43" i="5"/>
  <c r="D31" i="5"/>
  <c r="D111" i="5"/>
  <c r="D86" i="5"/>
  <c r="D85" i="5"/>
  <c r="D74" i="5"/>
  <c r="D62" i="5"/>
  <c r="D50" i="5"/>
  <c r="D108" i="5"/>
  <c r="D88" i="5"/>
  <c r="D66" i="5"/>
  <c r="D71" i="5"/>
  <c r="D37" i="5"/>
  <c r="D18" i="5"/>
  <c r="D112" i="5"/>
  <c r="D110" i="5"/>
  <c r="D97" i="5"/>
  <c r="D81" i="5"/>
  <c r="D73" i="5"/>
  <c r="D20" i="5"/>
  <c r="D99" i="5"/>
  <c r="D93" i="5"/>
  <c r="D64" i="5"/>
  <c r="D63" i="5"/>
  <c r="D65" i="5"/>
  <c r="D87" i="5"/>
  <c r="D76" i="5"/>
  <c r="D75" i="5"/>
  <c r="D77" i="5"/>
  <c r="D100" i="5"/>
  <c r="D78" i="5"/>
  <c r="D35" i="5"/>
  <c r="D32" i="5"/>
  <c r="D109" i="5"/>
  <c r="D59" i="5"/>
  <c r="D57" i="5"/>
  <c r="D54" i="5"/>
  <c r="D53" i="5"/>
  <c r="D52" i="5"/>
  <c r="D49" i="5"/>
  <c r="D47" i="5"/>
  <c r="D45" i="5"/>
  <c r="D42" i="5"/>
  <c r="D41" i="5"/>
  <c r="D79" i="5"/>
  <c r="D39" i="5"/>
  <c r="D30" i="5"/>
  <c r="D21" i="5"/>
  <c r="D16" i="5"/>
  <c r="D12" i="5"/>
  <c r="D68" i="5"/>
  <c r="D36" i="5"/>
  <c r="D61" i="5"/>
  <c r="D29" i="5"/>
  <c r="D24" i="5"/>
  <c r="D11" i="5"/>
  <c r="D40" i="5"/>
  <c r="D28" i="5"/>
  <c r="D19" i="5"/>
  <c r="D15" i="5"/>
  <c r="D98" i="5"/>
  <c r="D44" i="5"/>
  <c r="D23" i="5"/>
  <c r="D51" i="5"/>
  <c r="D38" i="5"/>
  <c r="D27" i="5"/>
  <c r="D26" i="5"/>
  <c r="D14" i="5"/>
  <c r="D10" i="5"/>
  <c r="D80" i="5"/>
  <c r="D56" i="5"/>
  <c r="D22" i="5"/>
  <c r="D17" i="5"/>
  <c r="E17" i="5" s="1"/>
  <c r="M17" i="5" s="1"/>
  <c r="D13" i="5"/>
  <c r="D69" i="5"/>
  <c r="D33" i="5"/>
  <c r="D25" i="5"/>
  <c r="D34" i="5"/>
  <c r="H35" i="5"/>
  <c r="O35" i="5"/>
  <c r="O25" i="5"/>
  <c r="H25" i="5"/>
  <c r="H14" i="5"/>
  <c r="O14" i="5"/>
  <c r="O37" i="5"/>
  <c r="H37" i="5"/>
  <c r="O49" i="5"/>
  <c r="H49" i="5"/>
  <c r="O68" i="5"/>
  <c r="H68" i="5"/>
  <c r="H33" i="5"/>
  <c r="O33" i="5"/>
  <c r="H101" i="5"/>
  <c r="O101" i="5"/>
  <c r="H96" i="5"/>
  <c r="O96" i="5"/>
  <c r="U159" i="4"/>
  <c r="T159" i="4"/>
  <c r="S159" i="4"/>
  <c r="E33" i="7"/>
  <c r="E37" i="7"/>
  <c r="E13" i="5" l="1"/>
  <c r="M13" i="5" s="1"/>
  <c r="E44" i="5"/>
  <c r="M44" i="5" s="1"/>
  <c r="E12" i="5"/>
  <c r="M12" i="5" s="1"/>
  <c r="E53" i="5"/>
  <c r="M53" i="5" s="1"/>
  <c r="E87" i="5"/>
  <c r="M87" i="5" s="1"/>
  <c r="E18" i="5"/>
  <c r="M18" i="5" s="1"/>
  <c r="E31" i="5"/>
  <c r="M31" i="5" s="1"/>
  <c r="E105" i="5"/>
  <c r="M105" i="5" s="1"/>
  <c r="E102" i="5"/>
  <c r="M102" i="5" s="1"/>
  <c r="E98" i="5"/>
  <c r="M98" i="5" s="1"/>
  <c r="E54" i="5"/>
  <c r="M54" i="5" s="1"/>
  <c r="E65" i="5"/>
  <c r="M65" i="5" s="1"/>
  <c r="E43" i="5"/>
  <c r="M43" i="5" s="1"/>
  <c r="E56" i="5"/>
  <c r="M56" i="5" s="1"/>
  <c r="E16" i="5"/>
  <c r="M16" i="5" s="1"/>
  <c r="E37" i="5"/>
  <c r="M37" i="5" s="1"/>
  <c r="E80" i="5"/>
  <c r="M80" i="5" s="1"/>
  <c r="E28" i="5"/>
  <c r="M28" i="5" s="1"/>
  <c r="E39" i="5"/>
  <c r="M39" i="5" s="1"/>
  <c r="E109" i="5"/>
  <c r="M109" i="5" s="1"/>
  <c r="E93" i="5"/>
  <c r="M93" i="5" s="1"/>
  <c r="E88" i="5"/>
  <c r="M88" i="5" s="1"/>
  <c r="E48" i="5"/>
  <c r="M48" i="5" s="1"/>
  <c r="E101" i="5"/>
  <c r="M101" i="5" s="1"/>
  <c r="E107" i="5"/>
  <c r="M107" i="5" s="1"/>
  <c r="E91" i="5"/>
  <c r="M91" i="5" s="1"/>
  <c r="L25" i="5"/>
  <c r="I25" i="5"/>
  <c r="N25" i="5" s="1"/>
  <c r="E33" i="5"/>
  <c r="M33" i="5" s="1"/>
  <c r="E51" i="5"/>
  <c r="M51" i="5" s="1"/>
  <c r="E49" i="5"/>
  <c r="M49" i="5" s="1"/>
  <c r="E75" i="5"/>
  <c r="M75" i="5" s="1"/>
  <c r="E110" i="5"/>
  <c r="M110" i="5" s="1"/>
  <c r="E86" i="5"/>
  <c r="M86" i="5" s="1"/>
  <c r="E58" i="5"/>
  <c r="M58" i="5" s="1"/>
  <c r="E104" i="5"/>
  <c r="M104" i="5" s="1"/>
  <c r="L74" i="5"/>
  <c r="I74" i="5"/>
  <c r="N74" i="5" s="1"/>
  <c r="K161" i="4"/>
  <c r="G161" i="4"/>
  <c r="L161" i="4" s="1"/>
  <c r="E161" i="4"/>
  <c r="J161" i="4" s="1"/>
  <c r="B161" i="4"/>
  <c r="L111" i="5"/>
  <c r="I111" i="5"/>
  <c r="N111" i="5" s="1"/>
  <c r="L57" i="5"/>
  <c r="I57" i="5"/>
  <c r="N57" i="5" s="1"/>
  <c r="L44" i="5"/>
  <c r="I44" i="5"/>
  <c r="N44" i="5" s="1"/>
  <c r="L45" i="5"/>
  <c r="I45" i="5"/>
  <c r="N45" i="5" s="1"/>
  <c r="L37" i="5"/>
  <c r="I37" i="5"/>
  <c r="N37" i="5" s="1"/>
  <c r="L64" i="5"/>
  <c r="I64" i="5"/>
  <c r="N64" i="5" s="1"/>
  <c r="L56" i="5"/>
  <c r="I56" i="5"/>
  <c r="N56" i="5" s="1"/>
  <c r="L49" i="5"/>
  <c r="I49" i="5"/>
  <c r="N49" i="5" s="1"/>
  <c r="E36" i="5"/>
  <c r="M36" i="5" s="1"/>
  <c r="E69" i="5"/>
  <c r="M69" i="5" s="1"/>
  <c r="E23" i="5"/>
  <c r="M23" i="5" s="1"/>
  <c r="E68" i="5"/>
  <c r="M68" i="5" s="1"/>
  <c r="E52" i="5"/>
  <c r="M52" i="5" s="1"/>
  <c r="E76" i="5"/>
  <c r="M76" i="5" s="1"/>
  <c r="E70" i="5"/>
  <c r="M70" i="5" s="1"/>
  <c r="E90" i="5"/>
  <c r="M90" i="5" s="1"/>
  <c r="L107" i="5"/>
  <c r="I107" i="5"/>
  <c r="N107" i="5" s="1"/>
  <c r="G149" i="4"/>
  <c r="L149" i="4" s="1"/>
  <c r="U149" i="4" s="1"/>
  <c r="E149" i="4"/>
  <c r="J149" i="4" s="1"/>
  <c r="S149" i="4" s="1"/>
  <c r="K149" i="4"/>
  <c r="T149" i="4" s="1"/>
  <c r="B149" i="4"/>
  <c r="L103" i="5"/>
  <c r="I103" i="5"/>
  <c r="N103" i="5" s="1"/>
  <c r="L28" i="5"/>
  <c r="I28" i="5"/>
  <c r="N28" i="5" s="1"/>
  <c r="L91" i="5"/>
  <c r="I91" i="5"/>
  <c r="N91" i="5" s="1"/>
  <c r="L100" i="5"/>
  <c r="I100" i="5"/>
  <c r="N100" i="5" s="1"/>
  <c r="L61" i="5"/>
  <c r="I61" i="5"/>
  <c r="N61" i="5" s="1"/>
  <c r="L41" i="5"/>
  <c r="I41" i="5"/>
  <c r="N41" i="5" s="1"/>
  <c r="L95" i="5"/>
  <c r="I95" i="5"/>
  <c r="N95" i="5" s="1"/>
  <c r="L46" i="5"/>
  <c r="I46" i="5"/>
  <c r="N46" i="5" s="1"/>
  <c r="L114" i="5"/>
  <c r="I114" i="5"/>
  <c r="N114" i="5" s="1"/>
  <c r="L71" i="5"/>
  <c r="I71" i="5"/>
  <c r="N71" i="5" s="1"/>
  <c r="L112" i="5"/>
  <c r="I112" i="5"/>
  <c r="N112" i="5" s="1"/>
  <c r="K147" i="4"/>
  <c r="T147" i="4" s="1"/>
  <c r="G147" i="4"/>
  <c r="L147" i="4" s="1"/>
  <c r="U147" i="4" s="1"/>
  <c r="E147" i="4"/>
  <c r="J147" i="4" s="1"/>
  <c r="S147" i="4" s="1"/>
  <c r="B147" i="4"/>
  <c r="G153" i="4"/>
  <c r="L153" i="4" s="1"/>
  <c r="U153" i="4" s="1"/>
  <c r="E153" i="4"/>
  <c r="J153" i="4" s="1"/>
  <c r="S153" i="4" s="1"/>
  <c r="K153" i="4"/>
  <c r="T153" i="4" s="1"/>
  <c r="B153" i="4"/>
  <c r="L34" i="5"/>
  <c r="I34" i="5"/>
  <c r="N34" i="5" s="1"/>
  <c r="L88" i="5"/>
  <c r="I88" i="5"/>
  <c r="N88" i="5" s="1"/>
  <c r="L12" i="5"/>
  <c r="I12" i="5"/>
  <c r="N12" i="5" s="1"/>
  <c r="L63" i="5"/>
  <c r="I63" i="5"/>
  <c r="N63" i="5" s="1"/>
  <c r="L51" i="5"/>
  <c r="I51" i="5"/>
  <c r="N51" i="5" s="1"/>
  <c r="L20" i="5"/>
  <c r="I20" i="5"/>
  <c r="N20" i="5" s="1"/>
  <c r="L53" i="5"/>
  <c r="I53" i="5"/>
  <c r="N53" i="5" s="1"/>
  <c r="L99" i="5"/>
  <c r="I99" i="5"/>
  <c r="N99" i="5" s="1"/>
  <c r="E22" i="5"/>
  <c r="M22" i="5" s="1"/>
  <c r="E15" i="5"/>
  <c r="M15" i="5" s="1"/>
  <c r="E21" i="5"/>
  <c r="M21" i="5" s="1"/>
  <c r="E57" i="5"/>
  <c r="M57" i="5" s="1"/>
  <c r="E63" i="5"/>
  <c r="M63" i="5" s="1"/>
  <c r="E71" i="5"/>
  <c r="M71" i="5" s="1"/>
  <c r="E55" i="5"/>
  <c r="M55" i="5" s="1"/>
  <c r="E103" i="5"/>
  <c r="M103" i="5" s="1"/>
  <c r="E83" i="5"/>
  <c r="M83" i="5" s="1"/>
  <c r="E151" i="4"/>
  <c r="J151" i="4" s="1"/>
  <c r="S151" i="4" s="1"/>
  <c r="K151" i="4"/>
  <c r="T151" i="4" s="1"/>
  <c r="G151" i="4"/>
  <c r="L151" i="4" s="1"/>
  <c r="U151" i="4" s="1"/>
  <c r="B151" i="4"/>
  <c r="G156" i="4"/>
  <c r="L156" i="4" s="1"/>
  <c r="U156" i="4" s="1"/>
  <c r="E156" i="4"/>
  <c r="J156" i="4" s="1"/>
  <c r="S156" i="4" s="1"/>
  <c r="K156" i="4"/>
  <c r="T156" i="4" s="1"/>
  <c r="B156" i="4"/>
  <c r="L62" i="5"/>
  <c r="I62" i="5"/>
  <c r="N62" i="5" s="1"/>
  <c r="L50" i="5"/>
  <c r="I50" i="5"/>
  <c r="N50" i="5" s="1"/>
  <c r="L38" i="5"/>
  <c r="I38" i="5"/>
  <c r="N38" i="5" s="1"/>
  <c r="L106" i="5"/>
  <c r="I106" i="5"/>
  <c r="N106" i="5" s="1"/>
  <c r="L66" i="5"/>
  <c r="I66" i="5"/>
  <c r="N66" i="5" s="1"/>
  <c r="L79" i="5"/>
  <c r="I79" i="5"/>
  <c r="N79" i="5" s="1"/>
  <c r="L102" i="5"/>
  <c r="I102" i="5"/>
  <c r="N102" i="5" s="1"/>
  <c r="L94" i="5"/>
  <c r="I94" i="5"/>
  <c r="N94" i="5" s="1"/>
  <c r="L96" i="5"/>
  <c r="I96" i="5"/>
  <c r="N96" i="5" s="1"/>
  <c r="L14" i="5"/>
  <c r="I14" i="5"/>
  <c r="N14" i="5" s="1"/>
  <c r="E19" i="5"/>
  <c r="M19" i="5" s="1"/>
  <c r="E30" i="5"/>
  <c r="M30" i="5" s="1"/>
  <c r="E59" i="5"/>
  <c r="M59" i="5" s="1"/>
  <c r="E64" i="5"/>
  <c r="M64" i="5" s="1"/>
  <c r="E66" i="5"/>
  <c r="M66" i="5" s="1"/>
  <c r="E67" i="5"/>
  <c r="M67" i="5" s="1"/>
  <c r="E89" i="5"/>
  <c r="M89" i="5" s="1"/>
  <c r="E95" i="5"/>
  <c r="M95" i="5" s="1"/>
  <c r="E154" i="4"/>
  <c r="J154" i="4" s="1"/>
  <c r="S154" i="4" s="1"/>
  <c r="K154" i="4"/>
  <c r="T154" i="4" s="1"/>
  <c r="G154" i="4"/>
  <c r="L154" i="4" s="1"/>
  <c r="U154" i="4" s="1"/>
  <c r="B154" i="4"/>
  <c r="G159" i="4"/>
  <c r="L159" i="4" s="1"/>
  <c r="E159" i="4"/>
  <c r="J159" i="4" s="1"/>
  <c r="K159" i="4"/>
  <c r="B159" i="4"/>
  <c r="L29" i="5"/>
  <c r="I29" i="5"/>
  <c r="N29" i="5" s="1"/>
  <c r="L80" i="5"/>
  <c r="I80" i="5"/>
  <c r="N80" i="5" s="1"/>
  <c r="L78" i="5"/>
  <c r="I78" i="5"/>
  <c r="N78" i="5" s="1"/>
  <c r="L21" i="5"/>
  <c r="I21" i="5"/>
  <c r="N21" i="5" s="1"/>
  <c r="L113" i="5"/>
  <c r="I113" i="5"/>
  <c r="N113" i="5" s="1"/>
  <c r="L83" i="5"/>
  <c r="I83" i="5"/>
  <c r="N83" i="5" s="1"/>
  <c r="L54" i="5"/>
  <c r="I54" i="5"/>
  <c r="N54" i="5" s="1"/>
  <c r="L90" i="5"/>
  <c r="I90" i="5"/>
  <c r="N90" i="5" s="1"/>
  <c r="V146" i="4"/>
  <c r="V164" i="4"/>
  <c r="V162" i="4"/>
  <c r="V159" i="4"/>
  <c r="V156" i="4"/>
  <c r="V153" i="4"/>
  <c r="V150" i="4"/>
  <c r="V161" i="4"/>
  <c r="V158" i="4"/>
  <c r="V155" i="4"/>
  <c r="V152" i="4"/>
  <c r="V149" i="4"/>
  <c r="V165" i="4"/>
  <c r="V163" i="4"/>
  <c r="V148" i="4"/>
  <c r="V160" i="4"/>
  <c r="V157" i="4"/>
  <c r="V154" i="4"/>
  <c r="V151" i="4"/>
  <c r="V147" i="4"/>
  <c r="L105" i="5"/>
  <c r="I105" i="5"/>
  <c r="N105" i="5" s="1"/>
  <c r="G162" i="4"/>
  <c r="L162" i="4" s="1"/>
  <c r="E162" i="4"/>
  <c r="J162" i="4" s="1"/>
  <c r="K162" i="4"/>
  <c r="B162" i="4"/>
  <c r="E40" i="5"/>
  <c r="M40" i="5" s="1"/>
  <c r="E160" i="4"/>
  <c r="J160" i="4" s="1"/>
  <c r="K160" i="4"/>
  <c r="G160" i="4"/>
  <c r="L160" i="4" s="1"/>
  <c r="B160" i="4"/>
  <c r="L77" i="5"/>
  <c r="I77" i="5"/>
  <c r="N77" i="5" s="1"/>
  <c r="L31" i="5"/>
  <c r="I31" i="5"/>
  <c r="N31" i="5" s="1"/>
  <c r="Q4" i="5"/>
  <c r="F69" i="4" s="1"/>
  <c r="L13" i="5"/>
  <c r="I13" i="5"/>
  <c r="N13" i="5" s="1"/>
  <c r="L59" i="5"/>
  <c r="I59" i="5"/>
  <c r="N59" i="5" s="1"/>
  <c r="L26" i="5"/>
  <c r="I26" i="5"/>
  <c r="N26" i="5" s="1"/>
  <c r="L101" i="5"/>
  <c r="I101" i="5"/>
  <c r="N101" i="5" s="1"/>
  <c r="E79" i="5"/>
  <c r="M79" i="5" s="1"/>
  <c r="E108" i="5"/>
  <c r="M108" i="5" s="1"/>
  <c r="L109" i="5"/>
  <c r="I109" i="5"/>
  <c r="N109" i="5" s="1"/>
  <c r="L73" i="5"/>
  <c r="I73" i="5"/>
  <c r="N73" i="5" s="1"/>
  <c r="F37" i="7"/>
  <c r="E38" i="7"/>
  <c r="E61" i="7"/>
  <c r="E39" i="7"/>
  <c r="E11" i="5"/>
  <c r="M11" i="5" s="1"/>
  <c r="E35" i="5"/>
  <c r="M35" i="5" s="1"/>
  <c r="E50" i="5"/>
  <c r="M50" i="5" s="1"/>
  <c r="E72" i="5"/>
  <c r="M72" i="5" s="1"/>
  <c r="E82" i="5"/>
  <c r="M82" i="5" s="1"/>
  <c r="K148" i="4"/>
  <c r="T148" i="4" s="1"/>
  <c r="G148" i="4"/>
  <c r="L148" i="4" s="1"/>
  <c r="U148" i="4" s="1"/>
  <c r="E148" i="4"/>
  <c r="J148" i="4" s="1"/>
  <c r="S148" i="4" s="1"/>
  <c r="B148" i="4"/>
  <c r="L19" i="5"/>
  <c r="I19" i="5"/>
  <c r="N19" i="5" s="1"/>
  <c r="L92" i="5"/>
  <c r="I92" i="5"/>
  <c r="N92" i="5" s="1"/>
  <c r="L24" i="5"/>
  <c r="I24" i="5"/>
  <c r="N24" i="5" s="1"/>
  <c r="L86" i="5"/>
  <c r="I86" i="5"/>
  <c r="N86" i="5" s="1"/>
  <c r="L10" i="5"/>
  <c r="I10" i="5"/>
  <c r="L40" i="5"/>
  <c r="I40" i="5"/>
  <c r="N40" i="5" s="1"/>
  <c r="L82" i="5"/>
  <c r="I82" i="5"/>
  <c r="N82" i="5" s="1"/>
  <c r="L55" i="5"/>
  <c r="I55" i="5"/>
  <c r="N55" i="5" s="1"/>
  <c r="L47" i="5"/>
  <c r="I47" i="5"/>
  <c r="N47" i="5" s="1"/>
  <c r="E32" i="5"/>
  <c r="M32" i="5" s="1"/>
  <c r="K146" i="4"/>
  <c r="T146" i="4" s="1"/>
  <c r="G146" i="4"/>
  <c r="L146" i="4" s="1"/>
  <c r="U146" i="4" s="1"/>
  <c r="E146" i="4"/>
  <c r="J146" i="4" s="1"/>
  <c r="S146" i="4" s="1"/>
  <c r="B146" i="4"/>
  <c r="E14" i="5"/>
  <c r="M14" i="5" s="1"/>
  <c r="E41" i="5"/>
  <c r="M41" i="5" s="1"/>
  <c r="E20" i="5"/>
  <c r="M20" i="5" s="1"/>
  <c r="L33" i="5"/>
  <c r="I33" i="5"/>
  <c r="N33" i="5" s="1"/>
  <c r="L35" i="5"/>
  <c r="I35" i="5"/>
  <c r="N35" i="5" s="1"/>
  <c r="E26" i="5"/>
  <c r="M26" i="5" s="1"/>
  <c r="E24" i="5"/>
  <c r="M24" i="5" s="1"/>
  <c r="E42" i="5"/>
  <c r="M42" i="5" s="1"/>
  <c r="E78" i="5"/>
  <c r="M78" i="5" s="1"/>
  <c r="E73" i="5"/>
  <c r="M73" i="5" s="1"/>
  <c r="E62" i="5"/>
  <c r="M62" i="5" s="1"/>
  <c r="E84" i="5"/>
  <c r="M84" i="5" s="1"/>
  <c r="E94" i="5"/>
  <c r="M94" i="5" s="1"/>
  <c r="K152" i="4"/>
  <c r="T152" i="4" s="1"/>
  <c r="G152" i="4"/>
  <c r="L152" i="4" s="1"/>
  <c r="U152" i="4" s="1"/>
  <c r="E152" i="4"/>
  <c r="J152" i="4" s="1"/>
  <c r="S152" i="4" s="1"/>
  <c r="B152" i="4"/>
  <c r="L43" i="5"/>
  <c r="I43" i="5"/>
  <c r="N43" i="5" s="1"/>
  <c r="L32" i="5"/>
  <c r="I32" i="5"/>
  <c r="N32" i="5" s="1"/>
  <c r="L22" i="5"/>
  <c r="I22" i="5"/>
  <c r="N22" i="5" s="1"/>
  <c r="L39" i="5"/>
  <c r="I39" i="5"/>
  <c r="N39" i="5" s="1"/>
  <c r="L108" i="5"/>
  <c r="I108" i="5"/>
  <c r="N108" i="5" s="1"/>
  <c r="O152" i="4"/>
  <c r="O151" i="4"/>
  <c r="O153" i="4"/>
  <c r="G150" i="4"/>
  <c r="L150" i="4" s="1"/>
  <c r="U150" i="4" s="1"/>
  <c r="E150" i="4"/>
  <c r="J150" i="4" s="1"/>
  <c r="S150" i="4" s="1"/>
  <c r="K150" i="4"/>
  <c r="T150" i="4" s="1"/>
  <c r="B150" i="4"/>
  <c r="L89" i="5"/>
  <c r="I89" i="5"/>
  <c r="N89" i="5" s="1"/>
  <c r="E114" i="5"/>
  <c r="M114" i="5" s="1"/>
  <c r="E111" i="5"/>
  <c r="M111" i="5" s="1"/>
  <c r="E113" i="5"/>
  <c r="M113" i="5" s="1"/>
  <c r="E112" i="5"/>
  <c r="M112" i="5" s="1"/>
  <c r="E60" i="5"/>
  <c r="M60" i="5" s="1"/>
  <c r="L68" i="5"/>
  <c r="I68" i="5"/>
  <c r="N68" i="5" s="1"/>
  <c r="E34" i="5"/>
  <c r="M34" i="5" s="1"/>
  <c r="E27" i="5"/>
  <c r="M27" i="5" s="1"/>
  <c r="E29" i="5"/>
  <c r="M29" i="5" s="1"/>
  <c r="E45" i="5"/>
  <c r="M45" i="5" s="1"/>
  <c r="E100" i="5"/>
  <c r="M100" i="5" s="1"/>
  <c r="E81" i="5"/>
  <c r="M81" i="5" s="1"/>
  <c r="E74" i="5"/>
  <c r="M74" i="5" s="1"/>
  <c r="E96" i="5"/>
  <c r="M96" i="5" s="1"/>
  <c r="E106" i="5"/>
  <c r="M106" i="5" s="1"/>
  <c r="L84" i="5"/>
  <c r="I84" i="5"/>
  <c r="N84" i="5" s="1"/>
  <c r="L70" i="5"/>
  <c r="I70" i="5"/>
  <c r="N70" i="5" s="1"/>
  <c r="K155" i="4"/>
  <c r="T155" i="4" s="1"/>
  <c r="G155" i="4"/>
  <c r="L155" i="4" s="1"/>
  <c r="U155" i="4" s="1"/>
  <c r="E155" i="4"/>
  <c r="J155" i="4" s="1"/>
  <c r="S155" i="4" s="1"/>
  <c r="B155" i="4"/>
  <c r="L42" i="5"/>
  <c r="I42" i="5"/>
  <c r="N42" i="5" s="1"/>
  <c r="L23" i="5"/>
  <c r="I23" i="5"/>
  <c r="N23" i="5" s="1"/>
  <c r="L93" i="5"/>
  <c r="I93" i="5"/>
  <c r="N93" i="5" s="1"/>
  <c r="L15" i="5"/>
  <c r="I15" i="5"/>
  <c r="N15" i="5" s="1"/>
  <c r="L52" i="5"/>
  <c r="I52" i="5"/>
  <c r="N52" i="5" s="1"/>
  <c r="L27" i="5"/>
  <c r="I27" i="5"/>
  <c r="N27" i="5" s="1"/>
  <c r="L98" i="5"/>
  <c r="I98" i="5"/>
  <c r="N98" i="5" s="1"/>
  <c r="L60" i="5"/>
  <c r="I60" i="5"/>
  <c r="N60" i="5" s="1"/>
  <c r="L11" i="5"/>
  <c r="I11" i="5"/>
  <c r="N11" i="5" s="1"/>
  <c r="L48" i="5"/>
  <c r="I48" i="5"/>
  <c r="N48" i="5" s="1"/>
  <c r="L17" i="5"/>
  <c r="I17" i="5"/>
  <c r="N17" i="5" s="1"/>
  <c r="E157" i="4"/>
  <c r="J157" i="4" s="1"/>
  <c r="S157" i="4" s="1"/>
  <c r="K157" i="4"/>
  <c r="T157" i="4" s="1"/>
  <c r="G157" i="4"/>
  <c r="L157" i="4" s="1"/>
  <c r="U157" i="4" s="1"/>
  <c r="B157" i="4"/>
  <c r="L87" i="5"/>
  <c r="I87" i="5"/>
  <c r="N87" i="5" s="1"/>
  <c r="L76" i="5"/>
  <c r="I76" i="5"/>
  <c r="N76" i="5" s="1"/>
  <c r="L81" i="5"/>
  <c r="I81" i="5"/>
  <c r="N81" i="5" s="1"/>
  <c r="L110" i="5"/>
  <c r="I110" i="5"/>
  <c r="N110" i="5" s="1"/>
  <c r="E10" i="5"/>
  <c r="M10" i="5" s="1"/>
  <c r="E99" i="5"/>
  <c r="M99" i="5" s="1"/>
  <c r="L58" i="5"/>
  <c r="I58" i="5"/>
  <c r="N58" i="5" s="1"/>
  <c r="E25" i="5"/>
  <c r="M25" i="5" s="1"/>
  <c r="E38" i="5"/>
  <c r="M38" i="5" s="1"/>
  <c r="E61" i="5"/>
  <c r="M61" i="5" s="1"/>
  <c r="E47" i="5"/>
  <c r="M47" i="5" s="1"/>
  <c r="E77" i="5"/>
  <c r="M77" i="5" s="1"/>
  <c r="E97" i="5"/>
  <c r="M97" i="5" s="1"/>
  <c r="E85" i="5"/>
  <c r="M85" i="5" s="1"/>
  <c r="E46" i="5"/>
  <c r="M46" i="5" s="1"/>
  <c r="E92" i="5"/>
  <c r="M92" i="5" s="1"/>
  <c r="L65" i="5"/>
  <c r="I65" i="5"/>
  <c r="N65" i="5" s="1"/>
  <c r="K158" i="4"/>
  <c r="T158" i="4" s="1"/>
  <c r="G158" i="4"/>
  <c r="L158" i="4" s="1"/>
  <c r="U158" i="4" s="1"/>
  <c r="E158" i="4"/>
  <c r="J158" i="4" s="1"/>
  <c r="S158" i="4" s="1"/>
  <c r="B158" i="4"/>
  <c r="L97" i="5"/>
  <c r="I97" i="5"/>
  <c r="N97" i="5" s="1"/>
  <c r="L36" i="5"/>
  <c r="I36" i="5"/>
  <c r="N36" i="5" s="1"/>
  <c r="L85" i="5"/>
  <c r="I85" i="5"/>
  <c r="N85" i="5" s="1"/>
  <c r="L104" i="5"/>
  <c r="I104" i="5"/>
  <c r="N104" i="5" s="1"/>
  <c r="L75" i="5"/>
  <c r="I75" i="5"/>
  <c r="N75" i="5" s="1"/>
  <c r="L72" i="5"/>
  <c r="I72" i="5"/>
  <c r="N72" i="5" s="1"/>
  <c r="L18" i="5"/>
  <c r="I18" i="5"/>
  <c r="N18" i="5" s="1"/>
  <c r="L30" i="5"/>
  <c r="I30" i="5"/>
  <c r="N30" i="5" s="1"/>
  <c r="L69" i="5"/>
  <c r="I69" i="5"/>
  <c r="N69" i="5" s="1"/>
  <c r="L67" i="5"/>
  <c r="I67" i="5"/>
  <c r="N67" i="5" s="1"/>
  <c r="L16" i="5"/>
  <c r="I16" i="5"/>
  <c r="N16" i="5" s="1"/>
  <c r="O161" i="4"/>
  <c r="O158" i="4"/>
  <c r="O155" i="4"/>
  <c r="O163" i="4"/>
  <c r="O157" i="4"/>
  <c r="O156" i="4"/>
  <c r="O162" i="4"/>
  <c r="O160" i="4"/>
  <c r="E41" i="7" l="1"/>
  <c r="E42" i="7"/>
  <c r="N4" i="5"/>
  <c r="G37" i="7"/>
  <c r="F38" i="7"/>
  <c r="F39" i="7"/>
  <c r="J10" i="5"/>
  <c r="N10" i="5"/>
  <c r="N5" i="5" s="1"/>
  <c r="F68" i="4" s="1"/>
  <c r="O2" i="5"/>
  <c r="F73" i="2" s="1"/>
  <c r="E46" i="7" l="1"/>
  <c r="E22" i="7"/>
  <c r="F70" i="4"/>
  <c r="H8" i="6" s="1"/>
  <c r="K10" i="5"/>
  <c r="J11" i="5"/>
  <c r="F41" i="7"/>
  <c r="F42" i="7"/>
  <c r="G38" i="7"/>
  <c r="G39" i="7"/>
  <c r="H37" i="7"/>
  <c r="F46" i="7" l="1"/>
  <c r="J12" i="5"/>
  <c r="K11" i="5"/>
  <c r="H38" i="7"/>
  <c r="H40" i="7" s="1"/>
  <c r="H39" i="7"/>
  <c r="I37" i="7"/>
  <c r="G41" i="7"/>
  <c r="G42" i="7"/>
  <c r="H10" i="6"/>
  <c r="E40" i="7"/>
  <c r="E47" i="7" s="1"/>
  <c r="F40" i="7"/>
  <c r="G40" i="7"/>
  <c r="F47" i="7" l="1"/>
  <c r="F49" i="7" s="1"/>
  <c r="G46" i="7"/>
  <c r="G47" i="7" s="1"/>
  <c r="E49" i="7"/>
  <c r="E50" i="7"/>
  <c r="I39" i="7"/>
  <c r="J37" i="7"/>
  <c r="I38" i="7"/>
  <c r="I40" i="7" s="1"/>
  <c r="H12" i="6"/>
  <c r="H13" i="6" s="1"/>
  <c r="H15" i="6" s="1"/>
  <c r="H11" i="6"/>
  <c r="H14" i="6" s="1"/>
  <c r="H41" i="7"/>
  <c r="H46" i="7" s="1"/>
  <c r="H47" i="7" s="1"/>
  <c r="H42" i="7"/>
  <c r="K12" i="5"/>
  <c r="J13" i="5"/>
  <c r="F50" i="7" l="1"/>
  <c r="F52" i="7" s="1"/>
  <c r="F53" i="7" s="1"/>
  <c r="F54" i="7" s="1"/>
  <c r="F56" i="7" s="1"/>
  <c r="H49" i="7"/>
  <c r="H50" i="7"/>
  <c r="G49" i="7"/>
  <c r="G50" i="7"/>
  <c r="H19" i="6"/>
  <c r="H18" i="6" s="1"/>
  <c r="H20" i="6" s="1"/>
  <c r="H22" i="6" s="1"/>
  <c r="H28" i="6" s="1"/>
  <c r="F71" i="4" s="1"/>
  <c r="F72" i="4" s="1"/>
  <c r="F86" i="2" s="1"/>
  <c r="J14" i="5"/>
  <c r="K13" i="5"/>
  <c r="I42" i="7"/>
  <c r="I41" i="7"/>
  <c r="J38" i="7"/>
  <c r="J40" i="7" s="1"/>
  <c r="J39" i="7"/>
  <c r="K37" i="7"/>
  <c r="E52" i="7"/>
  <c r="E53" i="7" s="1"/>
  <c r="E54" i="7" s="1"/>
  <c r="E56" i="7" s="1"/>
  <c r="E57" i="7" s="1"/>
  <c r="E60" i="7" s="1"/>
  <c r="I46" i="7" l="1"/>
  <c r="I47" i="7" s="1"/>
  <c r="I50" i="7" s="1"/>
  <c r="K38" i="7"/>
  <c r="K40" i="7" s="1"/>
  <c r="K39" i="7"/>
  <c r="L37" i="7"/>
  <c r="J15" i="5"/>
  <c r="K14" i="5"/>
  <c r="F57" i="7"/>
  <c r="F60" i="7" s="1"/>
  <c r="J41" i="7"/>
  <c r="J42" i="7"/>
  <c r="G52" i="7"/>
  <c r="G53" i="7" s="1"/>
  <c r="G54" i="7" s="1"/>
  <c r="G56" i="7" s="1"/>
  <c r="H52" i="7"/>
  <c r="H53" i="7" s="1"/>
  <c r="H54" i="7" s="1"/>
  <c r="H56" i="7" s="1"/>
  <c r="I49" i="7" l="1"/>
  <c r="I52" i="7" s="1"/>
  <c r="I53" i="7" s="1"/>
  <c r="I54" i="7" s="1"/>
  <c r="I56" i="7" s="1"/>
  <c r="I57" i="7" s="1"/>
  <c r="I60" i="7" s="1"/>
  <c r="J16" i="5"/>
  <c r="K15" i="5"/>
  <c r="L39" i="7"/>
  <c r="M37" i="7"/>
  <c r="L38" i="7"/>
  <c r="L40" i="7" s="1"/>
  <c r="K41" i="7"/>
  <c r="K42" i="7"/>
  <c r="H57" i="7"/>
  <c r="H60" i="7" s="1"/>
  <c r="G57" i="7"/>
  <c r="G60" i="7" s="1"/>
  <c r="G58" i="7"/>
  <c r="G61" i="7" s="1"/>
  <c r="F58" i="7"/>
  <c r="F61" i="7" s="1"/>
  <c r="J46" i="7"/>
  <c r="J47" i="7" s="1"/>
  <c r="H58" i="7" l="1"/>
  <c r="H61" i="7" s="1"/>
  <c r="N37" i="7"/>
  <c r="M38" i="7"/>
  <c r="M40" i="7" s="1"/>
  <c r="M39" i="7"/>
  <c r="K46" i="7"/>
  <c r="K47" i="7" s="1"/>
  <c r="L42" i="7"/>
  <c r="L41" i="7"/>
  <c r="L46" i="7" s="1"/>
  <c r="L47" i="7" s="1"/>
  <c r="J49" i="7"/>
  <c r="J50" i="7"/>
  <c r="J17" i="5"/>
  <c r="K16" i="5"/>
  <c r="L50" i="7" l="1"/>
  <c r="L49" i="7"/>
  <c r="K49" i="7"/>
  <c r="K50" i="7"/>
  <c r="N39" i="7"/>
  <c r="O37" i="7"/>
  <c r="N38" i="7"/>
  <c r="N40" i="7" s="1"/>
  <c r="J52" i="7"/>
  <c r="J53" i="7" s="1"/>
  <c r="J54" i="7" s="1"/>
  <c r="J56" i="7" s="1"/>
  <c r="M41" i="7"/>
  <c r="M42" i="7"/>
  <c r="J18" i="5"/>
  <c r="K17" i="5"/>
  <c r="L52" i="7" l="1"/>
  <c r="L53" i="7" s="1"/>
  <c r="L54" i="7" s="1"/>
  <c r="L56" i="7" s="1"/>
  <c r="K52" i="7"/>
  <c r="K53" i="7" s="1"/>
  <c r="K54" i="7" s="1"/>
  <c r="K56" i="7" s="1"/>
  <c r="J19" i="5"/>
  <c r="K18" i="5"/>
  <c r="M46" i="7"/>
  <c r="M47" i="7" s="1"/>
  <c r="N42" i="7"/>
  <c r="N41" i="7"/>
  <c r="J57" i="7"/>
  <c r="J60" i="7" s="1"/>
  <c r="I58" i="7"/>
  <c r="I61" i="7" s="1"/>
  <c r="O39" i="7"/>
  <c r="P37" i="7"/>
  <c r="O38" i="7"/>
  <c r="O40" i="7" s="1"/>
  <c r="K58" i="7" l="1"/>
  <c r="K61" i="7" s="1"/>
  <c r="L57" i="7"/>
  <c r="L60" i="7" s="1"/>
  <c r="K57" i="7"/>
  <c r="K60" i="7" s="1"/>
  <c r="J58" i="7"/>
  <c r="J61" i="7" s="1"/>
  <c r="N46" i="7"/>
  <c r="N47" i="7" s="1"/>
  <c r="N50" i="7" s="1"/>
  <c r="N49" i="7"/>
  <c r="P38" i="7"/>
  <c r="P40" i="7" s="1"/>
  <c r="P39" i="7"/>
  <c r="Q37" i="7"/>
  <c r="O42" i="7"/>
  <c r="O41" i="7"/>
  <c r="M49" i="7"/>
  <c r="M50" i="7"/>
  <c r="J20" i="5"/>
  <c r="K19" i="5"/>
  <c r="N52" i="7" l="1"/>
  <c r="N53" i="7" s="1"/>
  <c r="N54" i="7" s="1"/>
  <c r="N56" i="7" s="1"/>
  <c r="M52" i="7"/>
  <c r="M53" i="7" s="1"/>
  <c r="M54" i="7" s="1"/>
  <c r="M56" i="7" s="1"/>
  <c r="R37" i="7"/>
  <c r="Q38" i="7"/>
  <c r="Q40" i="7" s="1"/>
  <c r="Q39" i="7"/>
  <c r="P41" i="7"/>
  <c r="P42" i="7"/>
  <c r="O46" i="7"/>
  <c r="O47" i="7" s="1"/>
  <c r="J21" i="5"/>
  <c r="K20" i="5"/>
  <c r="M58" i="7" l="1"/>
  <c r="M61" i="7" s="1"/>
  <c r="L58" i="7"/>
  <c r="L61" i="7" s="1"/>
  <c r="M57" i="7"/>
  <c r="M60" i="7" s="1"/>
  <c r="N57" i="7"/>
  <c r="N60" i="7" s="1"/>
  <c r="P46" i="7"/>
  <c r="P47" i="7" s="1"/>
  <c r="O50" i="7"/>
  <c r="O49" i="7"/>
  <c r="Q41" i="7"/>
  <c r="Q42" i="7"/>
  <c r="K21" i="5"/>
  <c r="J22" i="5"/>
  <c r="S37" i="7"/>
  <c r="R38" i="7"/>
  <c r="R40" i="7" s="1"/>
  <c r="R39" i="7"/>
  <c r="Q46" i="7" l="1"/>
  <c r="Q47" i="7" s="1"/>
  <c r="Q49" i="7" s="1"/>
  <c r="K22" i="5"/>
  <c r="J23" i="5"/>
  <c r="S38" i="7"/>
  <c r="S40" i="7" s="1"/>
  <c r="S39" i="7"/>
  <c r="T37" i="7"/>
  <c r="R41" i="7"/>
  <c r="R42" i="7"/>
  <c r="O52" i="7"/>
  <c r="O53" i="7" s="1"/>
  <c r="O54" i="7" s="1"/>
  <c r="O56" i="7" s="1"/>
  <c r="P49" i="7"/>
  <c r="P50" i="7"/>
  <c r="Q50" i="7" l="1"/>
  <c r="R46" i="7"/>
  <c r="R47" i="7" s="1"/>
  <c r="R49" i="7" s="1"/>
  <c r="S41" i="7"/>
  <c r="S42" i="7"/>
  <c r="T38" i="7"/>
  <c r="T40" i="7" s="1"/>
  <c r="T39" i="7"/>
  <c r="U37" i="7"/>
  <c r="O57" i="7"/>
  <c r="O60" i="7" s="1"/>
  <c r="N58" i="7"/>
  <c r="N61" i="7" s="1"/>
  <c r="J24" i="5"/>
  <c r="K23" i="5"/>
  <c r="P52" i="7"/>
  <c r="P53" i="7" s="1"/>
  <c r="P54" i="7" s="1"/>
  <c r="P56" i="7" s="1"/>
  <c r="O58" i="7" s="1"/>
  <c r="O61" i="7" s="1"/>
  <c r="Q52" i="7"/>
  <c r="Q53" i="7" s="1"/>
  <c r="Q54" i="7" s="1"/>
  <c r="Q56" i="7" s="1"/>
  <c r="R50" i="7" l="1"/>
  <c r="U39" i="7"/>
  <c r="U38" i="7"/>
  <c r="U40" i="7" s="1"/>
  <c r="V37" i="7"/>
  <c r="T41" i="7"/>
  <c r="T42" i="7"/>
  <c r="S46" i="7"/>
  <c r="S47" i="7" s="1"/>
  <c r="Q57" i="7"/>
  <c r="Q60" i="7" s="1"/>
  <c r="P58" i="7"/>
  <c r="P61" i="7" s="1"/>
  <c r="P57" i="7"/>
  <c r="P60" i="7" s="1"/>
  <c r="J25" i="5"/>
  <c r="K24" i="5"/>
  <c r="R52" i="7"/>
  <c r="R53" i="7" s="1"/>
  <c r="R54" i="7" s="1"/>
  <c r="R56" i="7" s="1"/>
  <c r="Q58" i="7" s="1"/>
  <c r="Q61" i="7" s="1"/>
  <c r="S49" i="7" l="1"/>
  <c r="S50" i="7"/>
  <c r="T46" i="7"/>
  <c r="T47" i="7" s="1"/>
  <c r="V38" i="7"/>
  <c r="V40" i="7" s="1"/>
  <c r="V39" i="7"/>
  <c r="W37" i="7"/>
  <c r="R57" i="7"/>
  <c r="R60" i="7" s="1"/>
  <c r="U42" i="7"/>
  <c r="U41" i="7"/>
  <c r="U46" i="7" s="1"/>
  <c r="U47" i="7" s="1"/>
  <c r="J26" i="5"/>
  <c r="K25" i="5"/>
  <c r="U50" i="7" l="1"/>
  <c r="U49" i="7"/>
  <c r="U52" i="7" s="1"/>
  <c r="U53" i="7" s="1"/>
  <c r="U54" i="7" s="1"/>
  <c r="U56" i="7" s="1"/>
  <c r="J27" i="5"/>
  <c r="K26" i="5"/>
  <c r="W38" i="7"/>
  <c r="W40" i="7" s="1"/>
  <c r="W39" i="7"/>
  <c r="X37" i="7"/>
  <c r="V41" i="7"/>
  <c r="V42" i="7"/>
  <c r="T49" i="7"/>
  <c r="T50" i="7"/>
  <c r="S52" i="7"/>
  <c r="S53" i="7" s="1"/>
  <c r="S54" i="7" s="1"/>
  <c r="S56" i="7" s="1"/>
  <c r="T52" i="7" l="1"/>
  <c r="T53" i="7" s="1"/>
  <c r="T54" i="7" s="1"/>
  <c r="T56" i="7" s="1"/>
  <c r="T58" i="7" s="1"/>
  <c r="T61" i="7" s="1"/>
  <c r="W41" i="7"/>
  <c r="W42" i="7"/>
  <c r="X39" i="7"/>
  <c r="X38" i="7"/>
  <c r="X40" i="7" s="1"/>
  <c r="V46" i="7"/>
  <c r="V47" i="7" s="1"/>
  <c r="K27" i="5"/>
  <c r="J28" i="5"/>
  <c r="S57" i="7"/>
  <c r="S60" i="7" s="1"/>
  <c r="R58" i="7"/>
  <c r="R61" i="7" s="1"/>
  <c r="U57" i="7" l="1"/>
  <c r="U60" i="7" s="1"/>
  <c r="S58" i="7"/>
  <c r="S61" i="7" s="1"/>
  <c r="T57" i="7"/>
  <c r="T60" i="7" s="1"/>
  <c r="W46" i="7"/>
  <c r="W47" i="7" s="1"/>
  <c r="W49" i="7" s="1"/>
  <c r="V49" i="7"/>
  <c r="V50" i="7"/>
  <c r="X42" i="7"/>
  <c r="X41" i="7"/>
  <c r="J29" i="5"/>
  <c r="K28" i="5"/>
  <c r="W50" i="7" l="1"/>
  <c r="W52" i="7" s="1"/>
  <c r="W53" i="7" s="1"/>
  <c r="W54" i="7" s="1"/>
  <c r="W56" i="7" s="1"/>
  <c r="X46" i="7"/>
  <c r="X47" i="7" s="1"/>
  <c r="X49" i="7" s="1"/>
  <c r="V52" i="7"/>
  <c r="V53" i="7" s="1"/>
  <c r="V54" i="7" s="1"/>
  <c r="V56" i="7" s="1"/>
  <c r="V57" i="7" s="1"/>
  <c r="V60" i="7" s="1"/>
  <c r="J30" i="5"/>
  <c r="K29" i="5"/>
  <c r="V58" i="7" l="1"/>
  <c r="V61" i="7" s="1"/>
  <c r="X50" i="7"/>
  <c r="U58" i="7"/>
  <c r="U61" i="7" s="1"/>
  <c r="X52" i="7"/>
  <c r="X53" i="7" s="1"/>
  <c r="X54" i="7" s="1"/>
  <c r="X56" i="7" s="1"/>
  <c r="X58" i="7" s="1"/>
  <c r="X61" i="7" s="1"/>
  <c r="J31" i="5"/>
  <c r="K30" i="5"/>
  <c r="W57" i="7"/>
  <c r="W60" i="7" s="1"/>
  <c r="W58" i="7" l="1"/>
  <c r="W61" i="7" s="1"/>
  <c r="K30" i="7" s="1"/>
  <c r="L30" i="7" s="1"/>
  <c r="F81" i="2" s="1"/>
  <c r="X57" i="7"/>
  <c r="X60" i="7" s="1"/>
  <c r="K29" i="7" s="1"/>
  <c r="L29" i="7" s="1"/>
  <c r="F80" i="2" s="1"/>
  <c r="J32" i="5"/>
  <c r="K31" i="5"/>
  <c r="K32" i="5" l="1"/>
  <c r="J33" i="5"/>
  <c r="K33" i="5" l="1"/>
  <c r="J34" i="5"/>
  <c r="K34" i="5" l="1"/>
  <c r="J35" i="5"/>
  <c r="K35" i="5" l="1"/>
  <c r="J36" i="5"/>
  <c r="J37" i="5" l="1"/>
  <c r="K36" i="5"/>
  <c r="K37" i="5" l="1"/>
  <c r="J38" i="5"/>
  <c r="K38" i="5" l="1"/>
  <c r="J39" i="5"/>
  <c r="J40" i="5" l="1"/>
  <c r="K39" i="5"/>
  <c r="K40" i="5" l="1"/>
  <c r="J41" i="5"/>
  <c r="J42" i="5" l="1"/>
  <c r="K41" i="5"/>
  <c r="J43" i="5" l="1"/>
  <c r="K42" i="5"/>
  <c r="J44" i="5" l="1"/>
  <c r="K43" i="5"/>
  <c r="K44" i="5" l="1"/>
  <c r="J45" i="5"/>
  <c r="J46" i="5" l="1"/>
  <c r="K45" i="5"/>
  <c r="K46" i="5" l="1"/>
  <c r="J47" i="5"/>
  <c r="K47" i="5" l="1"/>
  <c r="J48" i="5"/>
  <c r="J49" i="5" l="1"/>
  <c r="K48" i="5"/>
  <c r="K49" i="5" l="1"/>
  <c r="J50" i="5"/>
  <c r="J51" i="5" l="1"/>
  <c r="K50" i="5"/>
  <c r="J52" i="5" l="1"/>
  <c r="K51" i="5"/>
  <c r="J53" i="5" l="1"/>
  <c r="K52" i="5"/>
  <c r="J54" i="5" l="1"/>
  <c r="K53" i="5"/>
  <c r="K54" i="5" l="1"/>
  <c r="J55" i="5"/>
  <c r="J56" i="5" l="1"/>
  <c r="K55" i="5"/>
  <c r="K56" i="5" l="1"/>
  <c r="J57" i="5"/>
  <c r="J58" i="5" l="1"/>
  <c r="K57" i="5"/>
  <c r="K58" i="5" l="1"/>
  <c r="J59" i="5"/>
  <c r="K59" i="5" l="1"/>
  <c r="J60" i="5"/>
  <c r="J61" i="5" l="1"/>
  <c r="K60" i="5"/>
  <c r="K61" i="5" l="1"/>
  <c r="J62" i="5"/>
  <c r="J63" i="5" l="1"/>
  <c r="K62" i="5"/>
  <c r="J64" i="5" l="1"/>
  <c r="K63" i="5"/>
  <c r="J65" i="5" l="1"/>
  <c r="K64" i="5"/>
  <c r="J66" i="5" l="1"/>
  <c r="K65" i="5"/>
  <c r="K66" i="5" l="1"/>
  <c r="J67" i="5"/>
  <c r="J68" i="5" l="1"/>
  <c r="K67" i="5"/>
  <c r="K68" i="5" l="1"/>
  <c r="J69" i="5"/>
  <c r="J70" i="5" l="1"/>
  <c r="K69" i="5"/>
  <c r="K70" i="5" l="1"/>
  <c r="J71" i="5"/>
  <c r="K71" i="5" l="1"/>
  <c r="J72" i="5"/>
  <c r="J73" i="5" l="1"/>
  <c r="K72" i="5"/>
  <c r="K73" i="5" l="1"/>
  <c r="J74" i="5"/>
  <c r="K74" i="5" l="1"/>
  <c r="J75" i="5"/>
  <c r="J76" i="5" l="1"/>
  <c r="K75" i="5"/>
  <c r="J77" i="5" l="1"/>
  <c r="K76" i="5"/>
  <c r="J78" i="5" l="1"/>
  <c r="K77" i="5"/>
  <c r="J79" i="5" l="1"/>
  <c r="K78" i="5"/>
  <c r="J80" i="5" l="1"/>
  <c r="K79" i="5"/>
  <c r="J81" i="5" l="1"/>
  <c r="K80" i="5"/>
  <c r="K81" i="5" l="1"/>
  <c r="J82" i="5"/>
  <c r="J83" i="5" l="1"/>
  <c r="K82" i="5"/>
  <c r="K83" i="5" l="1"/>
  <c r="J84" i="5"/>
  <c r="K84" i="5" l="1"/>
  <c r="J85" i="5"/>
  <c r="J86" i="5" l="1"/>
  <c r="K85" i="5"/>
  <c r="J87" i="5" l="1"/>
  <c r="K86" i="5"/>
  <c r="J88" i="5" l="1"/>
  <c r="K87" i="5"/>
  <c r="J89" i="5" l="1"/>
  <c r="K88" i="5"/>
  <c r="J90" i="5" l="1"/>
  <c r="K89" i="5"/>
  <c r="K90" i="5" l="1"/>
  <c r="J91" i="5"/>
  <c r="K91" i="5" l="1"/>
  <c r="J92" i="5"/>
  <c r="K92" i="5" l="1"/>
  <c r="J93" i="5"/>
  <c r="K93" i="5" l="1"/>
  <c r="J94" i="5"/>
  <c r="J95" i="5" l="1"/>
  <c r="K94" i="5"/>
  <c r="J96" i="5" l="1"/>
  <c r="K95" i="5"/>
  <c r="K96" i="5" l="1"/>
  <c r="J97" i="5"/>
  <c r="J98" i="5" l="1"/>
  <c r="K97" i="5"/>
  <c r="K98" i="5" l="1"/>
  <c r="J99" i="5"/>
  <c r="J100" i="5" l="1"/>
  <c r="K99" i="5"/>
  <c r="J101" i="5" l="1"/>
  <c r="K100" i="5"/>
  <c r="K101" i="5" l="1"/>
  <c r="J102" i="5"/>
  <c r="K102" i="5" l="1"/>
  <c r="J103" i="5"/>
  <c r="K103" i="5" l="1"/>
  <c r="J104" i="5"/>
  <c r="K104" i="5" l="1"/>
  <c r="J105" i="5"/>
  <c r="K105" i="5" l="1"/>
  <c r="J106" i="5"/>
  <c r="J107" i="5" l="1"/>
  <c r="K106" i="5"/>
  <c r="J108" i="5" l="1"/>
  <c r="K107" i="5"/>
  <c r="K108" i="5" l="1"/>
  <c r="J109" i="5"/>
  <c r="J110" i="5" l="1"/>
  <c r="K109" i="5"/>
  <c r="K110" i="5" l="1"/>
  <c r="J111" i="5"/>
  <c r="J112" i="5" l="1"/>
  <c r="K111" i="5"/>
  <c r="J113" i="5" l="1"/>
  <c r="K112" i="5"/>
  <c r="J114" i="5" l="1"/>
  <c r="K113" i="5"/>
  <c r="K114" i="5" l="1"/>
  <c r="K115" i="5" s="1"/>
  <c r="M2" i="5"/>
  <c r="F53" i="4" l="1"/>
  <c r="F55" i="4" s="1"/>
  <c r="F72" i="2"/>
  <c r="F56" i="4" l="1"/>
  <c r="F75" i="2" s="1"/>
  <c r="F7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7" authorId="0" shapeId="0" xr:uid="{00000000-0006-0000-0100-000001000000}">
      <text>
        <r>
          <rPr>
            <b/>
            <sz val="8"/>
            <color rgb="FF000000"/>
            <rFont val="Tahoma"/>
            <family val="2"/>
            <charset val="1"/>
          </rPr>
          <t>The minimum system voltage must be no less than 10V</t>
        </r>
      </text>
    </comment>
    <comment ref="F29" authorId="0" shapeId="0" xr:uid="{00000000-0006-0000-0100-000002000000}">
      <text>
        <r>
          <rPr>
            <b/>
            <sz val="8"/>
            <color rgb="FF000000"/>
            <rFont val="Tahoma"/>
            <family val="2"/>
            <charset val="1"/>
          </rPr>
          <t>The maximum system voltage must be no greater than 80V.</t>
        </r>
      </text>
    </comment>
    <comment ref="F31" authorId="0" shapeId="0" xr:uid="{00000000-0006-0000-0100-000003000000}">
      <text>
        <r>
          <rPr>
            <sz val="10"/>
            <rFont val="Arial"/>
            <charset val="1"/>
          </rPr>
          <t xml:space="preserve">This is the capacitance at Vout. This should not be zero. A minimum of 10 </t>
        </r>
        <r>
          <rPr>
            <b/>
            <sz val="8"/>
            <color rgb="FF000000"/>
            <rFont val="Arial"/>
            <family val="2"/>
            <charset val="1"/>
          </rPr>
          <t>μ</t>
        </r>
        <r>
          <rPr>
            <b/>
            <sz val="8"/>
            <color rgb="FF000000"/>
            <rFont val="Tahoma"/>
            <family val="2"/>
            <charset val="1"/>
          </rPr>
          <t>F is recommended.</t>
        </r>
      </text>
    </comment>
    <comment ref="F39" authorId="0" shapeId="0" xr:uid="{00000000-0006-0000-0100-000004000000}">
      <text>
        <r>
          <rPr>
            <sz val="10"/>
            <rFont val="Arial"/>
            <charset val="1"/>
          </rPr>
          <t xml:space="preserve">Using an External Resistor allows the user to fine tune the current limit for a given standard resistor. 
It will add error to the power limit, current limit, and telemetry (1% resistors) and should be avoided if possible. 
</t>
        </r>
      </text>
    </comment>
    <comment ref="F40" authorId="0" shapeId="0" xr:uid="{00000000-0006-0000-0100-000005000000}">
      <text>
        <r>
          <rPr>
            <b/>
            <sz val="8"/>
            <color rgb="FF000000"/>
            <rFont val="Tahoma"/>
            <family val="2"/>
            <charset val="1"/>
          </rPr>
          <t xml:space="preserve">When using an external resistor divider, Rs must be larger than the targeted Rs,eff.  Pick the next larger available Rs.  
When not using an external resistor divider, pick the next smallest available sense resistor. </t>
        </r>
      </text>
    </comment>
    <comment ref="F41" authorId="0" shapeId="0" xr:uid="{00000000-0006-0000-0100-000006000000}">
      <text>
        <r>
          <rPr>
            <sz val="10"/>
            <rFont val="Arial"/>
            <charset val="1"/>
          </rPr>
          <t xml:space="preserve">Cell turns Red if 
When using an external resistor divider, Rs must be larger than the targeted Rs,eff.  Pick the next larger available Rs.  
</t>
        </r>
        <r>
          <rPr>
            <sz val="9"/>
            <color rgb="FF000000"/>
            <rFont val="Tahoma"/>
            <family val="2"/>
            <charset val="1"/>
          </rPr>
          <t xml:space="preserve">
</t>
        </r>
      </text>
    </comment>
    <comment ref="F46" authorId="0" shapeId="0" xr:uid="{00000000-0006-0000-0100-000007000000}">
      <text>
        <r>
          <rPr>
            <b/>
            <sz val="9"/>
            <color rgb="FF000000"/>
            <rFont val="Tahoma"/>
            <family val="2"/>
            <charset val="1"/>
          </rPr>
          <t xml:space="preserve">Ensure that the minimum current limit is above maximum load. </t>
        </r>
      </text>
    </comment>
    <comment ref="F47" authorId="0" shapeId="0" xr:uid="{00000000-0006-0000-0100-000008000000}">
      <text>
        <r>
          <rPr>
            <sz val="10"/>
            <rFont val="Arial"/>
            <charset val="1"/>
          </rPr>
          <t xml:space="preserve">Ensure that the minimum current limit is above maximum load. 
</t>
        </r>
      </text>
    </comment>
    <comment ref="F48" authorId="0" shapeId="0" xr:uid="{00000000-0006-0000-0100-000009000000}">
      <text>
        <r>
          <rPr>
            <sz val="10"/>
            <rFont val="Arial"/>
            <charset val="1"/>
          </rPr>
          <t xml:space="preserve">Ensure that the minimum current limit is above maximum load. 
</t>
        </r>
      </text>
    </comment>
    <comment ref="F49" authorId="0" shapeId="0" xr:uid="{00000000-0006-0000-0100-00000A000000}">
      <text>
        <r>
          <rPr>
            <b/>
            <sz val="8"/>
            <color rgb="FF000000"/>
            <rFont val="Tahoma"/>
            <family val="2"/>
            <charset val="1"/>
          </rPr>
          <t>The power dissipation is calculated using the maximum normal load current.
Ensure the selected resistor is rated for this power dissipation.</t>
        </r>
      </text>
    </comment>
    <comment ref="F51" authorId="0" shapeId="0" xr:uid="{00000000-0006-0000-0100-00000B000000}">
      <text>
        <r>
          <rPr>
            <b/>
            <sz val="9"/>
            <color rgb="FF000000"/>
            <rFont val="Tahoma"/>
            <family val="2"/>
            <charset val="1"/>
          </rPr>
          <t xml:space="preserve">Note that this parameter is heavily dependent on the board layout and amount of copper connected to the Drain of the FET. 
The TI EVM is ~30C / W number and is a good starting point. It's recommended to measure this value again once the boards are built and plugging this back into the calculator. 
</t>
        </r>
      </text>
    </comment>
    <comment ref="F53" authorId="0" shapeId="0" xr:uid="{00000000-0006-0000-0100-00000C000000}">
      <text>
        <r>
          <rPr>
            <sz val="10"/>
            <rFont val="Arial"/>
            <charset val="1"/>
          </rPr>
          <t xml:space="preserve">This number may need to be adjusted iteratively based on the result of cell C44.
</t>
        </r>
      </text>
    </comment>
    <comment ref="F61" authorId="0" shapeId="0" xr:uid="{00000000-0006-0000-0100-00000D000000}">
      <text>
        <r>
          <rPr>
            <sz val="9"/>
            <color rgb="FF000000"/>
            <rFont val="Tahoma"/>
            <family val="2"/>
            <charset val="1"/>
          </rPr>
          <t xml:space="preserve">If FET temperature is too high, increase the # of FETs, reduce the load, or reduce the RθJA by adding more heat sinking to MOSFETs. 
</t>
        </r>
      </text>
    </comment>
    <comment ref="F63" authorId="0" shapeId="0" xr:uid="{00000000-0006-0000-0100-00000E000000}">
      <text>
        <r>
          <rPr>
            <sz val="10"/>
            <rFont val="Arial"/>
            <charset val="1"/>
          </rPr>
          <t xml:space="preserve">Usually this can be set to PLIM,MIN.  If a load is present during start-up a higher Plim, may be preferred. 
</t>
        </r>
      </text>
    </comment>
    <comment ref="I66" authorId="0" shapeId="0" xr:uid="{00000000-0006-0000-0100-00001E000000}">
      <text>
        <r>
          <rPr>
            <sz val="9"/>
            <color rgb="FF000000"/>
            <rFont val="Tahoma"/>
            <family val="2"/>
            <charset val="1"/>
          </rPr>
          <t>3 Parameters:
Step 1: Max Ambient Operating Temperature 
Step 3: Estimated MOSFET RQJA
Step 3: FET Power Dissipation at full load 
**This includes air flow</t>
        </r>
      </text>
    </comment>
    <comment ref="F67" authorId="0" shapeId="0" xr:uid="{00000000-0006-0000-0100-00000F000000}">
      <text>
        <r>
          <rPr>
            <sz val="9"/>
            <color rgb="FF000000"/>
            <rFont val="Tahoma"/>
            <family val="2"/>
            <charset val="1"/>
          </rPr>
          <t xml:space="preserve">Cell turns Red if the actual power limit is below Minimum Power Limit (cell F46)
</t>
        </r>
      </text>
    </comment>
    <comment ref="F69" authorId="0" shapeId="0" xr:uid="{00000000-0006-0000-0100-000010000000}">
      <text>
        <r>
          <rPr>
            <b/>
            <sz val="8"/>
            <color rgb="FF000000"/>
            <rFont val="Tahoma"/>
            <family val="2"/>
            <charset val="1"/>
          </rPr>
          <t>Select if the load will draw current during start-up. 
For no Load, choose constant current and set to zero</t>
        </r>
      </text>
    </comment>
    <comment ref="F71" authorId="0" shapeId="0" xr:uid="{00000000-0006-0000-0100-000011000000}">
      <text>
        <r>
          <rPr>
            <b/>
            <sz val="8"/>
            <color rgb="FF000000"/>
            <rFont val="Tahoma"/>
            <family val="2"/>
            <charset val="1"/>
          </rPr>
          <t>Yes or No.  Default is No.  However, DV/DT control can be useful in high current applications or applications were COUT is large.
If SOA margin is poor with a PLIM start-up, switching to a soft start can alleviate this problem.</t>
        </r>
      </text>
    </comment>
    <comment ref="F73" authorId="0" shapeId="0" xr:uid="{00000000-0006-0000-0100-000012000000}">
      <text>
        <r>
          <rPr>
            <sz val="10"/>
            <rFont val="Arial"/>
            <charset val="1"/>
          </rPr>
          <t xml:space="preserve">If IFET - ILOAD margin is too low, there may be start-up issues due to variation in power limit or load profile.  A margin &gt; 25% is recommended. 
If margin is &lt; 25%, the power limit should be increased or the load should be kept completely OFF during start-up. 
</t>
        </r>
      </text>
    </comment>
    <comment ref="F74" authorId="0" shapeId="0" xr:uid="{00000000-0006-0000-0100-000013000000}">
      <text>
        <r>
          <rPr>
            <b/>
            <sz val="8"/>
            <color rgb="FF000000"/>
            <rFont val="Tahoma"/>
            <family val="2"/>
            <charset val="1"/>
          </rPr>
          <t xml:space="preserve">TO ensure start-up the faul time out must be longer than the start-up time. It is recommended to choose a fault timer that is larger than the typical start-time to account for variations in Plim, timer current, and timer capacitance. </t>
        </r>
      </text>
    </comment>
    <comment ref="F76" authorId="0" shapeId="0" xr:uid="{00000000-0006-0000-0100-000014000000}">
      <text>
        <r>
          <rPr>
            <sz val="10"/>
            <rFont val="Arial"/>
            <charset val="1"/>
          </rPr>
          <t xml:space="preserve">Pick closest capacitor that is larger than the Target capacitance
</t>
        </r>
      </text>
    </comment>
    <comment ref="F78" authorId="0" shapeId="0" xr:uid="{00000000-0006-0000-0100-000015000000}">
      <text>
        <r>
          <rPr>
            <sz val="9"/>
            <color rgb="FF000000"/>
            <rFont val="Tahoma"/>
            <family val="2"/>
            <charset val="1"/>
          </rPr>
          <t>A ratio over 1.1 is required and over 1.3 is preferred.  This will account for variation in Power limit and timer
If the margin is poor with a PLIM based start-up,  reduce timer, reduce power limit, use more FETs in parallel or switch to soft start (cell F55)</t>
        </r>
      </text>
    </comment>
    <comment ref="F79" authorId="0" shapeId="0" xr:uid="{00000000-0006-0000-0100-000016000000}">
      <text>
        <r>
          <rPr>
            <b/>
            <sz val="8"/>
            <color rgb="FF000000"/>
            <rFont val="Tahoma"/>
            <family val="2"/>
            <charset val="1"/>
          </rPr>
          <t xml:space="preserve">This is used to determine the maximum FET case temperature before start-up. 
A "yes" here means that a user may run a board at full current, then unplug the board and plug it back in. In that the FET is hot before hot-plug. 
If this is a "no".  FET temperature just equals the ambient temperature. </t>
        </r>
      </text>
    </comment>
    <comment ref="F80" authorId="0" shapeId="0" xr:uid="{00000000-0006-0000-0100-000017000000}">
      <text>
        <r>
          <rPr>
            <b/>
            <sz val="9"/>
            <color rgb="FF000000"/>
            <rFont val="Tahoma"/>
            <family val="2"/>
            <charset val="1"/>
          </rPr>
          <t xml:space="preserve">If these cells are red, there is no suitable slew rate for keeping FET whithin SOA. 
Reduce load at start-up or pick FET with better SOA. </t>
        </r>
      </text>
    </comment>
    <comment ref="F81" authorId="0" shapeId="0" xr:uid="{00000000-0006-0000-0100-000018000000}">
      <text>
        <r>
          <rPr>
            <sz val="10"/>
            <rFont val="Arial"/>
            <charset val="1"/>
          </rPr>
          <t xml:space="preserve">If these cells are red, there is no suitable slew rate for keeping FET whithin SOA. 
Reduce load at start-up or pick FET with better SOA. 
</t>
        </r>
      </text>
    </comment>
    <comment ref="F82" authorId="0" shapeId="0" xr:uid="{00000000-0006-0000-0100-000019000000}">
      <text>
        <r>
          <rPr>
            <sz val="10"/>
            <rFont val="Arial"/>
            <charset val="1"/>
          </rPr>
          <t xml:space="preserve">Ensure that this is lower than max ss slew rate in the cell above
</t>
        </r>
      </text>
    </comment>
    <comment ref="F85" authorId="0" shapeId="0" xr:uid="{00000000-0006-0000-0100-00001A000000}">
      <text>
        <r>
          <rPr>
            <b/>
            <sz val="9"/>
            <color rgb="FF000000"/>
            <rFont val="Tahoma"/>
            <family val="2"/>
            <charset val="1"/>
          </rPr>
          <t>Ensure that this is lower than max ss slew rate.</t>
        </r>
      </text>
    </comment>
    <comment ref="F86" authorId="0" shapeId="0" xr:uid="{00000000-0006-0000-0100-00001B000000}">
      <text>
        <r>
          <rPr>
            <sz val="9"/>
            <color rgb="FF000000"/>
            <rFont val="Tahoma"/>
            <family val="2"/>
            <charset val="1"/>
          </rPr>
          <t>A margin of &gt;1.1 is required and a margin of &gt;1.3 is recommended to accout for the variation in the gate current. 
Reduce dv/dt rate to reduce inrush current and increase SOA margin</t>
        </r>
      </text>
    </comment>
    <comment ref="F91" authorId="0" shapeId="0" xr:uid="{00000000-0006-0000-0100-00001C000000}">
      <text>
        <r>
          <rPr>
            <sz val="10"/>
            <rFont val="Arial"/>
            <charset val="1"/>
          </rPr>
          <t xml:space="preserve">A margin of &gt;1.1 is required and a margin of &gt;1.3 is recommended to accout for the variation in the power limit and timer. 
Reduce Tfault to improve SOA margin. 
</t>
        </r>
      </text>
    </comment>
    <comment ref="F92" authorId="0" shapeId="0" xr:uid="{00000000-0006-0000-0100-00001D000000}">
      <text>
        <r>
          <rPr>
            <b/>
            <sz val="8"/>
            <color rgb="FF000000"/>
            <rFont val="Tahoma"/>
            <family val="2"/>
            <charset val="1"/>
          </rPr>
          <t>This threshold must be between 2.9V and 17V.</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39" authorId="0" shapeId="0" xr:uid="{00000000-0006-0000-0500-000001000000}">
      <text>
        <r>
          <rPr>
            <sz val="10"/>
            <rFont val="Arial"/>
            <charset val="1"/>
          </rPr>
          <t xml:space="preserve">Enter data from the MOSFET's SOA chart typically found in its datasheet.
</t>
        </r>
        <r>
          <rPr>
            <b/>
            <sz val="8"/>
            <color rgb="FFFF0000"/>
            <rFont val="Tahoma"/>
            <family val="2"/>
            <charset val="1"/>
          </rPr>
          <t>Consult the MOSFET vendor for SOA performance detail and appropriate derating criteria.</t>
        </r>
      </text>
    </comment>
    <comment ref="C40" authorId="0" shapeId="0" xr:uid="{00000000-0006-0000-0500-000002000000}">
      <text>
        <r>
          <rPr>
            <sz val="10"/>
            <rFont val="Arial"/>
            <charset val="1"/>
          </rPr>
          <t xml:space="preserve">Enter data from the MOSFET's SOA chart typically found in its datasheet.
</t>
        </r>
        <r>
          <rPr>
            <b/>
            <sz val="8"/>
            <color rgb="FFFF0000"/>
            <rFont val="Tahoma"/>
            <family val="2"/>
            <charset val="1"/>
          </rPr>
          <t>Consult the MOSFET vendor for SOA performance detail and appropriate derating criteria.</t>
        </r>
      </text>
    </comment>
    <comment ref="C41" authorId="0" shapeId="0" xr:uid="{00000000-0006-0000-0500-000003000000}">
      <text>
        <r>
          <rPr>
            <sz val="10"/>
            <rFont val="Arial"/>
            <charset val="1"/>
          </rPr>
          <t xml:space="preserve">Enter data from the MOSFET's SOA chart typically found in its datasheet.
</t>
        </r>
        <r>
          <rPr>
            <b/>
            <sz val="8"/>
            <color rgb="FFFF0000"/>
            <rFont val="Tahoma"/>
            <family val="2"/>
            <charset val="1"/>
          </rPr>
          <t>Consult the MOSFET vendor for SOA performance detail and appropriate derating criteria.</t>
        </r>
      </text>
    </comment>
  </commentList>
</comments>
</file>

<file path=xl/sharedStrings.xml><?xml version="1.0" encoding="utf-8"?>
<sst xmlns="http://schemas.openxmlformats.org/spreadsheetml/2006/main" count="600" uniqueCount="402">
  <si>
    <t>© 2016</t>
  </si>
  <si>
    <t>TPS249x/8x Design Tool- Rev. B</t>
  </si>
  <si>
    <t>Typical design procedure</t>
  </si>
  <si>
    <t>Typical applications require multiple passes through the design tool using MOSFET factors such as transient</t>
  </si>
  <si>
    <t>thermal response and safe operating area curves. Refer to the following application reports for more detail.</t>
  </si>
  <si>
    <t>Robust Hot Swap Design</t>
  </si>
  <si>
    <t>The basic design process follows:</t>
  </si>
  <si>
    <t>1. Enter operating conditions.</t>
  </si>
  <si>
    <t>2. Select current limit parameters.</t>
  </si>
  <si>
    <t>3. Enter MOSTFET SOA characteristics &amp; power limit.</t>
  </si>
  <si>
    <t>4. Select start up conditions (load and/or soft start). Check whether FET is operating with reasonable margin, within the SOA curve.</t>
  </si>
  <si>
    <t xml:space="preserve">    If not, try changing start-up conditions (soft start values, timer values), add more FETs in parallel, or switch to FET with better SOA.</t>
  </si>
  <si>
    <t>5. Enter desired UVLO and OVLO values to get recommended resistor values.</t>
  </si>
  <si>
    <t>6. Done</t>
  </si>
  <si>
    <t>Notes</t>
  </si>
  <si>
    <t>1. This worksheet is designed for use with Microsoft Excel 5.0 or later.  Its use is intended to assist power supply designers in their</t>
  </si>
  <si>
    <t xml:space="preserve">routine, day-to-day calculations.  </t>
  </si>
  <si>
    <t>2. All worksheets have light green inputs cells, white calculated cells, yellow warning cells and red high-risk cells.</t>
  </si>
  <si>
    <t>3. Formulas and device constants used in the spreadsheet are locked to prohibit them from accidentally being overwritten or deleted.</t>
  </si>
  <si>
    <t xml:space="preserve">TEXAS INSTRUMENTS TEXT FILE LICENSE
Copyright (c) 2014 Texas Instruments Incorporated
All rights reserved not granted herein.
Limited License.  
Texas Instruments Incorporated grants a world-wide, royalty-free, non-exclusive license under copyrights and patents it now or hereafter owns or controls to make, have made, use, import, offer to sell and sell ("Utilize") this software subject to the terms herein.  With respect to the foregoing patent license, such license is granted  solely to the extent that any such patent is necessary to Utilize the software alone.  The patent license shall not apply to any combinations which include this software, other than combinations with devices manufactured by or for TI (“TI Devices”).  No hardware patent is licensed hereunder.
Redistributions must preserve existing copyright notices and reproduce this license (including the above copyright notice and the disclaimer and (if applicable) source code license limitations below) in the documentation and/or other materials provided with the distribution
Redistribution and use in binary form, without modification, are permitted provided that the following conditions are met:
* No reverse engineering, decompilation, or disassembly of this software is permitted with respect to any software provided in binary form.
* any redistribution and use are licensed by TI for use only with TI Devices.
* Nothing shall obligate TI to provide you with source code for the software licensed and provided to you in object code.
If software source code is provided to you, modification and redistribution of the source code are permitted provided that the following conditions are met:
* any redistribution and use of the source code, including any resulting derivative works, are licensed by TI for use only with TI Devices.
* any redistribution and use of any object code compiled from the source code and any resulting derivative works, are licensed by TI for use only with TI Devices.
Neither the name of Texas Instruments Incorporated nor the names of its suppliers may be used to endorse or promote products derived from this software without specific prior written permission.
DISCLAIMER.
THIS SOFTWARE IS PROVIDED BY TI AND TI’S LICENSORS "AS IS" AND ANY EXPRESS OR IMPLIED WARRANTIES, INCLUDING, BUT NOT LIMITED TO, THE IMPLIED WARRANTIES OF MERCHANTABILITY AND FITNESS FOR A PARTICULAR PURPOSE ARE DISCLAIMED. IN NO EVENT SHALL TI AND TI’S LICENSORS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t>
  </si>
  <si>
    <r>
      <rPr>
        <sz val="24"/>
        <color rgb="FFFFFFFF"/>
        <rFont val="Arial"/>
        <family val="2"/>
        <charset val="1"/>
      </rPr>
      <t xml:space="preserve">                       </t>
    </r>
    <r>
      <rPr>
        <sz val="22"/>
        <color rgb="FFFFFFFF"/>
        <rFont val="Arial"/>
        <family val="2"/>
        <charset val="1"/>
      </rPr>
      <t>TPS2490/1/2/3 &amp; TPS2480/1/2/3 Hot Swap Design Tool</t>
    </r>
  </si>
  <si>
    <t>www.ti.com/hotswap</t>
  </si>
  <si>
    <t>Yes</t>
  </si>
  <si>
    <t>Enter Values in Green Shaded Cells</t>
  </si>
  <si>
    <t>No</t>
  </si>
  <si>
    <t>Calculated Values are shown in White Cells</t>
  </si>
  <si>
    <t xml:space="preserve">Yellow and Red cells highlight pottential issues with the design. Red highlights items that are higher risk. </t>
  </si>
  <si>
    <t>Step 0: Calculator Tutorials</t>
  </si>
  <si>
    <r>
      <rPr>
        <b/>
        <u/>
        <sz val="12"/>
        <color rgb="FFFF0000"/>
        <rFont val="Arial"/>
        <family val="2"/>
        <charset val="1"/>
      </rPr>
      <t>Note</t>
    </r>
    <r>
      <rPr>
        <sz val="12"/>
        <color rgb="FFFF0000"/>
        <rFont val="Arial"/>
        <family val="2"/>
        <charset val="1"/>
      </rPr>
      <t>: Before proceeding, please watch the video tutorials listed to ensure accurate results from this tool!</t>
    </r>
  </si>
  <si>
    <t>Steps 1 &amp; 2: Operating Conditions, Current Limit, &amp; Circuit Breaker (7:41)</t>
  </si>
  <si>
    <t>Step 3: MOSFET Selection (9:58)</t>
  </si>
  <si>
    <t>Step 4: Startup (10:32)</t>
  </si>
  <si>
    <t>Step 5: UVLO, OVLO &amp; PGD Thresholds (4:20)</t>
  </si>
  <si>
    <t>TPS2490 Datasheet</t>
  </si>
  <si>
    <r>
      <rPr>
        <b/>
        <sz val="11"/>
        <rFont val="Arial"/>
        <family val="2"/>
        <charset val="1"/>
      </rPr>
      <t>I understand and agree to watch the video tutorials if help is needed.</t>
    </r>
    <r>
      <rPr>
        <sz val="11"/>
        <rFont val="Arial"/>
        <family val="2"/>
        <charset val="1"/>
      </rPr>
      <t xml:space="preserve"> </t>
    </r>
    <r>
      <rPr>
        <sz val="10"/>
        <rFont val="Arial"/>
        <family val="2"/>
        <charset val="1"/>
      </rPr>
      <t>(Choose Yes to enable the calculator.)</t>
    </r>
  </si>
  <si>
    <t xml:space="preserve">Assure to follow the layout and application guidelines listed on the datasheet. </t>
  </si>
  <si>
    <t>*For additional questions not addressed in the videos, please post on E2E.ti.com</t>
  </si>
  <si>
    <t>Step 1: Operating Conditions</t>
  </si>
  <si>
    <r>
      <rPr>
        <sz val="10"/>
        <rFont val="Arial"/>
        <family val="2"/>
        <charset val="1"/>
      </rPr>
      <t>Minimum Input Operating Voltage: V</t>
    </r>
    <r>
      <rPr>
        <vertAlign val="subscript"/>
        <sz val="10"/>
        <rFont val="Arial"/>
        <family val="2"/>
        <charset val="1"/>
      </rPr>
      <t>IN(MIN)</t>
    </r>
  </si>
  <si>
    <t>V</t>
  </si>
  <si>
    <r>
      <rPr>
        <sz val="10"/>
        <rFont val="Arial"/>
        <family val="2"/>
        <charset val="1"/>
      </rPr>
      <t>Nominal Input Operating Voltage: V</t>
    </r>
    <r>
      <rPr>
        <vertAlign val="subscript"/>
        <sz val="10"/>
        <rFont val="Arial"/>
        <family val="2"/>
        <charset val="1"/>
      </rPr>
      <t>IN(NOM)</t>
    </r>
  </si>
  <si>
    <r>
      <rPr>
        <sz val="10"/>
        <rFont val="Arial"/>
        <family val="2"/>
        <charset val="1"/>
      </rPr>
      <t>Maximum Input Operating Voltage: V</t>
    </r>
    <r>
      <rPr>
        <vertAlign val="subscript"/>
        <sz val="10"/>
        <rFont val="Arial"/>
        <family val="2"/>
        <charset val="1"/>
      </rPr>
      <t>IN(MAX)</t>
    </r>
  </si>
  <si>
    <r>
      <rPr>
        <sz val="10"/>
        <rFont val="Arial"/>
        <family val="2"/>
        <charset val="1"/>
      </rPr>
      <t>Maximum Load Current: I</t>
    </r>
    <r>
      <rPr>
        <vertAlign val="subscript"/>
        <sz val="10"/>
        <rFont val="Arial"/>
        <family val="2"/>
        <charset val="1"/>
      </rPr>
      <t>OUT(MAX)</t>
    </r>
  </si>
  <si>
    <t>A</t>
  </si>
  <si>
    <r>
      <rPr>
        <sz val="10"/>
        <rFont val="Arial"/>
        <family val="2"/>
        <charset val="1"/>
      </rPr>
      <t>Maximum Output Load Capacitance: C</t>
    </r>
    <r>
      <rPr>
        <vertAlign val="subscript"/>
        <sz val="10"/>
        <rFont val="Arial"/>
        <family val="2"/>
        <charset val="1"/>
      </rPr>
      <t>LOAD</t>
    </r>
  </si>
  <si>
    <t>µF</t>
  </si>
  <si>
    <r>
      <rPr>
        <sz val="10"/>
        <rFont val="Arial"/>
        <family val="2"/>
        <charset val="1"/>
      </rPr>
      <t>Maximum Ambient Operating Temperature: T</t>
    </r>
    <r>
      <rPr>
        <vertAlign val="subscript"/>
        <sz val="10"/>
        <rFont val="Arial"/>
        <family val="2"/>
        <charset val="1"/>
      </rPr>
      <t>MAX</t>
    </r>
  </si>
  <si>
    <r>
      <rPr>
        <vertAlign val="superscript"/>
        <sz val="10"/>
        <rFont val="Arial"/>
        <family val="2"/>
        <charset val="1"/>
      </rPr>
      <t>o</t>
    </r>
    <r>
      <rPr>
        <sz val="10"/>
        <rFont val="Arial"/>
        <family val="2"/>
        <charset val="1"/>
      </rPr>
      <t>C</t>
    </r>
  </si>
  <si>
    <t>Steps 1 &amp; 2: Operating Conditions, Current Limit, &amp; Circuit Breaker</t>
  </si>
  <si>
    <t>Step 2: Current Limit and Circuit Breaker</t>
  </si>
  <si>
    <t>Maximum Recommended Value for Rs</t>
  </si>
  <si>
    <r>
      <rPr>
        <sz val="10"/>
        <rFont val="Arial"/>
        <family val="2"/>
        <charset val="1"/>
      </rPr>
      <t>m</t>
    </r>
    <r>
      <rPr>
        <sz val="10"/>
        <rFont val="Symbol"/>
        <family val="1"/>
        <charset val="2"/>
      </rPr>
      <t>W</t>
    </r>
  </si>
  <si>
    <t>46 mV</t>
  </si>
  <si>
    <r>
      <rPr>
        <sz val="10"/>
        <rFont val="Arial"/>
        <family val="2"/>
        <charset val="1"/>
      </rPr>
      <t>Use External Resistor Divider to Reduce Effecitve R</t>
    </r>
    <r>
      <rPr>
        <vertAlign val="subscript"/>
        <sz val="10"/>
        <rFont val="Arial"/>
        <family val="2"/>
        <charset val="1"/>
      </rPr>
      <t>S</t>
    </r>
  </si>
  <si>
    <r>
      <rPr>
        <sz val="10"/>
        <rFont val="Arial"/>
        <family val="2"/>
        <charset val="1"/>
      </rPr>
      <t>Enter the Resistance for R</t>
    </r>
    <r>
      <rPr>
        <vertAlign val="subscript"/>
        <sz val="10"/>
        <rFont val="Arial"/>
        <family val="2"/>
        <charset val="1"/>
      </rPr>
      <t>S</t>
    </r>
  </si>
  <si>
    <t>Recommended Value for RCL1</t>
  </si>
  <si>
    <t>W</t>
  </si>
  <si>
    <t>Recommended Value for RCL2</t>
  </si>
  <si>
    <t>Enter value for RCL1</t>
  </si>
  <si>
    <t>Enter value for RCL2</t>
  </si>
  <si>
    <r>
      <rPr>
        <sz val="10"/>
        <rFont val="Arial"/>
        <family val="2"/>
        <charset val="1"/>
      </rPr>
      <t>Effective Sense Resistance (R</t>
    </r>
    <r>
      <rPr>
        <vertAlign val="subscript"/>
        <sz val="10"/>
        <rFont val="Arial"/>
        <family val="2"/>
        <charset val="1"/>
      </rPr>
      <t>S,EFF</t>
    </r>
    <r>
      <rPr>
        <sz val="10"/>
        <rFont val="Arial"/>
        <family val="2"/>
        <charset val="1"/>
      </rPr>
      <t>)</t>
    </r>
  </si>
  <si>
    <t>Resulting Minimum Current Limit</t>
  </si>
  <si>
    <t>Resulting Typical Current Limit</t>
  </si>
  <si>
    <t>Resulting Maximum Current Limit</t>
  </si>
  <si>
    <t>Retry</t>
  </si>
  <si>
    <r>
      <rPr>
        <sz val="10"/>
        <rFont val="Arial"/>
        <family val="2"/>
        <charset val="1"/>
      </rPr>
      <t>Maximum Power Dissipation in R</t>
    </r>
    <r>
      <rPr>
        <vertAlign val="subscript"/>
        <sz val="10"/>
        <rFont val="Arial"/>
        <family val="2"/>
        <charset val="1"/>
      </rPr>
      <t>S</t>
    </r>
  </si>
  <si>
    <t>Latch Off</t>
  </si>
  <si>
    <t>Step 3: MOSFET Selection</t>
  </si>
  <si>
    <t>Q1 FET Name</t>
  </si>
  <si>
    <t>PSMN3R7-100BSE</t>
  </si>
  <si>
    <r>
      <rPr>
        <sz val="10"/>
        <rFont val="Arial"/>
        <family val="2"/>
        <charset val="1"/>
      </rPr>
      <t>Estimated MOSFET R</t>
    </r>
    <r>
      <rPr>
        <sz val="10"/>
        <rFont val="Symbol"/>
        <family val="1"/>
        <charset val="2"/>
      </rPr>
      <t>Q</t>
    </r>
    <r>
      <rPr>
        <vertAlign val="subscript"/>
        <sz val="10"/>
        <rFont val="Arial"/>
        <family val="2"/>
        <charset val="1"/>
      </rPr>
      <t>JA</t>
    </r>
  </si>
  <si>
    <r>
      <rPr>
        <vertAlign val="superscript"/>
        <sz val="10"/>
        <rFont val="Arial"/>
        <family val="2"/>
        <charset val="1"/>
      </rPr>
      <t>o</t>
    </r>
    <r>
      <rPr>
        <sz val="10"/>
        <rFont val="Arial"/>
        <family val="2"/>
        <charset val="1"/>
      </rPr>
      <t>C/W</t>
    </r>
  </si>
  <si>
    <t>Number of MosFETs</t>
  </si>
  <si>
    <t>#</t>
  </si>
  <si>
    <t>Values Used</t>
  </si>
  <si>
    <r>
      <rPr>
        <sz val="10"/>
        <rFont val="Arial"/>
        <family val="2"/>
        <charset val="1"/>
      </rPr>
      <t>MOSFET On resistance @ T</t>
    </r>
    <r>
      <rPr>
        <vertAlign val="subscript"/>
        <sz val="10"/>
        <rFont val="Arial"/>
        <family val="2"/>
        <charset val="1"/>
      </rPr>
      <t>J,DC</t>
    </r>
  </si>
  <si>
    <t>Maximum FET Junction Temperature</t>
  </si>
  <si>
    <r>
      <rPr>
        <sz val="10"/>
        <rFont val="Arial"/>
        <family val="2"/>
        <charset val="1"/>
      </rPr>
      <t>100</t>
    </r>
    <r>
      <rPr>
        <sz val="10"/>
        <rFont val="Symbol"/>
        <family val="1"/>
        <charset val="2"/>
      </rPr>
      <t>m</t>
    </r>
    <r>
      <rPr>
        <sz val="10"/>
        <rFont val="Arial"/>
        <family val="2"/>
        <charset val="1"/>
      </rPr>
      <t>s SOA Current (re-use 1ms data if unavailable) @ V</t>
    </r>
    <r>
      <rPr>
        <vertAlign val="subscript"/>
        <sz val="10"/>
        <rFont val="Arial"/>
        <family val="2"/>
        <charset val="1"/>
      </rPr>
      <t>IN(MAX)</t>
    </r>
  </si>
  <si>
    <r>
      <rPr>
        <sz val="10"/>
        <rFont val="Arial"/>
        <family val="2"/>
        <charset val="1"/>
      </rPr>
      <t>1ms SOA Current @ V</t>
    </r>
    <r>
      <rPr>
        <vertAlign val="subscript"/>
        <sz val="10"/>
        <rFont val="Arial"/>
        <family val="2"/>
        <charset val="1"/>
      </rPr>
      <t>IN(MAX)</t>
    </r>
  </si>
  <si>
    <r>
      <rPr>
        <sz val="10"/>
        <rFont val="Arial"/>
        <family val="2"/>
        <charset val="1"/>
      </rPr>
      <t>10ms SOA Current @ V</t>
    </r>
    <r>
      <rPr>
        <vertAlign val="subscript"/>
        <sz val="10"/>
        <rFont val="Arial"/>
        <family val="2"/>
        <charset val="1"/>
      </rPr>
      <t>IN(MAX)</t>
    </r>
  </si>
  <si>
    <r>
      <rPr>
        <sz val="10"/>
        <rFont val="Arial"/>
        <family val="2"/>
        <charset val="1"/>
      </rPr>
      <t>100ms  Current at @ V</t>
    </r>
    <r>
      <rPr>
        <vertAlign val="subscript"/>
        <sz val="10"/>
        <rFont val="Arial"/>
        <family val="2"/>
        <charset val="1"/>
      </rPr>
      <t>IN(MAX)</t>
    </r>
    <r>
      <rPr>
        <sz val="10"/>
        <rFont val="Arial"/>
        <family val="2"/>
        <charset val="1"/>
      </rPr>
      <t xml:space="preserve"> (use DC if 100ms not available)</t>
    </r>
  </si>
  <si>
    <r>
      <rPr>
        <sz val="10"/>
        <rFont val="Arial"/>
        <family val="2"/>
        <charset val="1"/>
      </rPr>
      <t>1s or DC SOA Current at @ V</t>
    </r>
    <r>
      <rPr>
        <vertAlign val="subscript"/>
        <sz val="10"/>
        <rFont val="Arial"/>
        <family val="2"/>
        <charset val="1"/>
      </rPr>
      <t>IN(MAX)</t>
    </r>
    <r>
      <rPr>
        <sz val="10"/>
        <rFont val="Arial"/>
        <family val="2"/>
        <charset val="1"/>
      </rPr>
      <t xml:space="preserve"> (use DC if 1s not available)</t>
    </r>
  </si>
  <si>
    <t>FET Power dissapation at full load (per FET)</t>
  </si>
  <si>
    <t>Note: TI recommends choosing a FET with SOA current specified for 100ms and/or 1s or DC. If choosing a FET without these parameters, this calculator will estimate the values via extrapolation, which leaves an inherent associated risk.</t>
  </si>
  <si>
    <r>
      <rPr>
        <sz val="10"/>
        <rFont val="Arial"/>
        <family val="2"/>
        <charset val="1"/>
      </rPr>
      <t>Maximum steady state FET Junction Temperature (T</t>
    </r>
    <r>
      <rPr>
        <vertAlign val="subscript"/>
        <sz val="10"/>
        <rFont val="Arial"/>
        <family val="2"/>
        <charset val="1"/>
      </rPr>
      <t>J,DC</t>
    </r>
    <r>
      <rPr>
        <sz val="10"/>
        <rFont val="Arial"/>
        <family val="2"/>
        <charset val="1"/>
      </rPr>
      <t>)</t>
    </r>
  </si>
  <si>
    <r>
      <rPr>
        <sz val="10"/>
        <rFont val="Arial"/>
        <family val="2"/>
        <charset val="1"/>
      </rPr>
      <t>Minimum Power Limit to Ensure Vsns &gt; 5mV &amp; Vprog &gt; 0.4V (P</t>
    </r>
    <r>
      <rPr>
        <vertAlign val="subscript"/>
        <sz val="10"/>
        <rFont val="Arial"/>
        <family val="2"/>
        <charset val="1"/>
      </rPr>
      <t>LIM,MIN</t>
    </r>
    <r>
      <rPr>
        <sz val="10"/>
        <rFont val="Arial"/>
        <family val="2"/>
        <charset val="1"/>
      </rPr>
      <t>)</t>
    </r>
  </si>
  <si>
    <t>Target Power Limit</t>
  </si>
  <si>
    <r>
      <rPr>
        <sz val="10"/>
        <rFont val="Arial"/>
        <family val="2"/>
        <charset val="1"/>
      </rPr>
      <t>Select R</t>
    </r>
    <r>
      <rPr>
        <vertAlign val="subscript"/>
        <sz val="10"/>
        <rFont val="Arial"/>
        <family val="2"/>
        <charset val="1"/>
      </rPr>
      <t>3</t>
    </r>
  </si>
  <si>
    <r>
      <rPr>
        <sz val="10"/>
        <rFont val="Arial"/>
        <family val="2"/>
        <charset val="1"/>
      </rPr>
      <t>k</t>
    </r>
    <r>
      <rPr>
        <sz val="10"/>
        <rFont val="Symbol"/>
        <family val="1"/>
        <charset val="2"/>
      </rPr>
      <t>W</t>
    </r>
  </si>
  <si>
    <r>
      <rPr>
        <sz val="10"/>
        <rFont val="Arial"/>
        <family val="2"/>
        <charset val="1"/>
      </rPr>
      <t>Calculated R</t>
    </r>
    <r>
      <rPr>
        <vertAlign val="subscript"/>
        <sz val="10"/>
        <rFont val="Arial"/>
        <family val="2"/>
        <charset val="1"/>
      </rPr>
      <t>4</t>
    </r>
  </si>
  <si>
    <r>
      <rPr>
        <sz val="10"/>
        <rFont val="Arial"/>
        <family val="2"/>
        <charset val="1"/>
      </rPr>
      <t>Actual R</t>
    </r>
    <r>
      <rPr>
        <vertAlign val="subscript"/>
        <sz val="10"/>
        <rFont val="Arial"/>
        <family val="2"/>
        <charset val="1"/>
      </rPr>
      <t xml:space="preserve">4 </t>
    </r>
    <r>
      <rPr>
        <sz val="10"/>
        <rFont val="Arial"/>
        <family val="2"/>
        <charset val="1"/>
      </rPr>
      <t>(Select next available std. value)</t>
    </r>
  </si>
  <si>
    <r>
      <rPr>
        <b/>
        <u/>
        <sz val="10"/>
        <color rgb="FFFF0000"/>
        <rFont val="Arial"/>
        <family val="2"/>
        <charset val="1"/>
      </rPr>
      <t>Note:</t>
    </r>
    <r>
      <rPr>
        <b/>
        <sz val="10"/>
        <color rgb="FFFF0000"/>
        <rFont val="Arial"/>
        <family val="2"/>
        <charset val="1"/>
      </rPr>
      <t xml:space="preserve"> Hover here to see the 3 values affecting this curve, consult a thermal expert if you are unsure! </t>
    </r>
  </si>
  <si>
    <t>Actual PLIM</t>
  </si>
  <si>
    <t>Step 4: Startup</t>
  </si>
  <si>
    <t>Load Turn-On Threshold</t>
  </si>
  <si>
    <t>Startup Load Type</t>
  </si>
  <si>
    <t>Constant Current</t>
  </si>
  <si>
    <t>Startup Load Value</t>
  </si>
  <si>
    <t>Use External Soft-Start Control</t>
  </si>
  <si>
    <t>Resistive</t>
  </si>
  <si>
    <t>Typical Start Time with Vinmax (Tstart)</t>
  </si>
  <si>
    <t>ms</t>
  </si>
  <si>
    <t>IFET - ILOAD margin (lowest for Vout range)</t>
  </si>
  <si>
    <t>Target Fault Timer: Tstart + Margin</t>
  </si>
  <si>
    <t>Target Timer capacitance</t>
  </si>
  <si>
    <t>nF</t>
  </si>
  <si>
    <t xml:space="preserve">Selected Timer capacitance </t>
  </si>
  <si>
    <t>Final Fault Timer(Tfault)</t>
  </si>
  <si>
    <t>Derated SOA / PLIM</t>
  </si>
  <si>
    <t>Can a "hot" board be hotplugged</t>
  </si>
  <si>
    <t>Recommended slew Rate (max)</t>
  </si>
  <si>
    <t>V/ms</t>
  </si>
  <si>
    <t>Recommended slew Rate (min)</t>
  </si>
  <si>
    <t>Note: This is the typical dv/dt rate, but max value can be larger. This is because the gate source current can vary from 16uA to 28uA. Thus TI recommends keeping the overall SOA margin during start-up &gt;1.5 in order to compensate for this.</t>
  </si>
  <si>
    <t>dv/dt rate on Vout</t>
  </si>
  <si>
    <t>calculated SS capacitance</t>
  </si>
  <si>
    <t>actual SS capacitance</t>
  </si>
  <si>
    <t>actual dv/dt rate on Vout</t>
  </si>
  <si>
    <t>SOA margin during start-up</t>
  </si>
  <si>
    <t>Target Fault Time</t>
  </si>
  <si>
    <t xml:space="preserve">Calculated Timer Capacitance </t>
  </si>
  <si>
    <r>
      <rPr>
        <sz val="10"/>
        <rFont val="Arial"/>
        <family val="2"/>
        <charset val="1"/>
      </rPr>
      <t>Actual Timer Capacitance (pick one smaller than C</t>
    </r>
    <r>
      <rPr>
        <vertAlign val="subscript"/>
        <sz val="10"/>
        <rFont val="Arial"/>
        <family val="2"/>
        <charset val="1"/>
      </rPr>
      <t>T,CALC</t>
    </r>
    <r>
      <rPr>
        <sz val="10"/>
        <rFont val="Arial"/>
        <family val="2"/>
        <charset val="1"/>
      </rPr>
      <t xml:space="preserve">) </t>
    </r>
  </si>
  <si>
    <t>Actual Fault Time (Tfault)</t>
  </si>
  <si>
    <t xml:space="preserve"> </t>
  </si>
  <si>
    <t>SOA margin during "hot-short" or "start-into short"</t>
  </si>
  <si>
    <t>Step 5: UVLO, OVLO &amp; PGD Thresholds</t>
  </si>
  <si>
    <t>Target Under - Voltage</t>
  </si>
  <si>
    <t>Option B</t>
  </si>
  <si>
    <t>Recommended R2</t>
  </si>
  <si>
    <t>Actual R2</t>
  </si>
  <si>
    <t>Calculated R1</t>
  </si>
  <si>
    <t>Actual R1</t>
  </si>
  <si>
    <t>Resulting Thresholds:</t>
  </si>
  <si>
    <t>Minimum</t>
  </si>
  <si>
    <t>Typical</t>
  </si>
  <si>
    <t>Maximum</t>
  </si>
  <si>
    <t xml:space="preserve">Resulting Upper UVLO Threshold = </t>
  </si>
  <si>
    <t xml:space="preserve">Resulting Lower UVLO Threshold = </t>
  </si>
  <si>
    <t>Design Summary</t>
  </si>
  <si>
    <r>
      <rPr>
        <sz val="11"/>
        <color rgb="FF000000"/>
        <rFont val="Arial"/>
        <family val="2"/>
        <charset val="1"/>
      </rPr>
      <t>R</t>
    </r>
    <r>
      <rPr>
        <vertAlign val="subscript"/>
        <sz val="11"/>
        <color rgb="FF000000"/>
        <rFont val="Arial"/>
        <family val="2"/>
        <charset val="1"/>
      </rPr>
      <t>S</t>
    </r>
    <r>
      <rPr>
        <sz val="11"/>
        <color rgb="FF000000"/>
        <rFont val="Arial"/>
        <family val="2"/>
        <charset val="1"/>
      </rPr>
      <t xml:space="preserve"> =</t>
    </r>
  </si>
  <si>
    <r>
      <rPr>
        <sz val="11"/>
        <color rgb="FF000000"/>
        <rFont val="Arial"/>
        <family val="2"/>
        <charset val="1"/>
      </rPr>
      <t>R</t>
    </r>
    <r>
      <rPr>
        <vertAlign val="subscript"/>
        <sz val="11"/>
        <color rgb="FF000000"/>
        <rFont val="Arial"/>
        <family val="2"/>
        <charset val="1"/>
      </rPr>
      <t>CL1</t>
    </r>
    <r>
      <rPr>
        <sz val="11"/>
        <color rgb="FF000000"/>
        <rFont val="Arial"/>
        <family val="2"/>
        <charset val="1"/>
      </rPr>
      <t xml:space="preserve"> =</t>
    </r>
  </si>
  <si>
    <r>
      <rPr>
        <sz val="11"/>
        <color rgb="FF000000"/>
        <rFont val="Arial"/>
        <family val="2"/>
        <charset val="1"/>
      </rPr>
      <t>R</t>
    </r>
    <r>
      <rPr>
        <vertAlign val="subscript"/>
        <sz val="11"/>
        <color rgb="FF000000"/>
        <rFont val="Arial"/>
        <family val="2"/>
        <charset val="1"/>
      </rPr>
      <t>CL2</t>
    </r>
    <r>
      <rPr>
        <sz val="11"/>
        <color rgb="FF000000"/>
        <rFont val="Arial"/>
        <family val="2"/>
        <charset val="1"/>
      </rPr>
      <t xml:space="preserve"> =</t>
    </r>
  </si>
  <si>
    <t>R1 =</t>
  </si>
  <si>
    <t>Units</t>
  </si>
  <si>
    <t>R2 =</t>
  </si>
  <si>
    <t>Current limit</t>
  </si>
  <si>
    <t>R3 =</t>
  </si>
  <si>
    <t>Power Limit</t>
  </si>
  <si>
    <t>R4 =</t>
  </si>
  <si>
    <t>Fault Timeout</t>
  </si>
  <si>
    <r>
      <rPr>
        <sz val="10"/>
        <rFont val="Arial"/>
        <charset val="1"/>
      </rPr>
      <t>C</t>
    </r>
    <r>
      <rPr>
        <vertAlign val="subscript"/>
        <sz val="10"/>
        <rFont val="Arial"/>
        <family val="2"/>
        <charset val="1"/>
      </rPr>
      <t>T</t>
    </r>
    <r>
      <rPr>
        <sz val="10"/>
        <rFont val="Arial"/>
        <family val="2"/>
        <charset val="1"/>
      </rPr>
      <t xml:space="preserve"> =</t>
    </r>
  </si>
  <si>
    <t>Upper UVLO Threshold</t>
  </si>
  <si>
    <r>
      <rPr>
        <sz val="10"/>
        <rFont val="Arial"/>
        <charset val="1"/>
      </rPr>
      <t>C</t>
    </r>
    <r>
      <rPr>
        <vertAlign val="subscript"/>
        <sz val="10"/>
        <rFont val="Arial"/>
        <family val="2"/>
        <charset val="1"/>
      </rPr>
      <t>1</t>
    </r>
    <r>
      <rPr>
        <sz val="10"/>
        <rFont val="Arial"/>
        <family val="2"/>
        <charset val="1"/>
      </rPr>
      <t xml:space="preserve"> = </t>
    </r>
  </si>
  <si>
    <t>Lower UVLO Threshold</t>
  </si>
  <si>
    <t>Q1 =</t>
  </si>
  <si>
    <r>
      <rPr>
        <sz val="11"/>
        <color rgb="FF000000"/>
        <rFont val="Arial"/>
        <family val="2"/>
        <charset val="1"/>
      </rPr>
      <t>R</t>
    </r>
    <r>
      <rPr>
        <vertAlign val="subscript"/>
        <sz val="11"/>
        <color rgb="FF000000"/>
        <rFont val="Arial"/>
        <family val="2"/>
        <charset val="1"/>
      </rPr>
      <t>G</t>
    </r>
    <r>
      <rPr>
        <sz val="11"/>
        <color rgb="FF000000"/>
        <rFont val="Arial"/>
        <family val="2"/>
        <charset val="1"/>
      </rPr>
      <t xml:space="preserve"> =</t>
    </r>
  </si>
  <si>
    <r>
      <rPr>
        <sz val="11"/>
        <color rgb="FF000000"/>
        <rFont val="Arial"/>
        <family val="2"/>
        <charset val="1"/>
      </rPr>
      <t>C</t>
    </r>
    <r>
      <rPr>
        <vertAlign val="subscript"/>
        <sz val="11"/>
        <color rgb="FF000000"/>
        <rFont val="Arial"/>
        <family val="2"/>
        <charset val="1"/>
      </rPr>
      <t>G</t>
    </r>
    <r>
      <rPr>
        <sz val="11"/>
        <color rgb="FF000000"/>
        <rFont val="Arial"/>
        <family val="2"/>
        <charset val="1"/>
      </rPr>
      <t xml:space="preserve"> =</t>
    </r>
  </si>
  <si>
    <t>Notes:</t>
  </si>
  <si>
    <r>
      <rPr>
        <sz val="10"/>
        <rFont val="Arial"/>
        <family val="2"/>
        <charset val="1"/>
      </rPr>
      <t>1. Although not mandatory, C</t>
    </r>
    <r>
      <rPr>
        <vertAlign val="subscript"/>
        <sz val="10"/>
        <rFont val="Arial"/>
        <family val="2"/>
        <charset val="1"/>
      </rPr>
      <t>IN</t>
    </r>
    <r>
      <rPr>
        <sz val="10"/>
        <rFont val="Arial"/>
        <family val="2"/>
        <charset val="1"/>
      </rPr>
      <t xml:space="preserve"> provides transient suppression at the VIN pin</t>
    </r>
  </si>
  <si>
    <t>2. A TVS clamp from VIN to GND is absolutely mandatory to clamp the voltage overshoot upon MOSFET turn-off, e.g. during circuit breaker</t>
  </si>
  <si>
    <t>3. Componet tolerances not accounted for in Min/Max Calculations.</t>
  </si>
  <si>
    <t>Min</t>
  </si>
  <si>
    <t>Typ</t>
  </si>
  <si>
    <t>Max</t>
  </si>
  <si>
    <t>Operating Conditions</t>
  </si>
  <si>
    <t>Junction Temperature</t>
  </si>
  <si>
    <t>Input Voltage</t>
  </si>
  <si>
    <t>Current Limit</t>
  </si>
  <si>
    <t>Threshold Voltage CL = VDD</t>
  </si>
  <si>
    <t>Sense input Current</t>
  </si>
  <si>
    <t>uA</t>
  </si>
  <si>
    <t>Timer</t>
  </si>
  <si>
    <t>Upper Threshold</t>
  </si>
  <si>
    <t>timer_constant</t>
  </si>
  <si>
    <t>Fault detection current</t>
  </si>
  <si>
    <t>Computed Start - Up Slop</t>
  </si>
  <si>
    <t>&lt;= mean root square(T_start_error_Plim, timer_error, cap_error); T_start proportional to 1/Plim =&gt; T_start_error_plim = 1/(1-Plim_err) - 1 = 1/(1-0.4) - 1 = 0.66</t>
  </si>
  <si>
    <t>Slop for calculations</t>
  </si>
  <si>
    <t>Note: We get additional buffer, b/c this is designed for a Vinmax, while typically Vin = Vinnom</t>
  </si>
  <si>
    <t>Gate</t>
  </si>
  <si>
    <t>Gate Sourcing Current</t>
  </si>
  <si>
    <t>Enable</t>
  </si>
  <si>
    <t>Rising</t>
  </si>
  <si>
    <t>Falling</t>
  </si>
  <si>
    <t>CLMIN =</t>
  </si>
  <si>
    <t>mV</t>
  </si>
  <si>
    <t xml:space="preserve">CLNOM = </t>
  </si>
  <si>
    <t>CLMAX =</t>
  </si>
  <si>
    <t>Max Rs =</t>
  </si>
  <si>
    <t>RCL1 Recommended  =</t>
  </si>
  <si>
    <t>RCL2 Recommmended =</t>
  </si>
  <si>
    <t>Effective Rs =</t>
  </si>
  <si>
    <t>Min. Current limit =</t>
  </si>
  <si>
    <t>Typ. Current limit =</t>
  </si>
  <si>
    <t>Max. Current limit =</t>
  </si>
  <si>
    <t>Rs Power Diss. =</t>
  </si>
  <si>
    <t>R = R4 / (R4+R3)</t>
  </si>
  <si>
    <t>R* R4 + R*R3 = R4</t>
  </si>
  <si>
    <t>FET Selection</t>
  </si>
  <si>
    <t>R4(1-R) = R *R3</t>
  </si>
  <si>
    <t>Nominal</t>
  </si>
  <si>
    <t>Derated at TJ</t>
  </si>
  <si>
    <t>100ms SOA Current Maximum Input Voltage</t>
  </si>
  <si>
    <t>R4 = R3 * R/(1-R)</t>
  </si>
  <si>
    <t>1ms SOA Current Maximum Input Voltage</t>
  </si>
  <si>
    <t>10ms SOA Current Maximum Input Voltage</t>
  </si>
  <si>
    <t>100ms or DC SOA Current at Maximum Input Voltage</t>
  </si>
  <si>
    <t>Minimum Power Limit=</t>
  </si>
  <si>
    <t>Target PLIM</t>
  </si>
  <si>
    <t>Target Vprog</t>
  </si>
  <si>
    <t>R3</t>
  </si>
  <si>
    <t>k-ohm</t>
  </si>
  <si>
    <t>Res. Div.</t>
  </si>
  <si>
    <t>R4</t>
  </si>
  <si>
    <t>Act R4</t>
  </si>
  <si>
    <t>Vprog</t>
  </si>
  <si>
    <t>Plim</t>
  </si>
  <si>
    <t>Startup</t>
  </si>
  <si>
    <t>With PLIM</t>
  </si>
  <si>
    <t>Typical Start time</t>
  </si>
  <si>
    <t>Start-slop</t>
  </si>
  <si>
    <t>Target Fault Timer</t>
  </si>
  <si>
    <t>Selected Timer capacitance</t>
  </si>
  <si>
    <t>Final Fault Timer</t>
  </si>
  <si>
    <t>SOA / PLIM</t>
  </si>
  <si>
    <t>With SS</t>
  </si>
  <si>
    <t>dv/dt rate</t>
  </si>
  <si>
    <t>actual dv/dt rate</t>
  </si>
  <si>
    <t>I_Cout</t>
  </si>
  <si>
    <t>typical start time</t>
  </si>
  <si>
    <t>FET Energy dissipated at start-up (EFET)</t>
  </si>
  <si>
    <t>J</t>
  </si>
  <si>
    <t>Peak Power dissipated  during start-up (PFET)</t>
  </si>
  <si>
    <t>Equivalent time at peak power - EFET/PFET (t_power)</t>
  </si>
  <si>
    <t>Available SOA for t_power at Vinmax</t>
  </si>
  <si>
    <t>SOA margin</t>
  </si>
  <si>
    <t>Covering hot-short, start-into short for SS</t>
  </si>
  <si>
    <t>Actual Timer Capacitance</t>
  </si>
  <si>
    <t>Available derated SOA for Tfault</t>
  </si>
  <si>
    <t>UVLO</t>
  </si>
  <si>
    <t>1.35 = UV * R2/(R2+R1)</t>
  </si>
  <si>
    <t>R2+R1 = UV * R2 /1.35</t>
  </si>
  <si>
    <t>R1 = R2*(-1+UV/1.35)</t>
  </si>
  <si>
    <t>GRAPH:</t>
  </si>
  <si>
    <t>Selected Rs =</t>
  </si>
  <si>
    <t>Max System voltage =</t>
  </si>
  <si>
    <t>Current Lim (min) =</t>
  </si>
  <si>
    <t>Current Lim (typ) =</t>
  </si>
  <si>
    <t>Current Lim (max) =</t>
  </si>
  <si>
    <t>Power Limit (typ) =</t>
  </si>
  <si>
    <t>A) This table calculates the Ids current based</t>
  </si>
  <si>
    <t>B) This table corrrects the table at left so no</t>
  </si>
  <si>
    <t>C) This table creates the</t>
  </si>
  <si>
    <t>D) This table changes ID values to zero for Vds&gt;Vin(max)</t>
  </si>
  <si>
    <t>on power limit only - no current limit info.</t>
  </si>
  <si>
    <t>current is greater than the current limit.</t>
  </si>
  <si>
    <t>SOA data points from</t>
  </si>
  <si>
    <t>and adds the SOA curve. This data is plotted.</t>
  </si>
  <si>
    <t>PLIM</t>
  </si>
  <si>
    <t>Vds</t>
  </si>
  <si>
    <t>the customer's SOA</t>
  </si>
  <si>
    <t>SOA</t>
  </si>
  <si>
    <t>Temp Derated SOA</t>
  </si>
  <si>
    <t>data he entered.</t>
  </si>
  <si>
    <t>User's</t>
  </si>
  <si>
    <t>Ids</t>
  </si>
  <si>
    <t>x = customer's entry</t>
  </si>
  <si>
    <t>x</t>
  </si>
  <si>
    <t>Note: I added an adjustment for the systematic offset</t>
  </si>
  <si>
    <t>Vos syst</t>
  </si>
  <si>
    <t>Rs (ohm)</t>
  </si>
  <si>
    <t>Vin, max</t>
  </si>
  <si>
    <t>Plim tolerance</t>
  </si>
  <si>
    <t>Plim (Vds) = Plim (Vin,max) + (Vds - Vin,max)*Vos,syst/Rs</t>
  </si>
  <si>
    <t>ILIM</t>
  </si>
  <si>
    <t>Load type</t>
  </si>
  <si>
    <t>SS</t>
  </si>
  <si>
    <t>Load Value</t>
  </si>
  <si>
    <t>Load start</t>
  </si>
  <si>
    <t>Rs</t>
  </si>
  <si>
    <t>Vos,syst</t>
  </si>
  <si>
    <t>Start-time</t>
  </si>
  <si>
    <t>I_fet-I_L margin</t>
  </si>
  <si>
    <t>I_g(hi/nom)</t>
  </si>
  <si>
    <t>I_g(low/nom)</t>
  </si>
  <si>
    <t>To avoid timer running: Iload + Icap,ss &lt; IFET_PLIM / 2 =&gt; SS_RATE &lt; 1/Cout * (IFET_PLIM/2 - ILOAD)</t>
  </si>
  <si>
    <t>Max_SS_Rate</t>
  </si>
  <si>
    <t>max_power_typ</t>
  </si>
  <si>
    <t>FET_ENERGY</t>
  </si>
  <si>
    <t>max_power_high</t>
  </si>
  <si>
    <t>max_power_low</t>
  </si>
  <si>
    <t>VIN</t>
  </si>
  <si>
    <t>Vout</t>
  </si>
  <si>
    <t>ILOAD</t>
  </si>
  <si>
    <t>IFET_PLIM</t>
  </si>
  <si>
    <t>I_FET_SS</t>
  </si>
  <si>
    <t>IFET</t>
  </si>
  <si>
    <t>ICAP</t>
  </si>
  <si>
    <r>
      <rPr>
        <b/>
        <u/>
        <sz val="10"/>
        <rFont val="Symbol"/>
        <family val="1"/>
        <charset val="2"/>
      </rPr>
      <t>D</t>
    </r>
    <r>
      <rPr>
        <b/>
        <u/>
        <sz val="10"/>
        <rFont val="Arial"/>
        <family val="2"/>
        <charset val="1"/>
      </rPr>
      <t>t</t>
    </r>
  </si>
  <si>
    <t>Time</t>
  </si>
  <si>
    <t>Tiime (ms)</t>
  </si>
  <si>
    <t>I_Fet-IL margin</t>
  </si>
  <si>
    <t>Max _allowed SS_rate</t>
  </si>
  <si>
    <t>FET_Energy</t>
  </si>
  <si>
    <t>Power (W)</t>
  </si>
  <si>
    <t>P_ fast_SS</t>
  </si>
  <si>
    <t>P_slow_SS</t>
  </si>
  <si>
    <t xml:space="preserve">Start-up slop </t>
  </si>
  <si>
    <t>QG</t>
  </si>
  <si>
    <t>I_Src</t>
  </si>
  <si>
    <t>RMS</t>
  </si>
  <si>
    <t>combined</t>
  </si>
  <si>
    <t>I_timer</t>
  </si>
  <si>
    <t>C_timer</t>
  </si>
  <si>
    <t>Final</t>
  </si>
  <si>
    <t>Look Up</t>
  </si>
  <si>
    <t>I = a * t^m</t>
  </si>
  <si>
    <t>100us</t>
  </si>
  <si>
    <t>1ms</t>
  </si>
  <si>
    <t>10ms</t>
  </si>
  <si>
    <t>100ms</t>
  </si>
  <si>
    <t>1s/DC</t>
  </si>
  <si>
    <t>a = iSOA1/tSOA1^m</t>
  </si>
  <si>
    <t>Final SOA</t>
  </si>
  <si>
    <t>m = log(iSOA1/iSOA2)/log(tSOA1/tSOA2)</t>
  </si>
  <si>
    <t>SOA Check - Based on Timer</t>
  </si>
  <si>
    <t>SOA Predictor - dv/dt start-up</t>
  </si>
  <si>
    <t>time</t>
  </si>
  <si>
    <t>Voltage</t>
  </si>
  <si>
    <t>Lower time</t>
  </si>
  <si>
    <t>Lower time (adjusted)</t>
  </si>
  <si>
    <t>Higher timer</t>
  </si>
  <si>
    <t>Higher time</t>
  </si>
  <si>
    <t>Higher time (adjusted)</t>
  </si>
  <si>
    <t>I (lower time)</t>
  </si>
  <si>
    <t>I (higher time)</t>
  </si>
  <si>
    <t>Assuming Power vs time is linear on a log-log plot</t>
  </si>
  <si>
    <t>a</t>
  </si>
  <si>
    <t>m</t>
  </si>
  <si>
    <t>&lt;-- Cannot plot zero on a log graph. If slope ~=0, then use 1e-12 as value</t>
  </si>
  <si>
    <t>Extr. I</t>
  </si>
  <si>
    <t>Interpolated Power=</t>
  </si>
  <si>
    <t>board hot?</t>
  </si>
  <si>
    <t>Derating factor =</t>
  </si>
  <si>
    <t>Temp for derating</t>
  </si>
  <si>
    <t xml:space="preserve">Max Power with Temp Derating = </t>
  </si>
  <si>
    <t>SOA Coefficients</t>
  </si>
  <si>
    <t>0.1 to 1 ms</t>
  </si>
  <si>
    <t>1 to 10ms</t>
  </si>
  <si>
    <t>10ms to 100 ms</t>
  </si>
  <si>
    <t>100 ms to 1s</t>
  </si>
  <si>
    <t>t1</t>
  </si>
  <si>
    <t>t2</t>
  </si>
  <si>
    <t>MOSFET's SOA</t>
  </si>
  <si>
    <r>
      <rPr>
        <b/>
        <sz val="10"/>
        <rFont val="Arial"/>
        <family val="2"/>
        <charset val="1"/>
      </rPr>
      <t>V</t>
    </r>
    <r>
      <rPr>
        <b/>
        <vertAlign val="subscript"/>
        <sz val="10"/>
        <rFont val="Arial"/>
        <family val="2"/>
        <charset val="1"/>
      </rPr>
      <t>DS</t>
    </r>
  </si>
  <si>
    <r>
      <rPr>
        <b/>
        <sz val="10"/>
        <rFont val="Arial"/>
        <family val="2"/>
        <charset val="1"/>
      </rPr>
      <t>I</t>
    </r>
    <r>
      <rPr>
        <b/>
        <vertAlign val="subscript"/>
        <sz val="10"/>
        <rFont val="Arial"/>
        <family val="2"/>
        <charset val="1"/>
      </rPr>
      <t>D</t>
    </r>
  </si>
  <si>
    <t>(V)</t>
  </si>
  <si>
    <t>(A)</t>
  </si>
  <si>
    <t xml:space="preserve">Key Equations for SOA margin estimate: </t>
  </si>
  <si>
    <t>1) Get total Energy = 1/2 CV^2 + E_load (t_worksheet) * t_start / t_ worksheet</t>
  </si>
  <si>
    <t xml:space="preserve">     note:  t_worksheet is the start time from the start-up worksheet.  E_load = Total Energy @ Start-up - 1/2CV^2</t>
  </si>
  <si>
    <t>2) Get peak power:  4 Possible points with peak power</t>
  </si>
  <si>
    <t xml:space="preserve">      a) At Vin = 0 [mainly if there is no load or constant current load that starts at Vout = 0=</t>
  </si>
  <si>
    <t xml:space="preserve">      b) At Vin = Load start [ constant current=</t>
  </si>
  <si>
    <t xml:space="preserve">      c) When derivative of power = 0  [Peak, applies to resistive loads only=</t>
  </si>
  <si>
    <t xml:space="preserve">                </t>
  </si>
  <si>
    <t xml:space="preserve"> P = (I_cap + Vout/R ) * (Vin - Vout) = Icap * Vin - Icap * Vout +Vin * Vout / R - Vout^2 / R </t>
  </si>
  <si>
    <t xml:space="preserve"> =&gt;  dP/dVout =  -Icap + Vin/R -2Vout /R ;  Zero when Vout = -R*I_cap / 2 + Vin / 2</t>
  </si>
  <si>
    <t>Copied Inputs</t>
  </si>
  <si>
    <t>Temp_start_up</t>
  </si>
  <si>
    <t>SOA margin target</t>
  </si>
  <si>
    <t>Cap Energy (J)</t>
  </si>
  <si>
    <t>E_load (t_worksheet)  (J)</t>
  </si>
  <si>
    <t>t_worksheet (ms)</t>
  </si>
  <si>
    <t>Initial</t>
  </si>
  <si>
    <t>Max Target Iinr during start-up (A)</t>
  </si>
  <si>
    <t xml:space="preserve">max slew rate </t>
  </si>
  <si>
    <t>Upper bound Slew Rate (4ms start-up) (V/ms)</t>
  </si>
  <si>
    <t>min slew rate</t>
  </si>
  <si>
    <t>Min Slew Rate (400 ms start - up) (V/ms)</t>
  </si>
  <si>
    <t># of points</t>
  </si>
  <si>
    <t>mult per point</t>
  </si>
  <si>
    <t>Note: For dv/dt keep inrush to be 3x lower than plim</t>
  </si>
  <si>
    <t>slew rate (V/ms)</t>
  </si>
  <si>
    <t>t_start (ms)</t>
  </si>
  <si>
    <t>I_cap (A)</t>
  </si>
  <si>
    <t>Total FET Energy (J)</t>
  </si>
  <si>
    <t>Power (Vout= 0) , (W)</t>
  </si>
  <si>
    <t>Power (load on), (W)</t>
  </si>
  <si>
    <t>Vout (dP/dVout = 0) (V)</t>
  </si>
  <si>
    <t xml:space="preserve">Power (@ Vout above, if applicable) </t>
  </si>
  <si>
    <t>max power (W)</t>
  </si>
  <si>
    <t>Equivalent time for SOA (ms)</t>
  </si>
  <si>
    <t>Available SOA (W)</t>
  </si>
  <si>
    <t>Derated for Temp</t>
  </si>
  <si>
    <t>SOA Margin</t>
  </si>
  <si>
    <t xml:space="preserve">Pass? </t>
  </si>
  <si>
    <t>N</t>
  </si>
  <si>
    <t>first yes</t>
  </si>
  <si>
    <t>2nd yes</t>
  </si>
  <si>
    <t>Mult 1</t>
  </si>
  <si>
    <t>mult2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</si>
</sst>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numFmt numFmtId="165" formatCode="0.0"/>
    <numFmt numFmtId="166" formatCode="0.000"/>
    <numFmt numFmtId="167" formatCode="##0.00E+0"/>
  </numFmts>
  <fonts count="46" x14ac:knownFonts="1">
    <font>
      <sz val="10"/>
      <name val="Arial"/>
      <charset val="1"/>
    </font>
    <font>
      <sz val="10"/>
      <name val="Arial"/>
      <family val="2"/>
      <charset val="1"/>
    </font>
    <font>
      <sz val="11"/>
      <color rgb="FF000000"/>
      <name val="Calibri"/>
      <family val="2"/>
      <charset val="1"/>
    </font>
    <font>
      <b/>
      <sz val="24"/>
      <name val="Arial"/>
      <family val="2"/>
      <charset val="1"/>
    </font>
    <font>
      <sz val="12"/>
      <name val="MS Sans Serif"/>
      <family val="2"/>
      <charset val="1"/>
    </font>
    <font>
      <b/>
      <sz val="18"/>
      <name val="Arial"/>
      <family val="2"/>
      <charset val="1"/>
    </font>
    <font>
      <b/>
      <i/>
      <sz val="16"/>
      <name val="Arial"/>
      <family val="2"/>
      <charset val="1"/>
    </font>
    <font>
      <b/>
      <i/>
      <sz val="11"/>
      <name val="Arial"/>
      <family val="2"/>
      <charset val="1"/>
    </font>
    <font>
      <u/>
      <sz val="10"/>
      <color rgb="FF0000FF"/>
      <name val="Arial"/>
      <family val="2"/>
      <charset val="1"/>
    </font>
    <font>
      <b/>
      <i/>
      <sz val="10"/>
      <name val="Arial"/>
      <family val="2"/>
      <charset val="1"/>
    </font>
    <font>
      <sz val="11"/>
      <color rgb="FF000000"/>
      <name val="Arial"/>
      <family val="2"/>
      <charset val="1"/>
    </font>
    <font>
      <sz val="24"/>
      <color rgb="FFFFFFFF"/>
      <name val="Arial"/>
      <family val="2"/>
      <charset val="1"/>
    </font>
    <font>
      <sz val="22"/>
      <color rgb="FFFFFFFF"/>
      <name val="Arial"/>
      <family val="2"/>
      <charset val="1"/>
    </font>
    <font>
      <sz val="26"/>
      <color rgb="FFFFFFFF"/>
      <name val="Arial"/>
      <family val="2"/>
      <charset val="1"/>
    </font>
    <font>
      <sz val="10"/>
      <color rgb="FFFFFFFF"/>
      <name val="Calibri"/>
      <family val="2"/>
      <charset val="1"/>
    </font>
    <font>
      <sz val="10"/>
      <name val="Calibri"/>
      <family val="2"/>
      <charset val="1"/>
    </font>
    <font>
      <u/>
      <sz val="10"/>
      <color rgb="FFFFFFFF"/>
      <name val="Arial"/>
      <family val="2"/>
      <charset val="1"/>
    </font>
    <font>
      <b/>
      <sz val="12"/>
      <color rgb="FFFF0000"/>
      <name val="Calibri"/>
      <family val="2"/>
      <charset val="1"/>
    </font>
    <font>
      <sz val="10"/>
      <color rgb="FF969696"/>
      <name val="Arial"/>
      <family val="2"/>
      <charset val="1"/>
    </font>
    <font>
      <sz val="10"/>
      <color rgb="FFFF0000"/>
      <name val="Arial"/>
      <family val="2"/>
      <charset val="1"/>
    </font>
    <font>
      <b/>
      <sz val="11"/>
      <name val="Arial"/>
      <family val="2"/>
      <charset val="1"/>
    </font>
    <font>
      <sz val="12"/>
      <name val="Arial"/>
      <family val="2"/>
      <charset val="1"/>
    </font>
    <font>
      <b/>
      <u/>
      <sz val="12"/>
      <color rgb="FFFF0000"/>
      <name val="Arial"/>
      <family val="2"/>
      <charset val="1"/>
    </font>
    <font>
      <sz val="12"/>
      <color rgb="FFFF0000"/>
      <name val="Arial"/>
      <family val="2"/>
      <charset val="1"/>
    </font>
    <font>
      <u/>
      <sz val="12"/>
      <color rgb="FF0000FF"/>
      <name val="Arial"/>
      <family val="2"/>
      <charset val="1"/>
    </font>
    <font>
      <sz val="12"/>
      <color rgb="FF0000FF"/>
      <name val="Arial"/>
      <family val="2"/>
      <charset val="1"/>
    </font>
    <font>
      <u/>
      <sz val="11"/>
      <color rgb="FF0000FF"/>
      <name val="Arial"/>
      <family val="2"/>
      <charset val="1"/>
    </font>
    <font>
      <sz val="11"/>
      <name val="Arial"/>
      <family val="2"/>
      <charset val="1"/>
    </font>
    <font>
      <vertAlign val="subscript"/>
      <sz val="10"/>
      <name val="Arial"/>
      <family val="2"/>
      <charset val="1"/>
    </font>
    <font>
      <b/>
      <sz val="11"/>
      <color rgb="FF0000FF"/>
      <name val="Arial"/>
      <family val="2"/>
      <charset val="1"/>
    </font>
    <font>
      <vertAlign val="superscript"/>
      <sz val="10"/>
      <name val="Arial"/>
      <family val="2"/>
      <charset val="1"/>
    </font>
    <font>
      <sz val="10"/>
      <name val="Symbol"/>
      <family val="1"/>
      <charset val="2"/>
    </font>
    <font>
      <b/>
      <sz val="10"/>
      <name val="Arial"/>
      <family val="2"/>
      <charset val="1"/>
    </font>
    <font>
      <b/>
      <sz val="9"/>
      <color rgb="FFFF0000"/>
      <name val="Arial"/>
      <family val="2"/>
      <charset val="1"/>
    </font>
    <font>
      <b/>
      <u/>
      <sz val="10"/>
      <color rgb="FFFF0000"/>
      <name val="Arial"/>
      <family val="2"/>
      <charset val="1"/>
    </font>
    <font>
      <b/>
      <sz val="10"/>
      <color rgb="FFFF0000"/>
      <name val="Arial"/>
      <family val="2"/>
      <charset val="1"/>
    </font>
    <font>
      <vertAlign val="subscript"/>
      <sz val="11"/>
      <color rgb="FF000000"/>
      <name val="Arial"/>
      <family val="2"/>
      <charset val="1"/>
    </font>
    <font>
      <b/>
      <sz val="8"/>
      <color rgb="FF000000"/>
      <name val="Tahoma"/>
      <family val="2"/>
      <charset val="1"/>
    </font>
    <font>
      <b/>
      <sz val="8"/>
      <color rgb="FF000000"/>
      <name val="Arial"/>
      <family val="2"/>
      <charset val="1"/>
    </font>
    <font>
      <sz val="9"/>
      <color rgb="FF000000"/>
      <name val="Tahoma"/>
      <family val="2"/>
      <charset val="1"/>
    </font>
    <font>
      <b/>
      <sz val="9"/>
      <color rgb="FF000000"/>
      <name val="Tahoma"/>
      <family val="2"/>
      <charset val="1"/>
    </font>
    <font>
      <b/>
      <u/>
      <sz val="10"/>
      <name val="Arial"/>
      <family val="2"/>
      <charset val="1"/>
    </font>
    <font>
      <u/>
      <sz val="10"/>
      <name val="Arial"/>
      <family val="2"/>
      <charset val="1"/>
    </font>
    <font>
      <b/>
      <u/>
      <sz val="10"/>
      <name val="Symbol"/>
      <family val="1"/>
      <charset val="2"/>
    </font>
    <font>
      <b/>
      <vertAlign val="subscript"/>
      <sz val="10"/>
      <name val="Arial"/>
      <family val="2"/>
      <charset val="1"/>
    </font>
    <font>
      <b/>
      <sz val="8"/>
      <color rgb="FFFF0000"/>
      <name val="Tahoma"/>
      <family val="2"/>
      <charset val="1"/>
    </font>
  </fonts>
  <fills count="10">
    <fill>
      <patternFill patternType="none"/>
    </fill>
    <fill>
      <patternFill patternType="gray125"/>
    </fill>
    <fill>
      <patternFill patternType="solid">
        <fgColor rgb="FFC3D69B"/>
        <bgColor rgb="FFBFBFBF"/>
      </patternFill>
    </fill>
    <fill>
      <patternFill patternType="solid">
        <fgColor rgb="FFFFFFFF"/>
        <bgColor rgb="FFFFFFCC"/>
      </patternFill>
    </fill>
    <fill>
      <patternFill patternType="solid">
        <fgColor rgb="FFFFFF00"/>
        <bgColor rgb="FFFFFF00"/>
      </patternFill>
    </fill>
    <fill>
      <patternFill patternType="solid">
        <fgColor rgb="FFFF0000"/>
        <bgColor rgb="FF993300"/>
      </patternFill>
    </fill>
    <fill>
      <patternFill patternType="solid">
        <fgColor rgb="FFD9D9D9"/>
        <bgColor rgb="FFC3D69B"/>
      </patternFill>
    </fill>
    <fill>
      <patternFill patternType="solid">
        <fgColor rgb="FFD99694"/>
        <bgColor rgb="FFFF99CC"/>
      </patternFill>
    </fill>
    <fill>
      <patternFill patternType="solid">
        <fgColor rgb="FF8064A2"/>
        <bgColor rgb="FF808080"/>
      </patternFill>
    </fill>
    <fill>
      <patternFill patternType="solid">
        <fgColor rgb="FFBFBFBF"/>
        <bgColor rgb="FFB7B7B7"/>
      </patternFill>
    </fill>
  </fills>
  <borders count="3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ck">
        <color rgb="FF0000FF"/>
      </left>
      <right/>
      <top style="thick">
        <color rgb="FF0000FF"/>
      </top>
      <bottom/>
      <diagonal/>
    </border>
    <border>
      <left/>
      <right/>
      <top style="thick">
        <color rgb="FF0000FF"/>
      </top>
      <bottom/>
      <diagonal/>
    </border>
    <border>
      <left/>
      <right style="thick">
        <color rgb="FF0000FF"/>
      </right>
      <top style="thick">
        <color rgb="FF0000FF"/>
      </top>
      <bottom/>
      <diagonal/>
    </border>
    <border>
      <left style="thick">
        <color rgb="FF0000FF"/>
      </left>
      <right/>
      <top/>
      <bottom/>
      <diagonal/>
    </border>
    <border>
      <left/>
      <right style="thick">
        <color rgb="FF0000FF"/>
      </right>
      <top/>
      <bottom/>
      <diagonal/>
    </border>
    <border>
      <left style="medium">
        <color auto="1"/>
      </left>
      <right style="medium">
        <color auto="1"/>
      </right>
      <top style="medium">
        <color auto="1"/>
      </top>
      <bottom style="medium">
        <color auto="1"/>
      </bottom>
      <diagonal/>
    </border>
    <border>
      <left style="thick">
        <color rgb="FF0000FF"/>
      </left>
      <right/>
      <top/>
      <bottom style="thick">
        <color rgb="FF0000FF"/>
      </bottom>
      <diagonal/>
    </border>
    <border>
      <left/>
      <right/>
      <top/>
      <bottom style="thick">
        <color rgb="FF0000FF"/>
      </bottom>
      <diagonal/>
    </border>
    <border>
      <left/>
      <right style="thick">
        <color rgb="FF0000FF"/>
      </right>
      <top/>
      <bottom style="thick">
        <color rgb="FF0000FF"/>
      </bottom>
      <diagonal/>
    </border>
    <border>
      <left style="medium">
        <color auto="1"/>
      </left>
      <right/>
      <top style="medium">
        <color auto="1"/>
      </top>
      <bottom/>
      <diagonal/>
    </border>
    <border>
      <left/>
      <right/>
      <top style="medium">
        <color auto="1"/>
      </top>
      <bottom/>
      <diagonal/>
    </border>
    <border>
      <left style="thin">
        <color auto="1"/>
      </left>
      <right/>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rgb="FF808080"/>
      </left>
      <right style="medium">
        <color rgb="FF808080"/>
      </right>
      <top style="medium">
        <color rgb="FF808080"/>
      </top>
      <bottom style="medium">
        <color rgb="FF808080"/>
      </bottom>
      <diagonal/>
    </border>
    <border>
      <left/>
      <right style="medium">
        <color rgb="FF808080"/>
      </right>
      <top style="medium">
        <color rgb="FF808080"/>
      </top>
      <bottom style="medium">
        <color rgb="FF808080"/>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thin">
        <color auto="1"/>
      </right>
      <top/>
      <bottom style="thin">
        <color auto="1"/>
      </bottom>
      <diagonal/>
    </border>
    <border>
      <left/>
      <right style="thin">
        <color auto="1"/>
      </right>
      <top/>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1">
    <xf numFmtId="0" fontId="0" fillId="0" borderId="0"/>
    <xf numFmtId="0" fontId="8" fillId="0" borderId="0" applyBorder="0" applyProtection="0"/>
    <xf numFmtId="0" fontId="1" fillId="2" borderId="1">
      <alignment horizontal="center" vertical="center"/>
      <protection locked="0"/>
    </xf>
    <xf numFmtId="0" fontId="1" fillId="2" borderId="1">
      <alignment horizontal="center" vertical="center"/>
      <protection locked="0"/>
    </xf>
    <xf numFmtId="0" fontId="1" fillId="2" borderId="1">
      <alignment horizontal="center" vertical="center"/>
      <protection locked="0"/>
    </xf>
    <xf numFmtId="0" fontId="1" fillId="2" borderId="1">
      <alignment horizontal="center" vertical="center"/>
      <protection locked="0"/>
    </xf>
    <xf numFmtId="0" fontId="1" fillId="0" borderId="0"/>
    <xf numFmtId="0" fontId="2" fillId="0" borderId="0"/>
    <xf numFmtId="0" fontId="1" fillId="3" borderId="0">
      <alignment horizontal="center"/>
    </xf>
    <xf numFmtId="0" fontId="1" fillId="4" borderId="1">
      <alignment horizontal="center" vertical="center"/>
      <protection locked="0"/>
    </xf>
    <xf numFmtId="0" fontId="1" fillId="0" borderId="2"/>
  </cellStyleXfs>
  <cellXfs count="248">
    <xf numFmtId="0" fontId="0" fillId="0" borderId="0" xfId="0"/>
    <xf numFmtId="0" fontId="8" fillId="3" borderId="16" xfId="1" applyFill="1" applyBorder="1" applyAlignment="1" applyProtection="1">
      <alignment horizontal="left" wrapText="1"/>
    </xf>
    <xf numFmtId="0" fontId="8" fillId="3" borderId="0" xfId="1" applyFill="1" applyBorder="1" applyAlignment="1" applyProtection="1">
      <alignment horizontal="left" wrapText="1"/>
    </xf>
    <xf numFmtId="0" fontId="20" fillId="4" borderId="18" xfId="6" applyFont="1" applyFill="1" applyBorder="1" applyAlignment="1">
      <alignment horizontal="left" wrapText="1"/>
    </xf>
    <xf numFmtId="0" fontId="20" fillId="4" borderId="18" xfId="6" applyFont="1" applyFill="1" applyBorder="1" applyAlignment="1">
      <alignment horizontal="left" vertical="top" wrapText="1"/>
    </xf>
    <xf numFmtId="0" fontId="24" fillId="3" borderId="0" xfId="1" applyFont="1" applyFill="1" applyBorder="1" applyAlignment="1" applyProtection="1">
      <alignment horizontal="left"/>
    </xf>
    <xf numFmtId="0" fontId="23" fillId="3" borderId="16" xfId="6" applyFont="1" applyFill="1" applyBorder="1" applyAlignment="1">
      <alignment horizontal="left" vertical="top" wrapText="1"/>
    </xf>
    <xf numFmtId="0" fontId="22" fillId="3" borderId="13" xfId="1" applyFont="1" applyFill="1" applyBorder="1" applyAlignment="1" applyProtection="1">
      <alignment horizontal="left" wrapText="1"/>
    </xf>
    <xf numFmtId="0" fontId="1" fillId="3" borderId="14" xfId="0" applyFont="1" applyFill="1" applyBorder="1" applyAlignment="1">
      <alignment horizontal="left" vertical="center" wrapText="1"/>
    </xf>
    <xf numFmtId="0" fontId="17" fillId="3" borderId="0" xfId="0" applyFont="1" applyFill="1" applyAlignment="1">
      <alignment horizontal="center" vertical="center"/>
    </xf>
    <xf numFmtId="0" fontId="11" fillId="5" borderId="12" xfId="0" applyFont="1" applyFill="1" applyBorder="1" applyAlignment="1">
      <alignment horizontal="left" vertical="center"/>
    </xf>
    <xf numFmtId="0" fontId="10" fillId="0" borderId="8" xfId="0" applyFont="1" applyBorder="1" applyAlignment="1">
      <alignment horizontal="center" vertical="center" wrapText="1"/>
    </xf>
    <xf numFmtId="0" fontId="8" fillId="4" borderId="0" xfId="1" applyFill="1" applyBorder="1" applyProtection="1"/>
    <xf numFmtId="0" fontId="8" fillId="4" borderId="0" xfId="1" applyFill="1" applyBorder="1" applyAlignment="1" applyProtection="1">
      <alignment horizontal="left"/>
    </xf>
    <xf numFmtId="0" fontId="1" fillId="4" borderId="3" xfId="6" applyFill="1" applyBorder="1"/>
    <xf numFmtId="0" fontId="1" fillId="4" borderId="4" xfId="6" applyFill="1" applyBorder="1"/>
    <xf numFmtId="0" fontId="1" fillId="4" borderId="5" xfId="6" applyFill="1" applyBorder="1"/>
    <xf numFmtId="0" fontId="1" fillId="4" borderId="6" xfId="6" applyFill="1" applyBorder="1"/>
    <xf numFmtId="0" fontId="1" fillId="4" borderId="0" xfId="6" applyFill="1"/>
    <xf numFmtId="0" fontId="1" fillId="4" borderId="7" xfId="6" applyFill="1" applyBorder="1"/>
    <xf numFmtId="0" fontId="3" fillId="4" borderId="0" xfId="6" applyFont="1" applyFill="1"/>
    <xf numFmtId="0" fontId="4" fillId="4" borderId="0" xfId="6" applyFont="1" applyFill="1"/>
    <xf numFmtId="0" fontId="5" fillId="4" borderId="0" xfId="6" applyFont="1" applyFill="1"/>
    <xf numFmtId="0" fontId="6" fillId="4" borderId="0" xfId="6" applyFont="1" applyFill="1"/>
    <xf numFmtId="0" fontId="7" fillId="4" borderId="0" xfId="6" applyFont="1" applyFill="1"/>
    <xf numFmtId="0" fontId="7" fillId="4" borderId="0" xfId="6" applyFont="1" applyFill="1" applyAlignment="1">
      <alignment wrapText="1"/>
    </xf>
    <xf numFmtId="0" fontId="9" fillId="4" borderId="0" xfId="6" applyFont="1" applyFill="1" applyAlignment="1">
      <alignment vertical="center"/>
    </xf>
    <xf numFmtId="0" fontId="9" fillId="4" borderId="0" xfId="6" applyFont="1" applyFill="1"/>
    <xf numFmtId="0" fontId="1" fillId="4" borderId="9" xfId="6" applyFill="1" applyBorder="1"/>
    <xf numFmtId="0" fontId="1" fillId="4" borderId="10" xfId="6" applyFill="1" applyBorder="1"/>
    <xf numFmtId="0" fontId="1" fillId="4" borderId="11" xfId="6" applyFill="1" applyBorder="1"/>
    <xf numFmtId="0" fontId="1" fillId="0" borderId="0" xfId="6"/>
    <xf numFmtId="0" fontId="0" fillId="0" borderId="0" xfId="0" applyAlignment="1">
      <alignment horizontal="center"/>
    </xf>
    <xf numFmtId="0" fontId="13" fillId="3" borderId="13" xfId="0" applyFont="1" applyFill="1" applyBorder="1" applyAlignment="1">
      <alignment horizontal="center" vertical="center"/>
    </xf>
    <xf numFmtId="0" fontId="14" fillId="3" borderId="0" xfId="0" applyFont="1" applyFill="1"/>
    <xf numFmtId="0" fontId="15" fillId="3" borderId="0" xfId="0" applyFont="1" applyFill="1"/>
    <xf numFmtId="0" fontId="15" fillId="0" borderId="0" xfId="0" applyFont="1"/>
    <xf numFmtId="0" fontId="0" fillId="3" borderId="0" xfId="0" applyFill="1"/>
    <xf numFmtId="0" fontId="16" fillId="3" borderId="0" xfId="1" applyFont="1" applyFill="1" applyBorder="1" applyProtection="1"/>
    <xf numFmtId="0" fontId="0" fillId="3" borderId="0" xfId="0" applyFill="1" applyAlignment="1">
      <alignment horizontal="center"/>
    </xf>
    <xf numFmtId="0" fontId="1" fillId="0" borderId="0" xfId="0" applyFont="1"/>
    <xf numFmtId="0" fontId="18" fillId="3" borderId="0" xfId="0" applyFont="1" applyFill="1" applyAlignment="1">
      <alignment horizontal="left"/>
    </xf>
    <xf numFmtId="0" fontId="0" fillId="2" borderId="1" xfId="0" applyFill="1" applyBorder="1" applyAlignment="1">
      <alignment horizontal="center"/>
    </xf>
    <xf numFmtId="0" fontId="1" fillId="3" borderId="0" xfId="0" applyFont="1" applyFill="1"/>
    <xf numFmtId="164" fontId="18" fillId="3" borderId="0" xfId="0" applyNumberFormat="1" applyFont="1" applyFill="1" applyAlignment="1">
      <alignment horizontal="left"/>
    </xf>
    <xf numFmtId="0" fontId="0" fillId="3" borderId="1" xfId="0" applyFill="1" applyBorder="1" applyAlignment="1">
      <alignment horizontal="center"/>
    </xf>
    <xf numFmtId="0" fontId="0" fillId="4" borderId="1" xfId="0" applyFill="1" applyBorder="1" applyAlignment="1">
      <alignment horizontal="center"/>
    </xf>
    <xf numFmtId="0" fontId="19" fillId="5" borderId="1" xfId="0" applyFont="1" applyFill="1" applyBorder="1" applyAlignment="1">
      <alignment horizontal="center"/>
    </xf>
    <xf numFmtId="0" fontId="19" fillId="3" borderId="0" xfId="0" applyFont="1" applyFill="1" applyAlignment="1">
      <alignment horizontal="center"/>
    </xf>
    <xf numFmtId="0" fontId="1" fillId="3" borderId="0" xfId="0" applyFont="1" applyFill="1" applyAlignment="1">
      <alignment horizontal="left" vertical="center" wrapText="1"/>
    </xf>
    <xf numFmtId="0" fontId="20" fillId="6" borderId="12" xfId="6" applyFont="1" applyFill="1" applyBorder="1"/>
    <xf numFmtId="0" fontId="21" fillId="3" borderId="13" xfId="6" applyFont="1" applyFill="1" applyBorder="1"/>
    <xf numFmtId="0" fontId="24" fillId="3" borderId="13" xfId="1" applyFont="1" applyFill="1" applyBorder="1" applyAlignment="1" applyProtection="1">
      <alignment wrapText="1"/>
    </xf>
    <xf numFmtId="0" fontId="1" fillId="3" borderId="13" xfId="6" applyFill="1" applyBorder="1"/>
    <xf numFmtId="0" fontId="1" fillId="3" borderId="15" xfId="6" applyFill="1" applyBorder="1"/>
    <xf numFmtId="0" fontId="20" fillId="3" borderId="16" xfId="6" applyFont="1" applyFill="1" applyBorder="1"/>
    <xf numFmtId="0" fontId="21" fillId="3" borderId="0" xfId="6" applyFont="1" applyFill="1"/>
    <xf numFmtId="0" fontId="24" fillId="3" borderId="0" xfId="1" applyFont="1" applyFill="1" applyBorder="1" applyAlignment="1" applyProtection="1">
      <alignment horizontal="left" wrapText="1"/>
    </xf>
    <xf numFmtId="0" fontId="1" fillId="3" borderId="0" xfId="6" applyFill="1"/>
    <xf numFmtId="0" fontId="1" fillId="3" borderId="17" xfId="6" applyFill="1" applyBorder="1"/>
    <xf numFmtId="0" fontId="24" fillId="3" borderId="0" xfId="1" applyFont="1" applyFill="1" applyBorder="1" applyAlignment="1" applyProtection="1">
      <alignment horizontal="left"/>
    </xf>
    <xf numFmtId="0" fontId="25" fillId="3" borderId="16" xfId="6" applyFont="1" applyFill="1" applyBorder="1" applyAlignment="1">
      <alignment vertical="top" wrapText="1"/>
    </xf>
    <xf numFmtId="0" fontId="26" fillId="3" borderId="0" xfId="1" applyFont="1" applyFill="1" applyBorder="1" applyProtection="1"/>
    <xf numFmtId="0" fontId="21" fillId="3" borderId="0" xfId="6" applyFont="1" applyFill="1" applyAlignment="1">
      <alignment horizontal="right" vertical="center"/>
    </xf>
    <xf numFmtId="0" fontId="1" fillId="3" borderId="16" xfId="6" applyFill="1" applyBorder="1"/>
    <xf numFmtId="0" fontId="1" fillId="3" borderId="0" xfId="6" applyFill="1" applyAlignment="1">
      <alignment horizontal="right" vertical="center"/>
    </xf>
    <xf numFmtId="0" fontId="7" fillId="2" borderId="19" xfId="6" applyFont="1" applyFill="1" applyBorder="1" applyAlignment="1" applyProtection="1">
      <alignment horizontal="center" vertical="top"/>
      <protection locked="0"/>
    </xf>
    <xf numFmtId="0" fontId="7" fillId="2" borderId="18" xfId="6" applyFont="1" applyFill="1" applyBorder="1" applyAlignment="1" applyProtection="1">
      <alignment horizontal="center" vertical="top"/>
      <protection locked="0"/>
    </xf>
    <xf numFmtId="0" fontId="1" fillId="3" borderId="0" xfId="6" applyFill="1" applyAlignment="1">
      <alignment horizontal="center" vertical="center"/>
    </xf>
    <xf numFmtId="0" fontId="1" fillId="3" borderId="20" xfId="6" applyFill="1" applyBorder="1"/>
    <xf numFmtId="0" fontId="1" fillId="3" borderId="21" xfId="6" applyFill="1" applyBorder="1"/>
    <xf numFmtId="0" fontId="1" fillId="3" borderId="21" xfId="6" applyFill="1" applyBorder="1" applyAlignment="1">
      <alignment vertical="top" wrapText="1"/>
    </xf>
    <xf numFmtId="0" fontId="1" fillId="3" borderId="21" xfId="6" applyFill="1" applyBorder="1" applyAlignment="1">
      <alignment horizontal="center" vertical="center"/>
    </xf>
    <xf numFmtId="0" fontId="1" fillId="3" borderId="22" xfId="6" applyFill="1" applyBorder="1"/>
    <xf numFmtId="0" fontId="20" fillId="6" borderId="12" xfId="0" applyFont="1" applyFill="1" applyBorder="1"/>
    <xf numFmtId="0" fontId="0" fillId="3" borderId="13" xfId="0" applyFill="1" applyBorder="1"/>
    <xf numFmtId="0" fontId="1" fillId="3" borderId="13" xfId="0" applyFont="1" applyFill="1" applyBorder="1" applyAlignment="1">
      <alignment horizontal="right" vertical="center"/>
    </xf>
    <xf numFmtId="0" fontId="0" fillId="2" borderId="23" xfId="0" applyFill="1" applyBorder="1" applyAlignment="1" applyProtection="1">
      <alignment horizontal="center" vertical="center"/>
      <protection locked="0"/>
    </xf>
    <xf numFmtId="0" fontId="1" fillId="3" borderId="24" xfId="0" applyFont="1" applyFill="1" applyBorder="1" applyAlignment="1">
      <alignment horizontal="center" vertical="center"/>
    </xf>
    <xf numFmtId="0" fontId="0" fillId="3" borderId="15" xfId="0" applyFill="1" applyBorder="1"/>
    <xf numFmtId="0" fontId="29" fillId="3" borderId="16" xfId="0" applyFont="1" applyFill="1" applyBorder="1"/>
    <xf numFmtId="0" fontId="1" fillId="3" borderId="0" xfId="0" applyFont="1" applyFill="1" applyAlignment="1">
      <alignment horizontal="right" vertical="center"/>
    </xf>
    <xf numFmtId="0" fontId="0" fillId="2" borderId="1" xfId="0" applyFill="1" applyBorder="1" applyAlignment="1" applyProtection="1">
      <alignment horizontal="center" vertical="center"/>
      <protection locked="0"/>
    </xf>
    <xf numFmtId="0" fontId="1" fillId="3" borderId="2" xfId="0" applyFont="1" applyFill="1" applyBorder="1" applyAlignment="1">
      <alignment horizontal="center" vertical="center"/>
    </xf>
    <xf numFmtId="0" fontId="0" fillId="3" borderId="17" xfId="0" applyFill="1" applyBorder="1"/>
    <xf numFmtId="0" fontId="0" fillId="3" borderId="16" xfId="0" applyFill="1" applyBorder="1"/>
    <xf numFmtId="0" fontId="0" fillId="3" borderId="2" xfId="0" applyFill="1" applyBorder="1" applyAlignment="1">
      <alignment horizontal="center" vertical="center"/>
    </xf>
    <xf numFmtId="0" fontId="0" fillId="2" borderId="25" xfId="0" applyFill="1" applyBorder="1" applyAlignment="1" applyProtection="1">
      <alignment horizontal="center" vertical="center"/>
      <protection locked="0"/>
    </xf>
    <xf numFmtId="0" fontId="30" fillId="3" borderId="2" xfId="0" applyFont="1" applyFill="1" applyBorder="1" applyAlignment="1">
      <alignment horizontal="center" vertical="center"/>
    </xf>
    <xf numFmtId="0" fontId="0" fillId="3" borderId="25" xfId="0" applyFill="1" applyBorder="1" applyAlignment="1" applyProtection="1">
      <alignment horizontal="center" vertical="center"/>
      <protection locked="0"/>
    </xf>
    <xf numFmtId="0" fontId="0" fillId="3" borderId="20" xfId="0" applyFill="1" applyBorder="1"/>
    <xf numFmtId="0" fontId="0" fillId="3" borderId="21" xfId="0" applyFill="1" applyBorder="1"/>
    <xf numFmtId="0" fontId="1" fillId="3" borderId="21" xfId="0" applyFont="1" applyFill="1" applyBorder="1" applyAlignment="1">
      <alignment horizontal="right" vertical="center"/>
    </xf>
    <xf numFmtId="0" fontId="0" fillId="3" borderId="26" xfId="0" applyFill="1" applyBorder="1" applyAlignment="1" applyProtection="1">
      <alignment horizontal="center" vertical="center"/>
      <protection locked="0"/>
    </xf>
    <xf numFmtId="0" fontId="1" fillId="3" borderId="27" xfId="0" applyFont="1" applyFill="1" applyBorder="1" applyAlignment="1">
      <alignment horizontal="center" vertical="center"/>
    </xf>
    <xf numFmtId="0" fontId="0" fillId="3" borderId="22" xfId="0" applyFill="1" applyBorder="1"/>
    <xf numFmtId="0" fontId="0" fillId="6" borderId="13" xfId="0" applyFill="1" applyBorder="1"/>
    <xf numFmtId="2" fontId="0" fillId="0" borderId="23" xfId="0" applyNumberFormat="1" applyBorder="1" applyAlignment="1">
      <alignment horizontal="center" vertical="center"/>
    </xf>
    <xf numFmtId="0" fontId="1" fillId="2" borderId="1" xfId="0" applyFont="1" applyFill="1" applyBorder="1" applyAlignment="1" applyProtection="1">
      <alignment horizontal="center" vertical="center"/>
      <protection locked="0"/>
    </xf>
    <xf numFmtId="0" fontId="1" fillId="0" borderId="1" xfId="0" applyFont="1" applyBorder="1" applyAlignment="1">
      <alignment horizontal="center" vertical="center"/>
    </xf>
    <xf numFmtId="0" fontId="31" fillId="3" borderId="2" xfId="0" applyFont="1" applyFill="1" applyBorder="1" applyAlignment="1">
      <alignment horizontal="center" vertical="center"/>
    </xf>
    <xf numFmtId="0" fontId="0" fillId="3" borderId="14" xfId="0" applyFill="1" applyBorder="1"/>
    <xf numFmtId="2" fontId="1" fillId="0" borderId="1" xfId="0" applyNumberFormat="1" applyFont="1" applyBorder="1" applyAlignment="1">
      <alignment horizontal="center" vertical="center"/>
    </xf>
    <xf numFmtId="0" fontId="0" fillId="4" borderId="0" xfId="0" applyFill="1"/>
    <xf numFmtId="0" fontId="1" fillId="4" borderId="0" xfId="0" applyFont="1" applyFill="1" applyAlignment="1">
      <alignment horizontal="right" vertical="center"/>
    </xf>
    <xf numFmtId="165" fontId="0" fillId="3" borderId="1" xfId="0" applyNumberFormat="1" applyFill="1" applyBorder="1" applyAlignment="1">
      <alignment horizontal="center" vertical="center"/>
    </xf>
    <xf numFmtId="0" fontId="0" fillId="2" borderId="0" xfId="0" applyFill="1"/>
    <xf numFmtId="0" fontId="1" fillId="2" borderId="0" xfId="0" applyFont="1" applyFill="1" applyAlignment="1">
      <alignment horizontal="right" vertical="center"/>
    </xf>
    <xf numFmtId="0" fontId="0" fillId="7" borderId="0" xfId="0" applyFill="1"/>
    <xf numFmtId="0" fontId="1" fillId="7" borderId="0" xfId="0" applyFont="1" applyFill="1" applyAlignment="1">
      <alignment horizontal="right" vertical="center"/>
    </xf>
    <xf numFmtId="165" fontId="0" fillId="3" borderId="25" xfId="0" applyNumberFormat="1" applyFill="1" applyBorder="1" applyAlignment="1">
      <alignment horizontal="center" vertical="center"/>
    </xf>
    <xf numFmtId="0" fontId="1" fillId="3" borderId="13" xfId="0" applyFont="1" applyFill="1" applyBorder="1" applyAlignment="1">
      <alignment horizontal="right"/>
    </xf>
    <xf numFmtId="0" fontId="1" fillId="2" borderId="23" xfId="0" applyFont="1" applyFill="1" applyBorder="1" applyAlignment="1" applyProtection="1">
      <alignment horizontal="center" vertical="center"/>
      <protection locked="0"/>
    </xf>
    <xf numFmtId="0" fontId="0" fillId="3" borderId="24" xfId="0" applyFill="1" applyBorder="1" applyAlignment="1">
      <alignment horizontal="center" vertical="center"/>
    </xf>
    <xf numFmtId="0" fontId="1" fillId="3" borderId="0" xfId="0" applyFont="1" applyFill="1" applyAlignment="1">
      <alignment horizontal="right"/>
    </xf>
    <xf numFmtId="0" fontId="1" fillId="4" borderId="1" xfId="6" applyFill="1" applyBorder="1" applyAlignment="1" applyProtection="1">
      <alignment horizontal="center" vertical="center"/>
      <protection locked="0"/>
    </xf>
    <xf numFmtId="0" fontId="32" fillId="0" borderId="0" xfId="0" applyFont="1"/>
    <xf numFmtId="0" fontId="33" fillId="3" borderId="16" xfId="6" applyFont="1" applyFill="1" applyBorder="1" applyAlignment="1">
      <alignment horizontal="left" vertical="top" wrapText="1"/>
    </xf>
    <xf numFmtId="165" fontId="0" fillId="2" borderId="1" xfId="0" applyNumberFormat="1" applyFill="1" applyBorder="1" applyAlignment="1" applyProtection="1">
      <alignment horizontal="center" vertical="center"/>
      <protection locked="0"/>
    </xf>
    <xf numFmtId="0" fontId="8" fillId="3" borderId="16" xfId="1" applyFill="1" applyBorder="1" applyAlignment="1" applyProtection="1">
      <alignment horizontal="left"/>
    </xf>
    <xf numFmtId="165" fontId="0" fillId="0" borderId="1" xfId="0" applyNumberFormat="1" applyBorder="1" applyAlignment="1">
      <alignment horizontal="center" vertical="center"/>
    </xf>
    <xf numFmtId="2" fontId="0" fillId="3" borderId="1" xfId="0" applyNumberFormat="1" applyFill="1" applyBorder="1" applyAlignment="1">
      <alignment horizontal="center" vertical="center"/>
    </xf>
    <xf numFmtId="0" fontId="0" fillId="0" borderId="16" xfId="0" applyBorder="1"/>
    <xf numFmtId="9" fontId="0" fillId="3" borderId="1" xfId="0" applyNumberFormat="1" applyFill="1" applyBorder="1" applyAlignment="1">
      <alignment horizontal="center" vertical="center"/>
    </xf>
    <xf numFmtId="0" fontId="8" fillId="3" borderId="16" xfId="1" applyFill="1" applyBorder="1" applyProtection="1"/>
    <xf numFmtId="0" fontId="1" fillId="0" borderId="0" xfId="0" applyFont="1" applyAlignment="1">
      <alignment horizontal="right"/>
    </xf>
    <xf numFmtId="0" fontId="1" fillId="0" borderId="2" xfId="0" applyFont="1" applyBorder="1" applyAlignment="1">
      <alignment horizontal="center"/>
    </xf>
    <xf numFmtId="0" fontId="1" fillId="3" borderId="17" xfId="0" applyFont="1" applyFill="1" applyBorder="1"/>
    <xf numFmtId="0" fontId="1" fillId="3" borderId="21" xfId="0" applyFont="1" applyFill="1" applyBorder="1" applyAlignment="1">
      <alignment horizontal="right"/>
    </xf>
    <xf numFmtId="2" fontId="0" fillId="3" borderId="26" xfId="0" applyNumberFormat="1" applyFill="1" applyBorder="1" applyAlignment="1">
      <alignment horizontal="center" vertical="center"/>
    </xf>
    <xf numFmtId="0" fontId="0" fillId="3" borderId="27" xfId="0" applyFill="1" applyBorder="1" applyAlignment="1">
      <alignment horizontal="center" vertical="center"/>
    </xf>
    <xf numFmtId="0" fontId="1" fillId="3" borderId="22" xfId="0" applyFont="1" applyFill="1" applyBorder="1"/>
    <xf numFmtId="0" fontId="20" fillId="6" borderId="16" xfId="0" applyFont="1" applyFill="1" applyBorder="1"/>
    <xf numFmtId="0" fontId="0" fillId="6" borderId="0" xfId="0" applyFill="1"/>
    <xf numFmtId="0" fontId="0" fillId="2" borderId="28" xfId="0" applyFill="1" applyBorder="1" applyAlignment="1" applyProtection="1">
      <alignment horizontal="center" vertical="center"/>
      <protection locked="0"/>
    </xf>
    <xf numFmtId="0" fontId="1" fillId="3" borderId="29" xfId="0" applyFont="1" applyFill="1" applyBorder="1" applyAlignment="1">
      <alignment horizontal="center" vertical="center"/>
    </xf>
    <xf numFmtId="2" fontId="0" fillId="3" borderId="30" xfId="0" applyNumberFormat="1" applyFill="1" applyBorder="1" applyAlignment="1">
      <alignment horizontal="center" vertical="center"/>
    </xf>
    <xf numFmtId="0" fontId="35" fillId="3" borderId="0" xfId="0" applyFont="1" applyFill="1"/>
    <xf numFmtId="0" fontId="0" fillId="3" borderId="29" xfId="0" applyFill="1" applyBorder="1" applyAlignment="1">
      <alignment horizontal="center"/>
    </xf>
    <xf numFmtId="0" fontId="32" fillId="3" borderId="0" xfId="0" applyFont="1" applyFill="1" applyAlignment="1">
      <alignment horizontal="right"/>
    </xf>
    <xf numFmtId="0" fontId="32" fillId="3" borderId="0" xfId="0" applyFont="1" applyFill="1" applyAlignment="1">
      <alignment horizontal="center"/>
    </xf>
    <xf numFmtId="2" fontId="0" fillId="3" borderId="31" xfId="0" applyNumberFormat="1" applyFill="1" applyBorder="1" applyAlignment="1">
      <alignment horizontal="center" vertical="center"/>
    </xf>
    <xf numFmtId="2" fontId="0" fillId="3" borderId="0" xfId="0" applyNumberFormat="1" applyFill="1" applyAlignment="1">
      <alignment horizontal="center" vertical="center"/>
    </xf>
    <xf numFmtId="0" fontId="1" fillId="3" borderId="0" xfId="0" applyFont="1" applyFill="1" applyAlignment="1">
      <alignment horizontal="center" vertical="center"/>
    </xf>
    <xf numFmtId="0" fontId="0" fillId="3" borderId="32" xfId="0" applyFill="1" applyBorder="1"/>
    <xf numFmtId="0" fontId="10" fillId="3" borderId="13" xfId="0" applyFont="1" applyFill="1" applyBorder="1" applyAlignment="1">
      <alignment horizontal="right" vertical="center"/>
    </xf>
    <xf numFmtId="0" fontId="0" fillId="3" borderId="23" xfId="0" applyFill="1" applyBorder="1" applyAlignment="1">
      <alignment horizontal="center" vertical="center"/>
    </xf>
    <xf numFmtId="0" fontId="1" fillId="3" borderId="13" xfId="0" applyFont="1" applyFill="1" applyBorder="1" applyAlignment="1">
      <alignment horizontal="center" vertical="center"/>
    </xf>
    <xf numFmtId="0" fontId="10" fillId="3" borderId="0" xfId="0" applyFont="1" applyFill="1" applyAlignment="1">
      <alignment horizontal="right" vertical="center"/>
    </xf>
    <xf numFmtId="0" fontId="0" fillId="3" borderId="28" xfId="0" applyFill="1" applyBorder="1" applyAlignment="1">
      <alignment horizontal="center" vertical="center"/>
    </xf>
    <xf numFmtId="0" fontId="31" fillId="3" borderId="0" xfId="0" applyFont="1" applyFill="1" applyAlignment="1">
      <alignment horizontal="center" vertical="center"/>
    </xf>
    <xf numFmtId="0" fontId="0" fillId="3" borderId="0" xfId="0" applyFill="1" applyAlignment="1">
      <alignment horizontal="right" vertical="center"/>
    </xf>
    <xf numFmtId="0" fontId="0" fillId="3" borderId="1" xfId="0" applyFill="1" applyBorder="1" applyAlignment="1">
      <alignment horizontal="center" vertical="center"/>
    </xf>
    <xf numFmtId="0" fontId="0" fillId="8" borderId="12" xfId="0" applyFill="1" applyBorder="1"/>
    <xf numFmtId="0" fontId="1" fillId="8" borderId="13" xfId="0" applyFont="1" applyFill="1" applyBorder="1" applyAlignment="1">
      <alignment horizontal="center"/>
    </xf>
    <xf numFmtId="0" fontId="32" fillId="8" borderId="13" xfId="0" applyFont="1" applyFill="1" applyBorder="1" applyAlignment="1">
      <alignment horizontal="center"/>
    </xf>
    <xf numFmtId="0" fontId="32" fillId="8" borderId="15" xfId="0" applyFont="1" applyFill="1" applyBorder="1" applyAlignment="1">
      <alignment horizontal="left"/>
    </xf>
    <xf numFmtId="0" fontId="32" fillId="3" borderId="0" xfId="0" applyFont="1" applyFill="1"/>
    <xf numFmtId="0" fontId="0" fillId="3" borderId="33" xfId="0" applyFill="1" applyBorder="1"/>
    <xf numFmtId="0" fontId="1" fillId="3" borderId="1" xfId="0" applyFont="1" applyFill="1" applyBorder="1" applyAlignment="1">
      <alignment horizontal="right"/>
    </xf>
    <xf numFmtId="165" fontId="0" fillId="3" borderId="1" xfId="0" applyNumberFormat="1" applyFill="1" applyBorder="1" applyAlignment="1">
      <alignment horizontal="center"/>
    </xf>
    <xf numFmtId="0" fontId="1" fillId="3" borderId="34" xfId="0" applyFont="1" applyFill="1" applyBorder="1"/>
    <xf numFmtId="165" fontId="0" fillId="3" borderId="0" xfId="0" applyNumberFormat="1" applyFill="1" applyAlignment="1">
      <alignment horizontal="center"/>
    </xf>
    <xf numFmtId="1" fontId="0" fillId="3" borderId="1" xfId="0" applyNumberFormat="1" applyFill="1" applyBorder="1" applyAlignment="1">
      <alignment horizontal="center"/>
    </xf>
    <xf numFmtId="1" fontId="0" fillId="3" borderId="0" xfId="0" applyNumberFormat="1" applyFill="1" applyAlignment="1">
      <alignment horizontal="center"/>
    </xf>
    <xf numFmtId="0" fontId="0" fillId="3" borderId="25" xfId="0" applyFill="1" applyBorder="1" applyAlignment="1">
      <alignment horizontal="center" vertical="center"/>
    </xf>
    <xf numFmtId="166" fontId="0" fillId="3" borderId="1" xfId="0" applyNumberFormat="1" applyFill="1" applyBorder="1" applyAlignment="1">
      <alignment horizontal="center"/>
    </xf>
    <xf numFmtId="166" fontId="1" fillId="3" borderId="1" xfId="0" applyNumberFormat="1" applyFont="1" applyFill="1" applyBorder="1" applyAlignment="1">
      <alignment horizontal="right"/>
    </xf>
    <xf numFmtId="2" fontId="0" fillId="3" borderId="0" xfId="0" applyNumberFormat="1" applyFill="1" applyAlignment="1">
      <alignment horizontal="center"/>
    </xf>
    <xf numFmtId="2" fontId="0" fillId="3" borderId="25" xfId="0" applyNumberFormat="1" applyFill="1" applyBorder="1" applyAlignment="1">
      <alignment horizontal="center" vertical="center"/>
    </xf>
    <xf numFmtId="1" fontId="1" fillId="3" borderId="1" xfId="6" applyNumberFormat="1" applyFill="1" applyBorder="1" applyAlignment="1">
      <alignment horizontal="center" vertical="center"/>
    </xf>
    <xf numFmtId="166" fontId="0" fillId="3" borderId="0" xfId="0" applyNumberFormat="1" applyFill="1" applyAlignment="1">
      <alignment horizontal="center"/>
    </xf>
    <xf numFmtId="0" fontId="0" fillId="0" borderId="1" xfId="0" applyBorder="1" applyAlignment="1">
      <alignment horizontal="center"/>
    </xf>
    <xf numFmtId="1" fontId="1" fillId="3" borderId="0" xfId="0" applyNumberFormat="1" applyFont="1" applyFill="1" applyAlignment="1">
      <alignment horizontal="center" vertical="center"/>
    </xf>
    <xf numFmtId="0" fontId="1" fillId="3" borderId="16" xfId="0" applyFont="1" applyFill="1" applyBorder="1" applyAlignment="1">
      <alignment horizontal="right"/>
    </xf>
    <xf numFmtId="0" fontId="1" fillId="3" borderId="0" xfId="0" applyFont="1" applyFill="1" applyAlignment="1">
      <alignment horizontal="left"/>
    </xf>
    <xf numFmtId="0" fontId="0" fillId="3" borderId="0" xfId="0" applyFill="1" applyAlignment="1">
      <alignment horizontal="right"/>
    </xf>
    <xf numFmtId="164" fontId="1" fillId="3" borderId="0" xfId="0" applyNumberFormat="1" applyFont="1" applyFill="1" applyAlignment="1">
      <alignment horizontal="center"/>
    </xf>
    <xf numFmtId="0" fontId="1" fillId="3" borderId="21" xfId="0" applyFont="1" applyFill="1" applyBorder="1" applyAlignment="1">
      <alignment horizontal="left"/>
    </xf>
    <xf numFmtId="0" fontId="0" fillId="3" borderId="21" xfId="0" applyFill="1" applyBorder="1" applyAlignment="1">
      <alignment horizontal="center"/>
    </xf>
    <xf numFmtId="0" fontId="29" fillId="3" borderId="0" xfId="0" applyFont="1" applyFill="1"/>
    <xf numFmtId="0" fontId="20" fillId="3" borderId="0" xfId="0" applyFont="1" applyFill="1"/>
    <xf numFmtId="0" fontId="1" fillId="0" borderId="0" xfId="0" applyFont="1" applyAlignment="1">
      <alignment horizontal="center"/>
    </xf>
    <xf numFmtId="0" fontId="0" fillId="0" borderId="0" xfId="0" applyAlignment="1">
      <alignment horizontal="right"/>
    </xf>
    <xf numFmtId="0" fontId="0" fillId="0" borderId="0" xfId="0" applyAlignment="1">
      <alignment horizontal="left"/>
    </xf>
    <xf numFmtId="0" fontId="19" fillId="0" borderId="0" xfId="0" applyFont="1"/>
    <xf numFmtId="2" fontId="0" fillId="0" borderId="0" xfId="0" applyNumberFormat="1"/>
    <xf numFmtId="0" fontId="0" fillId="0" borderId="1" xfId="0" applyBorder="1" applyAlignment="1" applyProtection="1">
      <alignment horizontal="center" vertical="center"/>
      <protection locked="0"/>
    </xf>
    <xf numFmtId="0" fontId="0" fillId="0" borderId="0" xfId="0" applyAlignment="1" applyProtection="1">
      <alignment horizontal="center" vertical="center"/>
      <protection locked="0"/>
    </xf>
    <xf numFmtId="166" fontId="0" fillId="0" borderId="0" xfId="0" applyNumberFormat="1" applyAlignment="1">
      <alignment horizontal="center"/>
    </xf>
    <xf numFmtId="166" fontId="0" fillId="0" borderId="0" xfId="0" applyNumberFormat="1" applyAlignment="1" applyProtection="1">
      <alignment horizontal="center" vertical="center"/>
      <protection locked="0"/>
    </xf>
    <xf numFmtId="11" fontId="0" fillId="0" borderId="0" xfId="0" applyNumberFormat="1" applyAlignment="1" applyProtection="1">
      <alignment horizontal="center" vertical="center"/>
      <protection locked="0"/>
    </xf>
    <xf numFmtId="0" fontId="41" fillId="0" borderId="0" xfId="0" applyFont="1" applyAlignment="1">
      <alignment horizontal="center"/>
    </xf>
    <xf numFmtId="0" fontId="32" fillId="0" borderId="0" xfId="0" applyFont="1" applyAlignment="1">
      <alignment horizontal="center"/>
    </xf>
    <xf numFmtId="2" fontId="1" fillId="0" borderId="0" xfId="0" applyNumberFormat="1" applyFont="1"/>
    <xf numFmtId="10" fontId="0" fillId="0" borderId="0" xfId="0" applyNumberFormat="1"/>
    <xf numFmtId="2" fontId="0" fillId="0" borderId="0" xfId="0" applyNumberFormat="1" applyAlignment="1">
      <alignment horizontal="right" indent="9"/>
    </xf>
    <xf numFmtId="2" fontId="0" fillId="0" borderId="0" xfId="0" applyNumberFormat="1" applyAlignment="1">
      <alignment horizontal="center"/>
    </xf>
    <xf numFmtId="2" fontId="0" fillId="3" borderId="23" xfId="0" applyNumberFormat="1" applyFill="1" applyBorder="1" applyAlignment="1">
      <alignment horizontal="center" vertical="center"/>
    </xf>
    <xf numFmtId="0" fontId="1" fillId="0" borderId="1" xfId="0" applyFont="1" applyBorder="1" applyAlignment="1">
      <alignment horizontal="center"/>
    </xf>
    <xf numFmtId="0" fontId="1" fillId="0" borderId="14" xfId="0" applyFont="1" applyBorder="1" applyAlignment="1">
      <alignment horizontal="center"/>
    </xf>
    <xf numFmtId="2" fontId="0" fillId="0" borderId="1" xfId="0" applyNumberFormat="1" applyBorder="1" applyAlignment="1">
      <alignment horizontal="center"/>
    </xf>
    <xf numFmtId="0" fontId="0" fillId="0" borderId="25" xfId="0" applyBorder="1" applyAlignment="1">
      <alignment horizontal="center"/>
    </xf>
    <xf numFmtId="0" fontId="0" fillId="0" borderId="35" xfId="0" applyBorder="1" applyAlignment="1">
      <alignment horizontal="center"/>
    </xf>
    <xf numFmtId="0" fontId="0" fillId="0" borderId="28" xfId="0" applyBorder="1" applyAlignment="1">
      <alignment horizontal="center"/>
    </xf>
    <xf numFmtId="0" fontId="1" fillId="0" borderId="0" xfId="0" applyFont="1" applyAlignment="1">
      <alignment horizontal="left"/>
    </xf>
    <xf numFmtId="0" fontId="42" fillId="0" borderId="0" xfId="6" applyFont="1"/>
    <xf numFmtId="2" fontId="1" fillId="0" borderId="0" xfId="6" applyNumberFormat="1"/>
    <xf numFmtId="10" fontId="1" fillId="0" borderId="0" xfId="6" applyNumberFormat="1"/>
    <xf numFmtId="0" fontId="41" fillId="0" borderId="0" xfId="6" applyFont="1"/>
    <xf numFmtId="0" fontId="41" fillId="0" borderId="0" xfId="6" applyFont="1" applyAlignment="1">
      <alignment horizontal="center"/>
    </xf>
    <xf numFmtId="0" fontId="43" fillId="0" borderId="0" xfId="6" applyFont="1" applyAlignment="1">
      <alignment horizontal="center"/>
    </xf>
    <xf numFmtId="165" fontId="1" fillId="0" borderId="0" xfId="6" applyNumberFormat="1" applyAlignment="1">
      <alignment horizontal="center"/>
    </xf>
    <xf numFmtId="2" fontId="1" fillId="0" borderId="0" xfId="6" applyNumberFormat="1" applyAlignment="1">
      <alignment horizontal="center"/>
    </xf>
    <xf numFmtId="2" fontId="1" fillId="0" borderId="16" xfId="6" applyNumberFormat="1" applyBorder="1" applyAlignment="1">
      <alignment horizontal="center"/>
    </xf>
    <xf numFmtId="166" fontId="1" fillId="0" borderId="0" xfId="6" applyNumberFormat="1" applyAlignment="1">
      <alignment horizontal="center"/>
    </xf>
    <xf numFmtId="0" fontId="1" fillId="0" borderId="0" xfId="6" applyAlignment="1">
      <alignment horizontal="center"/>
    </xf>
    <xf numFmtId="167" fontId="1" fillId="0" borderId="0" xfId="6" applyNumberFormat="1" applyAlignment="1">
      <alignment horizontal="center"/>
    </xf>
    <xf numFmtId="0" fontId="1" fillId="0" borderId="1" xfId="6" applyBorder="1"/>
    <xf numFmtId="165" fontId="1" fillId="0" borderId="0" xfId="6" applyNumberFormat="1"/>
    <xf numFmtId="0" fontId="1" fillId="0" borderId="25" xfId="6" applyBorder="1"/>
    <xf numFmtId="2" fontId="1" fillId="0" borderId="1" xfId="6" applyNumberFormat="1" applyBorder="1"/>
    <xf numFmtId="0" fontId="42" fillId="0" borderId="0" xfId="6" applyFont="1" applyAlignment="1">
      <alignment horizontal="center"/>
    </xf>
    <xf numFmtId="0" fontId="42" fillId="0" borderId="0" xfId="6" applyFont="1" applyAlignment="1">
      <alignment horizontal="left"/>
    </xf>
    <xf numFmtId="0" fontId="2" fillId="0" borderId="0" xfId="6" applyFont="1" applyAlignment="1">
      <alignment horizontal="center"/>
    </xf>
    <xf numFmtId="0" fontId="1" fillId="0" borderId="0" xfId="6" applyAlignment="1">
      <alignment horizontal="right"/>
    </xf>
    <xf numFmtId="2" fontId="1" fillId="0" borderId="0" xfId="6" applyNumberFormat="1" applyAlignment="1">
      <alignment horizontal="left"/>
    </xf>
    <xf numFmtId="2" fontId="42" fillId="0" borderId="0" xfId="6" applyNumberFormat="1" applyFont="1" applyAlignment="1">
      <alignment horizontal="center"/>
    </xf>
    <xf numFmtId="0" fontId="32" fillId="0" borderId="0" xfId="0" applyFont="1" applyAlignment="1" applyProtection="1">
      <alignment horizontal="left"/>
      <protection locked="0"/>
    </xf>
    <xf numFmtId="0" fontId="32" fillId="0" borderId="31" xfId="0" applyFont="1" applyBorder="1" applyAlignment="1">
      <alignment horizontal="center"/>
    </xf>
    <xf numFmtId="0" fontId="32" fillId="0" borderId="36" xfId="0" applyFont="1" applyBorder="1" applyAlignment="1">
      <alignment horizontal="center"/>
    </xf>
    <xf numFmtId="0" fontId="32" fillId="0" borderId="33" xfId="0" applyFont="1" applyBorder="1" applyAlignment="1">
      <alignment horizontal="center"/>
    </xf>
    <xf numFmtId="0" fontId="32" fillId="0" borderId="34" xfId="0" applyFont="1" applyBorder="1" applyAlignment="1">
      <alignment horizontal="center"/>
    </xf>
    <xf numFmtId="0" fontId="0" fillId="0" borderId="33" xfId="0" applyBorder="1" applyAlignment="1" applyProtection="1">
      <alignment horizontal="center"/>
      <protection locked="0"/>
    </xf>
    <xf numFmtId="0" fontId="0" fillId="0" borderId="34" xfId="0" applyBorder="1" applyAlignment="1" applyProtection="1">
      <alignment horizontal="center"/>
      <protection locked="0"/>
    </xf>
    <xf numFmtId="0" fontId="0" fillId="0" borderId="37" xfId="0" applyBorder="1" applyAlignment="1" applyProtection="1">
      <alignment horizontal="center"/>
      <protection locked="0"/>
    </xf>
    <xf numFmtId="0" fontId="0" fillId="0" borderId="38" xfId="0" applyBorder="1" applyAlignment="1" applyProtection="1">
      <alignment horizontal="center"/>
      <protection locked="0"/>
    </xf>
    <xf numFmtId="0" fontId="42" fillId="9" borderId="0" xfId="6" applyFont="1" applyFill="1"/>
    <xf numFmtId="0" fontId="8" fillId="3" borderId="16" xfId="1" applyFill="1" applyBorder="1" applyAlignment="1" applyProtection="1">
      <alignment horizontal="left" vertical="top" wrapText="1"/>
    </xf>
    <xf numFmtId="0" fontId="33" fillId="3" borderId="16" xfId="6" applyFont="1" applyFill="1" applyBorder="1" applyAlignment="1">
      <alignment horizontal="left" vertical="top" wrapText="1"/>
    </xf>
    <xf numFmtId="0" fontId="34" fillId="3" borderId="21" xfId="0" applyFont="1" applyFill="1" applyBorder="1" applyAlignment="1">
      <alignment horizontal="left" vertical="top" wrapText="1"/>
    </xf>
    <xf numFmtId="0" fontId="35" fillId="3" borderId="16" xfId="0" applyFont="1" applyFill="1" applyBorder="1" applyAlignment="1">
      <alignment horizontal="left" vertical="top" wrapText="1"/>
    </xf>
    <xf numFmtId="0" fontId="41" fillId="0" borderId="0" xfId="0" applyFont="1" applyAlignment="1">
      <alignment horizontal="center"/>
    </xf>
    <xf numFmtId="0" fontId="32" fillId="0" borderId="0" xfId="0" applyFont="1" applyAlignment="1">
      <alignment horizontal="center"/>
    </xf>
    <xf numFmtId="0" fontId="41" fillId="0" borderId="1" xfId="6" applyFont="1" applyBorder="1" applyAlignment="1">
      <alignment horizontal="center"/>
    </xf>
    <xf numFmtId="0" fontId="1" fillId="0" borderId="25" xfId="6" applyBorder="1" applyAlignment="1">
      <alignment horizontal="center"/>
    </xf>
    <xf numFmtId="0" fontId="42" fillId="0" borderId="0" xfId="6" applyFont="1" applyAlignment="1">
      <alignment horizontal="center"/>
    </xf>
    <xf numFmtId="2" fontId="1" fillId="0" borderId="0" xfId="6" applyNumberFormat="1" applyAlignment="1">
      <alignment horizontal="center"/>
    </xf>
  </cellXfs>
  <cellStyles count="11">
    <cellStyle name="ENTER VALUE" xfId="2" xr:uid="{00000000-0005-0000-0000-000006000000}"/>
    <cellStyle name="ENTER VALUE 2" xfId="3" xr:uid="{00000000-0005-0000-0000-000007000000}"/>
    <cellStyle name="ENTER VALUE 3" xfId="4" xr:uid="{00000000-0005-0000-0000-000008000000}"/>
    <cellStyle name="ENTER VALUE 4" xfId="5" xr:uid="{00000000-0005-0000-0000-000009000000}"/>
    <cellStyle name="Hyperlink" xfId="1" builtinId="8"/>
    <cellStyle name="Normal" xfId="0" builtinId="0"/>
    <cellStyle name="Normal 2" xfId="6" xr:uid="{00000000-0005-0000-0000-00000A000000}"/>
    <cellStyle name="Normal 3" xfId="7" xr:uid="{00000000-0005-0000-0000-00000B000000}"/>
    <cellStyle name="Style 1" xfId="8" xr:uid="{00000000-0005-0000-0000-00000C000000}"/>
    <cellStyle name="Style 2" xfId="9" xr:uid="{00000000-0005-0000-0000-00000D000000}"/>
    <cellStyle name="UNIT" xfId="10" xr:uid="{00000000-0005-0000-0000-00000E000000}"/>
  </cellStyles>
  <dxfs count="27">
    <dxf>
      <font>
        <color rgb="FFFFFFFF"/>
      </font>
      <fill>
        <patternFill>
          <bgColor rgb="FFFFFFFF"/>
        </patternFill>
      </fill>
    </dxf>
    <dxf>
      <font>
        <color rgb="FFFFFFFF"/>
      </font>
      <fill>
        <patternFill>
          <bgColor rgb="FFFFFFFF"/>
        </patternFill>
      </fill>
    </dxf>
    <dxf>
      <font>
        <color rgb="FFFFFFFF"/>
      </font>
    </dxf>
    <dxf>
      <font>
        <strike/>
        <color rgb="FFBFBFBF"/>
      </font>
      <fill>
        <patternFill>
          <bgColor rgb="FFFFFFFF"/>
        </patternFill>
      </fill>
    </dxf>
    <dxf>
      <fill>
        <patternFill>
          <bgColor rgb="FFFF0000"/>
        </patternFill>
      </fill>
    </dxf>
    <dxf>
      <fill>
        <patternFill>
          <bgColor rgb="FFFFFF00"/>
        </patternFill>
      </fill>
    </dxf>
    <dxf>
      <fill>
        <patternFill>
          <bgColor rgb="FFFF0000"/>
        </patternFill>
      </fill>
    </dxf>
    <dxf>
      <font>
        <color rgb="FFFFFFFF"/>
      </font>
      <fill>
        <patternFill>
          <bgColor rgb="FFFFFFFF"/>
        </patternFill>
      </fill>
      <border diagonalUp="0" diagonalDown="0">
        <left/>
        <right/>
        <top/>
        <bottom/>
      </border>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53735"/>
        </patternFill>
      </fill>
    </dxf>
    <dxf>
      <fill>
        <patternFill>
          <bgColor rgb="FFFF0000"/>
        </patternFill>
      </fill>
    </dxf>
    <dxf>
      <fill>
        <patternFill>
          <bgColor rgb="FFFF0000"/>
        </patternFill>
      </fill>
    </dxf>
    <dxf>
      <font>
        <strike val="0"/>
        <color rgb="FFFFFFFF"/>
      </font>
      <fill>
        <patternFill>
          <bgColor rgb="FFFFFFFF"/>
        </patternFill>
      </fill>
    </dxf>
    <dxf>
      <font>
        <color rgb="FFFFFFFF"/>
      </font>
      <fill>
        <patternFill>
          <bgColor rgb="FFFFFFFF"/>
        </patternFill>
      </fill>
    </dxf>
    <dxf>
      <font>
        <color rgb="FFFFFFFF"/>
      </font>
      <fill>
        <patternFill>
          <bgColor rgb="FFFFFFFF"/>
        </patternFill>
      </fill>
      <border diagonalUp="0" diagonalDown="0">
        <left/>
        <right/>
        <top/>
        <bottom/>
      </border>
    </dxf>
    <dxf>
      <font>
        <color rgb="FFFFFFFF"/>
      </font>
      <fill>
        <patternFill>
          <bgColor rgb="FFFFFFFF"/>
        </patternFill>
      </fill>
      <border diagonalUp="0" diagonalDown="0">
        <left/>
        <right/>
        <top style="thin">
          <color auto="1"/>
        </top>
        <bottom/>
      </border>
    </dxf>
    <dxf>
      <font>
        <color rgb="FFFFFFFF"/>
      </font>
      <fill>
        <patternFill>
          <bgColor rgb="FFFFFFFF"/>
        </patternFill>
      </fill>
    </dxf>
    <dxf>
      <font>
        <color rgb="FFFFFFFF"/>
      </font>
      <fill>
        <patternFill>
          <bgColor rgb="FFFFFFFF"/>
        </patternFill>
      </fill>
    </dxf>
    <dxf>
      <font>
        <color rgb="FFFFFFFF"/>
      </font>
      <fill>
        <patternFill>
          <bgColor rgb="FFFFFFFF"/>
        </patternFill>
      </fill>
    </dxf>
    <dxf>
      <font>
        <color rgb="FFFFFFFF"/>
      </font>
      <fill>
        <patternFill>
          <bgColor rgb="FFFFFFFF"/>
        </patternFill>
      </fill>
    </dxf>
    <dxf>
      <font>
        <color rgb="FFFFFFFF"/>
      </font>
      <fill>
        <patternFill>
          <bgColor rgb="FFFFFFFF"/>
        </patternFill>
      </fill>
    </dxf>
    <dxf>
      <font>
        <color rgb="FFFFFFFF"/>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878787"/>
      <rgbColor rgb="FF953735"/>
      <rgbColor rgb="FFFFFFCC"/>
      <rgbColor rgb="FFCCFFFF"/>
      <rgbColor rgb="FF660066"/>
      <rgbColor rgb="FFD99694"/>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B7B7B7"/>
      <rgbColor rgb="FFFF99CC"/>
      <rgbColor rgb="FFCC99FF"/>
      <rgbColor rgb="FFC3D69B"/>
      <rgbColor rgb="FF4A7EBB"/>
      <rgbColor rgb="FF33CCCC"/>
      <rgbColor rgb="FF99CC00"/>
      <rgbColor rgb="FFFFCC00"/>
      <rgbColor rgb="FFFF9900"/>
      <rgbColor rgb="FFFF6600"/>
      <rgbColor rgb="FF8064A2"/>
      <rgbColor rgb="FF969696"/>
      <rgbColor rgb="FF003366"/>
      <rgbColor rgb="FF339966"/>
      <rgbColor rgb="FF003300"/>
      <rgbColor rgb="FF333300"/>
      <rgbColor rgb="FF993300"/>
      <rgbColor rgb="FFBE4B48"/>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0.126783017284779"/>
          <c:y val="0.106160896130346"/>
          <c:w val="0.83117972814230601"/>
          <c:h val="0.76871181262729105"/>
        </c:manualLayout>
      </c:layout>
      <c:scatterChart>
        <c:scatterStyle val="lineMarker"/>
        <c:varyColors val="0"/>
        <c:ser>
          <c:idx val="0"/>
          <c:order val="0"/>
          <c:tx>
            <c:v>Temp Derated FET SOA (t = Tfault)</c:v>
          </c:tx>
          <c:spPr>
            <a:ln w="25560">
              <a:solidFill>
                <a:srgbClr val="008000"/>
              </a:solidFill>
              <a:round/>
            </a:ln>
          </c:spPr>
          <c:marker>
            <c:symbol val="none"/>
          </c:marker>
          <c:dLbls>
            <c:spPr>
              <a:noFill/>
              <a:ln>
                <a:noFill/>
              </a:ln>
              <a:effectLst/>
            </c:spPr>
            <c:txPr>
              <a:bodyPr/>
              <a:lstStyle/>
              <a:p>
                <a:pPr>
                  <a:defRPr sz="950" b="0" strike="noStrike" spc="-1">
                    <a:solidFill>
                      <a:srgbClr val="000000"/>
                    </a:solidFill>
                    <a:latin typeface="Arial"/>
                    <a:ea typeface="Arial"/>
                  </a:defRPr>
                </a:pPr>
                <a:endParaRPr lang="LID4096"/>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xVal>
            <c:numRef>
              <c:f>Equations!$R$146:$R$162</c:f>
              <c:numCache>
                <c:formatCode>General</c:formatCode>
                <c:ptCount val="17"/>
                <c:pt idx="0">
                  <c:v>0.43333333333333335</c:v>
                </c:pt>
                <c:pt idx="1">
                  <c:v>4.333333333333333</c:v>
                </c:pt>
                <c:pt idx="2">
                  <c:v>8.6666666666666661</c:v>
                </c:pt>
                <c:pt idx="3">
                  <c:v>13</c:v>
                </c:pt>
                <c:pt idx="4">
                  <c:v>17.333333333333332</c:v>
                </c:pt>
                <c:pt idx="5">
                  <c:v>21.666666666666668</c:v>
                </c:pt>
                <c:pt idx="6">
                  <c:v>26</c:v>
                </c:pt>
                <c:pt idx="7">
                  <c:v>30.333333333333336</c:v>
                </c:pt>
                <c:pt idx="8">
                  <c:v>34.666666666666664</c:v>
                </c:pt>
                <c:pt idx="9">
                  <c:v>39</c:v>
                </c:pt>
                <c:pt idx="10">
                  <c:v>43.333333333333336</c:v>
                </c:pt>
                <c:pt idx="11">
                  <c:v>47.666666666666664</c:v>
                </c:pt>
                <c:pt idx="12">
                  <c:v>52</c:v>
                </c:pt>
                <c:pt idx="13">
                  <c:v>56.333333333333329</c:v>
                </c:pt>
                <c:pt idx="14">
                  <c:v>60.666666666666671</c:v>
                </c:pt>
                <c:pt idx="15">
                  <c:v>65</c:v>
                </c:pt>
                <c:pt idx="16">
                  <c:v>69.333333333333329</c:v>
                </c:pt>
              </c:numCache>
            </c:numRef>
          </c:xVal>
          <c:yVal>
            <c:numRef>
              <c:f>Equations!$V$146:$V$162</c:f>
              <c:numCache>
                <c:formatCode>0.00</c:formatCode>
                <c:ptCount val="17"/>
                <c:pt idx="0">
                  <c:v>2644.2540989817026</c:v>
                </c:pt>
                <c:pt idx="1">
                  <c:v>264.4254098981703</c:v>
                </c:pt>
                <c:pt idx="2">
                  <c:v>132.21270494908515</c:v>
                </c:pt>
                <c:pt idx="3">
                  <c:v>88.141803299390091</c:v>
                </c:pt>
                <c:pt idx="4">
                  <c:v>66.106352474542575</c:v>
                </c:pt>
                <c:pt idx="5">
                  <c:v>52.885081979634052</c:v>
                </c:pt>
                <c:pt idx="6">
                  <c:v>44.070901649695045</c:v>
                </c:pt>
                <c:pt idx="7">
                  <c:v>37.775058556881461</c:v>
                </c:pt>
                <c:pt idx="8">
                  <c:v>33.053176237271288</c:v>
                </c:pt>
                <c:pt idx="9">
                  <c:v>29.380601099796696</c:v>
                </c:pt>
                <c:pt idx="10">
                  <c:v>26.442540989817026</c:v>
                </c:pt>
                <c:pt idx="11">
                  <c:v>24.038673627106387</c:v>
                </c:pt>
                <c:pt idx="12">
                  <c:v>22.035450824847523</c:v>
                </c:pt>
                <c:pt idx="13">
                  <c:v>20.340416146013098</c:v>
                </c:pt>
                <c:pt idx="14">
                  <c:v>18.887529278440731</c:v>
                </c:pt>
                <c:pt idx="15">
                  <c:v>17.628360659878016</c:v>
                </c:pt>
                <c:pt idx="16">
                  <c:v>16.526588118635644</c:v>
                </c:pt>
              </c:numCache>
            </c:numRef>
          </c:yVal>
          <c:smooth val="0"/>
          <c:extLst>
            <c:ext xmlns:c16="http://schemas.microsoft.com/office/drawing/2014/chart" uri="{C3380CC4-5D6E-409C-BE32-E72D297353CC}">
              <c16:uniqueId val="{00000000-0ED8-42DE-981A-75D3EBB2A395}"/>
            </c:ext>
          </c:extLst>
        </c:ser>
        <c:ser>
          <c:idx val="1"/>
          <c:order val="1"/>
          <c:tx>
            <c:v>Typ Device SOA Limit</c:v>
          </c:tx>
          <c:spPr>
            <a:ln w="25560">
              <a:solidFill>
                <a:srgbClr val="FF0000"/>
              </a:solidFill>
              <a:round/>
            </a:ln>
          </c:spPr>
          <c:marker>
            <c:symbol val="none"/>
          </c:marker>
          <c:dLbls>
            <c:spPr>
              <a:noFill/>
              <a:ln>
                <a:noFill/>
              </a:ln>
              <a:effectLst/>
            </c:spPr>
            <c:txPr>
              <a:bodyPr/>
              <a:lstStyle/>
              <a:p>
                <a:pPr>
                  <a:defRPr sz="950" b="0" strike="noStrike" spc="-1">
                    <a:solidFill>
                      <a:srgbClr val="000000"/>
                    </a:solidFill>
                    <a:latin typeface="Arial"/>
                    <a:ea typeface="Arial"/>
                  </a:defRPr>
                </a:pPr>
                <a:endParaRPr lang="LID4096"/>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xVal>
            <c:numRef>
              <c:f>Equations!$R$146:$R$165</c:f>
              <c:numCache>
                <c:formatCode>General</c:formatCode>
                <c:ptCount val="20"/>
                <c:pt idx="0">
                  <c:v>0.43333333333333335</c:v>
                </c:pt>
                <c:pt idx="1">
                  <c:v>4.333333333333333</c:v>
                </c:pt>
                <c:pt idx="2">
                  <c:v>8.6666666666666661</c:v>
                </c:pt>
                <c:pt idx="3">
                  <c:v>13</c:v>
                </c:pt>
                <c:pt idx="4">
                  <c:v>17.333333333333332</c:v>
                </c:pt>
                <c:pt idx="5">
                  <c:v>21.666666666666668</c:v>
                </c:pt>
                <c:pt idx="6">
                  <c:v>26</c:v>
                </c:pt>
                <c:pt idx="7">
                  <c:v>30.333333333333336</c:v>
                </c:pt>
                <c:pt idx="8">
                  <c:v>34.666666666666664</c:v>
                </c:pt>
                <c:pt idx="9">
                  <c:v>39</c:v>
                </c:pt>
                <c:pt idx="10">
                  <c:v>43.333333333333336</c:v>
                </c:pt>
                <c:pt idx="11">
                  <c:v>47.666666666666664</c:v>
                </c:pt>
                <c:pt idx="12">
                  <c:v>52</c:v>
                </c:pt>
                <c:pt idx="13">
                  <c:v>56.333333333333329</c:v>
                </c:pt>
                <c:pt idx="14">
                  <c:v>60.666666666666671</c:v>
                </c:pt>
                <c:pt idx="15">
                  <c:v>65</c:v>
                </c:pt>
                <c:pt idx="16">
                  <c:v>69.333333333333329</c:v>
                </c:pt>
              </c:numCache>
            </c:numRef>
          </c:xVal>
          <c:yVal>
            <c:numRef>
              <c:f>Equations!$T$146:$T$165</c:f>
              <c:numCache>
                <c:formatCode>0.00</c:formatCode>
                <c:ptCount val="20"/>
                <c:pt idx="0">
                  <c:v>166.66666666666669</c:v>
                </c:pt>
                <c:pt idx="1">
                  <c:v>166.66666666666669</c:v>
                </c:pt>
                <c:pt idx="2">
                  <c:v>100.980100980101</c:v>
                </c:pt>
                <c:pt idx="3">
                  <c:v>67.320067320067338</c:v>
                </c:pt>
                <c:pt idx="4">
                  <c:v>50.4900504900505</c:v>
                </c:pt>
                <c:pt idx="5">
                  <c:v>40.3920403920404</c:v>
                </c:pt>
                <c:pt idx="6">
                  <c:v>33.660033660033669</c:v>
                </c:pt>
                <c:pt idx="7">
                  <c:v>28.851457422885996</c:v>
                </c:pt>
                <c:pt idx="8">
                  <c:v>25.24502524502525</c:v>
                </c:pt>
                <c:pt idx="9">
                  <c:v>22.440022440022442</c:v>
                </c:pt>
                <c:pt idx="10">
                  <c:v>20.1960201960202</c:v>
                </c:pt>
                <c:pt idx="11">
                  <c:v>18.360018360018366</c:v>
                </c:pt>
                <c:pt idx="12">
                  <c:v>16.830016830016834</c:v>
                </c:pt>
                <c:pt idx="13">
                  <c:v>5.0000000000000003E-10</c:v>
                </c:pt>
                <c:pt idx="14">
                  <c:v>5.0000000000000003E-10</c:v>
                </c:pt>
                <c:pt idx="15">
                  <c:v>5.0000000000000003E-10</c:v>
                </c:pt>
                <c:pt idx="16">
                  <c:v>5.0000000000000003E-10</c:v>
                </c:pt>
                <c:pt idx="17">
                  <c:v>0</c:v>
                </c:pt>
                <c:pt idx="18">
                  <c:v>0</c:v>
                </c:pt>
                <c:pt idx="19">
                  <c:v>0</c:v>
                </c:pt>
              </c:numCache>
            </c:numRef>
          </c:yVal>
          <c:smooth val="0"/>
          <c:extLst>
            <c:ext xmlns:c16="http://schemas.microsoft.com/office/drawing/2014/chart" uri="{C3380CC4-5D6E-409C-BE32-E72D297353CC}">
              <c16:uniqueId val="{00000001-0ED8-42DE-981A-75D3EBB2A395}"/>
            </c:ext>
          </c:extLst>
        </c:ser>
        <c:dLbls>
          <c:showLegendKey val="0"/>
          <c:showVal val="0"/>
          <c:showCatName val="0"/>
          <c:showSerName val="0"/>
          <c:showPercent val="0"/>
          <c:showBubbleSize val="0"/>
        </c:dLbls>
        <c:axId val="37343374"/>
        <c:axId val="73779137"/>
      </c:scatterChart>
      <c:valAx>
        <c:axId val="37343374"/>
        <c:scaling>
          <c:logBase val="10"/>
          <c:orientation val="minMax"/>
          <c:max val="100"/>
          <c:min val="1"/>
        </c:scaling>
        <c:delete val="0"/>
        <c:axPos val="b"/>
        <c:majorGridlines>
          <c:spPr>
            <a:ln w="3240">
              <a:solidFill>
                <a:srgbClr val="000000"/>
              </a:solidFill>
              <a:round/>
            </a:ln>
          </c:spPr>
        </c:majorGridlines>
        <c:minorGridlines>
          <c:spPr>
            <a:ln w="3240">
              <a:solidFill>
                <a:srgbClr val="000000"/>
              </a:solidFill>
              <a:round/>
            </a:ln>
          </c:spPr>
        </c:minorGridlines>
        <c:title>
          <c:tx>
            <c:rich>
              <a:bodyPr rot="0"/>
              <a:lstStyle/>
              <a:p>
                <a:pPr>
                  <a:defRPr lang="en-US" sz="900" b="1" strike="noStrike" spc="-1">
                    <a:solidFill>
                      <a:srgbClr val="000000"/>
                    </a:solidFill>
                    <a:latin typeface="Arial"/>
                    <a:ea typeface="Calibri"/>
                  </a:defRPr>
                </a:pPr>
                <a:r>
                  <a:rPr lang="en-US" sz="900" b="1" strike="noStrike" spc="-1">
                    <a:solidFill>
                      <a:srgbClr val="000000"/>
                    </a:solidFill>
                    <a:latin typeface="Arial"/>
                    <a:ea typeface="Calibri"/>
                  </a:rPr>
                  <a:t>VDS - Drain-to-Source Voltage - V</a:t>
                </a:r>
              </a:p>
            </c:rich>
          </c:tx>
          <c:layout>
            <c:manualLayout>
              <c:xMode val="edge"/>
              <c:yMode val="edge"/>
              <c:x val="0.37447558315153501"/>
              <c:y val="0.93991853360488797"/>
            </c:manualLayout>
          </c:layout>
          <c:overlay val="0"/>
          <c:spPr>
            <a:noFill/>
            <a:ln w="25560">
              <a:noFill/>
            </a:ln>
          </c:spPr>
        </c:title>
        <c:numFmt formatCode="General" sourceLinked="0"/>
        <c:majorTickMark val="none"/>
        <c:minorTickMark val="none"/>
        <c:tickLblPos val="nextTo"/>
        <c:spPr>
          <a:ln w="3240">
            <a:solidFill>
              <a:srgbClr val="000000"/>
            </a:solidFill>
            <a:round/>
          </a:ln>
        </c:spPr>
        <c:txPr>
          <a:bodyPr/>
          <a:lstStyle/>
          <a:p>
            <a:pPr>
              <a:defRPr sz="900" b="0" strike="noStrike" spc="-1">
                <a:solidFill>
                  <a:srgbClr val="000000"/>
                </a:solidFill>
                <a:latin typeface="Arial"/>
                <a:ea typeface="Arial"/>
              </a:defRPr>
            </a:pPr>
            <a:endParaRPr lang="LID4096"/>
          </a:p>
        </c:txPr>
        <c:crossAx val="73779137"/>
        <c:crossesAt val="0.1"/>
        <c:crossBetween val="midCat"/>
      </c:valAx>
      <c:valAx>
        <c:axId val="73779137"/>
        <c:scaling>
          <c:logBase val="10"/>
          <c:orientation val="minMax"/>
          <c:max val="100"/>
          <c:min val="0.1"/>
        </c:scaling>
        <c:delete val="0"/>
        <c:axPos val="l"/>
        <c:majorGridlines>
          <c:spPr>
            <a:ln w="3240">
              <a:solidFill>
                <a:srgbClr val="000000"/>
              </a:solidFill>
              <a:round/>
            </a:ln>
          </c:spPr>
        </c:majorGridlines>
        <c:minorGridlines>
          <c:spPr>
            <a:ln w="3240">
              <a:solidFill>
                <a:srgbClr val="000000"/>
              </a:solidFill>
              <a:round/>
            </a:ln>
          </c:spPr>
        </c:minorGridlines>
        <c:title>
          <c:tx>
            <c:rich>
              <a:bodyPr rot="-5400000"/>
              <a:lstStyle/>
              <a:p>
                <a:pPr>
                  <a:defRPr lang="en-US" sz="900" b="1" strike="noStrike" spc="-1">
                    <a:solidFill>
                      <a:srgbClr val="000000"/>
                    </a:solidFill>
                    <a:latin typeface="Arial"/>
                    <a:ea typeface="Calibri"/>
                  </a:defRPr>
                </a:pPr>
                <a:r>
                  <a:rPr lang="en-US" sz="900" b="1" strike="noStrike" spc="-1">
                    <a:solidFill>
                      <a:srgbClr val="000000"/>
                    </a:solidFill>
                    <a:latin typeface="Arial"/>
                    <a:ea typeface="Calibri"/>
                  </a:rPr>
                  <a:t>IDS - Drain-to-Source Current - A</a:t>
                </a:r>
              </a:p>
            </c:rich>
          </c:tx>
          <c:layout>
            <c:manualLayout>
              <c:xMode val="edge"/>
              <c:yMode val="edge"/>
              <c:x val="1.9885886893774098E-2"/>
              <c:y val="0.21410386965376799"/>
            </c:manualLayout>
          </c:layout>
          <c:overlay val="0"/>
          <c:spPr>
            <a:noFill/>
            <a:ln w="25560">
              <a:noFill/>
            </a:ln>
          </c:spPr>
        </c:title>
        <c:numFmt formatCode="General" sourceLinked="0"/>
        <c:majorTickMark val="none"/>
        <c:minorTickMark val="none"/>
        <c:tickLblPos val="nextTo"/>
        <c:spPr>
          <a:ln w="3240">
            <a:solidFill>
              <a:srgbClr val="000000"/>
            </a:solidFill>
            <a:round/>
          </a:ln>
        </c:spPr>
        <c:txPr>
          <a:bodyPr/>
          <a:lstStyle/>
          <a:p>
            <a:pPr>
              <a:defRPr sz="900" b="0" strike="noStrike" spc="-1">
                <a:solidFill>
                  <a:srgbClr val="000000"/>
                </a:solidFill>
                <a:latin typeface="Arial"/>
                <a:ea typeface="Arial"/>
              </a:defRPr>
            </a:pPr>
            <a:endParaRPr lang="LID4096"/>
          </a:p>
        </c:txPr>
        <c:crossAx val="37343374"/>
        <c:crosses val="autoZero"/>
        <c:crossBetween val="midCat"/>
      </c:valAx>
      <c:spPr>
        <a:solidFill>
          <a:srgbClr val="FFFFFF"/>
        </a:solidFill>
        <a:ln w="12600">
          <a:solidFill>
            <a:srgbClr val="808080"/>
          </a:solidFill>
          <a:round/>
        </a:ln>
      </c:spPr>
    </c:plotArea>
    <c:legend>
      <c:legendPos val="r"/>
      <c:layout>
        <c:manualLayout>
          <c:xMode val="edge"/>
          <c:yMode val="edge"/>
          <c:x val="0.50994825783804998"/>
          <c:y val="2.4282023990083099E-2"/>
          <c:w val="0.47145813152771199"/>
          <c:h val="0.18794475132426899"/>
        </c:manualLayout>
      </c:layout>
      <c:overlay val="0"/>
      <c:spPr>
        <a:solidFill>
          <a:srgbClr val="FFFFFF"/>
        </a:solidFill>
        <a:ln w="3240">
          <a:solidFill>
            <a:srgbClr val="000000"/>
          </a:solidFill>
          <a:round/>
        </a:ln>
      </c:spPr>
      <c:txPr>
        <a:bodyPr/>
        <a:lstStyle/>
        <a:p>
          <a:pPr>
            <a:defRPr sz="800" b="0" strike="noStrike" spc="-1">
              <a:solidFill>
                <a:srgbClr val="000000"/>
              </a:solidFill>
              <a:latin typeface="Arial"/>
              <a:ea typeface="Arial"/>
            </a:defRPr>
          </a:pPr>
          <a:endParaRPr lang="LID4096"/>
        </a:p>
      </c:txPr>
    </c:legend>
    <c:plotVisOnly val="0"/>
    <c:dispBlanksAs val="gap"/>
    <c:showDLblsOverMax val="1"/>
  </c:chart>
  <c:spPr>
    <a:solidFill>
      <a:srgbClr val="FFFFFF"/>
    </a:solidFill>
    <a:ln w="12600">
      <a:solidFill>
        <a:srgbClr val="000000"/>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600" b="1" strike="noStrike" spc="-1">
                <a:solidFill>
                  <a:srgbClr val="000000"/>
                </a:solidFill>
                <a:latin typeface="Calibri"/>
              </a:defRPr>
            </a:pPr>
            <a:r>
              <a:rPr lang="en-US" sz="1600" b="1" strike="noStrike" spc="-1">
                <a:solidFill>
                  <a:srgbClr val="000000"/>
                </a:solidFill>
                <a:latin typeface="Calibri"/>
              </a:rPr>
              <a:t>ILOAD and IFET vs Vout (VIN = VINMAX)                                               </a:t>
            </a:r>
          </a:p>
        </c:rich>
      </c:tx>
      <c:layout>
        <c:manualLayout>
          <c:xMode val="edge"/>
          <c:yMode val="edge"/>
          <c:x val="0.165028803795324"/>
          <c:y val="3.07879896357263E-2"/>
        </c:manualLayout>
      </c:layout>
      <c:overlay val="0"/>
      <c:spPr>
        <a:solidFill>
          <a:srgbClr val="FFFFFF"/>
        </a:solidFill>
        <a:ln>
          <a:noFill/>
        </a:ln>
      </c:spPr>
    </c:title>
    <c:autoTitleDeleted val="0"/>
    <c:plotArea>
      <c:layout>
        <c:manualLayout>
          <c:layoutTarget val="inner"/>
          <c:xMode val="edge"/>
          <c:yMode val="edge"/>
          <c:x val="0.152067095899695"/>
          <c:y val="0.138393537570492"/>
          <c:w val="0.76838359878007501"/>
          <c:h val="0.70141746684956596"/>
        </c:manualLayout>
      </c:layout>
      <c:scatterChart>
        <c:scatterStyle val="lineMarker"/>
        <c:varyColors val="0"/>
        <c:ser>
          <c:idx val="0"/>
          <c:order val="0"/>
          <c:tx>
            <c:strRef>
              <c:f>Start_up!$C$7</c:f>
              <c:strCache>
                <c:ptCount val="1"/>
                <c:pt idx="0">
                  <c:v>ILOAD</c:v>
                </c:pt>
              </c:strCache>
            </c:strRef>
          </c:tx>
          <c:spPr>
            <a:ln w="28440">
              <a:solidFill>
                <a:srgbClr val="4A7EBB"/>
              </a:solidFill>
              <a:round/>
            </a:ln>
          </c:spPr>
          <c:marker>
            <c:symbol val="none"/>
          </c:marker>
          <c:dLbls>
            <c:spPr>
              <a:noFill/>
              <a:ln>
                <a:noFill/>
              </a:ln>
              <a:effectLst/>
            </c:spPr>
            <c:txPr>
              <a:bodyPr/>
              <a:lstStyle/>
              <a:p>
                <a:pPr>
                  <a:defRPr sz="1000" b="0" strike="noStrike" spc="-1">
                    <a:solidFill>
                      <a:srgbClr val="000000"/>
                    </a:solidFill>
                    <a:latin typeface="Calibri"/>
                  </a:defRPr>
                </a:pPr>
                <a:endParaRPr lang="LID4096"/>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xVal>
            <c:numRef>
              <c:f>Start_up!$B$10:$B$111</c:f>
              <c:numCache>
                <c:formatCode>0.00</c:formatCode>
                <c:ptCount val="1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7.4999999999999991</c:v>
                </c:pt>
                <c:pt idx="16">
                  <c:v>8</c:v>
                </c:pt>
                <c:pt idx="17">
                  <c:v>8.5</c:v>
                </c:pt>
                <c:pt idx="18">
                  <c:v>9</c:v>
                </c:pt>
                <c:pt idx="19">
                  <c:v>9.5</c:v>
                </c:pt>
                <c:pt idx="20">
                  <c:v>10</c:v>
                </c:pt>
                <c:pt idx="21">
                  <c:v>10.5</c:v>
                </c:pt>
                <c:pt idx="22">
                  <c:v>11</c:v>
                </c:pt>
                <c:pt idx="23">
                  <c:v>11.5</c:v>
                </c:pt>
                <c:pt idx="24">
                  <c:v>12</c:v>
                </c:pt>
                <c:pt idx="25">
                  <c:v>12.5</c:v>
                </c:pt>
                <c:pt idx="26">
                  <c:v>13</c:v>
                </c:pt>
                <c:pt idx="27">
                  <c:v>13.500000000000002</c:v>
                </c:pt>
                <c:pt idx="28">
                  <c:v>14</c:v>
                </c:pt>
                <c:pt idx="29">
                  <c:v>14.5</c:v>
                </c:pt>
                <c:pt idx="30">
                  <c:v>14.999999999999998</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27.000000000000004</c:v>
                </c:pt>
                <c:pt idx="55">
                  <c:v>27.5</c:v>
                </c:pt>
                <c:pt idx="56">
                  <c:v>28</c:v>
                </c:pt>
                <c:pt idx="57">
                  <c:v>28.500000000000004</c:v>
                </c:pt>
                <c:pt idx="58">
                  <c:v>29</c:v>
                </c:pt>
                <c:pt idx="59">
                  <c:v>29.5</c:v>
                </c:pt>
                <c:pt idx="60">
                  <c:v>29.999999999999996</c:v>
                </c:pt>
                <c:pt idx="61">
                  <c:v>30.5</c:v>
                </c:pt>
                <c:pt idx="62">
                  <c:v>31</c:v>
                </c:pt>
                <c:pt idx="63">
                  <c:v>31.499999999999996</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49.5</c:v>
                </c:pt>
                <c:pt idx="100">
                  <c:v>50</c:v>
                </c:pt>
                <c:pt idx="101">
                  <c:v>50.5</c:v>
                </c:pt>
              </c:numCache>
            </c:numRef>
          </c:xVal>
          <c:yVal>
            <c:numRef>
              <c:f>Start_up!$C$10:$C$111</c:f>
              <c:numCache>
                <c:formatCode>0.000</c:formatCode>
                <c:ptCount val="102"/>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pt idx="18">
                  <c:v>0.3</c:v>
                </c:pt>
                <c:pt idx="19">
                  <c:v>0.3</c:v>
                </c:pt>
                <c:pt idx="20">
                  <c:v>0.3</c:v>
                </c:pt>
                <c:pt idx="21">
                  <c:v>0.3</c:v>
                </c:pt>
                <c:pt idx="22">
                  <c:v>0.3</c:v>
                </c:pt>
                <c:pt idx="23">
                  <c:v>0.3</c:v>
                </c:pt>
                <c:pt idx="24">
                  <c:v>0.3</c:v>
                </c:pt>
                <c:pt idx="25">
                  <c:v>0.3</c:v>
                </c:pt>
                <c:pt idx="26">
                  <c:v>0.3</c:v>
                </c:pt>
                <c:pt idx="27">
                  <c:v>0.3</c:v>
                </c:pt>
                <c:pt idx="28">
                  <c:v>0.3</c:v>
                </c:pt>
                <c:pt idx="29">
                  <c:v>0.3</c:v>
                </c:pt>
                <c:pt idx="30">
                  <c:v>0.3</c:v>
                </c:pt>
                <c:pt idx="31">
                  <c:v>0.3</c:v>
                </c:pt>
                <c:pt idx="32">
                  <c:v>0.3</c:v>
                </c:pt>
                <c:pt idx="33">
                  <c:v>0.3</c:v>
                </c:pt>
                <c:pt idx="34">
                  <c:v>0.3</c:v>
                </c:pt>
                <c:pt idx="35">
                  <c:v>0.3</c:v>
                </c:pt>
                <c:pt idx="36">
                  <c:v>0.3</c:v>
                </c:pt>
                <c:pt idx="37">
                  <c:v>0.3</c:v>
                </c:pt>
                <c:pt idx="38">
                  <c:v>0.3</c:v>
                </c:pt>
                <c:pt idx="39">
                  <c:v>0.3</c:v>
                </c:pt>
                <c:pt idx="40">
                  <c:v>0.3</c:v>
                </c:pt>
                <c:pt idx="41">
                  <c:v>0.3</c:v>
                </c:pt>
                <c:pt idx="42">
                  <c:v>0.3</c:v>
                </c:pt>
                <c:pt idx="43">
                  <c:v>0.3</c:v>
                </c:pt>
                <c:pt idx="44">
                  <c:v>0.3</c:v>
                </c:pt>
                <c:pt idx="45">
                  <c:v>0.3</c:v>
                </c:pt>
                <c:pt idx="46">
                  <c:v>0.3</c:v>
                </c:pt>
                <c:pt idx="47">
                  <c:v>0.3</c:v>
                </c:pt>
                <c:pt idx="48">
                  <c:v>0.3</c:v>
                </c:pt>
                <c:pt idx="49">
                  <c:v>0.3</c:v>
                </c:pt>
                <c:pt idx="50">
                  <c:v>0.3</c:v>
                </c:pt>
                <c:pt idx="51">
                  <c:v>0.3</c:v>
                </c:pt>
                <c:pt idx="52">
                  <c:v>0.3</c:v>
                </c:pt>
                <c:pt idx="53">
                  <c:v>0.3</c:v>
                </c:pt>
                <c:pt idx="54">
                  <c:v>0.3</c:v>
                </c:pt>
                <c:pt idx="55">
                  <c:v>0.3</c:v>
                </c:pt>
                <c:pt idx="56">
                  <c:v>0.3</c:v>
                </c:pt>
                <c:pt idx="57">
                  <c:v>0.3</c:v>
                </c:pt>
                <c:pt idx="58">
                  <c:v>0.3</c:v>
                </c:pt>
                <c:pt idx="59">
                  <c:v>0.3</c:v>
                </c:pt>
                <c:pt idx="60">
                  <c:v>0.3</c:v>
                </c:pt>
                <c:pt idx="61">
                  <c:v>0.3</c:v>
                </c:pt>
                <c:pt idx="62">
                  <c:v>0.3</c:v>
                </c:pt>
                <c:pt idx="63">
                  <c:v>0.3</c:v>
                </c:pt>
                <c:pt idx="64">
                  <c:v>0.3</c:v>
                </c:pt>
                <c:pt idx="65">
                  <c:v>0.3</c:v>
                </c:pt>
                <c:pt idx="66">
                  <c:v>0.3</c:v>
                </c:pt>
                <c:pt idx="67">
                  <c:v>0.3</c:v>
                </c:pt>
                <c:pt idx="68">
                  <c:v>0.3</c:v>
                </c:pt>
                <c:pt idx="69">
                  <c:v>0.3</c:v>
                </c:pt>
                <c:pt idx="70">
                  <c:v>0.3</c:v>
                </c:pt>
                <c:pt idx="71">
                  <c:v>0.3</c:v>
                </c:pt>
                <c:pt idx="72">
                  <c:v>0.3</c:v>
                </c:pt>
                <c:pt idx="73">
                  <c:v>0.3</c:v>
                </c:pt>
                <c:pt idx="74">
                  <c:v>0.3</c:v>
                </c:pt>
                <c:pt idx="75">
                  <c:v>0.3</c:v>
                </c:pt>
                <c:pt idx="76">
                  <c:v>0.3</c:v>
                </c:pt>
                <c:pt idx="77">
                  <c:v>0.3</c:v>
                </c:pt>
                <c:pt idx="78">
                  <c:v>0.3</c:v>
                </c:pt>
                <c:pt idx="79">
                  <c:v>0.3</c:v>
                </c:pt>
                <c:pt idx="80">
                  <c:v>0.3</c:v>
                </c:pt>
                <c:pt idx="81">
                  <c:v>0.3</c:v>
                </c:pt>
                <c:pt idx="82">
                  <c:v>0.3</c:v>
                </c:pt>
                <c:pt idx="83">
                  <c:v>0.3</c:v>
                </c:pt>
                <c:pt idx="84">
                  <c:v>0.3</c:v>
                </c:pt>
                <c:pt idx="85">
                  <c:v>0.3</c:v>
                </c:pt>
                <c:pt idx="86">
                  <c:v>0.3</c:v>
                </c:pt>
                <c:pt idx="87">
                  <c:v>0.3</c:v>
                </c:pt>
                <c:pt idx="88">
                  <c:v>0.3</c:v>
                </c:pt>
                <c:pt idx="89">
                  <c:v>0.3</c:v>
                </c:pt>
                <c:pt idx="90">
                  <c:v>0.3</c:v>
                </c:pt>
                <c:pt idx="91">
                  <c:v>0.3</c:v>
                </c:pt>
                <c:pt idx="92">
                  <c:v>0.3</c:v>
                </c:pt>
                <c:pt idx="93">
                  <c:v>0.3</c:v>
                </c:pt>
                <c:pt idx="94">
                  <c:v>0.3</c:v>
                </c:pt>
                <c:pt idx="95">
                  <c:v>0.3</c:v>
                </c:pt>
                <c:pt idx="96">
                  <c:v>0.3</c:v>
                </c:pt>
                <c:pt idx="97">
                  <c:v>0.3</c:v>
                </c:pt>
                <c:pt idx="98">
                  <c:v>0.3</c:v>
                </c:pt>
                <c:pt idx="99">
                  <c:v>0.3</c:v>
                </c:pt>
                <c:pt idx="100">
                  <c:v>0.3</c:v>
                </c:pt>
                <c:pt idx="101">
                  <c:v>0.3</c:v>
                </c:pt>
              </c:numCache>
            </c:numRef>
          </c:yVal>
          <c:smooth val="1"/>
          <c:extLst>
            <c:ext xmlns:c16="http://schemas.microsoft.com/office/drawing/2014/chart" uri="{C3380CC4-5D6E-409C-BE32-E72D297353CC}">
              <c16:uniqueId val="{00000000-B2BE-4247-8A3C-88DD91EA66A4}"/>
            </c:ext>
          </c:extLst>
        </c:ser>
        <c:ser>
          <c:idx val="1"/>
          <c:order val="1"/>
          <c:tx>
            <c:strRef>
              <c:f>Start_up!$G$7</c:f>
              <c:strCache>
                <c:ptCount val="1"/>
                <c:pt idx="0">
                  <c:v>IFET</c:v>
                </c:pt>
              </c:strCache>
            </c:strRef>
          </c:tx>
          <c:spPr>
            <a:ln w="28440">
              <a:solidFill>
                <a:srgbClr val="BE4B48"/>
              </a:solidFill>
              <a:round/>
            </a:ln>
          </c:spPr>
          <c:marker>
            <c:symbol val="none"/>
          </c:marker>
          <c:dLbls>
            <c:spPr>
              <a:noFill/>
              <a:ln>
                <a:noFill/>
              </a:ln>
              <a:effectLst/>
            </c:spPr>
            <c:txPr>
              <a:bodyPr/>
              <a:lstStyle/>
              <a:p>
                <a:pPr>
                  <a:defRPr sz="1000" b="0" strike="noStrike" spc="-1">
                    <a:solidFill>
                      <a:srgbClr val="000000"/>
                    </a:solidFill>
                    <a:latin typeface="Calibri"/>
                  </a:defRPr>
                </a:pPr>
                <a:endParaRPr lang="LID4096"/>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xVal>
            <c:numRef>
              <c:f>Start_up!$B$10:$B$111</c:f>
              <c:numCache>
                <c:formatCode>0.00</c:formatCode>
                <c:ptCount val="1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7.4999999999999991</c:v>
                </c:pt>
                <c:pt idx="16">
                  <c:v>8</c:v>
                </c:pt>
                <c:pt idx="17">
                  <c:v>8.5</c:v>
                </c:pt>
                <c:pt idx="18">
                  <c:v>9</c:v>
                </c:pt>
                <c:pt idx="19">
                  <c:v>9.5</c:v>
                </c:pt>
                <c:pt idx="20">
                  <c:v>10</c:v>
                </c:pt>
                <c:pt idx="21">
                  <c:v>10.5</c:v>
                </c:pt>
                <c:pt idx="22">
                  <c:v>11</c:v>
                </c:pt>
                <c:pt idx="23">
                  <c:v>11.5</c:v>
                </c:pt>
                <c:pt idx="24">
                  <c:v>12</c:v>
                </c:pt>
                <c:pt idx="25">
                  <c:v>12.5</c:v>
                </c:pt>
                <c:pt idx="26">
                  <c:v>13</c:v>
                </c:pt>
                <c:pt idx="27">
                  <c:v>13.500000000000002</c:v>
                </c:pt>
                <c:pt idx="28">
                  <c:v>14</c:v>
                </c:pt>
                <c:pt idx="29">
                  <c:v>14.5</c:v>
                </c:pt>
                <c:pt idx="30">
                  <c:v>14.999999999999998</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27.000000000000004</c:v>
                </c:pt>
                <c:pt idx="55">
                  <c:v>27.5</c:v>
                </c:pt>
                <c:pt idx="56">
                  <c:v>28</c:v>
                </c:pt>
                <c:pt idx="57">
                  <c:v>28.500000000000004</c:v>
                </c:pt>
                <c:pt idx="58">
                  <c:v>29</c:v>
                </c:pt>
                <c:pt idx="59">
                  <c:v>29.5</c:v>
                </c:pt>
                <c:pt idx="60">
                  <c:v>29.999999999999996</c:v>
                </c:pt>
                <c:pt idx="61">
                  <c:v>30.5</c:v>
                </c:pt>
                <c:pt idx="62">
                  <c:v>31</c:v>
                </c:pt>
                <c:pt idx="63">
                  <c:v>31.499999999999996</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49.5</c:v>
                </c:pt>
                <c:pt idx="100">
                  <c:v>50</c:v>
                </c:pt>
                <c:pt idx="101">
                  <c:v>50.5</c:v>
                </c:pt>
              </c:numCache>
            </c:numRef>
          </c:xVal>
          <c:yVal>
            <c:numRef>
              <c:f>Start_up!$G$10:$G$112</c:f>
              <c:numCache>
                <c:formatCode>General</c:formatCode>
                <c:ptCount val="103"/>
                <c:pt idx="0">
                  <c:v>2.2999999999999998</c:v>
                </c:pt>
                <c:pt idx="1">
                  <c:v>2.2999999999999998</c:v>
                </c:pt>
                <c:pt idx="2">
                  <c:v>2.2999999999999998</c:v>
                </c:pt>
                <c:pt idx="3">
                  <c:v>2.2999999999999998</c:v>
                </c:pt>
                <c:pt idx="4">
                  <c:v>2.2999999999999998</c:v>
                </c:pt>
                <c:pt idx="5">
                  <c:v>2.2999999999999998</c:v>
                </c:pt>
                <c:pt idx="6">
                  <c:v>2.2999999999999998</c:v>
                </c:pt>
                <c:pt idx="7">
                  <c:v>2.2999999999999998</c:v>
                </c:pt>
                <c:pt idx="8">
                  <c:v>2.2999999999999998</c:v>
                </c:pt>
                <c:pt idx="9">
                  <c:v>2.2999999999999998</c:v>
                </c:pt>
                <c:pt idx="10">
                  <c:v>2.2999999999999998</c:v>
                </c:pt>
                <c:pt idx="11">
                  <c:v>2.2999999999999998</c:v>
                </c:pt>
                <c:pt idx="12">
                  <c:v>2.2999999999999998</c:v>
                </c:pt>
                <c:pt idx="13">
                  <c:v>2.2999999999999998</c:v>
                </c:pt>
                <c:pt idx="14">
                  <c:v>2.2999999999999998</c:v>
                </c:pt>
                <c:pt idx="15">
                  <c:v>2.2999999999999998</c:v>
                </c:pt>
                <c:pt idx="16">
                  <c:v>2.2999999999999998</c:v>
                </c:pt>
                <c:pt idx="17">
                  <c:v>2.2999999999999998</c:v>
                </c:pt>
                <c:pt idx="18">
                  <c:v>2.2999999999999998</c:v>
                </c:pt>
                <c:pt idx="19">
                  <c:v>2.2999999999999998</c:v>
                </c:pt>
                <c:pt idx="20">
                  <c:v>2.2999999999999998</c:v>
                </c:pt>
                <c:pt idx="21">
                  <c:v>2.2999999999999998</c:v>
                </c:pt>
                <c:pt idx="22">
                  <c:v>2.2999999999999998</c:v>
                </c:pt>
                <c:pt idx="23">
                  <c:v>2.2999999999999998</c:v>
                </c:pt>
                <c:pt idx="24">
                  <c:v>2.2999999999999998</c:v>
                </c:pt>
                <c:pt idx="25">
                  <c:v>2.2999999999999998</c:v>
                </c:pt>
                <c:pt idx="26">
                  <c:v>2.2999999999999998</c:v>
                </c:pt>
                <c:pt idx="27">
                  <c:v>2.2999999999999998</c:v>
                </c:pt>
                <c:pt idx="28">
                  <c:v>2.2999999999999998</c:v>
                </c:pt>
                <c:pt idx="29">
                  <c:v>2.2999999999999998</c:v>
                </c:pt>
                <c:pt idx="30">
                  <c:v>2.2999999999999998</c:v>
                </c:pt>
                <c:pt idx="31">
                  <c:v>2.2999999999999998</c:v>
                </c:pt>
                <c:pt idx="32">
                  <c:v>2.2999999999999998</c:v>
                </c:pt>
                <c:pt idx="33">
                  <c:v>2.2999999999999998</c:v>
                </c:pt>
                <c:pt idx="34">
                  <c:v>2.2999999999999998</c:v>
                </c:pt>
                <c:pt idx="35">
                  <c:v>2.2999999999999998</c:v>
                </c:pt>
                <c:pt idx="36">
                  <c:v>2.2999999999999998</c:v>
                </c:pt>
                <c:pt idx="37">
                  <c:v>2.2999999999999998</c:v>
                </c:pt>
                <c:pt idx="38">
                  <c:v>2.2999999999999998</c:v>
                </c:pt>
                <c:pt idx="39">
                  <c:v>2.2999999999999998</c:v>
                </c:pt>
                <c:pt idx="40">
                  <c:v>2.2999999999999998</c:v>
                </c:pt>
                <c:pt idx="41">
                  <c:v>2.2999999999999998</c:v>
                </c:pt>
                <c:pt idx="42">
                  <c:v>2.2999999999999998</c:v>
                </c:pt>
                <c:pt idx="43">
                  <c:v>2.2999999999999998</c:v>
                </c:pt>
                <c:pt idx="44">
                  <c:v>2.2999999999999998</c:v>
                </c:pt>
                <c:pt idx="45">
                  <c:v>2.2999999999999998</c:v>
                </c:pt>
                <c:pt idx="46">
                  <c:v>2.2999999999999998</c:v>
                </c:pt>
                <c:pt idx="47">
                  <c:v>2.2999999999999998</c:v>
                </c:pt>
                <c:pt idx="48">
                  <c:v>2.2999999999999998</c:v>
                </c:pt>
                <c:pt idx="49">
                  <c:v>2.2999999999999998</c:v>
                </c:pt>
                <c:pt idx="50">
                  <c:v>2.2999999999999998</c:v>
                </c:pt>
                <c:pt idx="51">
                  <c:v>2.2999999999999998</c:v>
                </c:pt>
                <c:pt idx="52">
                  <c:v>2.2999999999999998</c:v>
                </c:pt>
                <c:pt idx="53">
                  <c:v>2.2999999999999998</c:v>
                </c:pt>
                <c:pt idx="54">
                  <c:v>2.2999999999999998</c:v>
                </c:pt>
                <c:pt idx="55">
                  <c:v>2.2999999999999998</c:v>
                </c:pt>
                <c:pt idx="56">
                  <c:v>2.2999999999999998</c:v>
                </c:pt>
                <c:pt idx="57">
                  <c:v>2.2999999999999998</c:v>
                </c:pt>
                <c:pt idx="58">
                  <c:v>2.2999999999999998</c:v>
                </c:pt>
                <c:pt idx="59">
                  <c:v>2.2999999999999998</c:v>
                </c:pt>
                <c:pt idx="60">
                  <c:v>2.2999999999999998</c:v>
                </c:pt>
                <c:pt idx="61">
                  <c:v>2.2999999999999998</c:v>
                </c:pt>
                <c:pt idx="62">
                  <c:v>2.2999999999999998</c:v>
                </c:pt>
                <c:pt idx="63">
                  <c:v>2.2999999999999998</c:v>
                </c:pt>
                <c:pt idx="64">
                  <c:v>2.2999999999999998</c:v>
                </c:pt>
                <c:pt idx="65">
                  <c:v>2.2999999999999998</c:v>
                </c:pt>
                <c:pt idx="66">
                  <c:v>2.2999999999999998</c:v>
                </c:pt>
                <c:pt idx="67">
                  <c:v>2.2999999999999998</c:v>
                </c:pt>
                <c:pt idx="68">
                  <c:v>2.2999999999999998</c:v>
                </c:pt>
                <c:pt idx="69">
                  <c:v>2.2999999999999998</c:v>
                </c:pt>
                <c:pt idx="70">
                  <c:v>2.2999999999999998</c:v>
                </c:pt>
                <c:pt idx="71">
                  <c:v>2.2999999999999998</c:v>
                </c:pt>
                <c:pt idx="72">
                  <c:v>2.2999999999999998</c:v>
                </c:pt>
                <c:pt idx="73">
                  <c:v>2.2999999999999998</c:v>
                </c:pt>
                <c:pt idx="74">
                  <c:v>2.2999999999999998</c:v>
                </c:pt>
                <c:pt idx="75">
                  <c:v>2.2999999999999998</c:v>
                </c:pt>
                <c:pt idx="76">
                  <c:v>2.2999999999999998</c:v>
                </c:pt>
                <c:pt idx="77">
                  <c:v>2.2999999999999998</c:v>
                </c:pt>
                <c:pt idx="78">
                  <c:v>2.2999999999999998</c:v>
                </c:pt>
                <c:pt idx="79">
                  <c:v>2.2999999999999998</c:v>
                </c:pt>
                <c:pt idx="80">
                  <c:v>2.2999999999999998</c:v>
                </c:pt>
                <c:pt idx="81">
                  <c:v>2.2999999999999998</c:v>
                </c:pt>
                <c:pt idx="82">
                  <c:v>2.2999999999999998</c:v>
                </c:pt>
                <c:pt idx="83">
                  <c:v>2.2999999999999998</c:v>
                </c:pt>
                <c:pt idx="84">
                  <c:v>2.2999999999999998</c:v>
                </c:pt>
                <c:pt idx="85">
                  <c:v>2.2999999999999998</c:v>
                </c:pt>
                <c:pt idx="86">
                  <c:v>2.2999999999999998</c:v>
                </c:pt>
                <c:pt idx="87">
                  <c:v>2.2999999999999998</c:v>
                </c:pt>
                <c:pt idx="88">
                  <c:v>2.2999999999999998</c:v>
                </c:pt>
                <c:pt idx="89">
                  <c:v>2.2999999999999998</c:v>
                </c:pt>
                <c:pt idx="90">
                  <c:v>2.2999999999999998</c:v>
                </c:pt>
                <c:pt idx="91">
                  <c:v>2.2999999999999998</c:v>
                </c:pt>
                <c:pt idx="92">
                  <c:v>2.2999999999999998</c:v>
                </c:pt>
                <c:pt idx="93">
                  <c:v>2.2999999999999998</c:v>
                </c:pt>
                <c:pt idx="94">
                  <c:v>2.2999999999999998</c:v>
                </c:pt>
                <c:pt idx="95">
                  <c:v>2.2999999999999998</c:v>
                </c:pt>
                <c:pt idx="96">
                  <c:v>2.2999999999999998</c:v>
                </c:pt>
                <c:pt idx="97">
                  <c:v>2.2999999999999998</c:v>
                </c:pt>
                <c:pt idx="98">
                  <c:v>2.2999999999999998</c:v>
                </c:pt>
                <c:pt idx="99">
                  <c:v>2.2999999999999998</c:v>
                </c:pt>
                <c:pt idx="100">
                  <c:v>2.2999999999999998</c:v>
                </c:pt>
                <c:pt idx="101">
                  <c:v>2.2999999999999998</c:v>
                </c:pt>
                <c:pt idx="102">
                  <c:v>2.2999999999999998</c:v>
                </c:pt>
              </c:numCache>
            </c:numRef>
          </c:yVal>
          <c:smooth val="1"/>
          <c:extLst>
            <c:ext xmlns:c16="http://schemas.microsoft.com/office/drawing/2014/chart" uri="{C3380CC4-5D6E-409C-BE32-E72D297353CC}">
              <c16:uniqueId val="{00000001-B2BE-4247-8A3C-88DD91EA66A4}"/>
            </c:ext>
          </c:extLst>
        </c:ser>
        <c:dLbls>
          <c:showLegendKey val="0"/>
          <c:showVal val="0"/>
          <c:showCatName val="0"/>
          <c:showSerName val="0"/>
          <c:showPercent val="0"/>
          <c:showBubbleSize val="0"/>
        </c:dLbls>
        <c:axId val="51751907"/>
        <c:axId val="91921384"/>
      </c:scatterChart>
      <c:valAx>
        <c:axId val="51751907"/>
        <c:scaling>
          <c:orientation val="minMax"/>
        </c:scaling>
        <c:delete val="0"/>
        <c:axPos val="b"/>
        <c:majorGridlines>
          <c:spPr>
            <a:ln w="9360">
              <a:solidFill>
                <a:srgbClr val="878787"/>
              </a:solidFill>
              <a:round/>
            </a:ln>
          </c:spPr>
        </c:majorGridlines>
        <c:minorGridlines>
          <c:spPr>
            <a:ln w="9360">
              <a:solidFill>
                <a:srgbClr val="B7B7B7"/>
              </a:solidFill>
              <a:round/>
            </a:ln>
          </c:spPr>
        </c:minorGridlines>
        <c:title>
          <c:tx>
            <c:rich>
              <a:bodyPr rot="0"/>
              <a:lstStyle/>
              <a:p>
                <a:pPr>
                  <a:defRPr lang="en-US" sz="1000" b="1" strike="noStrike" spc="-1">
                    <a:solidFill>
                      <a:srgbClr val="000000"/>
                    </a:solidFill>
                    <a:latin typeface="Calibri"/>
                  </a:defRPr>
                </a:pPr>
                <a:r>
                  <a:rPr lang="en-US" sz="1000" b="1" strike="noStrike" spc="-1">
                    <a:solidFill>
                      <a:srgbClr val="000000"/>
                    </a:solidFill>
                    <a:latin typeface="Calibri"/>
                  </a:rPr>
                  <a:t>Output Voltage (V)</a:t>
                </a:r>
              </a:p>
            </c:rich>
          </c:tx>
          <c:layout>
            <c:manualLayout>
              <c:xMode val="edge"/>
              <c:yMode val="edge"/>
              <c:x val="0.40909861064046099"/>
              <c:y val="0.92531626276482204"/>
            </c:manualLayout>
          </c:layout>
          <c:overlay val="0"/>
          <c:spPr>
            <a:noFill/>
            <a:ln>
              <a:noFill/>
            </a:ln>
          </c:spPr>
        </c:title>
        <c:numFmt formatCode="0.0" sourceLinked="0"/>
        <c:majorTickMark val="out"/>
        <c:minorTickMark val="none"/>
        <c:tickLblPos val="nextTo"/>
        <c:spPr>
          <a:ln w="9360">
            <a:solidFill>
              <a:srgbClr val="878787"/>
            </a:solidFill>
            <a:round/>
          </a:ln>
        </c:spPr>
        <c:txPr>
          <a:bodyPr/>
          <a:lstStyle/>
          <a:p>
            <a:pPr>
              <a:defRPr sz="1000" b="1" strike="noStrike" spc="-1">
                <a:solidFill>
                  <a:srgbClr val="000000"/>
                </a:solidFill>
                <a:latin typeface="Calibri"/>
              </a:defRPr>
            </a:pPr>
            <a:endParaRPr lang="LID4096"/>
          </a:p>
        </c:txPr>
        <c:crossAx val="91921384"/>
        <c:crosses val="autoZero"/>
        <c:crossBetween val="midCat"/>
      </c:valAx>
      <c:valAx>
        <c:axId val="91921384"/>
        <c:scaling>
          <c:orientation val="minMax"/>
        </c:scaling>
        <c:delete val="0"/>
        <c:axPos val="l"/>
        <c:majorGridlines>
          <c:spPr>
            <a:ln w="9360">
              <a:solidFill>
                <a:srgbClr val="878787"/>
              </a:solidFill>
              <a:round/>
            </a:ln>
          </c:spPr>
        </c:majorGridlines>
        <c:minorGridlines>
          <c:spPr>
            <a:ln w="9360">
              <a:solidFill>
                <a:srgbClr val="B7B7B7"/>
              </a:solidFill>
              <a:round/>
            </a:ln>
          </c:spPr>
        </c:minorGridlines>
        <c:title>
          <c:tx>
            <c:rich>
              <a:bodyPr rot="-5400000"/>
              <a:lstStyle/>
              <a:p>
                <a:pPr>
                  <a:defRPr lang="en-US" sz="1000" b="1" strike="noStrike" spc="-1">
                    <a:solidFill>
                      <a:srgbClr val="000000"/>
                    </a:solidFill>
                    <a:latin typeface="Calibri"/>
                  </a:defRPr>
                </a:pPr>
                <a:r>
                  <a:rPr lang="en-US" sz="1000" b="1" strike="noStrike" spc="-1">
                    <a:solidFill>
                      <a:srgbClr val="000000"/>
                    </a:solidFill>
                    <a:latin typeface="Calibri"/>
                  </a:rPr>
                  <a:t>Current (A)</a:t>
                </a:r>
              </a:p>
            </c:rich>
          </c:tx>
          <c:layout>
            <c:manualLayout>
              <c:xMode val="edge"/>
              <c:yMode val="edge"/>
              <c:x val="2.2788885123686899E-2"/>
              <c:y val="0.40131077579637298"/>
            </c:manualLayout>
          </c:layout>
          <c:overlay val="0"/>
          <c:spPr>
            <a:noFill/>
            <a:ln>
              <a:noFill/>
            </a:ln>
          </c:spPr>
        </c:title>
        <c:numFmt formatCode="0.00" sourceLinked="0"/>
        <c:majorTickMark val="out"/>
        <c:minorTickMark val="none"/>
        <c:tickLblPos val="nextTo"/>
        <c:spPr>
          <a:ln w="9360">
            <a:solidFill>
              <a:srgbClr val="878787"/>
            </a:solidFill>
            <a:round/>
          </a:ln>
        </c:spPr>
        <c:txPr>
          <a:bodyPr/>
          <a:lstStyle/>
          <a:p>
            <a:pPr>
              <a:defRPr sz="1000" b="1" strike="noStrike" spc="-1">
                <a:solidFill>
                  <a:srgbClr val="000000"/>
                </a:solidFill>
                <a:latin typeface="Calibri"/>
              </a:defRPr>
            </a:pPr>
            <a:endParaRPr lang="LID4096"/>
          </a:p>
        </c:txPr>
        <c:crossAx val="51751907"/>
        <c:crosses val="autoZero"/>
        <c:crossBetween val="midCat"/>
      </c:valAx>
      <c:spPr>
        <a:solidFill>
          <a:srgbClr val="FFFFFF"/>
        </a:solidFill>
        <a:ln>
          <a:noFill/>
        </a:ln>
      </c:spPr>
    </c:plotArea>
    <c:legend>
      <c:legendPos val="r"/>
      <c:layout>
        <c:manualLayout>
          <c:xMode val="edge"/>
          <c:yMode val="edge"/>
          <c:x val="0.200979428424124"/>
          <c:y val="0.16726500821758999"/>
          <c:w val="0.21462230092985601"/>
          <c:h val="0.18516649249275999"/>
        </c:manualLayout>
      </c:layout>
      <c:overlay val="0"/>
      <c:spPr>
        <a:solidFill>
          <a:srgbClr val="FFFFFF"/>
        </a:solidFill>
        <a:ln>
          <a:solidFill>
            <a:srgbClr val="000000"/>
          </a:solidFill>
        </a:ln>
      </c:spPr>
      <c:txPr>
        <a:bodyPr/>
        <a:lstStyle/>
        <a:p>
          <a:pPr>
            <a:defRPr sz="1000" b="0" strike="noStrike" spc="-1">
              <a:solidFill>
                <a:srgbClr val="000000"/>
              </a:solidFill>
              <a:latin typeface="Calibri"/>
            </a:defRPr>
          </a:pPr>
          <a:endParaRPr lang="LID4096"/>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600" b="1" strike="noStrike" spc="-1">
                <a:solidFill>
                  <a:srgbClr val="000000"/>
                </a:solidFill>
                <a:latin typeface="Calibri"/>
              </a:defRPr>
            </a:pPr>
            <a:r>
              <a:rPr lang="en-US" sz="1600" b="1" strike="noStrike" spc="-1">
                <a:solidFill>
                  <a:srgbClr val="000000"/>
                </a:solidFill>
                <a:latin typeface="Calibri"/>
              </a:rPr>
              <a:t>Start - up: FET Power (VIN = VINMAX)</a:t>
            </a:r>
          </a:p>
        </c:rich>
      </c:tx>
      <c:layout>
        <c:manualLayout>
          <c:xMode val="edge"/>
          <c:yMode val="edge"/>
          <c:x val="0.196470003314551"/>
          <c:y val="4.6288359334819102E-3"/>
        </c:manualLayout>
      </c:layout>
      <c:overlay val="0"/>
      <c:spPr>
        <a:solidFill>
          <a:srgbClr val="FFFFFF"/>
        </a:solidFill>
        <a:ln>
          <a:noFill/>
        </a:ln>
      </c:spPr>
    </c:title>
    <c:autoTitleDeleted val="0"/>
    <c:plotArea>
      <c:layout>
        <c:manualLayout>
          <c:layoutTarget val="inner"/>
          <c:xMode val="edge"/>
          <c:yMode val="edge"/>
          <c:x val="0.13904540934703299"/>
          <c:y val="8.0918909651980106E-2"/>
          <c:w val="0.76740139211136904"/>
          <c:h val="0.71832676152923003"/>
        </c:manualLayout>
      </c:layout>
      <c:scatterChart>
        <c:scatterStyle val="lineMarker"/>
        <c:varyColors val="0"/>
        <c:ser>
          <c:idx val="0"/>
          <c:order val="0"/>
          <c:tx>
            <c:v>FET power dissipation</c:v>
          </c:tx>
          <c:spPr>
            <a:ln w="28440">
              <a:solidFill>
                <a:srgbClr val="4A7EBB"/>
              </a:solidFill>
              <a:round/>
            </a:ln>
          </c:spPr>
          <c:marker>
            <c:symbol val="none"/>
          </c:marker>
          <c:dLbls>
            <c:spPr>
              <a:noFill/>
              <a:ln>
                <a:noFill/>
              </a:ln>
              <a:effectLst/>
            </c:spPr>
            <c:txPr>
              <a:bodyPr/>
              <a:lstStyle/>
              <a:p>
                <a:pPr>
                  <a:defRPr sz="1000" b="0" strike="noStrike" spc="-1">
                    <a:solidFill>
                      <a:srgbClr val="000000"/>
                    </a:solidFill>
                    <a:latin typeface="Calibri"/>
                  </a:defRPr>
                </a:pPr>
                <a:endParaRPr lang="LID4096"/>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xVal>
            <c:numRef>
              <c:f>Start_up!$K$8:$K$115</c:f>
              <c:numCache>
                <c:formatCode>0.00</c:formatCode>
                <c:ptCount val="108"/>
                <c:pt idx="0" formatCode="0.0">
                  <c:v>-10</c:v>
                </c:pt>
                <c:pt idx="1">
                  <c:v>-0.01</c:v>
                </c:pt>
                <c:pt idx="2" formatCode="0.0">
                  <c:v>0</c:v>
                </c:pt>
                <c:pt idx="3" formatCode="0.0">
                  <c:v>2.5000000000000004</c:v>
                </c:pt>
                <c:pt idx="4" formatCode="0.0">
                  <c:v>5.0000000000000009</c:v>
                </c:pt>
                <c:pt idx="5" formatCode="0.0">
                  <c:v>7.5000000000000018</c:v>
                </c:pt>
                <c:pt idx="6" formatCode="0.0">
                  <c:v>10.000000000000002</c:v>
                </c:pt>
                <c:pt idx="7" formatCode="0.0">
                  <c:v>12.500000000000002</c:v>
                </c:pt>
                <c:pt idx="8" formatCode="0.0">
                  <c:v>15.000000000000004</c:v>
                </c:pt>
                <c:pt idx="9" formatCode="0.0">
                  <c:v>17.5</c:v>
                </c:pt>
                <c:pt idx="10" formatCode="0.0">
                  <c:v>20.000000000000004</c:v>
                </c:pt>
                <c:pt idx="11" formatCode="0.0">
                  <c:v>22.500000000000007</c:v>
                </c:pt>
                <c:pt idx="12" formatCode="0.0">
                  <c:v>25.000000000000007</c:v>
                </c:pt>
                <c:pt idx="13" formatCode="0.0">
                  <c:v>27.500000000000011</c:v>
                </c:pt>
                <c:pt idx="14" formatCode="0.0">
                  <c:v>30.000000000000014</c:v>
                </c:pt>
                <c:pt idx="15" formatCode="0.0">
                  <c:v>32.500000000000014</c:v>
                </c:pt>
                <c:pt idx="16" formatCode="0.0">
                  <c:v>35.000000000000014</c:v>
                </c:pt>
                <c:pt idx="17" formatCode="0.0">
                  <c:v>37.500000000000014</c:v>
                </c:pt>
                <c:pt idx="18" formatCode="0.0">
                  <c:v>40.000000000000014</c:v>
                </c:pt>
                <c:pt idx="19" formatCode="0.0">
                  <c:v>42.500000000000014</c:v>
                </c:pt>
                <c:pt idx="20" formatCode="0.0">
                  <c:v>45.000000000000021</c:v>
                </c:pt>
                <c:pt idx="21" formatCode="0.0">
                  <c:v>47.500000000000021</c:v>
                </c:pt>
                <c:pt idx="22" formatCode="0.0">
                  <c:v>50.000000000000021</c:v>
                </c:pt>
                <c:pt idx="23" formatCode="0.0">
                  <c:v>52.500000000000028</c:v>
                </c:pt>
                <c:pt idx="24" formatCode="0.0">
                  <c:v>55.000000000000028</c:v>
                </c:pt>
                <c:pt idx="25" formatCode="0.0">
                  <c:v>57.500000000000028</c:v>
                </c:pt>
                <c:pt idx="26" formatCode="0.0">
                  <c:v>60.000000000000036</c:v>
                </c:pt>
                <c:pt idx="27" formatCode="0.0">
                  <c:v>62.500000000000028</c:v>
                </c:pt>
                <c:pt idx="28" formatCode="0.0">
                  <c:v>65.000000000000028</c:v>
                </c:pt>
                <c:pt idx="29" formatCode="0.0">
                  <c:v>67.500000000000028</c:v>
                </c:pt>
                <c:pt idx="30" formatCode="0.0">
                  <c:v>70.000000000000014</c:v>
                </c:pt>
                <c:pt idx="31" formatCode="0.0">
                  <c:v>72.500000000000028</c:v>
                </c:pt>
                <c:pt idx="32" formatCode="0.0">
                  <c:v>75.000000000000014</c:v>
                </c:pt>
                <c:pt idx="33" formatCode="0.0">
                  <c:v>77.500000000000014</c:v>
                </c:pt>
                <c:pt idx="34" formatCode="0.0">
                  <c:v>80.000000000000014</c:v>
                </c:pt>
                <c:pt idx="35" formatCode="0.0">
                  <c:v>82.500000000000014</c:v>
                </c:pt>
                <c:pt idx="36" formatCode="0.0">
                  <c:v>85.000000000000014</c:v>
                </c:pt>
                <c:pt idx="37" formatCode="0.0">
                  <c:v>87.500000000000028</c:v>
                </c:pt>
                <c:pt idx="38" formatCode="0.0">
                  <c:v>90.000000000000028</c:v>
                </c:pt>
                <c:pt idx="39" formatCode="0.0">
                  <c:v>92.500000000000028</c:v>
                </c:pt>
                <c:pt idx="40" formatCode="0.0">
                  <c:v>95.000000000000028</c:v>
                </c:pt>
                <c:pt idx="41" formatCode="0.0">
                  <c:v>97.500000000000028</c:v>
                </c:pt>
                <c:pt idx="42" formatCode="0.0">
                  <c:v>100.00000000000003</c:v>
                </c:pt>
                <c:pt idx="43" formatCode="0.0">
                  <c:v>102.50000000000003</c:v>
                </c:pt>
                <c:pt idx="44" formatCode="0.0">
                  <c:v>105.00000000000004</c:v>
                </c:pt>
                <c:pt idx="45" formatCode="0.0">
                  <c:v>107.50000000000004</c:v>
                </c:pt>
                <c:pt idx="46" formatCode="0.0">
                  <c:v>110.00000000000004</c:v>
                </c:pt>
                <c:pt idx="47" formatCode="0.0">
                  <c:v>112.50000000000004</c:v>
                </c:pt>
                <c:pt idx="48" formatCode="0.0">
                  <c:v>115.00000000000004</c:v>
                </c:pt>
                <c:pt idx="49" formatCode="0.0">
                  <c:v>117.50000000000004</c:v>
                </c:pt>
                <c:pt idx="50" formatCode="0.0">
                  <c:v>120.00000000000006</c:v>
                </c:pt>
                <c:pt idx="51" formatCode="0.0">
                  <c:v>122.50000000000006</c:v>
                </c:pt>
                <c:pt idx="52" formatCode="0.0">
                  <c:v>125.00000000000006</c:v>
                </c:pt>
                <c:pt idx="53" formatCode="0.0">
                  <c:v>127.50000000000006</c:v>
                </c:pt>
                <c:pt idx="54" formatCode="0.0">
                  <c:v>130.00000000000006</c:v>
                </c:pt>
                <c:pt idx="55" formatCode="0.0">
                  <c:v>132.50000000000006</c:v>
                </c:pt>
                <c:pt idx="56" formatCode="0.0">
                  <c:v>135.00000000000009</c:v>
                </c:pt>
                <c:pt idx="57" formatCode="0.0">
                  <c:v>137.50000000000006</c:v>
                </c:pt>
                <c:pt idx="58" formatCode="0.0">
                  <c:v>140.00000000000006</c:v>
                </c:pt>
                <c:pt idx="59" formatCode="0.0">
                  <c:v>142.50000000000009</c:v>
                </c:pt>
                <c:pt idx="60" formatCode="0.0">
                  <c:v>145.00000000000009</c:v>
                </c:pt>
                <c:pt idx="61" formatCode="0.0">
                  <c:v>147.50000000000009</c:v>
                </c:pt>
                <c:pt idx="62" formatCode="0.0">
                  <c:v>150.00000000000006</c:v>
                </c:pt>
                <c:pt idx="63" formatCode="0.0">
                  <c:v>152.50000000000009</c:v>
                </c:pt>
                <c:pt idx="64" formatCode="0.0">
                  <c:v>155.00000000000009</c:v>
                </c:pt>
                <c:pt idx="65" formatCode="0.0">
                  <c:v>157.50000000000006</c:v>
                </c:pt>
                <c:pt idx="66" formatCode="0.0">
                  <c:v>160.00000000000009</c:v>
                </c:pt>
                <c:pt idx="67" formatCode="0.0">
                  <c:v>162.50000000000009</c:v>
                </c:pt>
                <c:pt idx="68" formatCode="0.0">
                  <c:v>165.00000000000009</c:v>
                </c:pt>
                <c:pt idx="69" formatCode="0.0">
                  <c:v>167.50000000000009</c:v>
                </c:pt>
                <c:pt idx="70" formatCode="0.0">
                  <c:v>170.00000000000009</c:v>
                </c:pt>
                <c:pt idx="71" formatCode="0.0">
                  <c:v>172.50000000000009</c:v>
                </c:pt>
                <c:pt idx="72" formatCode="0.0">
                  <c:v>175.00000000000011</c:v>
                </c:pt>
                <c:pt idx="73" formatCode="0.0">
                  <c:v>177.50000000000011</c:v>
                </c:pt>
                <c:pt idx="74" formatCode="0.0">
                  <c:v>180.00000000000011</c:v>
                </c:pt>
                <c:pt idx="75" formatCode="0.0">
                  <c:v>182.50000000000011</c:v>
                </c:pt>
                <c:pt idx="76" formatCode="0.0">
                  <c:v>185.00000000000011</c:v>
                </c:pt>
                <c:pt idx="77" formatCode="0.0">
                  <c:v>187.50000000000011</c:v>
                </c:pt>
                <c:pt idx="78" formatCode="0.0">
                  <c:v>190.00000000000011</c:v>
                </c:pt>
                <c:pt idx="79" formatCode="0.0">
                  <c:v>192.50000000000011</c:v>
                </c:pt>
                <c:pt idx="80" formatCode="0.0">
                  <c:v>195.00000000000011</c:v>
                </c:pt>
                <c:pt idx="81" formatCode="0.0">
                  <c:v>197.50000000000011</c:v>
                </c:pt>
                <c:pt idx="82" formatCode="0.0">
                  <c:v>200.00000000000011</c:v>
                </c:pt>
                <c:pt idx="83" formatCode="0.0">
                  <c:v>202.50000000000011</c:v>
                </c:pt>
                <c:pt idx="84" formatCode="0.0">
                  <c:v>205.00000000000011</c:v>
                </c:pt>
                <c:pt idx="85" formatCode="0.0">
                  <c:v>207.50000000000014</c:v>
                </c:pt>
                <c:pt idx="86" formatCode="0.0">
                  <c:v>210.00000000000014</c:v>
                </c:pt>
                <c:pt idx="87" formatCode="0.0">
                  <c:v>212.50000000000014</c:v>
                </c:pt>
                <c:pt idx="88" formatCode="0.0">
                  <c:v>215.00000000000014</c:v>
                </c:pt>
                <c:pt idx="89" formatCode="0.0">
                  <c:v>217.50000000000014</c:v>
                </c:pt>
                <c:pt idx="90" formatCode="0.0">
                  <c:v>220.00000000000014</c:v>
                </c:pt>
                <c:pt idx="91" formatCode="0.0">
                  <c:v>222.50000000000014</c:v>
                </c:pt>
                <c:pt idx="92" formatCode="0.0">
                  <c:v>225.00000000000014</c:v>
                </c:pt>
                <c:pt idx="93" formatCode="0.0">
                  <c:v>227.50000000000014</c:v>
                </c:pt>
                <c:pt idx="94" formatCode="0.0">
                  <c:v>230.00000000000014</c:v>
                </c:pt>
                <c:pt idx="95" formatCode="0.0">
                  <c:v>232.50000000000014</c:v>
                </c:pt>
                <c:pt idx="96" formatCode="0.0">
                  <c:v>235.00000000000014</c:v>
                </c:pt>
                <c:pt idx="97" formatCode="0.0">
                  <c:v>237.50000000000014</c:v>
                </c:pt>
                <c:pt idx="98" formatCode="0.0">
                  <c:v>240.00000000000017</c:v>
                </c:pt>
                <c:pt idx="99" formatCode="0.0">
                  <c:v>242.50000000000017</c:v>
                </c:pt>
                <c:pt idx="100" formatCode="0.0">
                  <c:v>245.00000000000017</c:v>
                </c:pt>
                <c:pt idx="101" formatCode="0.0">
                  <c:v>247.50000000000017</c:v>
                </c:pt>
                <c:pt idx="102" formatCode="0.0">
                  <c:v>250.00000000000017</c:v>
                </c:pt>
                <c:pt idx="103" formatCode="0.0">
                  <c:v>252.50000000000017</c:v>
                </c:pt>
                <c:pt idx="104" formatCode="0.0">
                  <c:v>255.00000000000017</c:v>
                </c:pt>
                <c:pt idx="105" formatCode="0.0">
                  <c:v>257.50000000000017</c:v>
                </c:pt>
                <c:pt idx="106" formatCode="0.0">
                  <c:v>260.00000000000017</c:v>
                </c:pt>
                <c:pt idx="107" formatCode="0.0">
                  <c:v>260.50000000000017</c:v>
                </c:pt>
              </c:numCache>
            </c:numRef>
          </c:xVal>
          <c:yVal>
            <c:numRef>
              <c:f>Start_up!$O$8:$O$115</c:f>
              <c:numCache>
                <c:formatCode>General</c:formatCode>
                <c:ptCount val="108"/>
                <c:pt idx="0">
                  <c:v>0</c:v>
                </c:pt>
                <c:pt idx="1">
                  <c:v>0</c:v>
                </c:pt>
                <c:pt idx="2">
                  <c:v>119.6</c:v>
                </c:pt>
                <c:pt idx="3">
                  <c:v>118.44999999999999</c:v>
                </c:pt>
                <c:pt idx="4">
                  <c:v>117.3</c:v>
                </c:pt>
                <c:pt idx="5">
                  <c:v>116.14999999999999</c:v>
                </c:pt>
                <c:pt idx="6">
                  <c:v>114.99999999999999</c:v>
                </c:pt>
                <c:pt idx="7">
                  <c:v>113.85</c:v>
                </c:pt>
                <c:pt idx="8">
                  <c:v>112.69999999999999</c:v>
                </c:pt>
                <c:pt idx="9">
                  <c:v>111.55</c:v>
                </c:pt>
                <c:pt idx="10">
                  <c:v>110.39999999999999</c:v>
                </c:pt>
                <c:pt idx="11">
                  <c:v>109.24999999999999</c:v>
                </c:pt>
                <c:pt idx="12">
                  <c:v>108.1</c:v>
                </c:pt>
                <c:pt idx="13">
                  <c:v>106.94999999999999</c:v>
                </c:pt>
                <c:pt idx="14">
                  <c:v>105.8</c:v>
                </c:pt>
                <c:pt idx="15">
                  <c:v>104.64999999999999</c:v>
                </c:pt>
                <c:pt idx="16">
                  <c:v>103.49999999999999</c:v>
                </c:pt>
                <c:pt idx="17">
                  <c:v>102.35</c:v>
                </c:pt>
                <c:pt idx="18">
                  <c:v>101.19999999999999</c:v>
                </c:pt>
                <c:pt idx="19">
                  <c:v>100.05</c:v>
                </c:pt>
                <c:pt idx="20">
                  <c:v>98.899999999999991</c:v>
                </c:pt>
                <c:pt idx="21">
                  <c:v>97.749999999999986</c:v>
                </c:pt>
                <c:pt idx="22">
                  <c:v>96.6</c:v>
                </c:pt>
                <c:pt idx="23">
                  <c:v>95.449999999999989</c:v>
                </c:pt>
                <c:pt idx="24">
                  <c:v>94.3</c:v>
                </c:pt>
                <c:pt idx="25">
                  <c:v>93.149999999999991</c:v>
                </c:pt>
                <c:pt idx="26">
                  <c:v>92</c:v>
                </c:pt>
                <c:pt idx="27">
                  <c:v>90.85</c:v>
                </c:pt>
                <c:pt idx="28">
                  <c:v>89.699999999999989</c:v>
                </c:pt>
                <c:pt idx="29">
                  <c:v>88.55</c:v>
                </c:pt>
                <c:pt idx="30">
                  <c:v>87.399999999999991</c:v>
                </c:pt>
                <c:pt idx="31">
                  <c:v>86.25</c:v>
                </c:pt>
                <c:pt idx="32">
                  <c:v>85.1</c:v>
                </c:pt>
                <c:pt idx="33">
                  <c:v>83.949999999999989</c:v>
                </c:pt>
                <c:pt idx="34">
                  <c:v>82.8</c:v>
                </c:pt>
                <c:pt idx="35">
                  <c:v>81.649999999999991</c:v>
                </c:pt>
                <c:pt idx="36">
                  <c:v>80.5</c:v>
                </c:pt>
                <c:pt idx="37">
                  <c:v>79.349999999999994</c:v>
                </c:pt>
                <c:pt idx="38">
                  <c:v>78.199999999999989</c:v>
                </c:pt>
                <c:pt idx="39">
                  <c:v>77.05</c:v>
                </c:pt>
                <c:pt idx="40">
                  <c:v>75.899999999999991</c:v>
                </c:pt>
                <c:pt idx="41">
                  <c:v>74.75</c:v>
                </c:pt>
                <c:pt idx="42">
                  <c:v>73.599999999999994</c:v>
                </c:pt>
                <c:pt idx="43">
                  <c:v>72.449999999999989</c:v>
                </c:pt>
                <c:pt idx="44">
                  <c:v>71.3</c:v>
                </c:pt>
                <c:pt idx="45">
                  <c:v>70.149999999999991</c:v>
                </c:pt>
                <c:pt idx="46">
                  <c:v>69</c:v>
                </c:pt>
                <c:pt idx="47">
                  <c:v>67.849999999999994</c:v>
                </c:pt>
                <c:pt idx="48">
                  <c:v>66.699999999999989</c:v>
                </c:pt>
                <c:pt idx="49">
                  <c:v>65.55</c:v>
                </c:pt>
                <c:pt idx="50">
                  <c:v>64.399999999999991</c:v>
                </c:pt>
                <c:pt idx="51">
                  <c:v>63.249999999999993</c:v>
                </c:pt>
                <c:pt idx="52">
                  <c:v>62.099999999999994</c:v>
                </c:pt>
                <c:pt idx="53">
                  <c:v>60.949999999999996</c:v>
                </c:pt>
                <c:pt idx="54">
                  <c:v>59.8</c:v>
                </c:pt>
                <c:pt idx="55">
                  <c:v>58.65</c:v>
                </c:pt>
                <c:pt idx="56">
                  <c:v>57.499999999999986</c:v>
                </c:pt>
                <c:pt idx="57">
                  <c:v>56.349999999999994</c:v>
                </c:pt>
                <c:pt idx="58">
                  <c:v>55.199999999999996</c:v>
                </c:pt>
                <c:pt idx="59">
                  <c:v>54.04999999999999</c:v>
                </c:pt>
                <c:pt idx="60">
                  <c:v>52.9</c:v>
                </c:pt>
                <c:pt idx="61">
                  <c:v>51.749999999999993</c:v>
                </c:pt>
                <c:pt idx="62">
                  <c:v>50.6</c:v>
                </c:pt>
                <c:pt idx="63">
                  <c:v>49.449999999999996</c:v>
                </c:pt>
                <c:pt idx="64">
                  <c:v>48.3</c:v>
                </c:pt>
                <c:pt idx="65">
                  <c:v>47.150000000000006</c:v>
                </c:pt>
                <c:pt idx="66">
                  <c:v>46</c:v>
                </c:pt>
                <c:pt idx="67">
                  <c:v>44.849999999999994</c:v>
                </c:pt>
                <c:pt idx="68">
                  <c:v>43.699999999999996</c:v>
                </c:pt>
                <c:pt idx="69">
                  <c:v>42.55</c:v>
                </c:pt>
                <c:pt idx="70">
                  <c:v>41.4</c:v>
                </c:pt>
                <c:pt idx="71">
                  <c:v>40.25</c:v>
                </c:pt>
                <c:pt idx="72">
                  <c:v>39.099999999999994</c:v>
                </c:pt>
                <c:pt idx="73">
                  <c:v>37.949999999999996</c:v>
                </c:pt>
                <c:pt idx="74">
                  <c:v>36.799999999999997</c:v>
                </c:pt>
                <c:pt idx="75">
                  <c:v>35.65</c:v>
                </c:pt>
                <c:pt idx="76">
                  <c:v>34.5</c:v>
                </c:pt>
                <c:pt idx="77">
                  <c:v>33.349999999999994</c:v>
                </c:pt>
                <c:pt idx="78">
                  <c:v>32.199999999999996</c:v>
                </c:pt>
                <c:pt idx="79">
                  <c:v>31.049999999999997</c:v>
                </c:pt>
                <c:pt idx="80">
                  <c:v>29.9</c:v>
                </c:pt>
                <c:pt idx="81">
                  <c:v>28.749999999999996</c:v>
                </c:pt>
                <c:pt idx="82">
                  <c:v>27.599999999999998</c:v>
                </c:pt>
                <c:pt idx="83">
                  <c:v>26.45</c:v>
                </c:pt>
                <c:pt idx="84">
                  <c:v>25.299999999999997</c:v>
                </c:pt>
                <c:pt idx="85">
                  <c:v>24.15</c:v>
                </c:pt>
                <c:pt idx="86">
                  <c:v>23</c:v>
                </c:pt>
                <c:pt idx="87">
                  <c:v>21.849999999999998</c:v>
                </c:pt>
                <c:pt idx="88">
                  <c:v>20.7</c:v>
                </c:pt>
                <c:pt idx="89">
                  <c:v>19.549999999999997</c:v>
                </c:pt>
                <c:pt idx="90">
                  <c:v>18.399999999999999</c:v>
                </c:pt>
                <c:pt idx="91">
                  <c:v>17.25</c:v>
                </c:pt>
                <c:pt idx="92">
                  <c:v>16.099999999999998</c:v>
                </c:pt>
                <c:pt idx="93">
                  <c:v>14.95</c:v>
                </c:pt>
                <c:pt idx="94">
                  <c:v>13.799999999999999</c:v>
                </c:pt>
                <c:pt idx="95">
                  <c:v>12.649999999999999</c:v>
                </c:pt>
                <c:pt idx="96">
                  <c:v>11.5</c:v>
                </c:pt>
                <c:pt idx="97">
                  <c:v>10.35</c:v>
                </c:pt>
                <c:pt idx="98">
                  <c:v>9.1999999999999993</c:v>
                </c:pt>
                <c:pt idx="99">
                  <c:v>8.0499999999999989</c:v>
                </c:pt>
                <c:pt idx="100">
                  <c:v>6.8999999999999995</c:v>
                </c:pt>
                <c:pt idx="101">
                  <c:v>5.75</c:v>
                </c:pt>
                <c:pt idx="102">
                  <c:v>4.5999999999999996</c:v>
                </c:pt>
                <c:pt idx="103">
                  <c:v>3.4499999999999997</c:v>
                </c:pt>
                <c:pt idx="104">
                  <c:v>2.2999999999999998</c:v>
                </c:pt>
                <c:pt idx="105">
                  <c:v>1.1499999999999999</c:v>
                </c:pt>
                <c:pt idx="106">
                  <c:v>0</c:v>
                </c:pt>
                <c:pt idx="107">
                  <c:v>0</c:v>
                </c:pt>
              </c:numCache>
            </c:numRef>
          </c:yVal>
          <c:smooth val="0"/>
          <c:extLst>
            <c:ext xmlns:c16="http://schemas.microsoft.com/office/drawing/2014/chart" uri="{C3380CC4-5D6E-409C-BE32-E72D297353CC}">
              <c16:uniqueId val="{00000000-B5DC-4B4B-BCE7-2A519D937B1D}"/>
            </c:ext>
          </c:extLst>
        </c:ser>
        <c:dLbls>
          <c:showLegendKey val="0"/>
          <c:showVal val="0"/>
          <c:showCatName val="0"/>
          <c:showSerName val="0"/>
          <c:showPercent val="0"/>
          <c:showBubbleSize val="0"/>
        </c:dLbls>
        <c:axId val="22061217"/>
        <c:axId val="44817403"/>
      </c:scatterChart>
      <c:valAx>
        <c:axId val="22061217"/>
        <c:scaling>
          <c:orientation val="minMax"/>
          <c:min val="-1"/>
        </c:scaling>
        <c:delete val="0"/>
        <c:axPos val="b"/>
        <c:minorGridlines>
          <c:spPr>
            <a:ln w="9360">
              <a:solidFill>
                <a:srgbClr val="B7B7B7"/>
              </a:solidFill>
              <a:round/>
            </a:ln>
          </c:spPr>
        </c:minorGridlines>
        <c:title>
          <c:tx>
            <c:rich>
              <a:bodyPr rot="0"/>
              <a:lstStyle/>
              <a:p>
                <a:pPr>
                  <a:defRPr lang="en-US" sz="1000" b="1" strike="noStrike" spc="-1">
                    <a:solidFill>
                      <a:srgbClr val="000000"/>
                    </a:solidFill>
                    <a:latin typeface="Calibri"/>
                  </a:defRPr>
                </a:pPr>
                <a:r>
                  <a:rPr lang="en-US" sz="1000" b="1" strike="noStrike" spc="-1">
                    <a:solidFill>
                      <a:srgbClr val="000000"/>
                    </a:solidFill>
                    <a:latin typeface="Calibri"/>
                  </a:rPr>
                  <a:t>Time (ms)</a:t>
                </a:r>
              </a:p>
            </c:rich>
          </c:tx>
          <c:layout>
            <c:manualLayout>
              <c:xMode val="edge"/>
              <c:yMode val="edge"/>
              <c:x val="0.44821014252568803"/>
              <c:y val="0.90570889765129403"/>
            </c:manualLayout>
          </c:layout>
          <c:overlay val="0"/>
          <c:spPr>
            <a:noFill/>
            <a:ln>
              <a:noFill/>
            </a:ln>
          </c:spPr>
        </c:title>
        <c:numFmt formatCode="0.0" sourceLinked="0"/>
        <c:majorTickMark val="out"/>
        <c:minorTickMark val="none"/>
        <c:tickLblPos val="nextTo"/>
        <c:spPr>
          <a:ln w="9360">
            <a:solidFill>
              <a:srgbClr val="878787"/>
            </a:solidFill>
            <a:round/>
          </a:ln>
        </c:spPr>
        <c:txPr>
          <a:bodyPr/>
          <a:lstStyle/>
          <a:p>
            <a:pPr>
              <a:defRPr sz="1000" b="1" strike="noStrike" spc="-1">
                <a:solidFill>
                  <a:srgbClr val="000000"/>
                </a:solidFill>
                <a:latin typeface="Calibri"/>
              </a:defRPr>
            </a:pPr>
            <a:endParaRPr lang="LID4096"/>
          </a:p>
        </c:txPr>
        <c:crossAx val="44817403"/>
        <c:crosses val="autoZero"/>
        <c:crossBetween val="midCat"/>
      </c:valAx>
      <c:valAx>
        <c:axId val="44817403"/>
        <c:scaling>
          <c:orientation val="minMax"/>
          <c:min val="0"/>
        </c:scaling>
        <c:delete val="0"/>
        <c:axPos val="l"/>
        <c:majorGridlines>
          <c:spPr>
            <a:ln w="9360">
              <a:solidFill>
                <a:srgbClr val="878787"/>
              </a:solidFill>
              <a:round/>
            </a:ln>
          </c:spPr>
        </c:majorGridlines>
        <c:minorGridlines>
          <c:spPr>
            <a:ln w="9360">
              <a:solidFill>
                <a:srgbClr val="B7B7B7"/>
              </a:solidFill>
              <a:round/>
            </a:ln>
          </c:spPr>
        </c:minorGridlines>
        <c:title>
          <c:tx>
            <c:rich>
              <a:bodyPr rot="-5400000"/>
              <a:lstStyle/>
              <a:p>
                <a:pPr>
                  <a:defRPr lang="en-US" sz="1000" b="1" strike="noStrike" spc="-1">
                    <a:solidFill>
                      <a:srgbClr val="000000"/>
                    </a:solidFill>
                    <a:latin typeface="Calibri"/>
                  </a:defRPr>
                </a:pPr>
                <a:r>
                  <a:rPr lang="en-US" sz="1000" b="1" strike="noStrike" spc="-1">
                    <a:solidFill>
                      <a:srgbClr val="000000"/>
                    </a:solidFill>
                    <a:latin typeface="Calibri"/>
                  </a:rPr>
                  <a:t>FET Power (W)</a:t>
                </a:r>
              </a:p>
            </c:rich>
          </c:tx>
          <c:layout>
            <c:manualLayout>
              <c:xMode val="edge"/>
              <c:yMode val="edge"/>
              <c:x val="1.27610208816705E-2"/>
              <c:y val="0.25664323675638601"/>
            </c:manualLayout>
          </c:layout>
          <c:overlay val="0"/>
          <c:spPr>
            <a:noFill/>
            <a:ln>
              <a:noFill/>
            </a:ln>
          </c:spPr>
        </c:title>
        <c:numFmt formatCode="General" sourceLinked="0"/>
        <c:majorTickMark val="out"/>
        <c:minorTickMark val="none"/>
        <c:tickLblPos val="nextTo"/>
        <c:spPr>
          <a:ln w="9360">
            <a:solidFill>
              <a:srgbClr val="878787"/>
            </a:solidFill>
            <a:round/>
          </a:ln>
        </c:spPr>
        <c:txPr>
          <a:bodyPr/>
          <a:lstStyle/>
          <a:p>
            <a:pPr>
              <a:defRPr sz="1000" b="1" strike="noStrike" spc="-1">
                <a:solidFill>
                  <a:srgbClr val="000000"/>
                </a:solidFill>
                <a:latin typeface="Calibri"/>
              </a:defRPr>
            </a:pPr>
            <a:endParaRPr lang="LID4096"/>
          </a:p>
        </c:txPr>
        <c:crossAx val="22061217"/>
        <c:crossesAt val="-1"/>
        <c:crossBetween val="midCat"/>
      </c:valAx>
      <c:spPr>
        <a:solidFill>
          <a:srgbClr val="FFFFFF"/>
        </a:solidFill>
        <a:ln>
          <a:noFill/>
        </a:ln>
      </c:spPr>
    </c:plotArea>
    <c:legend>
      <c:legendPos val="r"/>
      <c:layout>
        <c:manualLayout>
          <c:xMode val="edge"/>
          <c:yMode val="edge"/>
          <c:x val="0.58243391004422995"/>
          <c:y val="0.29201739268437199"/>
          <c:w val="0.39515213037394697"/>
          <c:h val="0.108488307341521"/>
        </c:manualLayout>
      </c:layout>
      <c:overlay val="0"/>
      <c:spPr>
        <a:solidFill>
          <a:srgbClr val="FFFFFF"/>
        </a:solidFill>
        <a:ln>
          <a:solidFill>
            <a:srgbClr val="000000"/>
          </a:solidFill>
        </a:ln>
      </c:spPr>
      <c:txPr>
        <a:bodyPr/>
        <a:lstStyle/>
        <a:p>
          <a:pPr>
            <a:defRPr sz="1000" b="0" strike="noStrike" spc="-1">
              <a:solidFill>
                <a:srgbClr val="000000"/>
              </a:solidFill>
              <a:latin typeface="Calibri"/>
            </a:defRPr>
          </a:pPr>
          <a:endParaRPr lang="LID4096"/>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000000"/>
                </a:solidFill>
                <a:latin typeface="Calibri"/>
              </a:defRPr>
            </a:pPr>
            <a:r>
              <a:rPr lang="en-US" sz="1800" b="1" strike="noStrike" spc="-1">
                <a:solidFill>
                  <a:srgbClr val="000000"/>
                </a:solidFill>
                <a:latin typeface="Calibri"/>
              </a:rPr>
              <a:t>Load and FET current vs Vout</a:t>
            </a:r>
          </a:p>
        </c:rich>
      </c:tx>
      <c:overlay val="0"/>
      <c:spPr>
        <a:noFill/>
        <a:ln>
          <a:noFill/>
        </a:ln>
      </c:spPr>
    </c:title>
    <c:autoTitleDeleted val="0"/>
    <c:plotArea>
      <c:layout>
        <c:manualLayout>
          <c:layoutTarget val="inner"/>
          <c:xMode val="edge"/>
          <c:yMode val="edge"/>
          <c:x val="0.202826267664173"/>
          <c:y val="0.14184008762322001"/>
          <c:w val="0.69950124688279303"/>
          <c:h val="0.71171960569550896"/>
        </c:manualLayout>
      </c:layout>
      <c:scatterChart>
        <c:scatterStyle val="lineMarker"/>
        <c:varyColors val="0"/>
        <c:ser>
          <c:idx val="0"/>
          <c:order val="0"/>
          <c:tx>
            <c:strRef>
              <c:f>Start_up!$C$7</c:f>
              <c:strCache>
                <c:ptCount val="1"/>
                <c:pt idx="0">
                  <c:v>ILOAD</c:v>
                </c:pt>
              </c:strCache>
            </c:strRef>
          </c:tx>
          <c:spPr>
            <a:ln w="28440">
              <a:solidFill>
                <a:srgbClr val="4A7EBB"/>
              </a:solidFill>
              <a:round/>
            </a:ln>
          </c:spPr>
          <c:marker>
            <c:symbol val="none"/>
          </c:marker>
          <c:dLbls>
            <c:spPr>
              <a:noFill/>
              <a:ln>
                <a:noFill/>
              </a:ln>
              <a:effectLst/>
            </c:spPr>
            <c:txPr>
              <a:bodyPr/>
              <a:lstStyle/>
              <a:p>
                <a:pPr>
                  <a:defRPr sz="1000" b="0" strike="noStrike" spc="-1">
                    <a:solidFill>
                      <a:srgbClr val="000000"/>
                    </a:solidFill>
                    <a:latin typeface="Calibri"/>
                  </a:defRPr>
                </a:pPr>
                <a:endParaRPr lang="LID4096"/>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xVal>
            <c:numRef>
              <c:f>Start_up!$B$10:$B$111</c:f>
              <c:numCache>
                <c:formatCode>0.00</c:formatCode>
                <c:ptCount val="1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7.4999999999999991</c:v>
                </c:pt>
                <c:pt idx="16">
                  <c:v>8</c:v>
                </c:pt>
                <c:pt idx="17">
                  <c:v>8.5</c:v>
                </c:pt>
                <c:pt idx="18">
                  <c:v>9</c:v>
                </c:pt>
                <c:pt idx="19">
                  <c:v>9.5</c:v>
                </c:pt>
                <c:pt idx="20">
                  <c:v>10</c:v>
                </c:pt>
                <c:pt idx="21">
                  <c:v>10.5</c:v>
                </c:pt>
                <c:pt idx="22">
                  <c:v>11</c:v>
                </c:pt>
                <c:pt idx="23">
                  <c:v>11.5</c:v>
                </c:pt>
                <c:pt idx="24">
                  <c:v>12</c:v>
                </c:pt>
                <c:pt idx="25">
                  <c:v>12.5</c:v>
                </c:pt>
                <c:pt idx="26">
                  <c:v>13</c:v>
                </c:pt>
                <c:pt idx="27">
                  <c:v>13.500000000000002</c:v>
                </c:pt>
                <c:pt idx="28">
                  <c:v>14</c:v>
                </c:pt>
                <c:pt idx="29">
                  <c:v>14.5</c:v>
                </c:pt>
                <c:pt idx="30">
                  <c:v>14.999999999999998</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27.000000000000004</c:v>
                </c:pt>
                <c:pt idx="55">
                  <c:v>27.5</c:v>
                </c:pt>
                <c:pt idx="56">
                  <c:v>28</c:v>
                </c:pt>
                <c:pt idx="57">
                  <c:v>28.500000000000004</c:v>
                </c:pt>
                <c:pt idx="58">
                  <c:v>29</c:v>
                </c:pt>
                <c:pt idx="59">
                  <c:v>29.5</c:v>
                </c:pt>
                <c:pt idx="60">
                  <c:v>29.999999999999996</c:v>
                </c:pt>
                <c:pt idx="61">
                  <c:v>30.5</c:v>
                </c:pt>
                <c:pt idx="62">
                  <c:v>31</c:v>
                </c:pt>
                <c:pt idx="63">
                  <c:v>31.499999999999996</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49.5</c:v>
                </c:pt>
                <c:pt idx="100">
                  <c:v>50</c:v>
                </c:pt>
                <c:pt idx="101">
                  <c:v>50.5</c:v>
                </c:pt>
              </c:numCache>
            </c:numRef>
          </c:xVal>
          <c:yVal>
            <c:numRef>
              <c:f>Start_up!$C$10:$C$111</c:f>
              <c:numCache>
                <c:formatCode>0.000</c:formatCode>
                <c:ptCount val="102"/>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pt idx="18">
                  <c:v>0.3</c:v>
                </c:pt>
                <c:pt idx="19">
                  <c:v>0.3</c:v>
                </c:pt>
                <c:pt idx="20">
                  <c:v>0.3</c:v>
                </c:pt>
                <c:pt idx="21">
                  <c:v>0.3</c:v>
                </c:pt>
                <c:pt idx="22">
                  <c:v>0.3</c:v>
                </c:pt>
                <c:pt idx="23">
                  <c:v>0.3</c:v>
                </c:pt>
                <c:pt idx="24">
                  <c:v>0.3</c:v>
                </c:pt>
                <c:pt idx="25">
                  <c:v>0.3</c:v>
                </c:pt>
                <c:pt idx="26">
                  <c:v>0.3</c:v>
                </c:pt>
                <c:pt idx="27">
                  <c:v>0.3</c:v>
                </c:pt>
                <c:pt idx="28">
                  <c:v>0.3</c:v>
                </c:pt>
                <c:pt idx="29">
                  <c:v>0.3</c:v>
                </c:pt>
                <c:pt idx="30">
                  <c:v>0.3</c:v>
                </c:pt>
                <c:pt idx="31">
                  <c:v>0.3</c:v>
                </c:pt>
                <c:pt idx="32">
                  <c:v>0.3</c:v>
                </c:pt>
                <c:pt idx="33">
                  <c:v>0.3</c:v>
                </c:pt>
                <c:pt idx="34">
                  <c:v>0.3</c:v>
                </c:pt>
                <c:pt idx="35">
                  <c:v>0.3</c:v>
                </c:pt>
                <c:pt idx="36">
                  <c:v>0.3</c:v>
                </c:pt>
                <c:pt idx="37">
                  <c:v>0.3</c:v>
                </c:pt>
                <c:pt idx="38">
                  <c:v>0.3</c:v>
                </c:pt>
                <c:pt idx="39">
                  <c:v>0.3</c:v>
                </c:pt>
                <c:pt idx="40">
                  <c:v>0.3</c:v>
                </c:pt>
                <c:pt idx="41">
                  <c:v>0.3</c:v>
                </c:pt>
                <c:pt idx="42">
                  <c:v>0.3</c:v>
                </c:pt>
                <c:pt idx="43">
                  <c:v>0.3</c:v>
                </c:pt>
                <c:pt idx="44">
                  <c:v>0.3</c:v>
                </c:pt>
                <c:pt idx="45">
                  <c:v>0.3</c:v>
                </c:pt>
                <c:pt idx="46">
                  <c:v>0.3</c:v>
                </c:pt>
                <c:pt idx="47">
                  <c:v>0.3</c:v>
                </c:pt>
                <c:pt idx="48">
                  <c:v>0.3</c:v>
                </c:pt>
                <c:pt idx="49">
                  <c:v>0.3</c:v>
                </c:pt>
                <c:pt idx="50">
                  <c:v>0.3</c:v>
                </c:pt>
                <c:pt idx="51">
                  <c:v>0.3</c:v>
                </c:pt>
                <c:pt idx="52">
                  <c:v>0.3</c:v>
                </c:pt>
                <c:pt idx="53">
                  <c:v>0.3</c:v>
                </c:pt>
                <c:pt idx="54">
                  <c:v>0.3</c:v>
                </c:pt>
                <c:pt idx="55">
                  <c:v>0.3</c:v>
                </c:pt>
                <c:pt idx="56">
                  <c:v>0.3</c:v>
                </c:pt>
                <c:pt idx="57">
                  <c:v>0.3</c:v>
                </c:pt>
                <c:pt idx="58">
                  <c:v>0.3</c:v>
                </c:pt>
                <c:pt idx="59">
                  <c:v>0.3</c:v>
                </c:pt>
                <c:pt idx="60">
                  <c:v>0.3</c:v>
                </c:pt>
                <c:pt idx="61">
                  <c:v>0.3</c:v>
                </c:pt>
                <c:pt idx="62">
                  <c:v>0.3</c:v>
                </c:pt>
                <c:pt idx="63">
                  <c:v>0.3</c:v>
                </c:pt>
                <c:pt idx="64">
                  <c:v>0.3</c:v>
                </c:pt>
                <c:pt idx="65">
                  <c:v>0.3</c:v>
                </c:pt>
                <c:pt idx="66">
                  <c:v>0.3</c:v>
                </c:pt>
                <c:pt idx="67">
                  <c:v>0.3</c:v>
                </c:pt>
                <c:pt idx="68">
                  <c:v>0.3</c:v>
                </c:pt>
                <c:pt idx="69">
                  <c:v>0.3</c:v>
                </c:pt>
                <c:pt idx="70">
                  <c:v>0.3</c:v>
                </c:pt>
                <c:pt idx="71">
                  <c:v>0.3</c:v>
                </c:pt>
                <c:pt idx="72">
                  <c:v>0.3</c:v>
                </c:pt>
                <c:pt idx="73">
                  <c:v>0.3</c:v>
                </c:pt>
                <c:pt idx="74">
                  <c:v>0.3</c:v>
                </c:pt>
                <c:pt idx="75">
                  <c:v>0.3</c:v>
                </c:pt>
                <c:pt idx="76">
                  <c:v>0.3</c:v>
                </c:pt>
                <c:pt idx="77">
                  <c:v>0.3</c:v>
                </c:pt>
                <c:pt idx="78">
                  <c:v>0.3</c:v>
                </c:pt>
                <c:pt idx="79">
                  <c:v>0.3</c:v>
                </c:pt>
                <c:pt idx="80">
                  <c:v>0.3</c:v>
                </c:pt>
                <c:pt idx="81">
                  <c:v>0.3</c:v>
                </c:pt>
                <c:pt idx="82">
                  <c:v>0.3</c:v>
                </c:pt>
                <c:pt idx="83">
                  <c:v>0.3</c:v>
                </c:pt>
                <c:pt idx="84">
                  <c:v>0.3</c:v>
                </c:pt>
                <c:pt idx="85">
                  <c:v>0.3</c:v>
                </c:pt>
                <c:pt idx="86">
                  <c:v>0.3</c:v>
                </c:pt>
                <c:pt idx="87">
                  <c:v>0.3</c:v>
                </c:pt>
                <c:pt idx="88">
                  <c:v>0.3</c:v>
                </c:pt>
                <c:pt idx="89">
                  <c:v>0.3</c:v>
                </c:pt>
                <c:pt idx="90">
                  <c:v>0.3</c:v>
                </c:pt>
                <c:pt idx="91">
                  <c:v>0.3</c:v>
                </c:pt>
                <c:pt idx="92">
                  <c:v>0.3</c:v>
                </c:pt>
                <c:pt idx="93">
                  <c:v>0.3</c:v>
                </c:pt>
                <c:pt idx="94">
                  <c:v>0.3</c:v>
                </c:pt>
                <c:pt idx="95">
                  <c:v>0.3</c:v>
                </c:pt>
                <c:pt idx="96">
                  <c:v>0.3</c:v>
                </c:pt>
                <c:pt idx="97">
                  <c:v>0.3</c:v>
                </c:pt>
                <c:pt idx="98">
                  <c:v>0.3</c:v>
                </c:pt>
                <c:pt idx="99">
                  <c:v>0.3</c:v>
                </c:pt>
                <c:pt idx="100">
                  <c:v>0.3</c:v>
                </c:pt>
                <c:pt idx="101">
                  <c:v>0.3</c:v>
                </c:pt>
              </c:numCache>
            </c:numRef>
          </c:yVal>
          <c:smooth val="1"/>
          <c:extLst>
            <c:ext xmlns:c16="http://schemas.microsoft.com/office/drawing/2014/chart" uri="{C3380CC4-5D6E-409C-BE32-E72D297353CC}">
              <c16:uniqueId val="{00000000-0F54-41A0-9B83-F7C9C0CBEE10}"/>
            </c:ext>
          </c:extLst>
        </c:ser>
        <c:ser>
          <c:idx val="1"/>
          <c:order val="1"/>
          <c:tx>
            <c:strRef>
              <c:f>Start_up!$G$7</c:f>
              <c:strCache>
                <c:ptCount val="1"/>
                <c:pt idx="0">
                  <c:v>IFET</c:v>
                </c:pt>
              </c:strCache>
            </c:strRef>
          </c:tx>
          <c:spPr>
            <a:ln w="28440">
              <a:solidFill>
                <a:srgbClr val="BE4B48"/>
              </a:solidFill>
              <a:round/>
            </a:ln>
          </c:spPr>
          <c:marker>
            <c:symbol val="none"/>
          </c:marker>
          <c:dLbls>
            <c:spPr>
              <a:noFill/>
              <a:ln>
                <a:noFill/>
              </a:ln>
              <a:effectLst/>
            </c:spPr>
            <c:txPr>
              <a:bodyPr/>
              <a:lstStyle/>
              <a:p>
                <a:pPr>
                  <a:defRPr sz="1000" b="0" strike="noStrike" spc="-1">
                    <a:solidFill>
                      <a:srgbClr val="000000"/>
                    </a:solidFill>
                    <a:latin typeface="Calibri"/>
                  </a:defRPr>
                </a:pPr>
                <a:endParaRPr lang="LID4096"/>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xVal>
            <c:numRef>
              <c:f>Start_up!$B$10:$B$111</c:f>
              <c:numCache>
                <c:formatCode>0.00</c:formatCode>
                <c:ptCount val="1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7.4999999999999991</c:v>
                </c:pt>
                <c:pt idx="16">
                  <c:v>8</c:v>
                </c:pt>
                <c:pt idx="17">
                  <c:v>8.5</c:v>
                </c:pt>
                <c:pt idx="18">
                  <c:v>9</c:v>
                </c:pt>
                <c:pt idx="19">
                  <c:v>9.5</c:v>
                </c:pt>
                <c:pt idx="20">
                  <c:v>10</c:v>
                </c:pt>
                <c:pt idx="21">
                  <c:v>10.5</c:v>
                </c:pt>
                <c:pt idx="22">
                  <c:v>11</c:v>
                </c:pt>
                <c:pt idx="23">
                  <c:v>11.5</c:v>
                </c:pt>
                <c:pt idx="24">
                  <c:v>12</c:v>
                </c:pt>
                <c:pt idx="25">
                  <c:v>12.5</c:v>
                </c:pt>
                <c:pt idx="26">
                  <c:v>13</c:v>
                </c:pt>
                <c:pt idx="27">
                  <c:v>13.500000000000002</c:v>
                </c:pt>
                <c:pt idx="28">
                  <c:v>14</c:v>
                </c:pt>
                <c:pt idx="29">
                  <c:v>14.5</c:v>
                </c:pt>
                <c:pt idx="30">
                  <c:v>14.999999999999998</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27.000000000000004</c:v>
                </c:pt>
                <c:pt idx="55">
                  <c:v>27.5</c:v>
                </c:pt>
                <c:pt idx="56">
                  <c:v>28</c:v>
                </c:pt>
                <c:pt idx="57">
                  <c:v>28.500000000000004</c:v>
                </c:pt>
                <c:pt idx="58">
                  <c:v>29</c:v>
                </c:pt>
                <c:pt idx="59">
                  <c:v>29.5</c:v>
                </c:pt>
                <c:pt idx="60">
                  <c:v>29.999999999999996</c:v>
                </c:pt>
                <c:pt idx="61">
                  <c:v>30.5</c:v>
                </c:pt>
                <c:pt idx="62">
                  <c:v>31</c:v>
                </c:pt>
                <c:pt idx="63">
                  <c:v>31.499999999999996</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49.5</c:v>
                </c:pt>
                <c:pt idx="100">
                  <c:v>50</c:v>
                </c:pt>
                <c:pt idx="101">
                  <c:v>50.5</c:v>
                </c:pt>
              </c:numCache>
            </c:numRef>
          </c:xVal>
          <c:yVal>
            <c:numRef>
              <c:f>Start_up!$G$10:$G$112</c:f>
              <c:numCache>
                <c:formatCode>General</c:formatCode>
                <c:ptCount val="103"/>
                <c:pt idx="0">
                  <c:v>2.2999999999999998</c:v>
                </c:pt>
                <c:pt idx="1">
                  <c:v>2.2999999999999998</c:v>
                </c:pt>
                <c:pt idx="2">
                  <c:v>2.2999999999999998</c:v>
                </c:pt>
                <c:pt idx="3">
                  <c:v>2.2999999999999998</c:v>
                </c:pt>
                <c:pt idx="4">
                  <c:v>2.2999999999999998</c:v>
                </c:pt>
                <c:pt idx="5">
                  <c:v>2.2999999999999998</c:v>
                </c:pt>
                <c:pt idx="6">
                  <c:v>2.2999999999999998</c:v>
                </c:pt>
                <c:pt idx="7">
                  <c:v>2.2999999999999998</c:v>
                </c:pt>
                <c:pt idx="8">
                  <c:v>2.2999999999999998</c:v>
                </c:pt>
                <c:pt idx="9">
                  <c:v>2.2999999999999998</c:v>
                </c:pt>
                <c:pt idx="10">
                  <c:v>2.2999999999999998</c:v>
                </c:pt>
                <c:pt idx="11">
                  <c:v>2.2999999999999998</c:v>
                </c:pt>
                <c:pt idx="12">
                  <c:v>2.2999999999999998</c:v>
                </c:pt>
                <c:pt idx="13">
                  <c:v>2.2999999999999998</c:v>
                </c:pt>
                <c:pt idx="14">
                  <c:v>2.2999999999999998</c:v>
                </c:pt>
                <c:pt idx="15">
                  <c:v>2.2999999999999998</c:v>
                </c:pt>
                <c:pt idx="16">
                  <c:v>2.2999999999999998</c:v>
                </c:pt>
                <c:pt idx="17">
                  <c:v>2.2999999999999998</c:v>
                </c:pt>
                <c:pt idx="18">
                  <c:v>2.2999999999999998</c:v>
                </c:pt>
                <c:pt idx="19">
                  <c:v>2.2999999999999998</c:v>
                </c:pt>
                <c:pt idx="20">
                  <c:v>2.2999999999999998</c:v>
                </c:pt>
                <c:pt idx="21">
                  <c:v>2.2999999999999998</c:v>
                </c:pt>
                <c:pt idx="22">
                  <c:v>2.2999999999999998</c:v>
                </c:pt>
                <c:pt idx="23">
                  <c:v>2.2999999999999998</c:v>
                </c:pt>
                <c:pt idx="24">
                  <c:v>2.2999999999999998</c:v>
                </c:pt>
                <c:pt idx="25">
                  <c:v>2.2999999999999998</c:v>
                </c:pt>
                <c:pt idx="26">
                  <c:v>2.2999999999999998</c:v>
                </c:pt>
                <c:pt idx="27">
                  <c:v>2.2999999999999998</c:v>
                </c:pt>
                <c:pt idx="28">
                  <c:v>2.2999999999999998</c:v>
                </c:pt>
                <c:pt idx="29">
                  <c:v>2.2999999999999998</c:v>
                </c:pt>
                <c:pt idx="30">
                  <c:v>2.2999999999999998</c:v>
                </c:pt>
                <c:pt idx="31">
                  <c:v>2.2999999999999998</c:v>
                </c:pt>
                <c:pt idx="32">
                  <c:v>2.2999999999999998</c:v>
                </c:pt>
                <c:pt idx="33">
                  <c:v>2.2999999999999998</c:v>
                </c:pt>
                <c:pt idx="34">
                  <c:v>2.2999999999999998</c:v>
                </c:pt>
                <c:pt idx="35">
                  <c:v>2.2999999999999998</c:v>
                </c:pt>
                <c:pt idx="36">
                  <c:v>2.2999999999999998</c:v>
                </c:pt>
                <c:pt idx="37">
                  <c:v>2.2999999999999998</c:v>
                </c:pt>
                <c:pt idx="38">
                  <c:v>2.2999999999999998</c:v>
                </c:pt>
                <c:pt idx="39">
                  <c:v>2.2999999999999998</c:v>
                </c:pt>
                <c:pt idx="40">
                  <c:v>2.2999999999999998</c:v>
                </c:pt>
                <c:pt idx="41">
                  <c:v>2.2999999999999998</c:v>
                </c:pt>
                <c:pt idx="42">
                  <c:v>2.2999999999999998</c:v>
                </c:pt>
                <c:pt idx="43">
                  <c:v>2.2999999999999998</c:v>
                </c:pt>
                <c:pt idx="44">
                  <c:v>2.2999999999999998</c:v>
                </c:pt>
                <c:pt idx="45">
                  <c:v>2.2999999999999998</c:v>
                </c:pt>
                <c:pt idx="46">
                  <c:v>2.2999999999999998</c:v>
                </c:pt>
                <c:pt idx="47">
                  <c:v>2.2999999999999998</c:v>
                </c:pt>
                <c:pt idx="48">
                  <c:v>2.2999999999999998</c:v>
                </c:pt>
                <c:pt idx="49">
                  <c:v>2.2999999999999998</c:v>
                </c:pt>
                <c:pt idx="50">
                  <c:v>2.2999999999999998</c:v>
                </c:pt>
                <c:pt idx="51">
                  <c:v>2.2999999999999998</c:v>
                </c:pt>
                <c:pt idx="52">
                  <c:v>2.2999999999999998</c:v>
                </c:pt>
                <c:pt idx="53">
                  <c:v>2.2999999999999998</c:v>
                </c:pt>
                <c:pt idx="54">
                  <c:v>2.2999999999999998</c:v>
                </c:pt>
                <c:pt idx="55">
                  <c:v>2.2999999999999998</c:v>
                </c:pt>
                <c:pt idx="56">
                  <c:v>2.2999999999999998</c:v>
                </c:pt>
                <c:pt idx="57">
                  <c:v>2.2999999999999998</c:v>
                </c:pt>
                <c:pt idx="58">
                  <c:v>2.2999999999999998</c:v>
                </c:pt>
                <c:pt idx="59">
                  <c:v>2.2999999999999998</c:v>
                </c:pt>
                <c:pt idx="60">
                  <c:v>2.2999999999999998</c:v>
                </c:pt>
                <c:pt idx="61">
                  <c:v>2.2999999999999998</c:v>
                </c:pt>
                <c:pt idx="62">
                  <c:v>2.2999999999999998</c:v>
                </c:pt>
                <c:pt idx="63">
                  <c:v>2.2999999999999998</c:v>
                </c:pt>
                <c:pt idx="64">
                  <c:v>2.2999999999999998</c:v>
                </c:pt>
                <c:pt idx="65">
                  <c:v>2.2999999999999998</c:v>
                </c:pt>
                <c:pt idx="66">
                  <c:v>2.2999999999999998</c:v>
                </c:pt>
                <c:pt idx="67">
                  <c:v>2.2999999999999998</c:v>
                </c:pt>
                <c:pt idx="68">
                  <c:v>2.2999999999999998</c:v>
                </c:pt>
                <c:pt idx="69">
                  <c:v>2.2999999999999998</c:v>
                </c:pt>
                <c:pt idx="70">
                  <c:v>2.2999999999999998</c:v>
                </c:pt>
                <c:pt idx="71">
                  <c:v>2.2999999999999998</c:v>
                </c:pt>
                <c:pt idx="72">
                  <c:v>2.2999999999999998</c:v>
                </c:pt>
                <c:pt idx="73">
                  <c:v>2.2999999999999998</c:v>
                </c:pt>
                <c:pt idx="74">
                  <c:v>2.2999999999999998</c:v>
                </c:pt>
                <c:pt idx="75">
                  <c:v>2.2999999999999998</c:v>
                </c:pt>
                <c:pt idx="76">
                  <c:v>2.2999999999999998</c:v>
                </c:pt>
                <c:pt idx="77">
                  <c:v>2.2999999999999998</c:v>
                </c:pt>
                <c:pt idx="78">
                  <c:v>2.2999999999999998</c:v>
                </c:pt>
                <c:pt idx="79">
                  <c:v>2.2999999999999998</c:v>
                </c:pt>
                <c:pt idx="80">
                  <c:v>2.2999999999999998</c:v>
                </c:pt>
                <c:pt idx="81">
                  <c:v>2.2999999999999998</c:v>
                </c:pt>
                <c:pt idx="82">
                  <c:v>2.2999999999999998</c:v>
                </c:pt>
                <c:pt idx="83">
                  <c:v>2.2999999999999998</c:v>
                </c:pt>
                <c:pt idx="84">
                  <c:v>2.2999999999999998</c:v>
                </c:pt>
                <c:pt idx="85">
                  <c:v>2.2999999999999998</c:v>
                </c:pt>
                <c:pt idx="86">
                  <c:v>2.2999999999999998</c:v>
                </c:pt>
                <c:pt idx="87">
                  <c:v>2.2999999999999998</c:v>
                </c:pt>
                <c:pt idx="88">
                  <c:v>2.2999999999999998</c:v>
                </c:pt>
                <c:pt idx="89">
                  <c:v>2.2999999999999998</c:v>
                </c:pt>
                <c:pt idx="90">
                  <c:v>2.2999999999999998</c:v>
                </c:pt>
                <c:pt idx="91">
                  <c:v>2.2999999999999998</c:v>
                </c:pt>
                <c:pt idx="92">
                  <c:v>2.2999999999999998</c:v>
                </c:pt>
                <c:pt idx="93">
                  <c:v>2.2999999999999998</c:v>
                </c:pt>
                <c:pt idx="94">
                  <c:v>2.2999999999999998</c:v>
                </c:pt>
                <c:pt idx="95">
                  <c:v>2.2999999999999998</c:v>
                </c:pt>
                <c:pt idx="96">
                  <c:v>2.2999999999999998</c:v>
                </c:pt>
                <c:pt idx="97">
                  <c:v>2.2999999999999998</c:v>
                </c:pt>
                <c:pt idx="98">
                  <c:v>2.2999999999999998</c:v>
                </c:pt>
                <c:pt idx="99">
                  <c:v>2.2999999999999998</c:v>
                </c:pt>
                <c:pt idx="100">
                  <c:v>2.2999999999999998</c:v>
                </c:pt>
                <c:pt idx="101">
                  <c:v>2.2999999999999998</c:v>
                </c:pt>
                <c:pt idx="102">
                  <c:v>2.2999999999999998</c:v>
                </c:pt>
              </c:numCache>
            </c:numRef>
          </c:yVal>
          <c:smooth val="1"/>
          <c:extLst>
            <c:ext xmlns:c16="http://schemas.microsoft.com/office/drawing/2014/chart" uri="{C3380CC4-5D6E-409C-BE32-E72D297353CC}">
              <c16:uniqueId val="{00000001-0F54-41A0-9B83-F7C9C0CBEE10}"/>
            </c:ext>
          </c:extLst>
        </c:ser>
        <c:dLbls>
          <c:showLegendKey val="0"/>
          <c:showVal val="0"/>
          <c:showCatName val="0"/>
          <c:showSerName val="0"/>
          <c:showPercent val="0"/>
          <c:showBubbleSize val="0"/>
        </c:dLbls>
        <c:axId val="77328570"/>
        <c:axId val="2173008"/>
      </c:scatterChart>
      <c:valAx>
        <c:axId val="77328570"/>
        <c:scaling>
          <c:orientation val="minMax"/>
        </c:scaling>
        <c:delete val="0"/>
        <c:axPos val="b"/>
        <c:title>
          <c:tx>
            <c:rich>
              <a:bodyPr rot="0"/>
              <a:lstStyle/>
              <a:p>
                <a:pPr>
                  <a:defRPr lang="en-US" sz="1000" b="1" strike="noStrike" spc="-1">
                    <a:solidFill>
                      <a:srgbClr val="000000"/>
                    </a:solidFill>
                    <a:latin typeface="Calibri"/>
                  </a:defRPr>
                </a:pPr>
                <a:r>
                  <a:rPr lang="en-US" sz="1000" b="1" strike="noStrike" spc="-1">
                    <a:solidFill>
                      <a:srgbClr val="000000"/>
                    </a:solidFill>
                    <a:latin typeface="Calibri"/>
                  </a:rPr>
                  <a:t>Output Voltage (V)</a:t>
                </a:r>
              </a:p>
            </c:rich>
          </c:tx>
          <c:overlay val="0"/>
          <c:spPr>
            <a:noFill/>
            <a:ln>
              <a:noFill/>
            </a:ln>
          </c:spPr>
        </c:title>
        <c:numFmt formatCode="0.00"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LID4096"/>
          </a:p>
        </c:txPr>
        <c:crossAx val="2173008"/>
        <c:crosses val="autoZero"/>
        <c:crossBetween val="midCat"/>
      </c:valAx>
      <c:valAx>
        <c:axId val="2173008"/>
        <c:scaling>
          <c:orientation val="minMax"/>
          <c:min val="0"/>
        </c:scaling>
        <c:delete val="0"/>
        <c:axPos val="l"/>
        <c:majorGridlines>
          <c:spPr>
            <a:ln w="9360">
              <a:solidFill>
                <a:srgbClr val="878787"/>
              </a:solidFill>
              <a:round/>
            </a:ln>
          </c:spPr>
        </c:majorGridlines>
        <c:title>
          <c:tx>
            <c:rich>
              <a:bodyPr rot="-5400000"/>
              <a:lstStyle/>
              <a:p>
                <a:pPr>
                  <a:defRPr lang="en-US" sz="1000" b="1" strike="noStrike" spc="-1">
                    <a:solidFill>
                      <a:srgbClr val="000000"/>
                    </a:solidFill>
                    <a:latin typeface="Calibri"/>
                  </a:defRPr>
                </a:pPr>
                <a:r>
                  <a:rPr lang="en-US" sz="1000" b="1" strike="noStrike" spc="-1">
                    <a:solidFill>
                      <a:srgbClr val="000000"/>
                    </a:solidFill>
                    <a:latin typeface="Calibri"/>
                  </a:rPr>
                  <a:t>Current (A)</a:t>
                </a:r>
              </a:p>
            </c:rich>
          </c:tx>
          <c:overlay val="0"/>
          <c:spPr>
            <a:noFill/>
            <a:ln>
              <a:noFill/>
            </a:ln>
          </c:spPr>
        </c:title>
        <c:numFmt formatCode="0.000"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LID4096"/>
          </a:p>
        </c:txPr>
        <c:crossAx val="77328570"/>
        <c:crosses val="autoZero"/>
        <c:crossBetween val="midCat"/>
      </c:valAx>
      <c:spPr>
        <a:solidFill>
          <a:srgbClr val="FFFFFF"/>
        </a:solidFill>
        <a:ln>
          <a:noFill/>
        </a:ln>
      </c:spPr>
    </c:plotArea>
    <c:legend>
      <c:legendPos val="r"/>
      <c:layout>
        <c:manualLayout>
          <c:xMode val="edge"/>
          <c:yMode val="edge"/>
          <c:x val="0.34624252358789698"/>
          <c:y val="0.24479126489117201"/>
          <c:w val="0.21462230092985601"/>
          <c:h val="0.16792443955258299"/>
        </c:manualLayout>
      </c:layout>
      <c:overlay val="0"/>
      <c:spPr>
        <a:solidFill>
          <a:srgbClr val="FFFFFF"/>
        </a:solidFill>
        <a:ln>
          <a:solidFill>
            <a:srgbClr val="000000"/>
          </a:solidFill>
        </a:ln>
      </c:spPr>
      <c:txPr>
        <a:bodyPr/>
        <a:lstStyle/>
        <a:p>
          <a:pPr>
            <a:defRPr sz="1000" b="0" strike="noStrike" spc="-1">
              <a:solidFill>
                <a:srgbClr val="000000"/>
              </a:solidFill>
              <a:latin typeface="Calibri"/>
            </a:defRPr>
          </a:pPr>
          <a:endParaRPr lang="LID4096"/>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8.png"/><Relationship Id="rId18" Type="http://schemas.openxmlformats.org/officeDocument/2006/relationships/hyperlink" Target="https://training.ti.com/node/1133681" TargetMode="External"/><Relationship Id="rId3" Type="http://schemas.openxmlformats.org/officeDocument/2006/relationships/image" Target="../media/image3.wmf"/><Relationship Id="rId7" Type="http://schemas.openxmlformats.org/officeDocument/2006/relationships/chart" Target="../charts/chart3.xml"/><Relationship Id="rId12" Type="http://schemas.openxmlformats.org/officeDocument/2006/relationships/hyperlink" Target="https://training.ti.com/node/1133677" TargetMode="External"/><Relationship Id="rId17" Type="http://schemas.openxmlformats.org/officeDocument/2006/relationships/image" Target="../media/image10.png"/><Relationship Id="rId2" Type="http://schemas.openxmlformats.org/officeDocument/2006/relationships/image" Target="../media/image2.png"/><Relationship Id="rId16" Type="http://schemas.openxmlformats.org/officeDocument/2006/relationships/hyperlink" Target="https://training.ti.com/node/1133664" TargetMode="External"/><Relationship Id="rId1" Type="http://schemas.openxmlformats.org/officeDocument/2006/relationships/hyperlink" Target="http://www.ti.com" TargetMode="External"/><Relationship Id="rId6" Type="http://schemas.openxmlformats.org/officeDocument/2006/relationships/chart" Target="../charts/chart2.xml"/><Relationship Id="rId11" Type="http://schemas.openxmlformats.org/officeDocument/2006/relationships/image" Target="../media/image7.png"/><Relationship Id="rId5" Type="http://schemas.openxmlformats.org/officeDocument/2006/relationships/chart" Target="../charts/chart1.xml"/><Relationship Id="rId15" Type="http://schemas.openxmlformats.org/officeDocument/2006/relationships/image" Target="../media/image9.png"/><Relationship Id="rId10" Type="http://schemas.openxmlformats.org/officeDocument/2006/relationships/hyperlink" Target="http://www.ti.com/power-management/protection-monitoring-hot-swap/controllers/support-training.html#videos" TargetMode="External"/><Relationship Id="rId19" Type="http://schemas.openxmlformats.org/officeDocument/2006/relationships/image" Target="../media/image11.png"/><Relationship Id="rId4" Type="http://schemas.openxmlformats.org/officeDocument/2006/relationships/image" Target="../media/image4.png"/><Relationship Id="rId9" Type="http://schemas.openxmlformats.org/officeDocument/2006/relationships/image" Target="../media/image6.png"/><Relationship Id="rId14" Type="http://schemas.openxmlformats.org/officeDocument/2006/relationships/hyperlink" Target="https://training.ti.com/node/1133673"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95400</xdr:rowOff>
    </xdr:from>
    <xdr:to>
      <xdr:col>15</xdr:col>
      <xdr:colOff>579600</xdr:colOff>
      <xdr:row>5</xdr:row>
      <xdr:rowOff>27360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0" y="262080"/>
          <a:ext cx="9799560" cy="9226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114480</xdr:colOff>
      <xdr:row>2</xdr:row>
      <xdr:rowOff>0</xdr:rowOff>
    </xdr:from>
    <xdr:to>
      <xdr:col>3</xdr:col>
      <xdr:colOff>610920</xdr:colOff>
      <xdr:row>4</xdr:row>
      <xdr:rowOff>103320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stretch/>
      </xdr:blipFill>
      <xdr:spPr>
        <a:xfrm>
          <a:off x="114480" y="328680"/>
          <a:ext cx="2340360" cy="7700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26640</xdr:colOff>
      <xdr:row>1</xdr:row>
      <xdr:rowOff>104760</xdr:rowOff>
    </xdr:from>
    <xdr:to>
      <xdr:col>7</xdr:col>
      <xdr:colOff>17640</xdr:colOff>
      <xdr:row>7</xdr:row>
      <xdr:rowOff>32760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26640" y="876240"/>
          <a:ext cx="8217360" cy="9374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36720" tIns="23040" rIns="0" bIns="0">
          <a:noAutofit/>
        </a:bodyPr>
        <a:lstStyle/>
        <a:p>
          <a:pPr>
            <a:lnSpc>
              <a:spcPct val="100000"/>
            </a:lnSpc>
          </a:pPr>
          <a:r>
            <a:rPr lang="en-US" sz="1200" b="1" u="sng" strike="noStrike" spc="-1">
              <a:solidFill>
                <a:srgbClr val="FF0000"/>
              </a:solidFill>
              <a:uFillTx/>
              <a:latin typeface="Arial"/>
            </a:rPr>
            <a:t>Note</a:t>
          </a:r>
          <a:r>
            <a:rPr lang="en-US" sz="1200" b="1" strike="noStrike" spc="-1">
              <a:solidFill>
                <a:srgbClr val="FF0000"/>
              </a:solidFill>
              <a:latin typeface="Arial"/>
            </a:rPr>
            <a:t>:</a:t>
          </a:r>
          <a:r>
            <a:rPr lang="en-US" sz="1200" b="0" strike="noStrike" spc="-1">
              <a:solidFill>
                <a:srgbClr val="FF0000"/>
              </a:solidFill>
              <a:latin typeface="Arial"/>
            </a:rPr>
            <a:t> The components calculated in this worksheet are reasonable starting values for a design using the TPS249x and TPS248x series of Hot-swap Controller. As such, they are not optimized for any particular performance attribute. Tolerances of the components are not included in the calculations. See the Instructions tab for additional information.</a:t>
          </a:r>
          <a:endParaRPr lang="en-US" sz="1200" b="0" strike="noStrike" spc="-1">
            <a:latin typeface="Times New Roman"/>
          </a:endParaRPr>
        </a:p>
        <a:p>
          <a:pPr>
            <a:lnSpc>
              <a:spcPct val="100000"/>
            </a:lnSpc>
          </a:pPr>
          <a:r>
            <a:rPr lang="en-US" sz="1200" b="1" strike="noStrike" spc="-1">
              <a:solidFill>
                <a:srgbClr val="000000"/>
              </a:solidFill>
              <a:latin typeface="Arial"/>
            </a:rPr>
            <a:t>Consult the TPS249x datasheet for more detail.</a:t>
          </a:r>
          <a:endParaRPr lang="en-US" sz="1200" b="0" strike="noStrike" spc="-1">
            <a:latin typeface="Times New Roman"/>
          </a:endParaRPr>
        </a:p>
      </xdr:txBody>
    </xdr:sp>
    <xdr:clientData/>
  </xdr:twoCellAnchor>
  <xdr:twoCellAnchor>
    <xdr:from>
      <xdr:col>41</xdr:col>
      <xdr:colOff>0</xdr:colOff>
      <xdr:row>58</xdr:row>
      <xdr:rowOff>182880</xdr:rowOff>
    </xdr:from>
    <xdr:to>
      <xdr:col>41</xdr:col>
      <xdr:colOff>360</xdr:colOff>
      <xdr:row>66</xdr:row>
      <xdr:rowOff>181800</xdr:rowOff>
    </xdr:to>
    <xdr:sp macro="" textlink="">
      <xdr:nvSpPr>
        <xdr:cNvPr id="3" name="CustomShape 1">
          <a:extLst>
            <a:ext uri="{FF2B5EF4-FFF2-40B4-BE49-F238E27FC236}">
              <a16:creationId xmlns:a16="http://schemas.microsoft.com/office/drawing/2014/main" id="{00000000-0008-0000-0100-000003000000}"/>
            </a:ext>
          </a:extLst>
        </xdr:cNvPr>
        <xdr:cNvSpPr/>
      </xdr:nvSpPr>
      <xdr:spPr>
        <a:xfrm>
          <a:off x="13308840" y="12424320"/>
          <a:ext cx="360" cy="15228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0" bIns="0">
          <a:noAutofit/>
        </a:bodyPr>
        <a:lstStyle/>
        <a:p>
          <a:pPr>
            <a:lnSpc>
              <a:spcPct val="100000"/>
            </a:lnSpc>
          </a:pPr>
          <a:r>
            <a:rPr lang="en-US" sz="1000" b="0" strike="noStrike" spc="-1">
              <a:solidFill>
                <a:srgbClr val="000000"/>
              </a:solidFill>
              <a:latin typeface="Arial"/>
            </a:rPr>
            <a:t>Max R</a:t>
          </a:r>
          <a:r>
            <a:rPr lang="en-US" sz="1000" b="0" strike="noStrike" spc="-1" baseline="-25000">
              <a:solidFill>
                <a:srgbClr val="000000"/>
              </a:solidFill>
              <a:latin typeface="Arial"/>
            </a:rPr>
            <a:t>S</a:t>
          </a:r>
          <a:r>
            <a:rPr lang="en-US" sz="1000" b="0" strike="noStrike" spc="-1">
              <a:solidFill>
                <a:srgbClr val="000000"/>
              </a:solidFill>
              <a:latin typeface="Arial"/>
            </a:rPr>
            <a:t> = </a:t>
          </a:r>
          <a:r>
            <a:rPr lang="en-US" sz="1000" b="0" u="sng" strike="noStrike" spc="-1">
              <a:solidFill>
                <a:srgbClr val="000000"/>
              </a:solidFill>
              <a:uFillTx/>
              <a:latin typeface="Arial"/>
            </a:rPr>
            <a:t>            45 mV                 </a:t>
          </a:r>
          <a:endParaRPr lang="en-US" sz="1000" b="0" strike="noStrike" spc="-1">
            <a:latin typeface="Times New Roman"/>
          </a:endParaRPr>
        </a:p>
        <a:p>
          <a:pPr>
            <a:lnSpc>
              <a:spcPct val="100000"/>
            </a:lnSpc>
          </a:pPr>
          <a:r>
            <a:rPr lang="en-US" sz="1000" b="0" strike="noStrike" spc="-1">
              <a:solidFill>
                <a:srgbClr val="000000"/>
              </a:solidFill>
              <a:latin typeface="Arial"/>
            </a:rPr>
            <a:t>                (Max Load Current x 1.01)</a:t>
          </a:r>
          <a:endParaRPr lang="en-US" sz="1000" b="0" strike="noStrike" spc="-1">
            <a:latin typeface="Times New Roman"/>
          </a:endParaRPr>
        </a:p>
        <a:p>
          <a:pPr>
            <a:lnSpc>
              <a:spcPct val="100000"/>
            </a:lnSpc>
          </a:pPr>
          <a:endParaRPr lang="en-US" sz="1000" b="0" strike="noStrike" spc="-1">
            <a:latin typeface="Times New Roman"/>
          </a:endParaRPr>
        </a:p>
        <a:p>
          <a:pPr>
            <a:lnSpc>
              <a:spcPct val="100000"/>
            </a:lnSpc>
          </a:pPr>
          <a:r>
            <a:rPr lang="en-US" sz="800" b="0" strike="noStrike" spc="-1">
              <a:solidFill>
                <a:srgbClr val="000000"/>
              </a:solidFill>
              <a:latin typeface="Arial"/>
            </a:rPr>
            <a:t>The 1.01 factor provides 1% margin from the max. normal load current.</a:t>
          </a:r>
          <a:endParaRPr lang="en-US" sz="800" b="0" strike="noStrike" spc="-1">
            <a:latin typeface="Times New Roman"/>
          </a:endParaRPr>
        </a:p>
      </xdr:txBody>
    </xdr:sp>
    <xdr:clientData/>
  </xdr:twoCellAnchor>
  <xdr:twoCellAnchor editAs="oneCell">
    <xdr:from>
      <xdr:col>1</xdr:col>
      <xdr:colOff>51840</xdr:colOff>
      <xdr:row>0</xdr:row>
      <xdr:rowOff>171360</xdr:rowOff>
    </xdr:from>
    <xdr:to>
      <xdr:col>1</xdr:col>
      <xdr:colOff>1713240</xdr:colOff>
      <xdr:row>0</xdr:row>
      <xdr:rowOff>608040</xdr:rowOff>
    </xdr:to>
    <xdr:pic>
      <xdr:nvPicPr>
        <xdr:cNvPr id="4" name="Picture 9">
          <a:hlinkClick xmlns:r="http://schemas.openxmlformats.org/officeDocument/2006/relationships" r:id="rId1"/>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2"/>
        <a:srcRect r="26494"/>
        <a:stretch/>
      </xdr:blipFill>
      <xdr:spPr>
        <a:xfrm>
          <a:off x="79560" y="171360"/>
          <a:ext cx="1661400" cy="436680"/>
        </a:xfrm>
        <a:prstGeom prst="rect">
          <a:avLst/>
        </a:prstGeom>
        <a:ln w="9360">
          <a:noFill/>
        </a:ln>
      </xdr:spPr>
    </xdr:pic>
    <xdr:clientData/>
  </xdr:twoCellAnchor>
  <xdr:twoCellAnchor editAs="oneCell">
    <xdr:from>
      <xdr:col>5</xdr:col>
      <xdr:colOff>95760</xdr:colOff>
      <xdr:row>133</xdr:row>
      <xdr:rowOff>87840</xdr:rowOff>
    </xdr:from>
    <xdr:to>
      <xdr:col>10</xdr:col>
      <xdr:colOff>631800</xdr:colOff>
      <xdr:row>133</xdr:row>
      <xdr:rowOff>88560</xdr:rowOff>
    </xdr:to>
    <xdr:pic>
      <xdr:nvPicPr>
        <xdr:cNvPr id="5" name="Picture 216">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3"/>
        <a:stretch/>
      </xdr:blipFill>
      <xdr:spPr>
        <a:xfrm>
          <a:off x="6816960" y="26433000"/>
          <a:ext cx="4250880" cy="720"/>
        </a:xfrm>
        <a:prstGeom prst="rect">
          <a:avLst/>
        </a:prstGeom>
        <a:ln>
          <a:noFill/>
        </a:ln>
      </xdr:spPr>
    </xdr:pic>
    <xdr:clientData/>
  </xdr:twoCellAnchor>
  <xdr:twoCellAnchor>
    <xdr:from>
      <xdr:col>38</xdr:col>
      <xdr:colOff>714600</xdr:colOff>
      <xdr:row>0</xdr:row>
      <xdr:rowOff>114840</xdr:rowOff>
    </xdr:from>
    <xdr:to>
      <xdr:col>42</xdr:col>
      <xdr:colOff>554400</xdr:colOff>
      <xdr:row>0</xdr:row>
      <xdr:rowOff>515520</xdr:rowOff>
    </xdr:to>
    <xdr:pic>
      <xdr:nvPicPr>
        <xdr:cNvPr id="6" name="Picture 84">
          <a:extLst>
            <a:ext uri="{FF2B5EF4-FFF2-40B4-BE49-F238E27FC236}">
              <a16:creationId xmlns:a16="http://schemas.microsoft.com/office/drawing/2014/main" id="{00000000-0008-0000-0100-000006000000}"/>
            </a:ext>
          </a:extLst>
        </xdr:cNvPr>
        <xdr:cNvPicPr/>
      </xdr:nvPicPr>
      <xdr:blipFill>
        <a:blip xmlns:r="http://schemas.openxmlformats.org/officeDocument/2006/relationships" r:embed="rId4"/>
        <a:stretch/>
      </xdr:blipFill>
      <xdr:spPr>
        <a:xfrm>
          <a:off x="13196520" y="114840"/>
          <a:ext cx="1532160" cy="400680"/>
        </a:xfrm>
        <a:prstGeom prst="rect">
          <a:avLst/>
        </a:prstGeom>
        <a:ln>
          <a:noFill/>
        </a:ln>
      </xdr:spPr>
    </xdr:pic>
    <xdr:clientData/>
  </xdr:twoCellAnchor>
  <xdr:twoCellAnchor editAs="oneCell">
    <xdr:from>
      <xdr:col>7</xdr:col>
      <xdr:colOff>274320</xdr:colOff>
      <xdr:row>49</xdr:row>
      <xdr:rowOff>77400</xdr:rowOff>
    </xdr:from>
    <xdr:to>
      <xdr:col>38</xdr:col>
      <xdr:colOff>308880</xdr:colOff>
      <xdr:row>64</xdr:row>
      <xdr:rowOff>114120</xdr:rowOff>
    </xdr:to>
    <xdr:graphicFrame macro="">
      <xdr:nvGraphicFramePr>
        <xdr:cNvPr id="7" name="Chart 100">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53640</xdr:colOff>
      <xdr:row>43</xdr:row>
      <xdr:rowOff>176040</xdr:rowOff>
    </xdr:from>
    <xdr:to>
      <xdr:col>8</xdr:col>
      <xdr:colOff>236880</xdr:colOff>
      <xdr:row>45</xdr:row>
      <xdr:rowOff>57240</xdr:rowOff>
    </xdr:to>
    <xdr:sp macro="" textlink="">
      <xdr:nvSpPr>
        <xdr:cNvPr id="8" name="CustomShape 1">
          <a:extLst>
            <a:ext uri="{FF2B5EF4-FFF2-40B4-BE49-F238E27FC236}">
              <a16:creationId xmlns:a16="http://schemas.microsoft.com/office/drawing/2014/main" id="{00000000-0008-0000-0100-000008000000}"/>
            </a:ext>
          </a:extLst>
        </xdr:cNvPr>
        <xdr:cNvSpPr/>
      </xdr:nvSpPr>
      <xdr:spPr>
        <a:xfrm>
          <a:off x="8956800" y="9626400"/>
          <a:ext cx="183240" cy="2624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7</xdr:col>
      <xdr:colOff>219960</xdr:colOff>
      <xdr:row>67</xdr:row>
      <xdr:rowOff>87120</xdr:rowOff>
    </xdr:from>
    <xdr:to>
      <xdr:col>38</xdr:col>
      <xdr:colOff>213480</xdr:colOff>
      <xdr:row>80</xdr:row>
      <xdr:rowOff>181800</xdr:rowOff>
    </xdr:to>
    <xdr:graphicFrame macro="">
      <xdr:nvGraphicFramePr>
        <xdr:cNvPr id="9" name="Chart 15">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434520</xdr:colOff>
      <xdr:row>55</xdr:row>
      <xdr:rowOff>89640</xdr:rowOff>
    </xdr:from>
    <xdr:to>
      <xdr:col>11</xdr:col>
      <xdr:colOff>617760</xdr:colOff>
      <xdr:row>56</xdr:row>
      <xdr:rowOff>160560</xdr:rowOff>
    </xdr:to>
    <xdr:sp macro="" textlink="">
      <xdr:nvSpPr>
        <xdr:cNvPr id="10" name="CustomShape 1">
          <a:extLst>
            <a:ext uri="{FF2B5EF4-FFF2-40B4-BE49-F238E27FC236}">
              <a16:creationId xmlns:a16="http://schemas.microsoft.com/office/drawing/2014/main" id="{00000000-0008-0000-0100-00000A000000}"/>
            </a:ext>
          </a:extLst>
        </xdr:cNvPr>
        <xdr:cNvSpPr/>
      </xdr:nvSpPr>
      <xdr:spPr>
        <a:xfrm>
          <a:off x="11595240" y="11759400"/>
          <a:ext cx="183240" cy="26136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7</xdr:col>
      <xdr:colOff>236520</xdr:colOff>
      <xdr:row>81</xdr:row>
      <xdr:rowOff>49320</xdr:rowOff>
    </xdr:from>
    <xdr:to>
      <xdr:col>38</xdr:col>
      <xdr:colOff>325080</xdr:colOff>
      <xdr:row>90</xdr:row>
      <xdr:rowOff>338040</xdr:rowOff>
    </xdr:to>
    <xdr:graphicFrame macro="">
      <xdr:nvGraphicFramePr>
        <xdr:cNvPr id="11" name="Chart 17">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663840</xdr:colOff>
      <xdr:row>69</xdr:row>
      <xdr:rowOff>23760</xdr:rowOff>
    </xdr:from>
    <xdr:to>
      <xdr:col>38</xdr:col>
      <xdr:colOff>150480</xdr:colOff>
      <xdr:row>70</xdr:row>
      <xdr:rowOff>123840</xdr:rowOff>
    </xdr:to>
    <xdr:sp macro="" textlink="">
      <xdr:nvSpPr>
        <xdr:cNvPr id="12" name="CustomShape 1">
          <a:extLst>
            <a:ext uri="{FF2B5EF4-FFF2-40B4-BE49-F238E27FC236}">
              <a16:creationId xmlns:a16="http://schemas.microsoft.com/office/drawing/2014/main" id="{00000000-0008-0000-0100-00000C000000}"/>
            </a:ext>
          </a:extLst>
        </xdr:cNvPr>
        <xdr:cNvSpPr/>
      </xdr:nvSpPr>
      <xdr:spPr>
        <a:xfrm>
          <a:off x="12449880" y="14317920"/>
          <a:ext cx="182520" cy="2628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absolute">
    <xdr:from>
      <xdr:col>8</xdr:col>
      <xdr:colOff>68040</xdr:colOff>
      <xdr:row>37</xdr:row>
      <xdr:rowOff>152640</xdr:rowOff>
    </xdr:from>
    <xdr:to>
      <xdr:col>11</xdr:col>
      <xdr:colOff>498240</xdr:colOff>
      <xdr:row>48</xdr:row>
      <xdr:rowOff>34200</xdr:rowOff>
    </xdr:to>
    <xdr:pic>
      <xdr:nvPicPr>
        <xdr:cNvPr id="13" name="Picture 22">
          <a:extLst>
            <a:ext uri="{FF2B5EF4-FFF2-40B4-BE49-F238E27FC236}">
              <a16:creationId xmlns:a16="http://schemas.microsoft.com/office/drawing/2014/main" id="{00000000-0008-0000-0100-00000D000000}"/>
            </a:ext>
          </a:extLst>
        </xdr:cNvPr>
        <xdr:cNvPicPr/>
      </xdr:nvPicPr>
      <xdr:blipFill>
        <a:blip xmlns:r="http://schemas.openxmlformats.org/officeDocument/2006/relationships" r:embed="rId8"/>
        <a:stretch/>
      </xdr:blipFill>
      <xdr:spPr>
        <a:xfrm>
          <a:off x="8971200" y="8460000"/>
          <a:ext cx="2687760" cy="1977120"/>
        </a:xfrm>
        <a:prstGeom prst="rect">
          <a:avLst/>
        </a:prstGeom>
        <a:ln>
          <a:noFill/>
        </a:ln>
      </xdr:spPr>
    </xdr:pic>
    <xdr:clientData/>
  </xdr:twoCellAnchor>
  <xdr:twoCellAnchor editAs="absolute">
    <xdr:from>
      <xdr:col>9</xdr:col>
      <xdr:colOff>5760</xdr:colOff>
      <xdr:row>40</xdr:row>
      <xdr:rowOff>151920</xdr:rowOff>
    </xdr:from>
    <xdr:to>
      <xdr:col>9</xdr:col>
      <xdr:colOff>563040</xdr:colOff>
      <xdr:row>41</xdr:row>
      <xdr:rowOff>185760</xdr:rowOff>
    </xdr:to>
    <xdr:sp macro="" textlink="">
      <xdr:nvSpPr>
        <xdr:cNvPr id="14" name="CustomShape 1">
          <a:extLst>
            <a:ext uri="{FF2B5EF4-FFF2-40B4-BE49-F238E27FC236}">
              <a16:creationId xmlns:a16="http://schemas.microsoft.com/office/drawing/2014/main" id="{00000000-0008-0000-0100-00000E000000}"/>
            </a:ext>
          </a:extLst>
        </xdr:cNvPr>
        <xdr:cNvSpPr/>
      </xdr:nvSpPr>
      <xdr:spPr>
        <a:xfrm>
          <a:off x="9816480" y="9030960"/>
          <a:ext cx="557280" cy="2242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200" b="0" strike="noStrike" spc="-1">
              <a:solidFill>
                <a:srgbClr val="000000"/>
              </a:solidFill>
              <a:latin typeface="Arial"/>
            </a:rPr>
            <a:t>R</a:t>
          </a:r>
          <a:r>
            <a:rPr lang="en-US" sz="1200" b="0" strike="noStrike" spc="-1" baseline="-25000">
              <a:solidFill>
                <a:srgbClr val="000000"/>
              </a:solidFill>
              <a:latin typeface="Arial"/>
            </a:rPr>
            <a:t>CL1</a:t>
          </a:r>
          <a:endParaRPr lang="en-US" sz="1200" b="0" strike="noStrike" spc="-1">
            <a:latin typeface="Times New Roman"/>
          </a:endParaRPr>
        </a:p>
      </xdr:txBody>
    </xdr:sp>
    <xdr:clientData/>
  </xdr:twoCellAnchor>
  <xdr:twoCellAnchor editAs="absolute">
    <xdr:from>
      <xdr:col>10</xdr:col>
      <xdr:colOff>289800</xdr:colOff>
      <xdr:row>40</xdr:row>
      <xdr:rowOff>82440</xdr:rowOff>
    </xdr:from>
    <xdr:to>
      <xdr:col>11</xdr:col>
      <xdr:colOff>122760</xdr:colOff>
      <xdr:row>41</xdr:row>
      <xdr:rowOff>183600</xdr:rowOff>
    </xdr:to>
    <xdr:sp macro="" textlink="">
      <xdr:nvSpPr>
        <xdr:cNvPr id="15" name="CustomShape 1">
          <a:extLst>
            <a:ext uri="{FF2B5EF4-FFF2-40B4-BE49-F238E27FC236}">
              <a16:creationId xmlns:a16="http://schemas.microsoft.com/office/drawing/2014/main" id="{00000000-0008-0000-0100-00000F000000}"/>
            </a:ext>
          </a:extLst>
        </xdr:cNvPr>
        <xdr:cNvSpPr/>
      </xdr:nvSpPr>
      <xdr:spPr>
        <a:xfrm>
          <a:off x="10725840" y="8961480"/>
          <a:ext cx="557640" cy="2916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200" b="0" strike="noStrike" spc="-1">
              <a:solidFill>
                <a:srgbClr val="000000"/>
              </a:solidFill>
              <a:latin typeface="Arial"/>
            </a:rPr>
            <a:t>R</a:t>
          </a:r>
          <a:r>
            <a:rPr lang="en-US" sz="1200" b="0" strike="noStrike" spc="-1" baseline="-25000">
              <a:solidFill>
                <a:srgbClr val="000000"/>
              </a:solidFill>
              <a:latin typeface="Arial"/>
            </a:rPr>
            <a:t>CL2</a:t>
          </a:r>
          <a:endParaRPr lang="en-US" sz="1200" b="0" strike="noStrike" spc="-1">
            <a:latin typeface="Times New Roman"/>
          </a:endParaRPr>
        </a:p>
      </xdr:txBody>
    </xdr:sp>
    <xdr:clientData/>
  </xdr:twoCellAnchor>
  <xdr:twoCellAnchor editAs="absolute">
    <xdr:from>
      <xdr:col>11</xdr:col>
      <xdr:colOff>145440</xdr:colOff>
      <xdr:row>46</xdr:row>
      <xdr:rowOff>36720</xdr:rowOff>
    </xdr:from>
    <xdr:to>
      <xdr:col>11</xdr:col>
      <xdr:colOff>237240</xdr:colOff>
      <xdr:row>47</xdr:row>
      <xdr:rowOff>63360</xdr:rowOff>
    </xdr:to>
    <xdr:sp macro="" textlink="">
      <xdr:nvSpPr>
        <xdr:cNvPr id="16" name="CustomShape 1">
          <a:extLst>
            <a:ext uri="{FF2B5EF4-FFF2-40B4-BE49-F238E27FC236}">
              <a16:creationId xmlns:a16="http://schemas.microsoft.com/office/drawing/2014/main" id="{00000000-0008-0000-0100-000010000000}"/>
            </a:ext>
          </a:extLst>
        </xdr:cNvPr>
        <xdr:cNvSpPr/>
      </xdr:nvSpPr>
      <xdr:spPr>
        <a:xfrm>
          <a:off x="11306160" y="10058760"/>
          <a:ext cx="91800" cy="217080"/>
        </a:xfrm>
        <a:prstGeom prst="rect">
          <a:avLst/>
        </a:prstGeom>
        <a:solidFill>
          <a:srgbClr val="FFFFFF"/>
        </a:solidFill>
        <a:ln>
          <a:noFill/>
        </a:ln>
      </xdr:spPr>
      <xdr:style>
        <a:lnRef idx="2">
          <a:schemeClr val="accent1">
            <a:shade val="50000"/>
          </a:schemeClr>
        </a:lnRef>
        <a:fillRef idx="1">
          <a:schemeClr val="accent1"/>
        </a:fillRef>
        <a:effectRef idx="0">
          <a:schemeClr val="accent1"/>
        </a:effectRef>
        <a:fontRef idx="minor"/>
      </xdr:style>
    </xdr:sp>
    <xdr:clientData/>
  </xdr:twoCellAnchor>
  <xdr:twoCellAnchor>
    <xdr:from>
      <xdr:col>9</xdr:col>
      <xdr:colOff>232920</xdr:colOff>
      <xdr:row>45</xdr:row>
      <xdr:rowOff>93960</xdr:rowOff>
    </xdr:from>
    <xdr:to>
      <xdr:col>11</xdr:col>
      <xdr:colOff>184680</xdr:colOff>
      <xdr:row>49</xdr:row>
      <xdr:rowOff>13680</xdr:rowOff>
    </xdr:to>
    <xdr:sp macro="" textlink="">
      <xdr:nvSpPr>
        <xdr:cNvPr id="17" name="CustomShape 1">
          <a:extLst>
            <a:ext uri="{FF2B5EF4-FFF2-40B4-BE49-F238E27FC236}">
              <a16:creationId xmlns:a16="http://schemas.microsoft.com/office/drawing/2014/main" id="{00000000-0008-0000-0100-000011000000}"/>
            </a:ext>
          </a:extLst>
        </xdr:cNvPr>
        <xdr:cNvSpPr/>
      </xdr:nvSpPr>
      <xdr:spPr>
        <a:xfrm>
          <a:off x="10043640" y="9925560"/>
          <a:ext cx="1301760" cy="681480"/>
        </a:xfrm>
        <a:prstGeom prst="rect">
          <a:avLst/>
        </a:prstGeom>
        <a:solidFill>
          <a:srgbClr val="FFFFFF"/>
        </a:solidFill>
        <a:ln>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nSpc>
              <a:spcPct val="100000"/>
            </a:lnSpc>
          </a:pPr>
          <a:r>
            <a:rPr lang="en-US" sz="2000" b="1" strike="noStrike" spc="-1">
              <a:solidFill>
                <a:srgbClr val="000000"/>
              </a:solidFill>
              <a:latin typeface="Calibri"/>
            </a:rPr>
            <a:t>TPS249x</a:t>
          </a:r>
          <a:endParaRPr lang="en-US" sz="2000" b="0" strike="noStrike" spc="-1">
            <a:latin typeface="Times New Roman"/>
          </a:endParaRPr>
        </a:p>
      </xdr:txBody>
    </xdr:sp>
    <xdr:clientData/>
  </xdr:twoCellAnchor>
  <xdr:twoCellAnchor>
    <xdr:from>
      <xdr:col>8</xdr:col>
      <xdr:colOff>570600</xdr:colOff>
      <xdr:row>43</xdr:row>
      <xdr:rowOff>145080</xdr:rowOff>
    </xdr:from>
    <xdr:to>
      <xdr:col>9</xdr:col>
      <xdr:colOff>194760</xdr:colOff>
      <xdr:row>44</xdr:row>
      <xdr:rowOff>188280</xdr:rowOff>
    </xdr:to>
    <xdr:sp macro="" textlink="">
      <xdr:nvSpPr>
        <xdr:cNvPr id="18" name="CustomShape 1">
          <a:extLst>
            <a:ext uri="{FF2B5EF4-FFF2-40B4-BE49-F238E27FC236}">
              <a16:creationId xmlns:a16="http://schemas.microsoft.com/office/drawing/2014/main" id="{00000000-0008-0000-0100-000012000000}"/>
            </a:ext>
          </a:extLst>
        </xdr:cNvPr>
        <xdr:cNvSpPr/>
      </xdr:nvSpPr>
      <xdr:spPr>
        <a:xfrm>
          <a:off x="9473760" y="9595440"/>
          <a:ext cx="531720" cy="234000"/>
        </a:xfrm>
        <a:prstGeom prst="rect">
          <a:avLst/>
        </a:prstGeom>
        <a:solidFill>
          <a:srgbClr val="FFFFFF"/>
        </a:solid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200" b="0" strike="noStrike" spc="-1">
              <a:solidFill>
                <a:srgbClr val="000000"/>
              </a:solidFill>
              <a:latin typeface="Calibri"/>
            </a:rPr>
            <a:t>VCC</a:t>
          </a:r>
          <a:endParaRPr lang="en-US" sz="1200" b="0" strike="noStrike" spc="-1">
            <a:latin typeface="Times New Roman"/>
          </a:endParaRPr>
        </a:p>
      </xdr:txBody>
    </xdr:sp>
    <xdr:clientData/>
  </xdr:twoCellAnchor>
  <xdr:twoCellAnchor>
    <xdr:from>
      <xdr:col>9</xdr:col>
      <xdr:colOff>571680</xdr:colOff>
      <xdr:row>43</xdr:row>
      <xdr:rowOff>145800</xdr:rowOff>
    </xdr:from>
    <xdr:to>
      <xdr:col>10</xdr:col>
      <xdr:colOff>585720</xdr:colOff>
      <xdr:row>44</xdr:row>
      <xdr:rowOff>189000</xdr:rowOff>
    </xdr:to>
    <xdr:sp macro="" textlink="">
      <xdr:nvSpPr>
        <xdr:cNvPr id="19" name="CustomShape 1">
          <a:extLst>
            <a:ext uri="{FF2B5EF4-FFF2-40B4-BE49-F238E27FC236}">
              <a16:creationId xmlns:a16="http://schemas.microsoft.com/office/drawing/2014/main" id="{00000000-0008-0000-0100-000013000000}"/>
            </a:ext>
          </a:extLst>
        </xdr:cNvPr>
        <xdr:cNvSpPr/>
      </xdr:nvSpPr>
      <xdr:spPr>
        <a:xfrm>
          <a:off x="10382400" y="9596160"/>
          <a:ext cx="639360" cy="234000"/>
        </a:xfrm>
        <a:prstGeom prst="rect">
          <a:avLst/>
        </a:prstGeom>
        <a:solidFill>
          <a:srgbClr val="FFFFFF"/>
        </a:solid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200" b="0" strike="noStrike" spc="-1">
              <a:solidFill>
                <a:srgbClr val="000000"/>
              </a:solidFill>
              <a:latin typeface="Calibri"/>
            </a:rPr>
            <a:t>SENSE</a:t>
          </a:r>
          <a:endParaRPr lang="en-US" sz="1200" b="0" strike="noStrike" spc="-1">
            <a:latin typeface="Times New Roman"/>
          </a:endParaRPr>
        </a:p>
      </xdr:txBody>
    </xdr:sp>
    <xdr:clientData/>
  </xdr:twoCellAnchor>
  <xdr:twoCellAnchor editAs="oneCell">
    <xdr:from>
      <xdr:col>1</xdr:col>
      <xdr:colOff>54000</xdr:colOff>
      <xdr:row>104</xdr:row>
      <xdr:rowOff>114120</xdr:rowOff>
    </xdr:from>
    <xdr:to>
      <xdr:col>3</xdr:col>
      <xdr:colOff>912960</xdr:colOff>
      <xdr:row>118</xdr:row>
      <xdr:rowOff>189000</xdr:rowOff>
    </xdr:to>
    <xdr:pic>
      <xdr:nvPicPr>
        <xdr:cNvPr id="20" name="Picture 14">
          <a:extLst>
            <a:ext uri="{FF2B5EF4-FFF2-40B4-BE49-F238E27FC236}">
              <a16:creationId xmlns:a16="http://schemas.microsoft.com/office/drawing/2014/main" id="{00000000-0008-0000-0100-000014000000}"/>
            </a:ext>
          </a:extLst>
        </xdr:cNvPr>
        <xdr:cNvPicPr/>
      </xdr:nvPicPr>
      <xdr:blipFill>
        <a:blip xmlns:r="http://schemas.openxmlformats.org/officeDocument/2006/relationships" r:embed="rId9"/>
        <a:stretch/>
      </xdr:blipFill>
      <xdr:spPr>
        <a:xfrm>
          <a:off x="81720" y="21267720"/>
          <a:ext cx="4908960" cy="2732400"/>
        </a:xfrm>
        <a:prstGeom prst="rect">
          <a:avLst/>
        </a:prstGeom>
        <a:ln>
          <a:noFill/>
        </a:ln>
      </xdr:spPr>
    </xdr:pic>
    <xdr:clientData/>
  </xdr:twoCellAnchor>
  <xdr:twoCellAnchor>
    <xdr:from>
      <xdr:col>2</xdr:col>
      <xdr:colOff>419040</xdr:colOff>
      <xdr:row>104</xdr:row>
      <xdr:rowOff>52920</xdr:rowOff>
    </xdr:from>
    <xdr:to>
      <xdr:col>2</xdr:col>
      <xdr:colOff>897840</xdr:colOff>
      <xdr:row>105</xdr:row>
      <xdr:rowOff>152280</xdr:rowOff>
    </xdr:to>
    <xdr:sp macro="" textlink="">
      <xdr:nvSpPr>
        <xdr:cNvPr id="21" name="CustomShape 1">
          <a:extLst>
            <a:ext uri="{FF2B5EF4-FFF2-40B4-BE49-F238E27FC236}">
              <a16:creationId xmlns:a16="http://schemas.microsoft.com/office/drawing/2014/main" id="{00000000-0008-0000-0100-000015000000}"/>
            </a:ext>
          </a:extLst>
        </xdr:cNvPr>
        <xdr:cNvSpPr/>
      </xdr:nvSpPr>
      <xdr:spPr>
        <a:xfrm>
          <a:off x="2308680" y="21206520"/>
          <a:ext cx="478800" cy="289800"/>
        </a:xfrm>
        <a:prstGeom prst="rect">
          <a:avLst/>
        </a:prstGeom>
        <a:solidFill>
          <a:srgbClr val="FFFFFF"/>
        </a:solidFill>
        <a:ln>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nSpc>
              <a:spcPct val="100000"/>
            </a:lnSpc>
          </a:pPr>
          <a:r>
            <a:rPr lang="en-US" sz="1200" b="0" strike="noStrike" spc="-1">
              <a:solidFill>
                <a:srgbClr val="000000"/>
              </a:solidFill>
              <a:latin typeface="Calibri"/>
            </a:rPr>
            <a:t>Q</a:t>
          </a:r>
          <a:r>
            <a:rPr lang="en-US" sz="1200" b="0" strike="noStrike" spc="-1" baseline="-25000">
              <a:solidFill>
                <a:srgbClr val="000000"/>
              </a:solidFill>
              <a:latin typeface="Calibri"/>
            </a:rPr>
            <a:t>1</a:t>
          </a:r>
          <a:endParaRPr lang="en-US" sz="1200" b="0" strike="noStrike" spc="-1">
            <a:latin typeface="Times New Roman"/>
          </a:endParaRPr>
        </a:p>
      </xdr:txBody>
    </xdr:sp>
    <xdr:clientData/>
  </xdr:twoCellAnchor>
  <xdr:twoCellAnchor editAs="oneCell">
    <xdr:from>
      <xdr:col>1</xdr:col>
      <xdr:colOff>85320</xdr:colOff>
      <xdr:row>14</xdr:row>
      <xdr:rowOff>36000</xdr:rowOff>
    </xdr:from>
    <xdr:to>
      <xdr:col>2</xdr:col>
      <xdr:colOff>2985</xdr:colOff>
      <xdr:row>21</xdr:row>
      <xdr:rowOff>219960</xdr:rowOff>
    </xdr:to>
    <xdr:pic>
      <xdr:nvPicPr>
        <xdr:cNvPr id="22" name="Picture 27">
          <a:hlinkClick xmlns:r="http://schemas.openxmlformats.org/officeDocument/2006/relationships" r:id="rId10"/>
          <a:extLst>
            <a:ext uri="{FF2B5EF4-FFF2-40B4-BE49-F238E27FC236}">
              <a16:creationId xmlns:a16="http://schemas.microsoft.com/office/drawing/2014/main" id="{00000000-0008-0000-0100-000016000000}"/>
            </a:ext>
          </a:extLst>
        </xdr:cNvPr>
        <xdr:cNvPicPr/>
      </xdr:nvPicPr>
      <xdr:blipFill>
        <a:blip xmlns:r="http://schemas.openxmlformats.org/officeDocument/2006/relationships" r:embed="rId11"/>
        <a:stretch/>
      </xdr:blipFill>
      <xdr:spPr>
        <a:xfrm>
          <a:off x="113040" y="3473640"/>
          <a:ext cx="1698840" cy="1685160"/>
        </a:xfrm>
        <a:prstGeom prst="rect">
          <a:avLst/>
        </a:prstGeom>
        <a:ln>
          <a:noFill/>
        </a:ln>
      </xdr:spPr>
    </xdr:pic>
    <xdr:clientData/>
  </xdr:twoCellAnchor>
  <xdr:twoCellAnchor editAs="oneCell">
    <xdr:from>
      <xdr:col>1</xdr:col>
      <xdr:colOff>43200</xdr:colOff>
      <xdr:row>27</xdr:row>
      <xdr:rowOff>14040</xdr:rowOff>
    </xdr:from>
    <xdr:to>
      <xdr:col>1</xdr:col>
      <xdr:colOff>1759545</xdr:colOff>
      <xdr:row>32</xdr:row>
      <xdr:rowOff>2520</xdr:rowOff>
    </xdr:to>
    <xdr:pic>
      <xdr:nvPicPr>
        <xdr:cNvPr id="23" name="Picture 28">
          <a:hlinkClick xmlns:r="http://schemas.openxmlformats.org/officeDocument/2006/relationships" r:id="rId12"/>
          <a:extLst>
            <a:ext uri="{FF2B5EF4-FFF2-40B4-BE49-F238E27FC236}">
              <a16:creationId xmlns:a16="http://schemas.microsoft.com/office/drawing/2014/main" id="{00000000-0008-0000-0100-000017000000}"/>
            </a:ext>
          </a:extLst>
        </xdr:cNvPr>
        <xdr:cNvPicPr/>
      </xdr:nvPicPr>
      <xdr:blipFill>
        <a:blip xmlns:r="http://schemas.openxmlformats.org/officeDocument/2006/relationships" r:embed="rId13"/>
        <a:stretch/>
      </xdr:blipFill>
      <xdr:spPr>
        <a:xfrm>
          <a:off x="70920" y="6416640"/>
          <a:ext cx="1744920" cy="941040"/>
        </a:xfrm>
        <a:prstGeom prst="rect">
          <a:avLst/>
        </a:prstGeom>
        <a:ln>
          <a:noFill/>
        </a:ln>
      </xdr:spPr>
    </xdr:pic>
    <xdr:clientData/>
  </xdr:twoCellAnchor>
  <xdr:twoCellAnchor editAs="oneCell">
    <xdr:from>
      <xdr:col>1</xdr:col>
      <xdr:colOff>50040</xdr:colOff>
      <xdr:row>38</xdr:row>
      <xdr:rowOff>21240</xdr:rowOff>
    </xdr:from>
    <xdr:to>
      <xdr:col>2</xdr:col>
      <xdr:colOff>12240</xdr:colOff>
      <xdr:row>44</xdr:row>
      <xdr:rowOff>19800</xdr:rowOff>
    </xdr:to>
    <xdr:pic>
      <xdr:nvPicPr>
        <xdr:cNvPr id="24" name="Picture 29">
          <a:hlinkClick xmlns:r="http://schemas.openxmlformats.org/officeDocument/2006/relationships" r:id="rId12"/>
          <a:extLst>
            <a:ext uri="{FF2B5EF4-FFF2-40B4-BE49-F238E27FC236}">
              <a16:creationId xmlns:a16="http://schemas.microsoft.com/office/drawing/2014/main" id="{00000000-0008-0000-0100-000018000000}"/>
            </a:ext>
          </a:extLst>
        </xdr:cNvPr>
        <xdr:cNvPicPr/>
      </xdr:nvPicPr>
      <xdr:blipFill>
        <a:blip xmlns:r="http://schemas.openxmlformats.org/officeDocument/2006/relationships" r:embed="rId13"/>
        <a:stretch/>
      </xdr:blipFill>
      <xdr:spPr>
        <a:xfrm>
          <a:off x="77760" y="8519400"/>
          <a:ext cx="1824120" cy="1141560"/>
        </a:xfrm>
        <a:prstGeom prst="rect">
          <a:avLst/>
        </a:prstGeom>
        <a:ln>
          <a:noFill/>
        </a:ln>
      </xdr:spPr>
    </xdr:pic>
    <xdr:clientData/>
  </xdr:twoCellAnchor>
  <xdr:twoCellAnchor editAs="oneCell">
    <xdr:from>
      <xdr:col>1</xdr:col>
      <xdr:colOff>64080</xdr:colOff>
      <xdr:row>50</xdr:row>
      <xdr:rowOff>14040</xdr:rowOff>
    </xdr:from>
    <xdr:to>
      <xdr:col>2</xdr:col>
      <xdr:colOff>78120</xdr:colOff>
      <xdr:row>55</xdr:row>
      <xdr:rowOff>128520</xdr:rowOff>
    </xdr:to>
    <xdr:pic>
      <xdr:nvPicPr>
        <xdr:cNvPr id="25" name="Picture 30">
          <a:hlinkClick xmlns:r="http://schemas.openxmlformats.org/officeDocument/2006/relationships" r:id="rId14"/>
          <a:extLst>
            <a:ext uri="{FF2B5EF4-FFF2-40B4-BE49-F238E27FC236}">
              <a16:creationId xmlns:a16="http://schemas.microsoft.com/office/drawing/2014/main" id="{00000000-0008-0000-0100-000019000000}"/>
            </a:ext>
          </a:extLst>
        </xdr:cNvPr>
        <xdr:cNvPicPr/>
      </xdr:nvPicPr>
      <xdr:blipFill>
        <a:blip xmlns:r="http://schemas.openxmlformats.org/officeDocument/2006/relationships" r:embed="rId15"/>
        <a:stretch/>
      </xdr:blipFill>
      <xdr:spPr>
        <a:xfrm>
          <a:off x="91800" y="10787400"/>
          <a:ext cx="1875960" cy="1010880"/>
        </a:xfrm>
        <a:prstGeom prst="rect">
          <a:avLst/>
        </a:prstGeom>
        <a:ln>
          <a:noFill/>
        </a:ln>
      </xdr:spPr>
    </xdr:pic>
    <xdr:clientData/>
  </xdr:twoCellAnchor>
  <xdr:twoCellAnchor editAs="oneCell">
    <xdr:from>
      <xdr:col>1</xdr:col>
      <xdr:colOff>64080</xdr:colOff>
      <xdr:row>68</xdr:row>
      <xdr:rowOff>13680</xdr:rowOff>
    </xdr:from>
    <xdr:to>
      <xdr:col>2</xdr:col>
      <xdr:colOff>180720</xdr:colOff>
      <xdr:row>75</xdr:row>
      <xdr:rowOff>91440</xdr:rowOff>
    </xdr:to>
    <xdr:pic>
      <xdr:nvPicPr>
        <xdr:cNvPr id="26" name="Picture 31">
          <a:hlinkClick xmlns:r="http://schemas.openxmlformats.org/officeDocument/2006/relationships" r:id="rId16"/>
          <a:extLst>
            <a:ext uri="{FF2B5EF4-FFF2-40B4-BE49-F238E27FC236}">
              <a16:creationId xmlns:a16="http://schemas.microsoft.com/office/drawing/2014/main" id="{00000000-0008-0000-0100-00001A000000}"/>
            </a:ext>
          </a:extLst>
        </xdr:cNvPr>
        <xdr:cNvPicPr/>
      </xdr:nvPicPr>
      <xdr:blipFill>
        <a:blip xmlns:r="http://schemas.openxmlformats.org/officeDocument/2006/relationships" r:embed="rId17"/>
        <a:stretch/>
      </xdr:blipFill>
      <xdr:spPr>
        <a:xfrm>
          <a:off x="91800" y="14146200"/>
          <a:ext cx="1978560" cy="1215720"/>
        </a:xfrm>
        <a:prstGeom prst="rect">
          <a:avLst/>
        </a:prstGeom>
        <a:ln>
          <a:noFill/>
        </a:ln>
      </xdr:spPr>
    </xdr:pic>
    <xdr:clientData/>
  </xdr:twoCellAnchor>
  <xdr:twoCellAnchor editAs="oneCell">
    <xdr:from>
      <xdr:col>1</xdr:col>
      <xdr:colOff>720</xdr:colOff>
      <xdr:row>91</xdr:row>
      <xdr:rowOff>182880</xdr:rowOff>
    </xdr:from>
    <xdr:to>
      <xdr:col>2</xdr:col>
      <xdr:colOff>166680</xdr:colOff>
      <xdr:row>97</xdr:row>
      <xdr:rowOff>118080</xdr:rowOff>
    </xdr:to>
    <xdr:pic>
      <xdr:nvPicPr>
        <xdr:cNvPr id="27" name="Picture 32">
          <a:hlinkClick xmlns:r="http://schemas.openxmlformats.org/officeDocument/2006/relationships" r:id="rId18"/>
          <a:extLst>
            <a:ext uri="{FF2B5EF4-FFF2-40B4-BE49-F238E27FC236}">
              <a16:creationId xmlns:a16="http://schemas.microsoft.com/office/drawing/2014/main" id="{00000000-0008-0000-0100-00001B000000}"/>
            </a:ext>
          </a:extLst>
        </xdr:cNvPr>
        <xdr:cNvPicPr/>
      </xdr:nvPicPr>
      <xdr:blipFill>
        <a:blip xmlns:r="http://schemas.openxmlformats.org/officeDocument/2006/relationships" r:embed="rId19"/>
        <a:stretch/>
      </xdr:blipFill>
      <xdr:spPr>
        <a:xfrm>
          <a:off x="28440" y="18812160"/>
          <a:ext cx="2027880" cy="10782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21</xdr:col>
      <xdr:colOff>563760</xdr:colOff>
      <xdr:row>26</xdr:row>
      <xdr:rowOff>87480</xdr:rowOff>
    </xdr:from>
    <xdr:to>
      <xdr:col>28</xdr:col>
      <xdr:colOff>387000</xdr:colOff>
      <xdr:row>46</xdr:row>
      <xdr:rowOff>135720</xdr:rowOff>
    </xdr:to>
    <xdr:graphicFrame macro="">
      <xdr:nvGraphicFramePr>
        <xdr:cNvPr id="28" name="Chart 4">
          <a:extLst>
            <a:ext uri="{FF2B5EF4-FFF2-40B4-BE49-F238E27FC236}">
              <a16:creationId xmlns:a16="http://schemas.microsoft.com/office/drawing/2014/main" id="{00000000-0008-0000-04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s08.itg.ti.com/Users/a0872642/Desktop/Excell%20Tools/TPS24720_design_calc_1_14_14_74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ps08.itg.ti.com/Users/a0872642/Desktop/Excell%20Tools/TPS24720_design_calc_1_14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ILIM_SOA_considerations"/>
      <sheetName val="Worksheet"/>
      <sheetName val="SOA"/>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ILIM_SOA_considerations"/>
      <sheetName val="Worksheet"/>
      <sheetName val="SOA"/>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ti.com/lit/pdf/slva673"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training.ti.com/node/1133677" TargetMode="External"/><Relationship Id="rId13" Type="http://schemas.openxmlformats.org/officeDocument/2006/relationships/drawing" Target="../drawings/drawing2.xml"/><Relationship Id="rId3" Type="http://schemas.openxmlformats.org/officeDocument/2006/relationships/hyperlink" Target="https://training.ti.com/node/1133673" TargetMode="External"/><Relationship Id="rId7" Type="http://schemas.openxmlformats.org/officeDocument/2006/relationships/hyperlink" Target="http://e2e.ti.com/" TargetMode="External"/><Relationship Id="rId12" Type="http://schemas.openxmlformats.org/officeDocument/2006/relationships/hyperlink" Target="https://training.ti.com/node/1133681" TargetMode="External"/><Relationship Id="rId2" Type="http://schemas.openxmlformats.org/officeDocument/2006/relationships/hyperlink" Target="https://training.ti.com/node/1133677" TargetMode="External"/><Relationship Id="rId1" Type="http://schemas.openxmlformats.org/officeDocument/2006/relationships/hyperlink" Target="http://www.ti.com/hotswap" TargetMode="External"/><Relationship Id="rId6" Type="http://schemas.openxmlformats.org/officeDocument/2006/relationships/hyperlink" Target="http://www.ti.com/product/TPS2490" TargetMode="External"/><Relationship Id="rId11" Type="http://schemas.openxmlformats.org/officeDocument/2006/relationships/hyperlink" Target="https://training.ti.com/node/1133664" TargetMode="External"/><Relationship Id="rId5" Type="http://schemas.openxmlformats.org/officeDocument/2006/relationships/hyperlink" Target="https://training.ti.com/node/1133681" TargetMode="External"/><Relationship Id="rId15" Type="http://schemas.openxmlformats.org/officeDocument/2006/relationships/comments" Target="../comments1.xml"/><Relationship Id="rId10" Type="http://schemas.openxmlformats.org/officeDocument/2006/relationships/hyperlink" Target="https://training.ti.com/node/1133673" TargetMode="External"/><Relationship Id="rId4" Type="http://schemas.openxmlformats.org/officeDocument/2006/relationships/hyperlink" Target="https://training.ti.com/node/1133664" TargetMode="External"/><Relationship Id="rId9" Type="http://schemas.openxmlformats.org/officeDocument/2006/relationships/hyperlink" Target="https://training.ti.com/node/1133677" TargetMode="External"/><Relationship Id="rId1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7"/>
  <sheetViews>
    <sheetView zoomScaleNormal="100" workbookViewId="0">
      <selection activeCell="B9" sqref="B9"/>
    </sheetView>
  </sheetViews>
  <sheetFormatPr defaultColWidth="8.7109375" defaultRowHeight="12.75" x14ac:dyDescent="0.2"/>
  <sheetData>
    <row r="1" spans="1:16" x14ac:dyDescent="0.2">
      <c r="A1" s="14"/>
      <c r="B1" s="15"/>
      <c r="C1" s="15"/>
      <c r="D1" s="15"/>
      <c r="E1" s="15"/>
      <c r="F1" s="15"/>
      <c r="G1" s="15"/>
      <c r="H1" s="15"/>
      <c r="I1" s="15"/>
      <c r="J1" s="15"/>
      <c r="K1" s="15"/>
      <c r="L1" s="15"/>
      <c r="M1" s="15"/>
      <c r="N1" s="15"/>
      <c r="O1" s="15"/>
      <c r="P1" s="16"/>
    </row>
    <row r="2" spans="1:16" x14ac:dyDescent="0.2">
      <c r="A2" s="17"/>
      <c r="B2" s="18"/>
      <c r="C2" s="18"/>
      <c r="D2" s="18"/>
      <c r="E2" s="18"/>
      <c r="F2" s="18"/>
      <c r="G2" s="18"/>
      <c r="H2" s="18"/>
      <c r="I2" s="18"/>
      <c r="J2" s="18"/>
      <c r="K2" s="18"/>
      <c r="L2" s="18"/>
      <c r="M2" s="18"/>
      <c r="N2" s="18"/>
      <c r="O2" s="18"/>
      <c r="P2" s="19"/>
    </row>
    <row r="3" spans="1:16" ht="30" x14ac:dyDescent="0.4">
      <c r="A3" s="17"/>
      <c r="B3" s="18"/>
      <c r="C3" s="18"/>
      <c r="D3" s="20"/>
      <c r="E3" s="18"/>
      <c r="F3" s="18"/>
      <c r="G3" s="18"/>
      <c r="H3" s="18"/>
      <c r="I3" s="18"/>
      <c r="J3" s="18"/>
      <c r="K3" s="18"/>
      <c r="L3" s="21"/>
      <c r="M3" s="18"/>
      <c r="N3" s="18"/>
      <c r="O3" s="18"/>
      <c r="P3" s="19"/>
    </row>
    <row r="4" spans="1:16" ht="23.25" x14ac:dyDescent="0.35">
      <c r="A4" s="17"/>
      <c r="B4" s="18"/>
      <c r="C4" s="18"/>
      <c r="D4" s="22"/>
      <c r="E4" s="18"/>
      <c r="F4" s="18"/>
      <c r="G4" s="18"/>
      <c r="H4" s="18"/>
      <c r="I4" s="18"/>
      <c r="J4" s="18"/>
      <c r="K4" s="18"/>
      <c r="L4" s="18"/>
      <c r="M4" s="18"/>
      <c r="N4" s="18"/>
      <c r="O4" s="18"/>
      <c r="P4" s="19"/>
    </row>
    <row r="5" spans="1:16" x14ac:dyDescent="0.2">
      <c r="A5" s="17"/>
      <c r="B5" s="18"/>
      <c r="C5" s="18"/>
      <c r="D5" s="18"/>
      <c r="E5" s="18"/>
      <c r="F5" s="18"/>
      <c r="G5" s="18"/>
      <c r="H5" s="18"/>
      <c r="I5" s="18"/>
      <c r="J5" s="18"/>
      <c r="K5" s="18"/>
      <c r="L5" s="18"/>
      <c r="M5" s="18"/>
      <c r="N5" s="18"/>
      <c r="O5" s="18"/>
      <c r="P5" s="19"/>
    </row>
    <row r="6" spans="1:16" x14ac:dyDescent="0.2">
      <c r="A6" s="17"/>
      <c r="B6" s="18"/>
      <c r="C6" s="18"/>
      <c r="D6" s="18"/>
      <c r="E6" s="18"/>
      <c r="F6" s="18"/>
      <c r="G6" s="18"/>
      <c r="H6" s="18"/>
      <c r="I6" s="18"/>
      <c r="J6" s="18"/>
      <c r="K6" s="18"/>
      <c r="L6" s="18"/>
      <c r="M6" s="18"/>
      <c r="N6" s="18"/>
      <c r="O6" s="18"/>
      <c r="P6" s="19"/>
    </row>
    <row r="7" spans="1:16" ht="15.75" x14ac:dyDescent="0.25">
      <c r="A7" s="17"/>
      <c r="B7" s="18"/>
      <c r="C7" s="18"/>
      <c r="D7" s="18"/>
      <c r="E7" s="18"/>
      <c r="F7" s="18"/>
      <c r="G7" s="18"/>
      <c r="H7" s="18"/>
      <c r="I7" s="18"/>
      <c r="J7" s="18"/>
      <c r="K7" s="18"/>
      <c r="L7" s="18"/>
      <c r="M7" s="21" t="s">
        <v>0</v>
      </c>
      <c r="N7" s="18"/>
      <c r="O7" s="18"/>
      <c r="P7" s="19"/>
    </row>
    <row r="8" spans="1:16" ht="30" x14ac:dyDescent="0.4">
      <c r="A8" s="17"/>
      <c r="B8" s="20" t="s">
        <v>1</v>
      </c>
      <c r="C8" s="18"/>
      <c r="D8" s="18"/>
      <c r="E8" s="18"/>
      <c r="F8" s="18"/>
      <c r="G8" s="18"/>
      <c r="H8" s="18"/>
      <c r="I8" s="18"/>
      <c r="J8" s="18"/>
      <c r="K8" s="18"/>
      <c r="L8" s="18"/>
      <c r="M8" s="18"/>
      <c r="N8" s="18"/>
      <c r="O8" s="18"/>
      <c r="P8" s="19"/>
    </row>
    <row r="9" spans="1:16" x14ac:dyDescent="0.2">
      <c r="A9" s="17"/>
      <c r="B9" s="18"/>
      <c r="C9" s="18"/>
      <c r="D9" s="18"/>
      <c r="E9" s="18"/>
      <c r="F9" s="18"/>
      <c r="G9" s="18"/>
      <c r="H9" s="18"/>
      <c r="I9" s="18"/>
      <c r="J9" s="18"/>
      <c r="K9" s="18"/>
      <c r="L9" s="18"/>
      <c r="M9" s="18"/>
      <c r="N9" s="18"/>
      <c r="O9" s="18"/>
      <c r="P9" s="19"/>
    </row>
    <row r="10" spans="1:16" ht="20.25" x14ac:dyDescent="0.3">
      <c r="A10" s="17"/>
      <c r="B10" s="23" t="s">
        <v>2</v>
      </c>
      <c r="C10" s="18"/>
      <c r="D10" s="18"/>
      <c r="E10" s="18"/>
      <c r="F10" s="18"/>
      <c r="G10" s="18"/>
      <c r="H10" s="18"/>
      <c r="I10" s="18"/>
      <c r="J10" s="18"/>
      <c r="K10" s="18"/>
      <c r="L10" s="18"/>
      <c r="M10" s="18"/>
      <c r="N10" s="18"/>
      <c r="O10" s="18"/>
      <c r="P10" s="19"/>
    </row>
    <row r="11" spans="1:16" ht="14.25" x14ac:dyDescent="0.2">
      <c r="A11" s="17"/>
      <c r="B11" s="24" t="s">
        <v>3</v>
      </c>
      <c r="C11" s="25"/>
      <c r="D11" s="25"/>
      <c r="E11" s="25"/>
      <c r="F11" s="18"/>
      <c r="G11" s="18"/>
      <c r="H11" s="18"/>
      <c r="I11" s="18"/>
      <c r="J11" s="18"/>
      <c r="K11" s="18"/>
      <c r="L11" s="18"/>
      <c r="M11" s="18"/>
      <c r="N11" s="18"/>
      <c r="O11" s="18"/>
      <c r="P11" s="19"/>
    </row>
    <row r="12" spans="1:16" ht="14.25" x14ac:dyDescent="0.2">
      <c r="A12" s="17"/>
      <c r="B12" s="24" t="s">
        <v>4</v>
      </c>
      <c r="C12" s="25"/>
      <c r="D12" s="25"/>
      <c r="E12" s="25"/>
      <c r="F12" s="18"/>
      <c r="G12" s="18"/>
      <c r="H12" s="18"/>
      <c r="I12" s="18"/>
      <c r="J12" s="18"/>
      <c r="K12" s="18"/>
      <c r="L12" s="18"/>
      <c r="M12" s="18"/>
      <c r="N12" s="18"/>
      <c r="O12" s="18"/>
      <c r="P12" s="19"/>
    </row>
    <row r="13" spans="1:16" ht="14.25" x14ac:dyDescent="0.2">
      <c r="A13" s="17"/>
      <c r="B13" s="24"/>
      <c r="C13" s="25"/>
      <c r="D13" s="25"/>
      <c r="E13" s="25"/>
      <c r="F13" s="18"/>
      <c r="G13" s="18"/>
      <c r="H13" s="18"/>
      <c r="I13" s="18"/>
      <c r="J13" s="18"/>
      <c r="K13" s="18"/>
      <c r="L13" s="18"/>
      <c r="M13" s="18"/>
      <c r="N13" s="18"/>
      <c r="O13" s="18"/>
      <c r="P13" s="19"/>
    </row>
    <row r="14" spans="1:16" x14ac:dyDescent="0.2">
      <c r="A14" s="17"/>
      <c r="B14" s="13" t="s">
        <v>5</v>
      </c>
      <c r="C14" s="13"/>
      <c r="D14" s="13"/>
      <c r="E14" s="18"/>
      <c r="F14" s="18"/>
      <c r="G14" s="18"/>
      <c r="H14" s="18"/>
      <c r="I14" s="18"/>
      <c r="J14" s="18"/>
      <c r="K14" s="18"/>
      <c r="L14" s="18"/>
      <c r="M14" s="18"/>
      <c r="N14" s="18"/>
      <c r="O14" s="18"/>
      <c r="P14" s="19"/>
    </row>
    <row r="15" spans="1:16" x14ac:dyDescent="0.2">
      <c r="A15" s="17"/>
      <c r="B15" s="12"/>
      <c r="C15" s="12"/>
      <c r="D15" s="12"/>
      <c r="E15" s="12"/>
      <c r="F15" s="12"/>
      <c r="G15" s="12"/>
      <c r="H15" s="12"/>
      <c r="I15" s="12"/>
      <c r="J15" s="18"/>
      <c r="K15" s="18"/>
      <c r="L15" s="18"/>
      <c r="M15" s="18"/>
      <c r="N15" s="18"/>
      <c r="O15" s="18"/>
      <c r="P15" s="19"/>
    </row>
    <row r="16" spans="1:16" x14ac:dyDescent="0.2">
      <c r="A16" s="17"/>
      <c r="B16" s="18"/>
      <c r="C16" s="18"/>
      <c r="D16" s="18"/>
      <c r="E16" s="18"/>
      <c r="F16" s="18"/>
      <c r="G16" s="18"/>
      <c r="H16" s="18"/>
      <c r="I16" s="18"/>
      <c r="J16" s="18"/>
      <c r="K16" s="18"/>
      <c r="L16" s="18"/>
      <c r="M16" s="18"/>
      <c r="N16" s="18"/>
      <c r="O16" s="18"/>
      <c r="P16" s="19"/>
    </row>
    <row r="17" spans="1:16" x14ac:dyDescent="0.2">
      <c r="A17" s="17"/>
      <c r="B17" s="26" t="s">
        <v>6</v>
      </c>
      <c r="C17" s="18"/>
      <c r="D17" s="18"/>
      <c r="E17" s="18"/>
      <c r="F17" s="18"/>
      <c r="G17" s="18"/>
      <c r="H17" s="18"/>
      <c r="I17" s="18"/>
      <c r="J17" s="18"/>
      <c r="K17" s="18"/>
      <c r="L17" s="18"/>
      <c r="M17" s="18"/>
      <c r="N17" s="18"/>
      <c r="O17" s="18"/>
      <c r="P17" s="19"/>
    </row>
    <row r="18" spans="1:16" x14ac:dyDescent="0.2">
      <c r="A18" s="17"/>
      <c r="B18" s="27" t="s">
        <v>7</v>
      </c>
      <c r="C18" s="18"/>
      <c r="D18" s="18"/>
      <c r="E18" s="18"/>
      <c r="F18" s="18"/>
      <c r="G18" s="18"/>
      <c r="H18" s="18"/>
      <c r="I18" s="18"/>
      <c r="J18" s="18"/>
      <c r="K18" s="18"/>
      <c r="L18" s="18"/>
      <c r="M18" s="18"/>
      <c r="N18" s="18"/>
      <c r="O18" s="18"/>
      <c r="P18" s="19"/>
    </row>
    <row r="19" spans="1:16" x14ac:dyDescent="0.2">
      <c r="A19" s="17"/>
      <c r="B19" s="27" t="s">
        <v>8</v>
      </c>
      <c r="C19" s="18"/>
      <c r="D19" s="18"/>
      <c r="E19" s="18"/>
      <c r="F19" s="18"/>
      <c r="G19" s="18"/>
      <c r="H19" s="18"/>
      <c r="I19" s="18"/>
      <c r="J19" s="18"/>
      <c r="K19" s="18"/>
      <c r="L19" s="18"/>
      <c r="M19" s="18"/>
      <c r="N19" s="18"/>
      <c r="O19" s="18"/>
      <c r="P19" s="19"/>
    </row>
    <row r="20" spans="1:16" x14ac:dyDescent="0.2">
      <c r="A20" s="17"/>
      <c r="B20" s="27" t="s">
        <v>9</v>
      </c>
      <c r="C20" s="18"/>
      <c r="D20" s="18"/>
      <c r="E20" s="18"/>
      <c r="F20" s="18"/>
      <c r="G20" s="18"/>
      <c r="H20" s="18"/>
      <c r="I20" s="18"/>
      <c r="J20" s="18"/>
      <c r="K20" s="18"/>
      <c r="L20" s="18"/>
      <c r="M20" s="18"/>
      <c r="N20" s="18"/>
      <c r="O20" s="18"/>
      <c r="P20" s="19"/>
    </row>
    <row r="21" spans="1:16" x14ac:dyDescent="0.2">
      <c r="A21" s="17"/>
      <c r="B21" s="27" t="s">
        <v>10</v>
      </c>
      <c r="C21" s="18"/>
      <c r="D21" s="18"/>
      <c r="E21" s="18"/>
      <c r="F21" s="18"/>
      <c r="G21" s="18"/>
      <c r="H21" s="18"/>
      <c r="I21" s="18"/>
      <c r="J21" s="18"/>
      <c r="K21" s="18"/>
      <c r="L21" s="18"/>
      <c r="M21" s="18"/>
      <c r="N21" s="18"/>
      <c r="O21" s="18"/>
      <c r="P21" s="19"/>
    </row>
    <row r="22" spans="1:16" x14ac:dyDescent="0.2">
      <c r="A22" s="17"/>
      <c r="B22" s="27" t="s">
        <v>11</v>
      </c>
      <c r="C22" s="18"/>
      <c r="D22" s="18"/>
      <c r="E22" s="18"/>
      <c r="F22" s="18"/>
      <c r="G22" s="18"/>
      <c r="H22" s="18"/>
      <c r="I22" s="18"/>
      <c r="J22" s="18"/>
      <c r="K22" s="18"/>
      <c r="L22" s="18"/>
      <c r="M22" s="18"/>
      <c r="N22" s="18"/>
      <c r="O22" s="18"/>
      <c r="P22" s="19"/>
    </row>
    <row r="23" spans="1:16" x14ac:dyDescent="0.2">
      <c r="A23" s="17"/>
      <c r="B23" s="27" t="s">
        <v>12</v>
      </c>
      <c r="C23" s="18"/>
      <c r="D23" s="18"/>
      <c r="E23" s="18"/>
      <c r="F23" s="18"/>
      <c r="G23" s="18"/>
      <c r="H23" s="18"/>
      <c r="I23" s="18"/>
      <c r="J23" s="18"/>
      <c r="K23" s="18"/>
      <c r="L23" s="18"/>
      <c r="M23" s="18"/>
      <c r="N23" s="18"/>
      <c r="O23" s="18"/>
      <c r="P23" s="19"/>
    </row>
    <row r="24" spans="1:16" x14ac:dyDescent="0.2">
      <c r="A24" s="17"/>
      <c r="B24" s="27" t="s">
        <v>13</v>
      </c>
      <c r="C24" s="18"/>
      <c r="D24" s="18"/>
      <c r="E24" s="18"/>
      <c r="F24" s="18"/>
      <c r="G24" s="18"/>
      <c r="H24" s="18"/>
      <c r="I24" s="18"/>
      <c r="J24" s="18"/>
      <c r="K24" s="18"/>
      <c r="L24" s="18"/>
      <c r="M24" s="18"/>
      <c r="N24" s="18"/>
      <c r="O24" s="18"/>
      <c r="P24" s="19"/>
    </row>
    <row r="25" spans="1:16" x14ac:dyDescent="0.2">
      <c r="A25" s="17"/>
      <c r="B25" s="27"/>
      <c r="C25" s="18"/>
      <c r="D25" s="18"/>
      <c r="E25" s="18"/>
      <c r="F25" s="18"/>
      <c r="G25" s="18"/>
      <c r="H25" s="18"/>
      <c r="I25" s="18"/>
      <c r="J25" s="18"/>
      <c r="K25" s="18"/>
      <c r="L25" s="18"/>
      <c r="M25" s="18"/>
      <c r="N25" s="18"/>
      <c r="O25" s="18"/>
      <c r="P25" s="19"/>
    </row>
    <row r="26" spans="1:16" ht="20.25" x14ac:dyDescent="0.3">
      <c r="A26" s="17"/>
      <c r="B26" s="23" t="s">
        <v>14</v>
      </c>
      <c r="C26" s="18"/>
      <c r="D26" s="18"/>
      <c r="E26" s="18"/>
      <c r="F26" s="18"/>
      <c r="G26" s="18"/>
      <c r="H26" s="18"/>
      <c r="I26" s="18"/>
      <c r="J26" s="18"/>
      <c r="K26" s="18"/>
      <c r="L26" s="18"/>
      <c r="M26" s="18"/>
      <c r="N26" s="18"/>
      <c r="O26" s="18"/>
      <c r="P26" s="19"/>
    </row>
    <row r="27" spans="1:16" x14ac:dyDescent="0.2">
      <c r="A27" s="17"/>
      <c r="B27" s="18" t="s">
        <v>15</v>
      </c>
      <c r="C27" s="18"/>
      <c r="D27" s="18"/>
      <c r="E27" s="18"/>
      <c r="F27" s="18"/>
      <c r="G27" s="18"/>
      <c r="H27" s="18"/>
      <c r="I27" s="18"/>
      <c r="J27" s="18"/>
      <c r="K27" s="18"/>
      <c r="L27" s="18"/>
      <c r="M27" s="18"/>
      <c r="N27" s="18"/>
      <c r="O27" s="18"/>
      <c r="P27" s="19"/>
    </row>
    <row r="28" spans="1:16" x14ac:dyDescent="0.2">
      <c r="A28" s="17"/>
      <c r="B28" s="18" t="s">
        <v>16</v>
      </c>
      <c r="C28" s="18"/>
      <c r="D28" s="18"/>
      <c r="E28" s="18"/>
      <c r="F28" s="18"/>
      <c r="G28" s="18"/>
      <c r="H28" s="18"/>
      <c r="I28" s="18"/>
      <c r="J28" s="18"/>
      <c r="K28" s="18"/>
      <c r="L28" s="18"/>
      <c r="M28" s="18"/>
      <c r="N28" s="18"/>
      <c r="O28" s="18"/>
      <c r="P28" s="19"/>
    </row>
    <row r="29" spans="1:16" x14ac:dyDescent="0.2">
      <c r="A29" s="17"/>
      <c r="B29" s="18"/>
      <c r="C29" s="18"/>
      <c r="D29" s="18"/>
      <c r="E29" s="18"/>
      <c r="F29" s="18"/>
      <c r="G29" s="18"/>
      <c r="H29" s="18"/>
      <c r="I29" s="18"/>
      <c r="J29" s="18"/>
      <c r="K29" s="18"/>
      <c r="L29" s="18"/>
      <c r="M29" s="18"/>
      <c r="N29" s="18"/>
      <c r="O29" s="18"/>
      <c r="P29" s="19"/>
    </row>
    <row r="30" spans="1:16" x14ac:dyDescent="0.2">
      <c r="A30" s="17"/>
      <c r="B30" s="18" t="s">
        <v>17</v>
      </c>
      <c r="C30" s="18"/>
      <c r="D30" s="18"/>
      <c r="E30" s="18"/>
      <c r="F30" s="18"/>
      <c r="G30" s="18"/>
      <c r="H30" s="18"/>
      <c r="I30" s="18"/>
      <c r="J30" s="18"/>
      <c r="K30" s="18"/>
      <c r="L30" s="18"/>
      <c r="M30" s="18"/>
      <c r="N30" s="18"/>
      <c r="O30" s="18"/>
      <c r="P30" s="19"/>
    </row>
    <row r="31" spans="1:16" x14ac:dyDescent="0.2">
      <c r="A31" s="17"/>
      <c r="B31" s="18"/>
      <c r="C31" s="18"/>
      <c r="D31" s="18"/>
      <c r="E31" s="18"/>
      <c r="F31" s="18"/>
      <c r="G31" s="18"/>
      <c r="H31" s="18"/>
      <c r="I31" s="18"/>
      <c r="J31" s="18"/>
      <c r="K31" s="18"/>
      <c r="L31" s="18"/>
      <c r="M31" s="18"/>
      <c r="N31" s="18"/>
      <c r="O31" s="18"/>
      <c r="P31" s="19"/>
    </row>
    <row r="32" spans="1:16" x14ac:dyDescent="0.2">
      <c r="A32" s="17"/>
      <c r="B32" s="18" t="s">
        <v>18</v>
      </c>
      <c r="C32" s="18"/>
      <c r="D32" s="18"/>
      <c r="E32" s="18"/>
      <c r="F32" s="18"/>
      <c r="G32" s="18"/>
      <c r="H32" s="18"/>
      <c r="I32" s="18"/>
      <c r="J32" s="18"/>
      <c r="K32" s="18"/>
      <c r="L32" s="18"/>
      <c r="M32" s="18"/>
      <c r="N32" s="18"/>
      <c r="O32" s="18"/>
      <c r="P32" s="19"/>
    </row>
    <row r="33" spans="1:16" x14ac:dyDescent="0.2">
      <c r="A33" s="17"/>
      <c r="B33" s="18"/>
      <c r="C33" s="18"/>
      <c r="D33" s="18"/>
      <c r="E33" s="18"/>
      <c r="F33" s="18"/>
      <c r="G33" s="18"/>
      <c r="H33" s="18"/>
      <c r="I33" s="18"/>
      <c r="J33" s="18"/>
      <c r="K33" s="18"/>
      <c r="L33" s="18"/>
      <c r="M33" s="18"/>
      <c r="N33" s="18"/>
      <c r="O33" s="18"/>
      <c r="P33" s="19"/>
    </row>
    <row r="34" spans="1:16" ht="12.75" customHeight="1" x14ac:dyDescent="0.2">
      <c r="A34" s="17"/>
      <c r="B34" s="11" t="s">
        <v>19</v>
      </c>
      <c r="C34" s="11"/>
      <c r="D34" s="11"/>
      <c r="E34" s="11"/>
      <c r="F34" s="11"/>
      <c r="G34" s="11"/>
      <c r="H34" s="11"/>
      <c r="I34" s="11"/>
      <c r="J34" s="11"/>
      <c r="K34" s="11"/>
      <c r="L34" s="11"/>
      <c r="M34" s="11"/>
      <c r="N34" s="18"/>
      <c r="O34" s="18"/>
      <c r="P34" s="19"/>
    </row>
    <row r="35" spans="1:16" x14ac:dyDescent="0.2">
      <c r="A35" s="17"/>
      <c r="B35" s="11"/>
      <c r="C35" s="11"/>
      <c r="D35" s="11"/>
      <c r="E35" s="11"/>
      <c r="F35" s="11"/>
      <c r="G35" s="11"/>
      <c r="H35" s="11"/>
      <c r="I35" s="11"/>
      <c r="J35" s="11"/>
      <c r="K35" s="11"/>
      <c r="L35" s="11"/>
      <c r="M35" s="11"/>
      <c r="N35" s="18"/>
      <c r="O35" s="18"/>
      <c r="P35" s="19"/>
    </row>
    <row r="36" spans="1:16" x14ac:dyDescent="0.2">
      <c r="A36" s="17"/>
      <c r="B36" s="11"/>
      <c r="C36" s="11"/>
      <c r="D36" s="11"/>
      <c r="E36" s="11"/>
      <c r="F36" s="11"/>
      <c r="G36" s="11"/>
      <c r="H36" s="11"/>
      <c r="I36" s="11"/>
      <c r="J36" s="11"/>
      <c r="K36" s="11"/>
      <c r="L36" s="11"/>
      <c r="M36" s="11"/>
      <c r="N36" s="18"/>
      <c r="O36" s="18"/>
      <c r="P36" s="19"/>
    </row>
    <row r="37" spans="1:16" x14ac:dyDescent="0.2">
      <c r="A37" s="17"/>
      <c r="B37" s="11"/>
      <c r="C37" s="11"/>
      <c r="D37" s="11"/>
      <c r="E37" s="11"/>
      <c r="F37" s="11"/>
      <c r="G37" s="11"/>
      <c r="H37" s="11"/>
      <c r="I37" s="11"/>
      <c r="J37" s="11"/>
      <c r="K37" s="11"/>
      <c r="L37" s="11"/>
      <c r="M37" s="11"/>
      <c r="N37" s="18"/>
      <c r="O37" s="18"/>
      <c r="P37" s="19"/>
    </row>
    <row r="38" spans="1:16" x14ac:dyDescent="0.2">
      <c r="A38" s="17"/>
      <c r="B38" s="11"/>
      <c r="C38" s="11"/>
      <c r="D38" s="11"/>
      <c r="E38" s="11"/>
      <c r="F38" s="11"/>
      <c r="G38" s="11"/>
      <c r="H38" s="11"/>
      <c r="I38" s="11"/>
      <c r="J38" s="11"/>
      <c r="K38" s="11"/>
      <c r="L38" s="11"/>
      <c r="M38" s="11"/>
      <c r="N38" s="18"/>
      <c r="O38" s="18"/>
      <c r="P38" s="19"/>
    </row>
    <row r="39" spans="1:16" x14ac:dyDescent="0.2">
      <c r="A39" s="17"/>
      <c r="B39" s="11"/>
      <c r="C39" s="11"/>
      <c r="D39" s="11"/>
      <c r="E39" s="11"/>
      <c r="F39" s="11"/>
      <c r="G39" s="11"/>
      <c r="H39" s="11"/>
      <c r="I39" s="11"/>
      <c r="J39" s="11"/>
      <c r="K39" s="11"/>
      <c r="L39" s="11"/>
      <c r="M39" s="11"/>
      <c r="N39" s="18"/>
      <c r="O39" s="18"/>
      <c r="P39" s="19"/>
    </row>
    <row r="40" spans="1:16" x14ac:dyDescent="0.2">
      <c r="A40" s="17"/>
      <c r="B40" s="11"/>
      <c r="C40" s="11"/>
      <c r="D40" s="11"/>
      <c r="E40" s="11"/>
      <c r="F40" s="11"/>
      <c r="G40" s="11"/>
      <c r="H40" s="11"/>
      <c r="I40" s="11"/>
      <c r="J40" s="11"/>
      <c r="K40" s="11"/>
      <c r="L40" s="11"/>
      <c r="M40" s="11"/>
      <c r="N40" s="18"/>
      <c r="O40" s="18"/>
      <c r="P40" s="19"/>
    </row>
    <row r="41" spans="1:16" x14ac:dyDescent="0.2">
      <c r="A41" s="17"/>
      <c r="B41" s="11"/>
      <c r="C41" s="11"/>
      <c r="D41" s="11"/>
      <c r="E41" s="11"/>
      <c r="F41" s="11"/>
      <c r="G41" s="11"/>
      <c r="H41" s="11"/>
      <c r="I41" s="11"/>
      <c r="J41" s="11"/>
      <c r="K41" s="11"/>
      <c r="L41" s="11"/>
      <c r="M41" s="11"/>
      <c r="N41" s="18"/>
      <c r="O41" s="18"/>
      <c r="P41" s="19"/>
    </row>
    <row r="42" spans="1:16" x14ac:dyDescent="0.2">
      <c r="A42" s="17"/>
      <c r="B42" s="11"/>
      <c r="C42" s="11"/>
      <c r="D42" s="11"/>
      <c r="E42" s="11"/>
      <c r="F42" s="11"/>
      <c r="G42" s="11"/>
      <c r="H42" s="11"/>
      <c r="I42" s="11"/>
      <c r="J42" s="11"/>
      <c r="K42" s="11"/>
      <c r="L42" s="11"/>
      <c r="M42" s="11"/>
      <c r="N42" s="18"/>
      <c r="O42" s="18"/>
      <c r="P42" s="19"/>
    </row>
    <row r="43" spans="1:16" x14ac:dyDescent="0.2">
      <c r="A43" s="17"/>
      <c r="B43" s="11"/>
      <c r="C43" s="11"/>
      <c r="D43" s="11"/>
      <c r="E43" s="11"/>
      <c r="F43" s="11"/>
      <c r="G43" s="11"/>
      <c r="H43" s="11"/>
      <c r="I43" s="11"/>
      <c r="J43" s="11"/>
      <c r="K43" s="11"/>
      <c r="L43" s="11"/>
      <c r="M43" s="11"/>
      <c r="N43" s="18"/>
      <c r="O43" s="18"/>
      <c r="P43" s="19"/>
    </row>
    <row r="44" spans="1:16" x14ac:dyDescent="0.2">
      <c r="A44" s="17"/>
      <c r="B44" s="11"/>
      <c r="C44" s="11"/>
      <c r="D44" s="11"/>
      <c r="E44" s="11"/>
      <c r="F44" s="11"/>
      <c r="G44" s="11"/>
      <c r="H44" s="11"/>
      <c r="I44" s="11"/>
      <c r="J44" s="11"/>
      <c r="K44" s="11"/>
      <c r="L44" s="11"/>
      <c r="M44" s="11"/>
      <c r="N44" s="18"/>
      <c r="O44" s="18"/>
      <c r="P44" s="19"/>
    </row>
    <row r="45" spans="1:16" x14ac:dyDescent="0.2">
      <c r="A45" s="17"/>
      <c r="B45" s="11"/>
      <c r="C45" s="11"/>
      <c r="D45" s="11"/>
      <c r="E45" s="11"/>
      <c r="F45" s="11"/>
      <c r="G45" s="11"/>
      <c r="H45" s="11"/>
      <c r="I45" s="11"/>
      <c r="J45" s="11"/>
      <c r="K45" s="11"/>
      <c r="L45" s="11"/>
      <c r="M45" s="11"/>
      <c r="N45" s="18"/>
      <c r="O45" s="18"/>
      <c r="P45" s="19"/>
    </row>
    <row r="46" spans="1:16" x14ac:dyDescent="0.2">
      <c r="A46" s="17"/>
      <c r="B46" s="11"/>
      <c r="C46" s="11"/>
      <c r="D46" s="11"/>
      <c r="E46" s="11"/>
      <c r="F46" s="11"/>
      <c r="G46" s="11"/>
      <c r="H46" s="11"/>
      <c r="I46" s="11"/>
      <c r="J46" s="11"/>
      <c r="K46" s="11"/>
      <c r="L46" s="11"/>
      <c r="M46" s="11"/>
      <c r="N46" s="18"/>
      <c r="O46" s="18"/>
      <c r="P46" s="19"/>
    </row>
    <row r="47" spans="1:16" x14ac:dyDescent="0.2">
      <c r="A47" s="17"/>
      <c r="B47" s="11"/>
      <c r="C47" s="11"/>
      <c r="D47" s="11"/>
      <c r="E47" s="11"/>
      <c r="F47" s="11"/>
      <c r="G47" s="11"/>
      <c r="H47" s="11"/>
      <c r="I47" s="11"/>
      <c r="J47" s="11"/>
      <c r="K47" s="11"/>
      <c r="L47" s="11"/>
      <c r="M47" s="11"/>
      <c r="N47" s="18"/>
      <c r="O47" s="18"/>
      <c r="P47" s="19"/>
    </row>
    <row r="48" spans="1:16" x14ac:dyDescent="0.2">
      <c r="A48" s="17"/>
      <c r="B48" s="11"/>
      <c r="C48" s="11"/>
      <c r="D48" s="11"/>
      <c r="E48" s="11"/>
      <c r="F48" s="11"/>
      <c r="G48" s="11"/>
      <c r="H48" s="11"/>
      <c r="I48" s="11"/>
      <c r="J48" s="11"/>
      <c r="K48" s="11"/>
      <c r="L48" s="11"/>
      <c r="M48" s="11"/>
      <c r="N48" s="18"/>
      <c r="O48" s="18"/>
      <c r="P48" s="19"/>
    </row>
    <row r="49" spans="1:16" x14ac:dyDescent="0.2">
      <c r="A49" s="17"/>
      <c r="B49" s="11"/>
      <c r="C49" s="11"/>
      <c r="D49" s="11"/>
      <c r="E49" s="11"/>
      <c r="F49" s="11"/>
      <c r="G49" s="11"/>
      <c r="H49" s="11"/>
      <c r="I49" s="11"/>
      <c r="J49" s="11"/>
      <c r="K49" s="11"/>
      <c r="L49" s="11"/>
      <c r="M49" s="11"/>
      <c r="N49" s="18"/>
      <c r="O49" s="18"/>
      <c r="P49" s="19"/>
    </row>
    <row r="50" spans="1:16" x14ac:dyDescent="0.2">
      <c r="A50" s="17"/>
      <c r="B50" s="11"/>
      <c r="C50" s="11"/>
      <c r="D50" s="11"/>
      <c r="E50" s="11"/>
      <c r="F50" s="11"/>
      <c r="G50" s="11"/>
      <c r="H50" s="11"/>
      <c r="I50" s="11"/>
      <c r="J50" s="11"/>
      <c r="K50" s="11"/>
      <c r="L50" s="11"/>
      <c r="M50" s="11"/>
      <c r="N50" s="18"/>
      <c r="O50" s="18"/>
      <c r="P50" s="19"/>
    </row>
    <row r="51" spans="1:16" x14ac:dyDescent="0.2">
      <c r="A51" s="17"/>
      <c r="B51" s="11"/>
      <c r="C51" s="11"/>
      <c r="D51" s="11"/>
      <c r="E51" s="11"/>
      <c r="F51" s="11"/>
      <c r="G51" s="11"/>
      <c r="H51" s="11"/>
      <c r="I51" s="11"/>
      <c r="J51" s="11"/>
      <c r="K51" s="11"/>
      <c r="L51" s="11"/>
      <c r="M51" s="11"/>
      <c r="N51" s="18"/>
      <c r="O51" s="18"/>
      <c r="P51" s="19"/>
    </row>
    <row r="52" spans="1:16" x14ac:dyDescent="0.2">
      <c r="A52" s="17"/>
      <c r="B52" s="11"/>
      <c r="C52" s="11"/>
      <c r="D52" s="11"/>
      <c r="E52" s="11"/>
      <c r="F52" s="11"/>
      <c r="G52" s="11"/>
      <c r="H52" s="11"/>
      <c r="I52" s="11"/>
      <c r="J52" s="11"/>
      <c r="K52" s="11"/>
      <c r="L52" s="11"/>
      <c r="M52" s="11"/>
      <c r="N52" s="18"/>
      <c r="O52" s="18"/>
      <c r="P52" s="19"/>
    </row>
    <row r="53" spans="1:16" x14ac:dyDescent="0.2">
      <c r="A53" s="17"/>
      <c r="B53" s="11"/>
      <c r="C53" s="11"/>
      <c r="D53" s="11"/>
      <c r="E53" s="11"/>
      <c r="F53" s="11"/>
      <c r="G53" s="11"/>
      <c r="H53" s="11"/>
      <c r="I53" s="11"/>
      <c r="J53" s="11"/>
      <c r="K53" s="11"/>
      <c r="L53" s="11"/>
      <c r="M53" s="11"/>
      <c r="N53" s="18"/>
      <c r="O53" s="18"/>
      <c r="P53" s="19"/>
    </row>
    <row r="54" spans="1:16" x14ac:dyDescent="0.2">
      <c r="A54" s="17"/>
      <c r="B54" s="11"/>
      <c r="C54" s="11"/>
      <c r="D54" s="11"/>
      <c r="E54" s="11"/>
      <c r="F54" s="11"/>
      <c r="G54" s="11"/>
      <c r="H54" s="11"/>
      <c r="I54" s="11"/>
      <c r="J54" s="11"/>
      <c r="K54" s="11"/>
      <c r="L54" s="11"/>
      <c r="M54" s="11"/>
      <c r="N54" s="18"/>
      <c r="O54" s="18"/>
      <c r="P54" s="19"/>
    </row>
    <row r="55" spans="1:16" x14ac:dyDescent="0.2">
      <c r="A55" s="17"/>
      <c r="B55" s="11"/>
      <c r="C55" s="11"/>
      <c r="D55" s="11"/>
      <c r="E55" s="11"/>
      <c r="F55" s="11"/>
      <c r="G55" s="11"/>
      <c r="H55" s="11"/>
      <c r="I55" s="11"/>
      <c r="J55" s="11"/>
      <c r="K55" s="11"/>
      <c r="L55" s="11"/>
      <c r="M55" s="11"/>
      <c r="N55" s="18"/>
      <c r="O55" s="18"/>
      <c r="P55" s="19"/>
    </row>
    <row r="56" spans="1:16" x14ac:dyDescent="0.2">
      <c r="A56" s="17"/>
      <c r="B56" s="11"/>
      <c r="C56" s="11"/>
      <c r="D56" s="11"/>
      <c r="E56" s="11"/>
      <c r="F56" s="11"/>
      <c r="G56" s="11"/>
      <c r="H56" s="11"/>
      <c r="I56" s="11"/>
      <c r="J56" s="11"/>
      <c r="K56" s="11"/>
      <c r="L56" s="11"/>
      <c r="M56" s="11"/>
      <c r="N56" s="18"/>
      <c r="O56" s="18"/>
      <c r="P56" s="19"/>
    </row>
    <row r="57" spans="1:16" x14ac:dyDescent="0.2">
      <c r="A57" s="17"/>
      <c r="B57" s="11"/>
      <c r="C57" s="11"/>
      <c r="D57" s="11"/>
      <c r="E57" s="11"/>
      <c r="F57" s="11"/>
      <c r="G57" s="11"/>
      <c r="H57" s="11"/>
      <c r="I57" s="11"/>
      <c r="J57" s="11"/>
      <c r="K57" s="11"/>
      <c r="L57" s="11"/>
      <c r="M57" s="11"/>
      <c r="N57" s="18"/>
      <c r="O57" s="18"/>
      <c r="P57" s="19"/>
    </row>
    <row r="58" spans="1:16" x14ac:dyDescent="0.2">
      <c r="A58" s="17"/>
      <c r="B58" s="11"/>
      <c r="C58" s="11"/>
      <c r="D58" s="11"/>
      <c r="E58" s="11"/>
      <c r="F58" s="11"/>
      <c r="G58" s="11"/>
      <c r="H58" s="11"/>
      <c r="I58" s="11"/>
      <c r="J58" s="11"/>
      <c r="K58" s="11"/>
      <c r="L58" s="11"/>
      <c r="M58" s="11"/>
      <c r="N58" s="18"/>
      <c r="O58" s="18"/>
      <c r="P58" s="19"/>
    </row>
    <row r="59" spans="1:16" x14ac:dyDescent="0.2">
      <c r="A59" s="17"/>
      <c r="B59" s="11"/>
      <c r="C59" s="11"/>
      <c r="D59" s="11"/>
      <c r="E59" s="11"/>
      <c r="F59" s="11"/>
      <c r="G59" s="11"/>
      <c r="H59" s="11"/>
      <c r="I59" s="11"/>
      <c r="J59" s="11"/>
      <c r="K59" s="11"/>
      <c r="L59" s="11"/>
      <c r="M59" s="11"/>
      <c r="N59" s="18"/>
      <c r="O59" s="18"/>
      <c r="P59" s="19"/>
    </row>
    <row r="60" spans="1:16" x14ac:dyDescent="0.2">
      <c r="A60" s="17"/>
      <c r="B60" s="11"/>
      <c r="C60" s="11"/>
      <c r="D60" s="11"/>
      <c r="E60" s="11"/>
      <c r="F60" s="11"/>
      <c r="G60" s="11"/>
      <c r="H60" s="11"/>
      <c r="I60" s="11"/>
      <c r="J60" s="11"/>
      <c r="K60" s="11"/>
      <c r="L60" s="11"/>
      <c r="M60" s="11"/>
      <c r="N60" s="18"/>
      <c r="O60" s="18"/>
      <c r="P60" s="19"/>
    </row>
    <row r="61" spans="1:16" x14ac:dyDescent="0.2">
      <c r="A61" s="17"/>
      <c r="B61" s="11"/>
      <c r="C61" s="11"/>
      <c r="D61" s="11"/>
      <c r="E61" s="11"/>
      <c r="F61" s="11"/>
      <c r="G61" s="11"/>
      <c r="H61" s="11"/>
      <c r="I61" s="11"/>
      <c r="J61" s="11"/>
      <c r="K61" s="11"/>
      <c r="L61" s="11"/>
      <c r="M61" s="11"/>
      <c r="N61" s="18"/>
      <c r="O61" s="18"/>
      <c r="P61" s="19"/>
    </row>
    <row r="62" spans="1:16" x14ac:dyDescent="0.2">
      <c r="A62" s="17"/>
      <c r="B62" s="11"/>
      <c r="C62" s="11"/>
      <c r="D62" s="11"/>
      <c r="E62" s="11"/>
      <c r="F62" s="11"/>
      <c r="G62" s="11"/>
      <c r="H62" s="11"/>
      <c r="I62" s="11"/>
      <c r="J62" s="11"/>
      <c r="K62" s="11"/>
      <c r="L62" s="11"/>
      <c r="M62" s="11"/>
      <c r="N62" s="18"/>
      <c r="O62" s="18"/>
      <c r="P62" s="19"/>
    </row>
    <row r="63" spans="1:16" x14ac:dyDescent="0.2">
      <c r="A63" s="17"/>
      <c r="B63" s="11"/>
      <c r="C63" s="11"/>
      <c r="D63" s="11"/>
      <c r="E63" s="11"/>
      <c r="F63" s="11"/>
      <c r="G63" s="11"/>
      <c r="H63" s="11"/>
      <c r="I63" s="11"/>
      <c r="J63" s="11"/>
      <c r="K63" s="11"/>
      <c r="L63" s="11"/>
      <c r="M63" s="11"/>
      <c r="N63" s="18"/>
      <c r="O63" s="18"/>
      <c r="P63" s="19"/>
    </row>
    <row r="64" spans="1:16" x14ac:dyDescent="0.2">
      <c r="A64" s="17"/>
      <c r="B64" s="11"/>
      <c r="C64" s="11"/>
      <c r="D64" s="11"/>
      <c r="E64" s="11"/>
      <c r="F64" s="11"/>
      <c r="G64" s="11"/>
      <c r="H64" s="11"/>
      <c r="I64" s="11"/>
      <c r="J64" s="11"/>
      <c r="K64" s="11"/>
      <c r="L64" s="11"/>
      <c r="M64" s="11"/>
      <c r="N64" s="18"/>
      <c r="O64" s="18"/>
      <c r="P64" s="19"/>
    </row>
    <row r="65" spans="1:16" x14ac:dyDescent="0.2">
      <c r="A65" s="17"/>
      <c r="B65" s="11"/>
      <c r="C65" s="11"/>
      <c r="D65" s="11"/>
      <c r="E65" s="11"/>
      <c r="F65" s="11"/>
      <c r="G65" s="11"/>
      <c r="H65" s="11"/>
      <c r="I65" s="11"/>
      <c r="J65" s="11"/>
      <c r="K65" s="11"/>
      <c r="L65" s="11"/>
      <c r="M65" s="11"/>
      <c r="N65" s="18"/>
      <c r="O65" s="18"/>
      <c r="P65" s="19"/>
    </row>
    <row r="66" spans="1:16" x14ac:dyDescent="0.2">
      <c r="A66" s="17"/>
      <c r="B66" s="11"/>
      <c r="C66" s="11"/>
      <c r="D66" s="11"/>
      <c r="E66" s="11"/>
      <c r="F66" s="11"/>
      <c r="G66" s="11"/>
      <c r="H66" s="11"/>
      <c r="I66" s="11"/>
      <c r="J66" s="11"/>
      <c r="K66" s="11"/>
      <c r="L66" s="11"/>
      <c r="M66" s="11"/>
      <c r="N66" s="18"/>
      <c r="O66" s="18"/>
      <c r="P66" s="19"/>
    </row>
    <row r="67" spans="1:16" x14ac:dyDescent="0.2">
      <c r="A67" s="17"/>
      <c r="B67" s="11"/>
      <c r="C67" s="11"/>
      <c r="D67" s="11"/>
      <c r="E67" s="11"/>
      <c r="F67" s="11"/>
      <c r="G67" s="11"/>
      <c r="H67" s="11"/>
      <c r="I67" s="11"/>
      <c r="J67" s="11"/>
      <c r="K67" s="11"/>
      <c r="L67" s="11"/>
      <c r="M67" s="11"/>
      <c r="N67" s="18"/>
      <c r="O67" s="18"/>
      <c r="P67" s="19"/>
    </row>
    <row r="68" spans="1:16" x14ac:dyDescent="0.2">
      <c r="A68" s="17"/>
      <c r="B68" s="11"/>
      <c r="C68" s="11"/>
      <c r="D68" s="11"/>
      <c r="E68" s="11"/>
      <c r="F68" s="11"/>
      <c r="G68" s="11"/>
      <c r="H68" s="11"/>
      <c r="I68" s="11"/>
      <c r="J68" s="11"/>
      <c r="K68" s="11"/>
      <c r="L68" s="11"/>
      <c r="M68" s="11"/>
      <c r="N68" s="18"/>
      <c r="O68" s="18"/>
      <c r="P68" s="19"/>
    </row>
    <row r="69" spans="1:16" x14ac:dyDescent="0.2">
      <c r="A69" s="17"/>
      <c r="B69" s="11"/>
      <c r="C69" s="11"/>
      <c r="D69" s="11"/>
      <c r="E69" s="11"/>
      <c r="F69" s="11"/>
      <c r="G69" s="11"/>
      <c r="H69" s="11"/>
      <c r="I69" s="11"/>
      <c r="J69" s="11"/>
      <c r="K69" s="11"/>
      <c r="L69" s="11"/>
      <c r="M69" s="11"/>
      <c r="N69" s="18"/>
      <c r="O69" s="18"/>
      <c r="P69" s="19"/>
    </row>
    <row r="70" spans="1:16" x14ac:dyDescent="0.2">
      <c r="A70" s="17"/>
      <c r="B70" s="11"/>
      <c r="C70" s="11"/>
      <c r="D70" s="11"/>
      <c r="E70" s="11"/>
      <c r="F70" s="11"/>
      <c r="G70" s="11"/>
      <c r="H70" s="11"/>
      <c r="I70" s="11"/>
      <c r="J70" s="11"/>
      <c r="K70" s="11"/>
      <c r="L70" s="11"/>
      <c r="M70" s="11"/>
      <c r="N70" s="18"/>
      <c r="O70" s="18"/>
      <c r="P70" s="19"/>
    </row>
    <row r="71" spans="1:16" x14ac:dyDescent="0.2">
      <c r="A71" s="17"/>
      <c r="B71" s="11"/>
      <c r="C71" s="11"/>
      <c r="D71" s="11"/>
      <c r="E71" s="11"/>
      <c r="F71" s="11"/>
      <c r="G71" s="11"/>
      <c r="H71" s="11"/>
      <c r="I71" s="11"/>
      <c r="J71" s="11"/>
      <c r="K71" s="11"/>
      <c r="L71" s="11"/>
      <c r="M71" s="11"/>
      <c r="N71" s="18"/>
      <c r="O71" s="18"/>
      <c r="P71" s="19"/>
    </row>
    <row r="72" spans="1:16" x14ac:dyDescent="0.2">
      <c r="A72" s="17"/>
      <c r="B72" s="11"/>
      <c r="C72" s="11"/>
      <c r="D72" s="11"/>
      <c r="E72" s="11"/>
      <c r="F72" s="11"/>
      <c r="G72" s="11"/>
      <c r="H72" s="11"/>
      <c r="I72" s="11"/>
      <c r="J72" s="11"/>
      <c r="K72" s="11"/>
      <c r="L72" s="11"/>
      <c r="M72" s="11"/>
      <c r="N72" s="18"/>
      <c r="O72" s="18"/>
      <c r="P72" s="19"/>
    </row>
    <row r="73" spans="1:16" x14ac:dyDescent="0.2">
      <c r="A73" s="17"/>
      <c r="B73" s="11"/>
      <c r="C73" s="11"/>
      <c r="D73" s="11"/>
      <c r="E73" s="11"/>
      <c r="F73" s="11"/>
      <c r="G73" s="11"/>
      <c r="H73" s="11"/>
      <c r="I73" s="11"/>
      <c r="J73" s="11"/>
      <c r="K73" s="11"/>
      <c r="L73" s="11"/>
      <c r="M73" s="11"/>
      <c r="N73" s="18"/>
      <c r="O73" s="18"/>
      <c r="P73" s="19"/>
    </row>
    <row r="74" spans="1:16" x14ac:dyDescent="0.2">
      <c r="A74" s="17"/>
      <c r="B74" s="11"/>
      <c r="C74" s="11"/>
      <c r="D74" s="11"/>
      <c r="E74" s="11"/>
      <c r="F74" s="11"/>
      <c r="G74" s="11"/>
      <c r="H74" s="11"/>
      <c r="I74" s="11"/>
      <c r="J74" s="11"/>
      <c r="K74" s="11"/>
      <c r="L74" s="11"/>
      <c r="M74" s="11"/>
      <c r="N74" s="18"/>
      <c r="O74" s="18"/>
      <c r="P74" s="19"/>
    </row>
    <row r="75" spans="1:16" x14ac:dyDescent="0.2">
      <c r="A75" s="17"/>
      <c r="B75" s="11"/>
      <c r="C75" s="11"/>
      <c r="D75" s="11"/>
      <c r="E75" s="11"/>
      <c r="F75" s="11"/>
      <c r="G75" s="11"/>
      <c r="H75" s="11"/>
      <c r="I75" s="11"/>
      <c r="J75" s="11"/>
      <c r="K75" s="11"/>
      <c r="L75" s="11"/>
      <c r="M75" s="11"/>
      <c r="N75" s="18"/>
      <c r="O75" s="18"/>
      <c r="P75" s="19"/>
    </row>
    <row r="76" spans="1:16" x14ac:dyDescent="0.2">
      <c r="A76" s="17"/>
      <c r="B76" s="11"/>
      <c r="C76" s="11"/>
      <c r="D76" s="11"/>
      <c r="E76" s="11"/>
      <c r="F76" s="11"/>
      <c r="G76" s="11"/>
      <c r="H76" s="11"/>
      <c r="I76" s="11"/>
      <c r="J76" s="11"/>
      <c r="K76" s="11"/>
      <c r="L76" s="11"/>
      <c r="M76" s="11"/>
      <c r="N76" s="18"/>
      <c r="O76" s="18"/>
      <c r="P76" s="19"/>
    </row>
    <row r="77" spans="1:16" x14ac:dyDescent="0.2">
      <c r="A77" s="17"/>
      <c r="B77" s="11"/>
      <c r="C77" s="11"/>
      <c r="D77" s="11"/>
      <c r="E77" s="11"/>
      <c r="F77" s="11"/>
      <c r="G77" s="11"/>
      <c r="H77" s="11"/>
      <c r="I77" s="11"/>
      <c r="J77" s="11"/>
      <c r="K77" s="11"/>
      <c r="L77" s="11"/>
      <c r="M77" s="11"/>
      <c r="N77" s="18"/>
      <c r="O77" s="18"/>
      <c r="P77" s="19"/>
    </row>
    <row r="78" spans="1:16" x14ac:dyDescent="0.2">
      <c r="A78" s="17"/>
      <c r="B78" s="11"/>
      <c r="C78" s="11"/>
      <c r="D78" s="11"/>
      <c r="E78" s="11"/>
      <c r="F78" s="11"/>
      <c r="G78" s="11"/>
      <c r="H78" s="11"/>
      <c r="I78" s="11"/>
      <c r="J78" s="11"/>
      <c r="K78" s="11"/>
      <c r="L78" s="11"/>
      <c r="M78" s="11"/>
      <c r="N78" s="18"/>
      <c r="O78" s="18"/>
      <c r="P78" s="19"/>
    </row>
    <row r="79" spans="1:16" x14ac:dyDescent="0.2">
      <c r="A79" s="17"/>
      <c r="B79" s="11"/>
      <c r="C79" s="11"/>
      <c r="D79" s="11"/>
      <c r="E79" s="11"/>
      <c r="F79" s="11"/>
      <c r="G79" s="11"/>
      <c r="H79" s="11"/>
      <c r="I79" s="11"/>
      <c r="J79" s="11"/>
      <c r="K79" s="11"/>
      <c r="L79" s="11"/>
      <c r="M79" s="11"/>
      <c r="N79" s="18"/>
      <c r="O79" s="18"/>
      <c r="P79" s="19"/>
    </row>
    <row r="80" spans="1:16" x14ac:dyDescent="0.2">
      <c r="A80" s="17"/>
      <c r="B80" s="11"/>
      <c r="C80" s="11"/>
      <c r="D80" s="11"/>
      <c r="E80" s="11"/>
      <c r="F80" s="11"/>
      <c r="G80" s="11"/>
      <c r="H80" s="11"/>
      <c r="I80" s="11"/>
      <c r="J80" s="11"/>
      <c r="K80" s="11"/>
      <c r="L80" s="11"/>
      <c r="M80" s="11"/>
      <c r="N80" s="18"/>
      <c r="O80" s="18"/>
      <c r="P80" s="19"/>
    </row>
    <row r="81" spans="1:16" x14ac:dyDescent="0.2">
      <c r="A81" s="17"/>
      <c r="B81" s="11"/>
      <c r="C81" s="11"/>
      <c r="D81" s="11"/>
      <c r="E81" s="11"/>
      <c r="F81" s="11"/>
      <c r="G81" s="11"/>
      <c r="H81" s="11"/>
      <c r="I81" s="11"/>
      <c r="J81" s="11"/>
      <c r="K81" s="11"/>
      <c r="L81" s="11"/>
      <c r="M81" s="11"/>
      <c r="N81" s="18"/>
      <c r="O81" s="18"/>
      <c r="P81" s="19"/>
    </row>
    <row r="82" spans="1:16" x14ac:dyDescent="0.2">
      <c r="A82" s="17"/>
      <c r="B82" s="11"/>
      <c r="C82" s="11"/>
      <c r="D82" s="11"/>
      <c r="E82" s="11"/>
      <c r="F82" s="11"/>
      <c r="G82" s="11"/>
      <c r="H82" s="11"/>
      <c r="I82" s="11"/>
      <c r="J82" s="11"/>
      <c r="K82" s="11"/>
      <c r="L82" s="11"/>
      <c r="M82" s="11"/>
      <c r="N82" s="18"/>
      <c r="O82" s="18"/>
      <c r="P82" s="19"/>
    </row>
    <row r="83" spans="1:16" x14ac:dyDescent="0.2">
      <c r="A83" s="17"/>
      <c r="B83" s="11"/>
      <c r="C83" s="11"/>
      <c r="D83" s="11"/>
      <c r="E83" s="11"/>
      <c r="F83" s="11"/>
      <c r="G83" s="11"/>
      <c r="H83" s="11"/>
      <c r="I83" s="11"/>
      <c r="J83" s="11"/>
      <c r="K83" s="11"/>
      <c r="L83" s="11"/>
      <c r="M83" s="11"/>
      <c r="N83" s="18"/>
      <c r="O83" s="18"/>
      <c r="P83" s="19"/>
    </row>
    <row r="84" spans="1:16" x14ac:dyDescent="0.2">
      <c r="A84" s="17"/>
      <c r="B84" s="11"/>
      <c r="C84" s="11"/>
      <c r="D84" s="11"/>
      <c r="E84" s="11"/>
      <c r="F84" s="11"/>
      <c r="G84" s="11"/>
      <c r="H84" s="11"/>
      <c r="I84" s="11"/>
      <c r="J84" s="11"/>
      <c r="K84" s="11"/>
      <c r="L84" s="11"/>
      <c r="M84" s="11"/>
      <c r="N84" s="18"/>
      <c r="O84" s="18"/>
      <c r="P84" s="19"/>
    </row>
    <row r="85" spans="1:16" x14ac:dyDescent="0.2">
      <c r="A85" s="17"/>
      <c r="B85" s="11"/>
      <c r="C85" s="11"/>
      <c r="D85" s="11"/>
      <c r="E85" s="11"/>
      <c r="F85" s="11"/>
      <c r="G85" s="11"/>
      <c r="H85" s="11"/>
      <c r="I85" s="11"/>
      <c r="J85" s="11"/>
      <c r="K85" s="11"/>
      <c r="L85" s="11"/>
      <c r="M85" s="11"/>
      <c r="N85" s="18"/>
      <c r="O85" s="18"/>
      <c r="P85" s="19"/>
    </row>
    <row r="86" spans="1:16" x14ac:dyDescent="0.2">
      <c r="A86" s="17"/>
      <c r="B86" s="11"/>
      <c r="C86" s="11"/>
      <c r="D86" s="11"/>
      <c r="E86" s="11"/>
      <c r="F86" s="11"/>
      <c r="G86" s="11"/>
      <c r="H86" s="11"/>
      <c r="I86" s="11"/>
      <c r="J86" s="11"/>
      <c r="K86" s="11"/>
      <c r="L86" s="11"/>
      <c r="M86" s="11"/>
      <c r="N86" s="18"/>
      <c r="O86" s="18"/>
      <c r="P86" s="19"/>
    </row>
    <row r="87" spans="1:16" x14ac:dyDescent="0.2">
      <c r="A87" s="17"/>
      <c r="B87" s="11"/>
      <c r="C87" s="11"/>
      <c r="D87" s="11"/>
      <c r="E87" s="11"/>
      <c r="F87" s="11"/>
      <c r="G87" s="11"/>
      <c r="H87" s="11"/>
      <c r="I87" s="11"/>
      <c r="J87" s="11"/>
      <c r="K87" s="11"/>
      <c r="L87" s="11"/>
      <c r="M87" s="11"/>
      <c r="N87" s="18"/>
      <c r="O87" s="18"/>
      <c r="P87" s="19"/>
    </row>
    <row r="88" spans="1:16" x14ac:dyDescent="0.2">
      <c r="A88" s="17"/>
      <c r="B88" s="11"/>
      <c r="C88" s="11"/>
      <c r="D88" s="11"/>
      <c r="E88" s="11"/>
      <c r="F88" s="11"/>
      <c r="G88" s="11"/>
      <c r="H88" s="11"/>
      <c r="I88" s="11"/>
      <c r="J88" s="11"/>
      <c r="K88" s="11"/>
      <c r="L88" s="11"/>
      <c r="M88" s="11"/>
      <c r="N88" s="18"/>
      <c r="O88" s="18"/>
      <c r="P88" s="19"/>
    </row>
    <row r="89" spans="1:16" x14ac:dyDescent="0.2">
      <c r="A89" s="17"/>
      <c r="B89" s="11"/>
      <c r="C89" s="11"/>
      <c r="D89" s="11"/>
      <c r="E89" s="11"/>
      <c r="F89" s="11"/>
      <c r="G89" s="11"/>
      <c r="H89" s="11"/>
      <c r="I89" s="11"/>
      <c r="J89" s="11"/>
      <c r="K89" s="11"/>
      <c r="L89" s="11"/>
      <c r="M89" s="11"/>
      <c r="N89" s="18"/>
      <c r="O89" s="18"/>
      <c r="P89" s="19"/>
    </row>
    <row r="90" spans="1:16" x14ac:dyDescent="0.2">
      <c r="A90" s="17"/>
      <c r="B90" s="11"/>
      <c r="C90" s="11"/>
      <c r="D90" s="11"/>
      <c r="E90" s="11"/>
      <c r="F90" s="11"/>
      <c r="G90" s="11"/>
      <c r="H90" s="11"/>
      <c r="I90" s="11"/>
      <c r="J90" s="11"/>
      <c r="K90" s="11"/>
      <c r="L90" s="11"/>
      <c r="M90" s="11"/>
      <c r="N90" s="18"/>
      <c r="O90" s="18"/>
      <c r="P90" s="19"/>
    </row>
    <row r="91" spans="1:16" x14ac:dyDescent="0.2">
      <c r="A91" s="17"/>
      <c r="B91" s="11"/>
      <c r="C91" s="11"/>
      <c r="D91" s="11"/>
      <c r="E91" s="11"/>
      <c r="F91" s="11"/>
      <c r="G91" s="11"/>
      <c r="H91" s="11"/>
      <c r="I91" s="11"/>
      <c r="J91" s="11"/>
      <c r="K91" s="11"/>
      <c r="L91" s="11"/>
      <c r="M91" s="11"/>
      <c r="N91" s="18"/>
      <c r="O91" s="18"/>
      <c r="P91" s="19"/>
    </row>
    <row r="92" spans="1:16" x14ac:dyDescent="0.2">
      <c r="A92" s="17"/>
      <c r="B92" s="11"/>
      <c r="C92" s="11"/>
      <c r="D92" s="11"/>
      <c r="E92" s="11"/>
      <c r="F92" s="11"/>
      <c r="G92" s="11"/>
      <c r="H92" s="11"/>
      <c r="I92" s="11"/>
      <c r="J92" s="11"/>
      <c r="K92" s="11"/>
      <c r="L92" s="11"/>
      <c r="M92" s="11"/>
      <c r="N92" s="18"/>
      <c r="O92" s="18"/>
      <c r="P92" s="19"/>
    </row>
    <row r="93" spans="1:16" x14ac:dyDescent="0.2">
      <c r="A93" s="17"/>
      <c r="B93" s="11"/>
      <c r="C93" s="11"/>
      <c r="D93" s="11"/>
      <c r="E93" s="11"/>
      <c r="F93" s="11"/>
      <c r="G93" s="11"/>
      <c r="H93" s="11"/>
      <c r="I93" s="11"/>
      <c r="J93" s="11"/>
      <c r="K93" s="11"/>
      <c r="L93" s="11"/>
      <c r="M93" s="11"/>
      <c r="N93" s="18"/>
      <c r="O93" s="18"/>
      <c r="P93" s="19"/>
    </row>
    <row r="94" spans="1:16" x14ac:dyDescent="0.2">
      <c r="A94" s="17"/>
      <c r="B94" s="11"/>
      <c r="C94" s="11"/>
      <c r="D94" s="11"/>
      <c r="E94" s="11"/>
      <c r="F94" s="11"/>
      <c r="G94" s="11"/>
      <c r="H94" s="11"/>
      <c r="I94" s="11"/>
      <c r="J94" s="11"/>
      <c r="K94" s="11"/>
      <c r="L94" s="11"/>
      <c r="M94" s="11"/>
      <c r="N94" s="18"/>
      <c r="O94" s="18"/>
      <c r="P94" s="19"/>
    </row>
    <row r="95" spans="1:16" x14ac:dyDescent="0.2">
      <c r="A95" s="17"/>
      <c r="B95" s="11"/>
      <c r="C95" s="11"/>
      <c r="D95" s="11"/>
      <c r="E95" s="11"/>
      <c r="F95" s="11"/>
      <c r="G95" s="11"/>
      <c r="H95" s="11"/>
      <c r="I95" s="11"/>
      <c r="J95" s="11"/>
      <c r="K95" s="11"/>
      <c r="L95" s="11"/>
      <c r="M95" s="11"/>
      <c r="N95" s="18"/>
      <c r="O95" s="18"/>
      <c r="P95" s="19"/>
    </row>
    <row r="96" spans="1:16" x14ac:dyDescent="0.2">
      <c r="A96" s="28"/>
      <c r="B96" s="11"/>
      <c r="C96" s="11"/>
      <c r="D96" s="11"/>
      <c r="E96" s="11"/>
      <c r="F96" s="11"/>
      <c r="G96" s="11"/>
      <c r="H96" s="11"/>
      <c r="I96" s="11"/>
      <c r="J96" s="11"/>
      <c r="K96" s="11"/>
      <c r="L96" s="11"/>
      <c r="M96" s="11"/>
      <c r="N96" s="29"/>
      <c r="O96" s="29"/>
      <c r="P96" s="30"/>
    </row>
    <row r="97" spans="1:16" x14ac:dyDescent="0.2">
      <c r="A97" s="31"/>
      <c r="B97" s="31"/>
      <c r="C97" s="31"/>
      <c r="D97" s="31"/>
      <c r="E97" s="31"/>
      <c r="F97" s="31"/>
      <c r="G97" s="31"/>
      <c r="H97" s="31"/>
      <c r="I97" s="31"/>
      <c r="J97" s="31"/>
      <c r="K97" s="31"/>
      <c r="L97" s="31"/>
      <c r="M97" s="31"/>
      <c r="N97" s="31"/>
      <c r="O97" s="31"/>
      <c r="P97" s="31"/>
    </row>
  </sheetData>
  <mergeCells count="3">
    <mergeCell ref="B14:D14"/>
    <mergeCell ref="B15:I15"/>
    <mergeCell ref="B34:M96"/>
  </mergeCells>
  <hyperlinks>
    <hyperlink ref="B14" r:id="rId1" xr:uid="{00000000-0004-0000-0000-000000000000}"/>
  </hyperlinks>
  <pageMargins left="0.7" right="0.7" top="0.75" bottom="0.75" header="0.51180555555555496" footer="0.51180555555555496"/>
  <pageSetup firstPageNumber="0" orientation="portrait" horizontalDpi="300" verticalDpi="30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199"/>
  <sheetViews>
    <sheetView tabSelected="1" topLeftCell="B66" zoomScaleNormal="100" workbookViewId="0">
      <selection activeCell="I94" sqref="I94"/>
    </sheetView>
  </sheetViews>
  <sheetFormatPr defaultColWidth="8.85546875" defaultRowHeight="12.75" x14ac:dyDescent="0.2"/>
  <cols>
    <col min="1" max="1" width="0.42578125" customWidth="1"/>
    <col min="2" max="2" width="26.42578125" customWidth="1"/>
    <col min="3" max="3" width="31" customWidth="1"/>
    <col min="4" max="4" width="16.5703125" customWidth="1"/>
    <col min="5" max="5" width="20.85546875" customWidth="1"/>
    <col min="6" max="6" width="15.7109375" customWidth="1"/>
    <col min="7" max="7" width="5.5703125" style="32" customWidth="1"/>
    <col min="8" max="8" width="9.5703125" customWidth="1"/>
    <col min="9" max="9" width="12.85546875" customWidth="1"/>
    <col min="11" max="11" width="10.28515625" customWidth="1"/>
    <col min="13" max="13" width="9.85546875" customWidth="1"/>
    <col min="14" max="19" width="11.5703125" hidden="1" customWidth="1"/>
    <col min="20" max="20" width="2.7109375" hidden="1" customWidth="1"/>
    <col min="21" max="21" width="3" hidden="1" customWidth="1"/>
    <col min="22" max="22" width="1.140625" hidden="1" customWidth="1"/>
    <col min="23" max="23" width="3.7109375" hidden="1" customWidth="1"/>
    <col min="24" max="38" width="11.5703125" hidden="1" customWidth="1"/>
    <col min="39" max="39" width="11.7109375" customWidth="1"/>
    <col min="40" max="40" width="6.7109375" hidden="1" customWidth="1"/>
    <col min="41" max="41" width="9.28515625" hidden="1" customWidth="1"/>
    <col min="42" max="42" width="12.28515625" customWidth="1"/>
    <col min="43" max="43" width="12" customWidth="1"/>
    <col min="44" max="44" width="13.42578125" customWidth="1"/>
    <col min="45" max="45" width="14.5703125" hidden="1" customWidth="1"/>
    <col min="46" max="46" width="14.7109375" customWidth="1"/>
    <col min="47" max="47" width="11.28515625" customWidth="1"/>
    <col min="48" max="48" width="13" customWidth="1"/>
    <col min="49" max="49" width="13.42578125" customWidth="1"/>
    <col min="50" max="50" width="14.7109375" customWidth="1"/>
    <col min="51" max="51" width="14.140625" customWidth="1"/>
    <col min="52" max="52" width="12.85546875" customWidth="1"/>
    <col min="53" max="53" width="12.5703125" customWidth="1"/>
    <col min="54" max="54" width="9.85546875" customWidth="1"/>
    <col min="55" max="55" width="12.7109375" customWidth="1"/>
    <col min="56" max="56" width="13.7109375" customWidth="1"/>
    <col min="57" max="57" width="13.85546875" customWidth="1"/>
    <col min="58" max="59" width="14.42578125" customWidth="1"/>
    <col min="60" max="60" width="15.42578125" customWidth="1"/>
    <col min="61" max="61" width="15.28515625" customWidth="1"/>
    <col min="62" max="62" width="15.7109375" customWidth="1"/>
    <col min="63" max="63" width="12.5703125" customWidth="1"/>
    <col min="64" max="64" width="16.85546875" customWidth="1"/>
    <col min="65" max="65" width="15.42578125" customWidth="1"/>
    <col min="66" max="66" width="14.5703125" customWidth="1"/>
    <col min="67" max="67" width="10" customWidth="1"/>
    <col min="68" max="68" width="6.140625" customWidth="1"/>
    <col min="69" max="69" width="7.140625" customWidth="1"/>
    <col min="70" max="70" width="8.28515625" customWidth="1"/>
    <col min="71" max="71" width="4.7109375" customWidth="1"/>
  </cols>
  <sheetData>
    <row r="1" spans="1:45" s="36" customFormat="1" ht="60.75" customHeight="1" x14ac:dyDescent="0.2">
      <c r="A1" s="10" t="s">
        <v>20</v>
      </c>
      <c r="B1" s="10"/>
      <c r="C1" s="10"/>
      <c r="D1" s="10"/>
      <c r="E1" s="10"/>
      <c r="F1" s="10"/>
      <c r="G1" s="10"/>
      <c r="H1" s="10"/>
      <c r="I1" s="10"/>
      <c r="J1" s="10"/>
      <c r="K1" s="10"/>
      <c r="L1" s="10"/>
      <c r="M1" s="10"/>
      <c r="N1" s="33"/>
      <c r="O1" s="33"/>
      <c r="P1" s="33"/>
      <c r="Q1" s="33"/>
      <c r="R1" s="34"/>
      <c r="S1" s="34"/>
      <c r="T1" s="35"/>
      <c r="U1" s="35"/>
      <c r="V1" s="35"/>
      <c r="W1" s="35"/>
      <c r="X1" s="35"/>
      <c r="Y1" s="35"/>
      <c r="Z1" s="35"/>
      <c r="AA1" s="35"/>
      <c r="AB1" s="35"/>
      <c r="AC1" s="35"/>
      <c r="AD1" s="35"/>
      <c r="AE1" s="35"/>
      <c r="AF1" s="35"/>
      <c r="AG1" s="35"/>
      <c r="AH1" s="35"/>
      <c r="AI1" s="35"/>
      <c r="AJ1" s="35"/>
      <c r="AK1" s="35"/>
      <c r="AL1" s="35"/>
      <c r="AM1" s="35"/>
    </row>
    <row r="2" spans="1:45" ht="15.75" x14ac:dyDescent="0.2">
      <c r="A2" s="37"/>
      <c r="B2" s="38" t="s">
        <v>21</v>
      </c>
      <c r="C2" s="37"/>
      <c r="D2" s="37"/>
      <c r="E2" s="37"/>
      <c r="F2" s="39"/>
      <c r="G2" s="39"/>
      <c r="H2" s="37"/>
      <c r="I2" s="37"/>
      <c r="J2" s="37"/>
      <c r="K2" s="37"/>
      <c r="L2" s="9"/>
      <c r="M2" s="9"/>
      <c r="N2" s="37"/>
      <c r="O2" s="37"/>
      <c r="P2" s="37"/>
      <c r="Q2" s="37"/>
      <c r="R2" s="37"/>
      <c r="S2" s="37"/>
      <c r="T2" s="37"/>
      <c r="U2" s="37"/>
      <c r="V2" s="37"/>
      <c r="W2" s="37"/>
      <c r="X2" s="37"/>
      <c r="Y2" s="37"/>
      <c r="Z2" s="37"/>
      <c r="AA2" s="37"/>
      <c r="AB2" s="37"/>
      <c r="AC2" s="37"/>
      <c r="AD2" s="37"/>
      <c r="AE2" s="37"/>
      <c r="AF2" s="37"/>
      <c r="AG2" s="37"/>
      <c r="AH2" s="37"/>
      <c r="AI2" s="37"/>
      <c r="AJ2" s="37"/>
      <c r="AK2" s="37"/>
      <c r="AL2" s="37"/>
      <c r="AM2" s="37"/>
    </row>
    <row r="3" spans="1:45" x14ac:dyDescent="0.2">
      <c r="A3" s="37"/>
      <c r="B3" s="37"/>
      <c r="C3" s="37"/>
      <c r="D3" s="37"/>
      <c r="E3" s="37"/>
      <c r="F3" s="37"/>
      <c r="G3" s="39"/>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row>
    <row r="4" spans="1:45" x14ac:dyDescent="0.2">
      <c r="A4" s="37"/>
      <c r="B4" s="37"/>
      <c r="C4" s="37"/>
      <c r="D4" s="37"/>
      <c r="E4" s="37"/>
      <c r="F4" s="37"/>
      <c r="G4" s="39"/>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row>
    <row r="5" spans="1:45" x14ac:dyDescent="0.2">
      <c r="A5" s="37"/>
      <c r="B5" s="37"/>
      <c r="C5" s="37"/>
      <c r="D5" s="37"/>
      <c r="E5" s="37"/>
      <c r="F5" s="37"/>
      <c r="G5" s="39"/>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row>
    <row r="6" spans="1:45" x14ac:dyDescent="0.2">
      <c r="A6" s="37"/>
      <c r="B6" s="37"/>
      <c r="C6" s="37"/>
      <c r="D6" s="37"/>
      <c r="E6" s="37"/>
      <c r="F6" s="37"/>
      <c r="G6" s="39"/>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row>
    <row r="7" spans="1:45" x14ac:dyDescent="0.2">
      <c r="A7" s="37"/>
      <c r="B7" s="37"/>
      <c r="C7" s="37"/>
      <c r="D7" s="37"/>
      <c r="E7" s="37"/>
      <c r="F7" s="37"/>
      <c r="G7" s="39"/>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row>
    <row r="8" spans="1:45" x14ac:dyDescent="0.2">
      <c r="A8" s="37"/>
      <c r="B8" s="37"/>
      <c r="C8" s="37"/>
      <c r="D8" s="37"/>
      <c r="E8" s="37"/>
      <c r="F8" s="37"/>
      <c r="G8" s="39"/>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S8" s="40" t="s">
        <v>22</v>
      </c>
    </row>
    <row r="9" spans="1:45" ht="15" customHeight="1" x14ac:dyDescent="0.2">
      <c r="A9" s="37"/>
      <c r="B9" s="41"/>
      <c r="C9" s="42"/>
      <c r="D9" s="43" t="s">
        <v>23</v>
      </c>
      <c r="E9" s="32"/>
      <c r="F9" s="37"/>
      <c r="G9" s="39"/>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S9" s="40" t="s">
        <v>24</v>
      </c>
    </row>
    <row r="10" spans="1:45" ht="15" customHeight="1" x14ac:dyDescent="0.2">
      <c r="A10" s="37"/>
      <c r="B10" s="44"/>
      <c r="C10" s="45"/>
      <c r="D10" s="37" t="s">
        <v>25</v>
      </c>
      <c r="E10" s="39"/>
      <c r="F10" s="37"/>
      <c r="G10" s="39"/>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row>
    <row r="11" spans="1:45" ht="22.9" customHeight="1" x14ac:dyDescent="0.2">
      <c r="A11" s="37"/>
      <c r="B11" s="44"/>
      <c r="C11" s="46"/>
      <c r="D11" s="8" t="s">
        <v>26</v>
      </c>
      <c r="E11" s="8"/>
      <c r="F11" s="37"/>
      <c r="G11" s="39"/>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row>
    <row r="12" spans="1:45" ht="21.6" customHeight="1" x14ac:dyDescent="0.2">
      <c r="A12" s="37"/>
      <c r="B12" s="44"/>
      <c r="C12" s="47"/>
      <c r="D12" s="8"/>
      <c r="E12" s="8"/>
      <c r="F12" s="37"/>
      <c r="G12" s="39"/>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row>
    <row r="13" spans="1:45" ht="21.6" customHeight="1" x14ac:dyDescent="0.2">
      <c r="A13" s="37"/>
      <c r="B13" s="44"/>
      <c r="C13" s="48"/>
      <c r="D13" s="49"/>
      <c r="E13" s="49"/>
      <c r="F13" s="37"/>
      <c r="G13" s="39"/>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row>
    <row r="14" spans="1:45" ht="21.6" customHeight="1" x14ac:dyDescent="0.25">
      <c r="A14" s="37"/>
      <c r="B14" s="50" t="s">
        <v>27</v>
      </c>
      <c r="C14" s="51"/>
      <c r="D14" s="7" t="s">
        <v>28</v>
      </c>
      <c r="E14" s="7"/>
      <c r="F14" s="7"/>
      <c r="G14" s="7"/>
      <c r="H14" s="52"/>
      <c r="I14" s="53"/>
      <c r="J14" s="53"/>
      <c r="K14" s="53"/>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4"/>
    </row>
    <row r="15" spans="1:45" ht="21.6" customHeight="1" x14ac:dyDescent="0.25">
      <c r="A15" s="37"/>
      <c r="B15" s="55"/>
      <c r="C15" s="56"/>
      <c r="D15" s="7"/>
      <c r="E15" s="7"/>
      <c r="F15" s="7"/>
      <c r="G15" s="7"/>
      <c r="H15" s="57"/>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9"/>
    </row>
    <row r="16" spans="1:45" ht="15" x14ac:dyDescent="0.2">
      <c r="A16" s="37"/>
      <c r="B16" s="6"/>
      <c r="C16" s="56"/>
      <c r="D16" s="5" t="s">
        <v>29</v>
      </c>
      <c r="E16" s="5"/>
      <c r="F16" s="5"/>
      <c r="G16" s="5"/>
      <c r="H16" s="5"/>
      <c r="I16" s="5"/>
      <c r="J16" s="60"/>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9"/>
    </row>
    <row r="17" spans="1:39" ht="15" x14ac:dyDescent="0.2">
      <c r="A17" s="37"/>
      <c r="B17" s="6"/>
      <c r="C17" s="56"/>
      <c r="D17" s="5" t="s">
        <v>30</v>
      </c>
      <c r="E17" s="5"/>
      <c r="F17" s="5"/>
      <c r="G17" s="5"/>
      <c r="H17" s="5"/>
      <c r="I17" s="5"/>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9"/>
    </row>
    <row r="18" spans="1:39" ht="15" x14ac:dyDescent="0.2">
      <c r="A18" s="37"/>
      <c r="B18" s="6"/>
      <c r="C18" s="56"/>
      <c r="D18" s="5" t="s">
        <v>31</v>
      </c>
      <c r="E18" s="5"/>
      <c r="F18" s="5"/>
      <c r="G18" s="5"/>
      <c r="H18" s="5"/>
      <c r="I18" s="5"/>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9"/>
    </row>
    <row r="19" spans="1:39" ht="15" x14ac:dyDescent="0.2">
      <c r="A19" s="37"/>
      <c r="B19" s="6"/>
      <c r="C19" s="56"/>
      <c r="D19" s="5" t="s">
        <v>32</v>
      </c>
      <c r="E19" s="5"/>
      <c r="F19" s="5"/>
      <c r="G19" s="5"/>
      <c r="H19" s="5"/>
      <c r="I19" s="5"/>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9"/>
    </row>
    <row r="20" spans="1:39" ht="15" x14ac:dyDescent="0.2">
      <c r="A20" s="37"/>
      <c r="B20" s="61"/>
      <c r="C20" s="56"/>
      <c r="D20" s="62" t="s">
        <v>33</v>
      </c>
      <c r="E20" s="63"/>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9"/>
    </row>
    <row r="21" spans="1:39" ht="21.6" customHeight="1" x14ac:dyDescent="0.2">
      <c r="A21" s="37"/>
      <c r="B21" s="64"/>
      <c r="C21" s="58"/>
      <c r="D21" s="58"/>
      <c r="E21" s="65"/>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9"/>
    </row>
    <row r="22" spans="1:39" ht="30.6" customHeight="1" x14ac:dyDescent="0.2">
      <c r="A22" s="37"/>
      <c r="B22" s="64"/>
      <c r="C22" s="58"/>
      <c r="D22" s="4" t="s">
        <v>34</v>
      </c>
      <c r="E22" s="4"/>
      <c r="F22" s="4"/>
      <c r="G22" s="66" t="s">
        <v>22</v>
      </c>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9"/>
    </row>
    <row r="23" spans="1:39" ht="27.6" customHeight="1" x14ac:dyDescent="0.25">
      <c r="A23" s="37"/>
      <c r="B23" s="64"/>
      <c r="C23" s="58"/>
      <c r="D23" s="3" t="s">
        <v>35</v>
      </c>
      <c r="E23" s="3"/>
      <c r="F23" s="3"/>
      <c r="G23" s="67" t="s">
        <v>22</v>
      </c>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9"/>
    </row>
    <row r="24" spans="1:39" ht="5.45" customHeight="1" x14ac:dyDescent="0.2">
      <c r="A24" s="37"/>
      <c r="B24" s="64"/>
      <c r="C24" s="58"/>
      <c r="D24" s="2" t="s">
        <v>36</v>
      </c>
      <c r="E24" s="2"/>
      <c r="F24" s="2"/>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9"/>
    </row>
    <row r="25" spans="1:39" ht="21.6" customHeight="1" x14ac:dyDescent="0.2">
      <c r="A25" s="37"/>
      <c r="B25" s="64"/>
      <c r="C25" s="58"/>
      <c r="D25" s="2"/>
      <c r="E25" s="2"/>
      <c r="F25" s="2"/>
      <c r="G25" s="6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9"/>
    </row>
    <row r="26" spans="1:39" ht="15" customHeight="1" x14ac:dyDescent="0.2">
      <c r="A26" s="37"/>
      <c r="B26" s="69"/>
      <c r="C26" s="70"/>
      <c r="D26" s="71"/>
      <c r="E26" s="71"/>
      <c r="F26" s="71"/>
      <c r="G26" s="72"/>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3"/>
    </row>
    <row r="27" spans="1:39" ht="15" customHeight="1" x14ac:dyDescent="0.25">
      <c r="A27" s="37"/>
      <c r="B27" s="74" t="s">
        <v>37</v>
      </c>
      <c r="C27" s="75"/>
      <c r="D27" s="75"/>
      <c r="E27" s="76" t="s">
        <v>38</v>
      </c>
      <c r="F27" s="77">
        <v>12</v>
      </c>
      <c r="G27" s="78" t="s">
        <v>39</v>
      </c>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9"/>
    </row>
    <row r="28" spans="1:39" ht="15" customHeight="1" x14ac:dyDescent="0.25">
      <c r="A28" s="37"/>
      <c r="B28" s="80"/>
      <c r="C28" s="37"/>
      <c r="D28" s="37"/>
      <c r="E28" s="81" t="s">
        <v>40</v>
      </c>
      <c r="F28" s="82">
        <v>48</v>
      </c>
      <c r="G28" s="83" t="s">
        <v>39</v>
      </c>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84"/>
    </row>
    <row r="29" spans="1:39" ht="15" customHeight="1" x14ac:dyDescent="0.2">
      <c r="A29" s="37"/>
      <c r="B29" s="85"/>
      <c r="C29" s="37"/>
      <c r="D29" s="37"/>
      <c r="E29" s="81" t="s">
        <v>41</v>
      </c>
      <c r="F29" s="82">
        <v>52</v>
      </c>
      <c r="G29" s="83" t="s">
        <v>39</v>
      </c>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84"/>
    </row>
    <row r="30" spans="1:39" ht="15" customHeight="1" x14ac:dyDescent="0.2">
      <c r="A30" s="37"/>
      <c r="B30" s="85"/>
      <c r="C30" s="37"/>
      <c r="D30" s="37"/>
      <c r="E30" s="81" t="s">
        <v>42</v>
      </c>
      <c r="F30" s="82">
        <v>140</v>
      </c>
      <c r="G30" s="83" t="s">
        <v>43</v>
      </c>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84"/>
    </row>
    <row r="31" spans="1:39" ht="15" customHeight="1" x14ac:dyDescent="0.2">
      <c r="A31" s="37"/>
      <c r="B31" s="85"/>
      <c r="C31" s="37"/>
      <c r="D31" s="37"/>
      <c r="E31" s="81" t="s">
        <v>44</v>
      </c>
      <c r="F31" s="82">
        <v>10000</v>
      </c>
      <c r="G31" s="86" t="s">
        <v>45</v>
      </c>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84"/>
    </row>
    <row r="32" spans="1:39" ht="15" customHeight="1" x14ac:dyDescent="0.2">
      <c r="A32" s="37"/>
      <c r="B32" s="85"/>
      <c r="C32" s="37"/>
      <c r="D32" s="37"/>
      <c r="E32" s="81" t="s">
        <v>46</v>
      </c>
      <c r="F32" s="87">
        <v>55</v>
      </c>
      <c r="G32" s="88" t="s">
        <v>47</v>
      </c>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84"/>
    </row>
    <row r="33" spans="1:40" ht="15" customHeight="1" x14ac:dyDescent="0.2">
      <c r="A33" s="37"/>
      <c r="B33" s="1" t="s">
        <v>48</v>
      </c>
      <c r="C33" s="37"/>
      <c r="D33" s="37"/>
      <c r="E33" s="81"/>
      <c r="F33" s="89"/>
      <c r="G33" s="83"/>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84"/>
    </row>
    <row r="34" spans="1:40" ht="15" customHeight="1" x14ac:dyDescent="0.2">
      <c r="A34" s="37"/>
      <c r="B34" s="1"/>
      <c r="C34" s="37"/>
      <c r="D34" s="37"/>
      <c r="E34" s="81"/>
      <c r="F34" s="89"/>
      <c r="G34" s="83"/>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84"/>
    </row>
    <row r="35" spans="1:40" ht="15" customHeight="1" x14ac:dyDescent="0.2">
      <c r="A35" s="37"/>
      <c r="B35" s="85"/>
      <c r="C35" s="37"/>
      <c r="D35" s="37"/>
      <c r="E35" s="81"/>
      <c r="F35" s="89"/>
      <c r="G35" s="83"/>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84"/>
    </row>
    <row r="36" spans="1:40" ht="15" customHeight="1" x14ac:dyDescent="0.2">
      <c r="A36" s="37"/>
      <c r="B36" s="85"/>
      <c r="C36" s="37"/>
      <c r="D36" s="37"/>
      <c r="E36" s="81"/>
      <c r="F36" s="89"/>
      <c r="G36" s="83"/>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84"/>
    </row>
    <row r="37" spans="1:40" ht="15" customHeight="1" x14ac:dyDescent="0.2">
      <c r="A37" s="37"/>
      <c r="B37" s="90"/>
      <c r="C37" s="91"/>
      <c r="D37" s="91"/>
      <c r="E37" s="92"/>
      <c r="F37" s="93"/>
      <c r="G37" s="94"/>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91"/>
      <c r="AL37" s="91"/>
      <c r="AM37" s="95"/>
    </row>
    <row r="38" spans="1:40" ht="15" customHeight="1" x14ac:dyDescent="0.25">
      <c r="A38" s="37"/>
      <c r="B38" s="74" t="s">
        <v>49</v>
      </c>
      <c r="C38" s="96"/>
      <c r="D38" s="75"/>
      <c r="E38" s="76" t="s">
        <v>50</v>
      </c>
      <c r="F38" s="97">
        <f>Equations!F20</f>
        <v>0.31824611032531824</v>
      </c>
      <c r="G38" s="78" t="s">
        <v>51</v>
      </c>
      <c r="H38" s="75"/>
      <c r="I38" s="75"/>
      <c r="J38" s="75"/>
      <c r="K38" s="75"/>
      <c r="L38" s="75"/>
      <c r="M38" s="75"/>
      <c r="N38" s="75"/>
      <c r="O38" s="75"/>
      <c r="P38" s="75"/>
      <c r="Q38" s="75"/>
      <c r="R38" s="75"/>
      <c r="S38" s="75"/>
      <c r="T38" s="75"/>
      <c r="U38" s="75"/>
      <c r="V38" s="75"/>
      <c r="W38" s="75"/>
      <c r="X38" s="75"/>
      <c r="Y38" s="75"/>
      <c r="Z38" s="75"/>
      <c r="AA38" s="75"/>
      <c r="AB38" s="75"/>
      <c r="AC38" s="75"/>
      <c r="AD38" s="75"/>
      <c r="AE38" s="75"/>
      <c r="AF38" s="75"/>
      <c r="AG38" s="75"/>
      <c r="AH38" s="75"/>
      <c r="AI38" s="75"/>
      <c r="AJ38" s="75"/>
      <c r="AK38" s="75"/>
      <c r="AL38" s="75"/>
      <c r="AM38" s="79"/>
      <c r="AN38" s="40" t="s">
        <v>52</v>
      </c>
    </row>
    <row r="39" spans="1:40" ht="15" customHeight="1" x14ac:dyDescent="0.2">
      <c r="A39" s="37"/>
      <c r="B39" s="85"/>
      <c r="C39" s="37"/>
      <c r="D39" s="37"/>
      <c r="E39" s="81" t="s">
        <v>53</v>
      </c>
      <c r="F39" s="98" t="s">
        <v>24</v>
      </c>
      <c r="G39" s="83"/>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84"/>
      <c r="AN39" s="40" t="s">
        <v>22</v>
      </c>
    </row>
    <row r="40" spans="1:40" ht="15" customHeight="1" x14ac:dyDescent="0.2">
      <c r="A40" s="37"/>
      <c r="B40" s="85"/>
      <c r="C40" s="37"/>
      <c r="D40" s="37"/>
      <c r="E40" s="81" t="s">
        <v>54</v>
      </c>
      <c r="F40" s="82">
        <v>0.3</v>
      </c>
      <c r="G40" s="83" t="s">
        <v>51</v>
      </c>
      <c r="H40" s="43"/>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84"/>
      <c r="AN40" s="40" t="s">
        <v>24</v>
      </c>
    </row>
    <row r="41" spans="1:40" ht="15" customHeight="1" x14ac:dyDescent="0.2">
      <c r="A41" s="37"/>
      <c r="B41" s="85"/>
      <c r="C41" s="37"/>
      <c r="D41" s="37"/>
      <c r="E41" s="81" t="s">
        <v>55</v>
      </c>
      <c r="F41" s="99" t="str">
        <f>Equations!F21</f>
        <v>NA</v>
      </c>
      <c r="G41" s="100" t="s">
        <v>56</v>
      </c>
      <c r="H41" s="101"/>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84"/>
    </row>
    <row r="42" spans="1:40" ht="15" customHeight="1" x14ac:dyDescent="0.2">
      <c r="A42" s="37"/>
      <c r="B42" s="85"/>
      <c r="C42" s="37"/>
      <c r="D42" s="37"/>
      <c r="E42" s="81" t="s">
        <v>57</v>
      </c>
      <c r="F42" s="102" t="str">
        <f>Equations!F22</f>
        <v>NA</v>
      </c>
      <c r="G42" s="100" t="s">
        <v>56</v>
      </c>
      <c r="H42" s="101"/>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84"/>
    </row>
    <row r="43" spans="1:40" ht="15" customHeight="1" x14ac:dyDescent="0.2">
      <c r="A43" s="37"/>
      <c r="B43" s="85"/>
      <c r="C43" s="37"/>
      <c r="D43" s="37"/>
      <c r="E43" s="81" t="s">
        <v>58</v>
      </c>
      <c r="F43" s="98">
        <v>10</v>
      </c>
      <c r="G43" s="100" t="s">
        <v>56</v>
      </c>
      <c r="H43" s="101"/>
      <c r="I43" s="37"/>
      <c r="J43" s="43"/>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84"/>
      <c r="AN43" t="b">
        <f>AND(F39="No")</f>
        <v>1</v>
      </c>
    </row>
    <row r="44" spans="1:40" ht="15" customHeight="1" x14ac:dyDescent="0.2">
      <c r="A44" s="37"/>
      <c r="B44" s="85"/>
      <c r="C44" s="37"/>
      <c r="D44" s="37"/>
      <c r="E44" s="81" t="s">
        <v>59</v>
      </c>
      <c r="F44" s="98">
        <v>2</v>
      </c>
      <c r="G44" s="100" t="s">
        <v>56</v>
      </c>
      <c r="H44" s="101"/>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84"/>
    </row>
    <row r="45" spans="1:40" ht="15" customHeight="1" x14ac:dyDescent="0.2">
      <c r="A45" s="37"/>
      <c r="B45" s="238" t="s">
        <v>48</v>
      </c>
      <c r="C45" s="37"/>
      <c r="D45" s="37"/>
      <c r="E45" s="81" t="s">
        <v>60</v>
      </c>
      <c r="F45" s="102">
        <f>RsEFF</f>
        <v>0.3</v>
      </c>
      <c r="G45" s="83" t="s">
        <v>51</v>
      </c>
      <c r="H45" s="101"/>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84"/>
    </row>
    <row r="46" spans="1:40" ht="15" customHeight="1" x14ac:dyDescent="0.2">
      <c r="A46" s="37"/>
      <c r="B46" s="238"/>
      <c r="C46" s="37"/>
      <c r="D46" s="103"/>
      <c r="E46" s="104" t="s">
        <v>61</v>
      </c>
      <c r="F46" s="105">
        <f>CLMIN</f>
        <v>150</v>
      </c>
      <c r="G46" s="83" t="s">
        <v>43</v>
      </c>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84"/>
    </row>
    <row r="47" spans="1:40" ht="15" customHeight="1" x14ac:dyDescent="0.2">
      <c r="A47" s="37"/>
      <c r="B47" s="238"/>
      <c r="C47" s="37"/>
      <c r="D47" s="106"/>
      <c r="E47" s="107" t="s">
        <v>62</v>
      </c>
      <c r="F47" s="105">
        <f>CLNOM</f>
        <v>166.66666666666669</v>
      </c>
      <c r="G47" s="83" t="s">
        <v>43</v>
      </c>
      <c r="H47" s="37"/>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84"/>
    </row>
    <row r="48" spans="1:40" ht="15" customHeight="1" x14ac:dyDescent="0.2">
      <c r="A48" s="37"/>
      <c r="B48" s="85"/>
      <c r="C48" s="37"/>
      <c r="D48" s="108"/>
      <c r="E48" s="109" t="s">
        <v>63</v>
      </c>
      <c r="F48" s="105">
        <f>CLMAX</f>
        <v>183.33333333333334</v>
      </c>
      <c r="G48" s="83" t="s">
        <v>43</v>
      </c>
      <c r="H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84"/>
      <c r="AN48" s="40" t="s">
        <v>64</v>
      </c>
    </row>
    <row r="49" spans="1:46" ht="15" customHeight="1" x14ac:dyDescent="0.2">
      <c r="A49" s="37"/>
      <c r="B49" s="85"/>
      <c r="C49" s="37"/>
      <c r="D49" s="37"/>
      <c r="E49" s="81" t="s">
        <v>65</v>
      </c>
      <c r="F49" s="110">
        <f>Equations!F27/1000</f>
        <v>10.083333333333334</v>
      </c>
      <c r="G49" s="83" t="s">
        <v>56</v>
      </c>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84"/>
      <c r="AN49" s="40" t="s">
        <v>66</v>
      </c>
    </row>
    <row r="50" spans="1:46" ht="15" x14ac:dyDescent="0.25">
      <c r="A50" s="37"/>
      <c r="B50" s="74" t="s">
        <v>67</v>
      </c>
      <c r="C50" s="75"/>
      <c r="D50" s="75"/>
      <c r="E50" s="111" t="s">
        <v>68</v>
      </c>
      <c r="F50" s="112" t="s">
        <v>69</v>
      </c>
      <c r="G50" s="113"/>
      <c r="H50" s="75"/>
      <c r="I50" s="75"/>
      <c r="J50" s="75"/>
      <c r="K50" s="75"/>
      <c r="L50" s="75"/>
      <c r="M50" s="75"/>
      <c r="N50" s="75"/>
      <c r="O50" s="75"/>
      <c r="P50" s="75"/>
      <c r="Q50" s="75"/>
      <c r="R50" s="75"/>
      <c r="S50" s="75"/>
      <c r="T50" s="75"/>
      <c r="U50" s="75"/>
      <c r="V50" s="75"/>
      <c r="W50" s="75"/>
      <c r="X50" s="75"/>
      <c r="Y50" s="75"/>
      <c r="Z50" s="75"/>
      <c r="AA50" s="75"/>
      <c r="AB50" s="75"/>
      <c r="AC50" s="75"/>
      <c r="AD50" s="75"/>
      <c r="AE50" s="75"/>
      <c r="AF50" s="75"/>
      <c r="AG50" s="75"/>
      <c r="AH50" s="75"/>
      <c r="AI50" s="75"/>
      <c r="AJ50" s="75"/>
      <c r="AK50" s="75"/>
      <c r="AL50" s="75"/>
      <c r="AM50" s="79"/>
    </row>
    <row r="51" spans="1:46" ht="15.75" x14ac:dyDescent="0.3">
      <c r="A51" s="37"/>
      <c r="B51" s="85"/>
      <c r="C51" s="37"/>
      <c r="D51" s="37"/>
      <c r="E51" s="114" t="s">
        <v>70</v>
      </c>
      <c r="F51" s="115">
        <v>30</v>
      </c>
      <c r="G51" s="88" t="s">
        <v>71</v>
      </c>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84"/>
      <c r="AN51">
        <f>((((TJMAX-TAMB)/ThetaJA)/(CLMAX^2))*1000)*NUMFETS^2</f>
        <v>4.2842975206611564</v>
      </c>
      <c r="AO51">
        <f>((TJMAX-TAMB)/ThetaJA)</f>
        <v>4</v>
      </c>
    </row>
    <row r="52" spans="1:46" x14ac:dyDescent="0.2">
      <c r="A52" s="37"/>
      <c r="B52" s="85"/>
      <c r="C52" s="37"/>
      <c r="D52" s="37"/>
      <c r="E52" s="114" t="s">
        <v>72</v>
      </c>
      <c r="F52" s="82">
        <v>6</v>
      </c>
      <c r="G52" s="83" t="s">
        <v>73</v>
      </c>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84"/>
      <c r="AN52" s="116" t="s">
        <v>74</v>
      </c>
    </row>
    <row r="53" spans="1:46" ht="15.75" x14ac:dyDescent="0.3">
      <c r="A53" s="37"/>
      <c r="B53" s="85"/>
      <c r="C53" s="37"/>
      <c r="D53" s="37"/>
      <c r="E53" s="114" t="s">
        <v>75</v>
      </c>
      <c r="F53" s="82">
        <v>3.95</v>
      </c>
      <c r="G53" s="83" t="s">
        <v>51</v>
      </c>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84"/>
      <c r="AN53" s="40">
        <f t="shared" ref="AN53:AN59" si="0">F53</f>
        <v>3.95</v>
      </c>
    </row>
    <row r="54" spans="1:46" ht="14.25" x14ac:dyDescent="0.2">
      <c r="A54" s="37"/>
      <c r="B54" s="85"/>
      <c r="C54" s="37"/>
      <c r="D54" s="37"/>
      <c r="E54" s="114" t="s">
        <v>76</v>
      </c>
      <c r="F54" s="82">
        <v>175</v>
      </c>
      <c r="G54" s="88" t="s">
        <v>47</v>
      </c>
      <c r="H54" s="37"/>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84"/>
      <c r="AN54" s="40">
        <f t="shared" si="0"/>
        <v>175</v>
      </c>
    </row>
    <row r="55" spans="1:46" ht="15.75" x14ac:dyDescent="0.3">
      <c r="A55" s="37"/>
      <c r="B55" s="117"/>
      <c r="C55" s="37"/>
      <c r="D55" s="37"/>
      <c r="E55" s="114" t="s">
        <v>77</v>
      </c>
      <c r="F55" s="118">
        <v>120</v>
      </c>
      <c r="G55" s="83" t="s">
        <v>43</v>
      </c>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84"/>
      <c r="AN55" s="40">
        <f t="shared" si="0"/>
        <v>120</v>
      </c>
    </row>
    <row r="56" spans="1:46" ht="15.75" x14ac:dyDescent="0.3">
      <c r="A56" s="37"/>
      <c r="B56" s="117"/>
      <c r="C56" s="37"/>
      <c r="D56" s="37"/>
      <c r="E56" s="114" t="s">
        <v>78</v>
      </c>
      <c r="F56" s="118">
        <v>30</v>
      </c>
      <c r="G56" s="83" t="s">
        <v>43</v>
      </c>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84"/>
      <c r="AN56" s="40">
        <f t="shared" si="0"/>
        <v>30</v>
      </c>
    </row>
    <row r="57" spans="1:46" ht="15.75" x14ac:dyDescent="0.3">
      <c r="A57" s="37"/>
      <c r="B57" s="119" t="s">
        <v>67</v>
      </c>
      <c r="C57" s="37"/>
      <c r="D57" s="37"/>
      <c r="E57" s="114" t="s">
        <v>79</v>
      </c>
      <c r="F57" s="118">
        <v>12</v>
      </c>
      <c r="G57" s="83" t="s">
        <v>43</v>
      </c>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84"/>
      <c r="AN57" s="40">
        <f t="shared" si="0"/>
        <v>12</v>
      </c>
    </row>
    <row r="58" spans="1:46" ht="15.75" x14ac:dyDescent="0.3">
      <c r="A58" s="37"/>
      <c r="B58" s="117"/>
      <c r="C58" s="37"/>
      <c r="D58" s="37"/>
      <c r="E58" s="114" t="s">
        <v>80</v>
      </c>
      <c r="F58" s="118">
        <v>5</v>
      </c>
      <c r="G58" s="83" t="s">
        <v>43</v>
      </c>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84"/>
      <c r="AN58" s="40">
        <f t="shared" si="0"/>
        <v>5</v>
      </c>
    </row>
    <row r="59" spans="1:46" ht="15.75" x14ac:dyDescent="0.3">
      <c r="A59" s="37"/>
      <c r="B59" s="117"/>
      <c r="C59" s="37"/>
      <c r="D59" s="37"/>
      <c r="E59" s="114" t="s">
        <v>81</v>
      </c>
      <c r="F59" s="118">
        <v>2</v>
      </c>
      <c r="G59" s="83" t="s">
        <v>43</v>
      </c>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84"/>
      <c r="AN59" s="40">
        <f t="shared" si="0"/>
        <v>2</v>
      </c>
    </row>
    <row r="60" spans="1:46" ht="15" customHeight="1" x14ac:dyDescent="0.2">
      <c r="A60" s="37"/>
      <c r="B60" s="117"/>
      <c r="C60" s="37"/>
      <c r="D60" s="37"/>
      <c r="E60" s="114" t="s">
        <v>82</v>
      </c>
      <c r="F60" s="120">
        <f>(IOUTMAX/NUMFETS)^2*RDSON/1000</f>
        <v>2.1505555555555551</v>
      </c>
      <c r="G60" s="83" t="s">
        <v>56</v>
      </c>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84"/>
      <c r="AT60" s="239"/>
    </row>
    <row r="61" spans="1:46" ht="15" customHeight="1" x14ac:dyDescent="0.3">
      <c r="A61" s="37"/>
      <c r="B61" s="239" t="s">
        <v>83</v>
      </c>
      <c r="C61" s="37"/>
      <c r="D61" s="37"/>
      <c r="E61" s="114" t="s">
        <v>84</v>
      </c>
      <c r="F61" s="120">
        <f>TAMB+(FETPDISS*ThetaJA)</f>
        <v>119.51666666666665</v>
      </c>
      <c r="G61" s="88" t="s">
        <v>47</v>
      </c>
      <c r="H61" s="37"/>
      <c r="I61" s="37"/>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84"/>
      <c r="AT61" s="239"/>
    </row>
    <row r="62" spans="1:46" ht="15" customHeight="1" x14ac:dyDescent="0.2">
      <c r="A62" s="37"/>
      <c r="B62" s="239"/>
      <c r="C62" s="37"/>
      <c r="D62" s="37"/>
      <c r="E62" s="81" t="s">
        <v>85</v>
      </c>
      <c r="F62" s="120">
        <f>Equations!F38</f>
        <v>866.66666666666674</v>
      </c>
      <c r="G62" s="83" t="s">
        <v>56</v>
      </c>
      <c r="H62" s="37"/>
      <c r="I62" s="37"/>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84"/>
      <c r="AT62" s="239"/>
    </row>
    <row r="63" spans="1:46" ht="15" customHeight="1" x14ac:dyDescent="0.2">
      <c r="A63" s="37"/>
      <c r="B63" s="239"/>
      <c r="C63" s="37"/>
      <c r="D63" s="37"/>
      <c r="E63" s="81" t="s">
        <v>86</v>
      </c>
      <c r="F63" s="118">
        <v>500</v>
      </c>
      <c r="G63" s="83" t="s">
        <v>56</v>
      </c>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84"/>
      <c r="AT63" s="239"/>
    </row>
    <row r="64" spans="1:46" ht="15" customHeight="1" x14ac:dyDescent="0.2">
      <c r="A64" s="37"/>
      <c r="B64" s="239"/>
      <c r="C64" s="37"/>
      <c r="D64" s="37"/>
      <c r="E64" s="81" t="s">
        <v>87</v>
      </c>
      <c r="F64" s="118">
        <v>45</v>
      </c>
      <c r="G64" s="83" t="s">
        <v>88</v>
      </c>
      <c r="H64" s="37"/>
      <c r="I64" s="37"/>
      <c r="J64" s="37"/>
      <c r="K64" s="37"/>
      <c r="L64" s="37"/>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84"/>
      <c r="AT64" s="239"/>
    </row>
    <row r="65" spans="1:46" ht="15" customHeight="1" x14ac:dyDescent="0.2">
      <c r="A65" s="37"/>
      <c r="B65" s="239"/>
      <c r="C65" s="37"/>
      <c r="D65" s="37"/>
      <c r="E65" s="81" t="s">
        <v>89</v>
      </c>
      <c r="F65" s="121">
        <f>Equations!F43</f>
        <v>3.6486486486486474</v>
      </c>
      <c r="G65" s="83" t="s">
        <v>88</v>
      </c>
      <c r="H65" s="37"/>
      <c r="I65" s="37"/>
      <c r="J65" s="37"/>
      <c r="K65" s="37"/>
      <c r="L65" s="37"/>
      <c r="M65" s="37"/>
      <c r="N65" s="37"/>
      <c r="O65" s="37"/>
      <c r="P65" s="37"/>
      <c r="Q65" s="37"/>
      <c r="R65" s="37"/>
      <c r="S65" s="37"/>
      <c r="T65" s="37"/>
      <c r="U65" s="37"/>
      <c r="V65" s="37"/>
      <c r="W65" s="37"/>
      <c r="X65" s="37"/>
      <c r="Y65" s="37"/>
      <c r="Z65" s="37"/>
      <c r="AA65" s="37"/>
      <c r="AB65" s="37"/>
      <c r="AC65" s="37"/>
      <c r="AD65" s="37"/>
      <c r="AE65" s="37"/>
      <c r="AF65" s="37"/>
      <c r="AG65" s="37"/>
      <c r="AH65" s="37"/>
      <c r="AI65" s="37"/>
      <c r="AJ65" s="37"/>
      <c r="AK65" s="37"/>
      <c r="AL65" s="37"/>
      <c r="AM65" s="84"/>
      <c r="AT65" s="239"/>
    </row>
    <row r="66" spans="1:46" ht="15" customHeight="1" x14ac:dyDescent="0.2">
      <c r="A66" s="37"/>
      <c r="B66" s="239"/>
      <c r="C66" s="37"/>
      <c r="D66" s="37"/>
      <c r="E66" s="81" t="s">
        <v>90</v>
      </c>
      <c r="F66" s="82">
        <v>6.8</v>
      </c>
      <c r="G66" s="83" t="s">
        <v>88</v>
      </c>
      <c r="H66" s="37"/>
      <c r="I66" s="240" t="s">
        <v>91</v>
      </c>
      <c r="J66" s="240"/>
      <c r="K66" s="240"/>
      <c r="L66" s="240"/>
      <c r="M66" s="240"/>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84"/>
      <c r="AT66" s="239"/>
    </row>
    <row r="67" spans="1:46" ht="15" customHeight="1" x14ac:dyDescent="0.2">
      <c r="A67" s="37"/>
      <c r="B67" s="239"/>
      <c r="C67" s="37"/>
      <c r="D67" s="37"/>
      <c r="E67" s="81" t="s">
        <v>92</v>
      </c>
      <c r="F67" s="121">
        <f>Equations!F47</f>
        <v>875.16087516087532</v>
      </c>
      <c r="G67" s="83" t="s">
        <v>56</v>
      </c>
      <c r="H67" s="37"/>
      <c r="I67" s="240"/>
      <c r="J67" s="240"/>
      <c r="K67" s="240"/>
      <c r="L67" s="240"/>
      <c r="M67" s="240"/>
      <c r="N67" s="37"/>
      <c r="O67" s="37"/>
      <c r="P67" s="37"/>
      <c r="Q67" s="37"/>
      <c r="R67" s="37"/>
      <c r="S67" s="37"/>
      <c r="T67" s="37"/>
      <c r="U67" s="37"/>
      <c r="V67" s="37"/>
      <c r="W67" s="37"/>
      <c r="X67" s="37"/>
      <c r="Y67" s="37"/>
      <c r="Z67" s="37"/>
      <c r="AA67" s="37"/>
      <c r="AB67" s="37"/>
      <c r="AC67" s="37"/>
      <c r="AD67" s="37"/>
      <c r="AE67" s="37"/>
      <c r="AF67" s="37"/>
      <c r="AG67" s="37"/>
      <c r="AH67" s="37"/>
      <c r="AI67" s="37"/>
      <c r="AJ67" s="37"/>
      <c r="AK67" s="37"/>
      <c r="AL67" s="37"/>
      <c r="AM67" s="84"/>
    </row>
    <row r="68" spans="1:46" ht="15" x14ac:dyDescent="0.25">
      <c r="A68" s="37"/>
      <c r="B68" s="74" t="s">
        <v>93</v>
      </c>
      <c r="C68" s="75"/>
      <c r="D68" s="75"/>
      <c r="E68" s="111" t="s">
        <v>94</v>
      </c>
      <c r="F68" s="77">
        <v>0</v>
      </c>
      <c r="G68" s="113" t="s">
        <v>39</v>
      </c>
      <c r="H68" s="75"/>
      <c r="I68" s="75"/>
      <c r="J68" s="75"/>
      <c r="K68" s="75"/>
      <c r="L68" s="75"/>
      <c r="M68" s="75"/>
      <c r="N68" s="75"/>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9"/>
      <c r="AN68" s="40"/>
    </row>
    <row r="69" spans="1:46" x14ac:dyDescent="0.2">
      <c r="A69" s="37"/>
      <c r="B69" s="122"/>
      <c r="C69" s="37"/>
      <c r="D69" s="37"/>
      <c r="E69" s="114" t="s">
        <v>95</v>
      </c>
      <c r="F69" s="82" t="s">
        <v>96</v>
      </c>
      <c r="G69" s="86"/>
      <c r="H69" s="37"/>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84"/>
      <c r="AN69" s="40"/>
    </row>
    <row r="70" spans="1:46" x14ac:dyDescent="0.2">
      <c r="A70" s="37"/>
      <c r="B70" s="85"/>
      <c r="C70" s="37"/>
      <c r="D70" s="37"/>
      <c r="E70" s="114" t="s">
        <v>97</v>
      </c>
      <c r="F70" s="82">
        <v>0.3</v>
      </c>
      <c r="G70" s="86" t="str">
        <f>IF(F69="Constant Current","A","Ohms")</f>
        <v>A</v>
      </c>
      <c r="H70" s="37"/>
      <c r="I70" s="37"/>
      <c r="J70" s="37"/>
      <c r="K70" s="37"/>
      <c r="L70" s="37"/>
      <c r="M70" s="37"/>
      <c r="N70" s="37"/>
      <c r="O70" s="37"/>
      <c r="P70" s="37"/>
      <c r="Q70" s="37"/>
      <c r="R70" s="37"/>
      <c r="S70" s="37"/>
      <c r="T70" s="37"/>
      <c r="U70" s="37"/>
      <c r="V70" s="37"/>
      <c r="W70" s="37"/>
      <c r="X70" s="37"/>
      <c r="Y70" s="37"/>
      <c r="Z70" s="37"/>
      <c r="AA70" s="37"/>
      <c r="AB70" s="37"/>
      <c r="AC70" s="37"/>
      <c r="AD70" s="37"/>
      <c r="AE70" s="37"/>
      <c r="AF70" s="37"/>
      <c r="AG70" s="37"/>
      <c r="AH70" s="37"/>
      <c r="AI70" s="37"/>
      <c r="AJ70" s="37"/>
      <c r="AK70" s="37"/>
      <c r="AL70" s="37"/>
      <c r="AM70" s="84"/>
      <c r="AN70" t="s">
        <v>96</v>
      </c>
    </row>
    <row r="71" spans="1:46" x14ac:dyDescent="0.2">
      <c r="A71" s="37"/>
      <c r="B71" s="85"/>
      <c r="C71" s="37"/>
      <c r="D71" s="37"/>
      <c r="E71" s="81" t="s">
        <v>98</v>
      </c>
      <c r="F71" s="98" t="s">
        <v>22</v>
      </c>
      <c r="G71" s="86"/>
      <c r="H71" s="37"/>
      <c r="I71" s="37"/>
      <c r="J71" s="37"/>
      <c r="K71" s="37"/>
      <c r="L71" s="37"/>
      <c r="M71" s="37"/>
      <c r="N71" s="37"/>
      <c r="O71" s="37"/>
      <c r="P71" s="37"/>
      <c r="Q71" s="37"/>
      <c r="R71" s="37"/>
      <c r="S71" s="37"/>
      <c r="T71" s="37"/>
      <c r="U71" s="37"/>
      <c r="V71" s="37"/>
      <c r="W71" s="37"/>
      <c r="X71" s="37"/>
      <c r="Y71" s="37"/>
      <c r="Z71" s="37"/>
      <c r="AA71" s="37"/>
      <c r="AB71" s="37"/>
      <c r="AC71" s="37"/>
      <c r="AD71" s="37"/>
      <c r="AE71" s="37"/>
      <c r="AF71" s="37"/>
      <c r="AG71" s="37"/>
      <c r="AH71" s="37"/>
      <c r="AI71" s="37"/>
      <c r="AJ71" s="37"/>
      <c r="AK71" s="37"/>
      <c r="AL71" s="37"/>
      <c r="AM71" s="84"/>
      <c r="AN71" t="s">
        <v>99</v>
      </c>
    </row>
    <row r="72" spans="1:46" x14ac:dyDescent="0.2">
      <c r="A72" s="37"/>
      <c r="B72" s="85"/>
      <c r="C72" s="37"/>
      <c r="D72" s="37"/>
      <c r="E72" s="114" t="s">
        <v>100</v>
      </c>
      <c r="F72" s="121">
        <f>Start_up!M2</f>
        <v>260.00000000000017</v>
      </c>
      <c r="G72" s="83" t="s">
        <v>101</v>
      </c>
      <c r="H72" s="37"/>
      <c r="I72" s="37"/>
      <c r="J72" s="37"/>
      <c r="K72" s="37"/>
      <c r="L72" s="37"/>
      <c r="M72" s="37"/>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84"/>
      <c r="AN72" s="40"/>
    </row>
    <row r="73" spans="1:46" x14ac:dyDescent="0.2">
      <c r="A73" s="37"/>
      <c r="B73" s="85"/>
      <c r="C73" s="37"/>
      <c r="D73" s="37"/>
      <c r="E73" s="114" t="s">
        <v>102</v>
      </c>
      <c r="F73" s="123">
        <f>Start_up!O2</f>
        <v>0.86956521739130432</v>
      </c>
      <c r="G73" s="83"/>
      <c r="H73" s="37"/>
      <c r="I73" s="37"/>
      <c r="J73" s="37"/>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84"/>
      <c r="AN73" s="40"/>
    </row>
    <row r="74" spans="1:46" ht="13.15" customHeight="1" x14ac:dyDescent="0.2">
      <c r="A74" s="37"/>
      <c r="B74" s="122"/>
      <c r="C74" s="37"/>
      <c r="D74" s="37"/>
      <c r="E74" s="81" t="s">
        <v>103</v>
      </c>
      <c r="F74" s="121">
        <f>Equations!F55</f>
        <v>455.00000000000028</v>
      </c>
      <c r="G74" s="86" t="s">
        <v>101</v>
      </c>
      <c r="H74" s="37"/>
      <c r="I74" s="37"/>
      <c r="J74" s="37"/>
      <c r="K74" s="37"/>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84"/>
    </row>
    <row r="75" spans="1:46" ht="12.6" customHeight="1" x14ac:dyDescent="0.2">
      <c r="A75" s="37"/>
      <c r="B75" s="85"/>
      <c r="C75" s="37"/>
      <c r="D75" s="37"/>
      <c r="E75" s="114" t="s">
        <v>104</v>
      </c>
      <c r="F75" s="121">
        <f>Equations!F56</f>
        <v>2843.7500000000018</v>
      </c>
      <c r="G75" s="83" t="s">
        <v>105</v>
      </c>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84"/>
    </row>
    <row r="76" spans="1:46" ht="15" customHeight="1" x14ac:dyDescent="0.2">
      <c r="A76" s="37"/>
      <c r="B76" s="85"/>
      <c r="C76" s="37"/>
      <c r="D76" s="37"/>
      <c r="E76" s="114" t="s">
        <v>106</v>
      </c>
      <c r="F76" s="82">
        <v>220</v>
      </c>
      <c r="G76" s="83" t="s">
        <v>105</v>
      </c>
      <c r="H76" s="37"/>
      <c r="I76" s="37"/>
      <c r="J76" s="37"/>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84"/>
    </row>
    <row r="77" spans="1:46" ht="15" customHeight="1" x14ac:dyDescent="0.2">
      <c r="A77" s="37"/>
      <c r="B77" s="124" t="s">
        <v>93</v>
      </c>
      <c r="C77" s="37"/>
      <c r="D77" s="37"/>
      <c r="E77" s="114" t="s">
        <v>107</v>
      </c>
      <c r="F77" s="121">
        <f>Equations!F58</f>
        <v>35.200000000000003</v>
      </c>
      <c r="G77" s="83" t="s">
        <v>101</v>
      </c>
      <c r="H77" s="37"/>
      <c r="I77" s="37"/>
      <c r="J77" s="37"/>
      <c r="K77" s="37"/>
      <c r="L77" s="37"/>
      <c r="M77" s="37"/>
      <c r="N77" s="37"/>
      <c r="O77" s="37"/>
      <c r="P77" s="37"/>
      <c r="Q77" s="37"/>
      <c r="R77" s="37"/>
      <c r="S77" s="37"/>
      <c r="T77" s="37"/>
      <c r="U77" s="37"/>
      <c r="V77" s="37"/>
      <c r="W77" s="37"/>
      <c r="X77" s="37"/>
      <c r="Y77" s="37"/>
      <c r="Z77" s="37"/>
      <c r="AA77" s="37"/>
      <c r="AB77" s="37"/>
      <c r="AC77" s="37"/>
      <c r="AD77" s="37"/>
      <c r="AE77" s="37"/>
      <c r="AF77" s="37"/>
      <c r="AG77" s="37"/>
      <c r="AH77" s="37"/>
      <c r="AI77" s="37"/>
      <c r="AJ77" s="37"/>
      <c r="AK77" s="37"/>
      <c r="AL77" s="37"/>
      <c r="AM77" s="84"/>
    </row>
    <row r="78" spans="1:46" ht="15" customHeight="1" x14ac:dyDescent="0.2">
      <c r="A78" s="37"/>
      <c r="B78" s="85"/>
      <c r="C78" s="37"/>
      <c r="D78" s="37"/>
      <c r="E78" s="114" t="s">
        <v>108</v>
      </c>
      <c r="F78" s="121">
        <f>Equations!F59</f>
        <v>1.3092946398928516</v>
      </c>
      <c r="G78" s="83"/>
      <c r="H78" s="37"/>
      <c r="I78" s="37"/>
      <c r="J78" s="37"/>
      <c r="K78" s="37"/>
      <c r="L78" s="37"/>
      <c r="M78" s="37"/>
      <c r="N78" s="37"/>
      <c r="O78" s="37"/>
      <c r="P78" s="37"/>
      <c r="Q78" s="37"/>
      <c r="R78" s="37"/>
      <c r="S78" s="37"/>
      <c r="T78" s="37"/>
      <c r="U78" s="37"/>
      <c r="V78" s="37"/>
      <c r="W78" s="37"/>
      <c r="X78" s="37"/>
      <c r="Y78" s="37"/>
      <c r="Z78" s="37"/>
      <c r="AA78" s="37"/>
      <c r="AB78" s="37"/>
      <c r="AC78" s="37"/>
      <c r="AD78" s="37"/>
      <c r="AE78" s="37"/>
      <c r="AF78" s="37"/>
      <c r="AG78" s="37"/>
      <c r="AH78" s="37"/>
      <c r="AI78" s="37"/>
      <c r="AJ78" s="37"/>
      <c r="AK78" s="37"/>
      <c r="AL78" s="37"/>
      <c r="AM78" s="84"/>
    </row>
    <row r="79" spans="1:46" ht="15" customHeight="1" x14ac:dyDescent="0.2">
      <c r="A79" s="37"/>
      <c r="B79" s="85"/>
      <c r="C79" s="37"/>
      <c r="D79" s="37"/>
      <c r="E79" s="114" t="s">
        <v>109</v>
      </c>
      <c r="F79" s="98" t="s">
        <v>24</v>
      </c>
      <c r="G79" s="83"/>
      <c r="H79" s="37"/>
      <c r="I79" s="37"/>
      <c r="J79" s="37"/>
      <c r="K79" s="37"/>
      <c r="L79" s="37"/>
      <c r="M79" s="37"/>
      <c r="N79" s="37"/>
      <c r="O79" s="37"/>
      <c r="P79" s="37"/>
      <c r="Q79" s="37"/>
      <c r="R79" s="37"/>
      <c r="S79" s="37"/>
      <c r="T79" s="37"/>
      <c r="U79" s="37"/>
      <c r="V79" s="37"/>
      <c r="W79" s="37"/>
      <c r="X79" s="37"/>
      <c r="Y79" s="37"/>
      <c r="Z79" s="37"/>
      <c r="AA79" s="37"/>
      <c r="AB79" s="37"/>
      <c r="AC79" s="37"/>
      <c r="AD79" s="37"/>
      <c r="AE79" s="37"/>
      <c r="AF79" s="37"/>
      <c r="AG79" s="37"/>
      <c r="AH79" s="37"/>
      <c r="AI79" s="37"/>
      <c r="AJ79" s="37"/>
      <c r="AK79" s="37"/>
      <c r="AL79" s="37"/>
      <c r="AM79" s="84"/>
    </row>
    <row r="80" spans="1:46" ht="15" customHeight="1" x14ac:dyDescent="0.2">
      <c r="A80" s="37"/>
      <c r="B80" s="85"/>
      <c r="C80" s="37"/>
      <c r="D80" s="37"/>
      <c r="E80" s="114" t="s">
        <v>110</v>
      </c>
      <c r="F80" s="121">
        <f>dv_dt_recommendations!L29</f>
        <v>0.28370879812075256</v>
      </c>
      <c r="G80" s="83" t="s">
        <v>111</v>
      </c>
      <c r="H80" s="37"/>
      <c r="I80" s="37"/>
      <c r="J80" s="37"/>
      <c r="K80" s="37"/>
      <c r="L80" s="37"/>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84"/>
    </row>
    <row r="81" spans="1:40" ht="15" customHeight="1" x14ac:dyDescent="0.2">
      <c r="A81" s="37"/>
      <c r="B81" s="85"/>
      <c r="C81" s="37"/>
      <c r="D81" s="37"/>
      <c r="E81" s="114" t="s">
        <v>112</v>
      </c>
      <c r="F81" s="121">
        <f>dv_dt_recommendations!L30</f>
        <v>9.5661574582614123E-2</v>
      </c>
      <c r="G81" s="83" t="s">
        <v>111</v>
      </c>
      <c r="H81" s="37"/>
      <c r="I81" s="37"/>
      <c r="J81" s="37"/>
      <c r="K81" s="37"/>
      <c r="L81" s="37"/>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84"/>
    </row>
    <row r="82" spans="1:40" ht="15" customHeight="1" x14ac:dyDescent="0.2">
      <c r="A82" s="37"/>
      <c r="B82" s="241" t="s">
        <v>113</v>
      </c>
      <c r="C82" s="241"/>
      <c r="D82" s="37"/>
      <c r="E82" s="125" t="s">
        <v>114</v>
      </c>
      <c r="F82" s="82">
        <v>0.2</v>
      </c>
      <c r="G82" s="83" t="s">
        <v>111</v>
      </c>
      <c r="H82" s="37"/>
      <c r="I82" s="37"/>
      <c r="J82" s="37"/>
      <c r="K82" s="37"/>
      <c r="L82" s="37"/>
      <c r="M82" s="37"/>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84"/>
    </row>
    <row r="83" spans="1:40" ht="15" customHeight="1" x14ac:dyDescent="0.2">
      <c r="A83" s="37"/>
      <c r="B83" s="241"/>
      <c r="C83" s="241"/>
      <c r="D83" s="37"/>
      <c r="E83" s="125" t="s">
        <v>115</v>
      </c>
      <c r="F83" s="121">
        <f>Equations!F63</f>
        <v>110</v>
      </c>
      <c r="G83" s="126" t="s">
        <v>105</v>
      </c>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84"/>
    </row>
    <row r="84" spans="1:40" ht="15" customHeight="1" x14ac:dyDescent="0.2">
      <c r="A84" s="37"/>
      <c r="B84" s="241"/>
      <c r="C84" s="241"/>
      <c r="D84" s="37"/>
      <c r="E84" s="125" t="s">
        <v>116</v>
      </c>
      <c r="F84" s="82">
        <v>110</v>
      </c>
      <c r="G84" s="83" t="s">
        <v>105</v>
      </c>
      <c r="H84" s="37"/>
      <c r="I84" s="37"/>
      <c r="J84" s="37"/>
      <c r="K84" s="37"/>
      <c r="L84" s="37"/>
      <c r="M84" s="37"/>
      <c r="N84" s="37"/>
      <c r="O84" s="37"/>
      <c r="P84" s="37"/>
      <c r="Q84" s="37"/>
      <c r="R84" s="37"/>
      <c r="S84" s="37"/>
      <c r="T84" s="37"/>
      <c r="U84" s="37"/>
      <c r="V84" s="37"/>
      <c r="W84" s="37"/>
      <c r="X84" s="37"/>
      <c r="Y84" s="37"/>
      <c r="Z84" s="37"/>
      <c r="AA84" s="37"/>
      <c r="AB84" s="37"/>
      <c r="AC84" s="37"/>
      <c r="AD84" s="37"/>
      <c r="AE84" s="37"/>
      <c r="AF84" s="37"/>
      <c r="AG84" s="37"/>
      <c r="AH84" s="37"/>
      <c r="AI84" s="37"/>
      <c r="AJ84" s="37"/>
      <c r="AK84" s="37"/>
      <c r="AL84" s="37"/>
      <c r="AM84" s="84"/>
    </row>
    <row r="85" spans="1:40" ht="15" customHeight="1" x14ac:dyDescent="0.2">
      <c r="A85" s="37"/>
      <c r="B85" s="241"/>
      <c r="C85" s="241"/>
      <c r="D85" s="37"/>
      <c r="E85" s="125" t="s">
        <v>117</v>
      </c>
      <c r="F85" s="121">
        <f>Equations!F65</f>
        <v>0.2</v>
      </c>
      <c r="G85" s="83" t="s">
        <v>111</v>
      </c>
      <c r="H85" s="37"/>
      <c r="I85" s="37"/>
      <c r="J85" s="37"/>
      <c r="K85" s="37"/>
      <c r="L85" s="37"/>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84"/>
    </row>
    <row r="86" spans="1:40" ht="16.899999999999999" customHeight="1" x14ac:dyDescent="0.2">
      <c r="A86" s="37"/>
      <c r="B86" s="241"/>
      <c r="C86" s="241"/>
      <c r="D86" s="37"/>
      <c r="E86" s="125" t="s">
        <v>118</v>
      </c>
      <c r="F86" s="121">
        <f>Equations!F72</f>
        <v>1.5727487134145333</v>
      </c>
      <c r="G86" s="83"/>
      <c r="H86" s="37"/>
      <c r="I86" s="37"/>
      <c r="J86" s="37"/>
      <c r="K86" s="37"/>
      <c r="L86" s="37"/>
      <c r="M86" s="37"/>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84"/>
    </row>
    <row r="87" spans="1:40" ht="16.899999999999999" customHeight="1" x14ac:dyDescent="0.2">
      <c r="A87" s="37"/>
      <c r="B87" s="85"/>
      <c r="C87" s="37"/>
      <c r="D87" s="37"/>
      <c r="E87" s="125" t="s">
        <v>119</v>
      </c>
      <c r="F87" s="82">
        <v>0.4</v>
      </c>
      <c r="G87" s="83" t="s">
        <v>101</v>
      </c>
      <c r="H87" s="37"/>
      <c r="I87" s="37"/>
      <c r="J87" s="37"/>
      <c r="K87" s="37"/>
      <c r="L87" s="37"/>
      <c r="M87" s="37"/>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84"/>
    </row>
    <row r="88" spans="1:40" ht="16.899999999999999" customHeight="1" x14ac:dyDescent="0.2">
      <c r="A88" s="37"/>
      <c r="B88" s="85"/>
      <c r="C88" s="37"/>
      <c r="D88" s="37"/>
      <c r="E88" s="125" t="s">
        <v>120</v>
      </c>
      <c r="F88" s="121">
        <f>Equations!F77</f>
        <v>2.5</v>
      </c>
      <c r="G88" s="83" t="s">
        <v>105</v>
      </c>
      <c r="H88" s="37"/>
      <c r="I88" s="37"/>
      <c r="J88" s="37"/>
      <c r="K88" s="37"/>
      <c r="L88" s="37"/>
      <c r="M88" s="37"/>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84"/>
    </row>
    <row r="89" spans="1:40" ht="16.899999999999999" customHeight="1" x14ac:dyDescent="0.3">
      <c r="A89" s="37"/>
      <c r="B89" s="85"/>
      <c r="C89" s="37"/>
      <c r="D89" s="37"/>
      <c r="E89" s="125" t="s">
        <v>121</v>
      </c>
      <c r="F89" s="82">
        <v>2</v>
      </c>
      <c r="G89" s="83" t="s">
        <v>105</v>
      </c>
      <c r="H89" s="37"/>
      <c r="I89" s="37"/>
      <c r="J89" s="37"/>
      <c r="K89" s="37"/>
      <c r="L89" s="37"/>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84"/>
    </row>
    <row r="90" spans="1:40" ht="15" customHeight="1" x14ac:dyDescent="0.2">
      <c r="A90" s="37"/>
      <c r="B90" s="85"/>
      <c r="C90" s="37"/>
      <c r="D90" s="37"/>
      <c r="E90" s="114" t="s">
        <v>122</v>
      </c>
      <c r="F90" s="121">
        <f>Equations!F79</f>
        <v>0.32</v>
      </c>
      <c r="G90" s="83" t="s">
        <v>101</v>
      </c>
      <c r="H90" s="37"/>
      <c r="I90" s="37"/>
      <c r="J90" s="37"/>
      <c r="K90" s="37"/>
      <c r="L90" s="37"/>
      <c r="M90" s="37"/>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127" t="s">
        <v>123</v>
      </c>
    </row>
    <row r="91" spans="1:40" ht="31.9" customHeight="1" x14ac:dyDescent="0.2">
      <c r="A91" s="37"/>
      <c r="B91" s="90"/>
      <c r="C91" s="91"/>
      <c r="D91" s="91"/>
      <c r="E91" s="128" t="s">
        <v>124</v>
      </c>
      <c r="F91" s="129">
        <f>Equations!F81</f>
        <v>1.3092946398928516</v>
      </c>
      <c r="G91" s="130"/>
      <c r="H91" s="91"/>
      <c r="I91" s="91"/>
      <c r="J91" s="91"/>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131"/>
    </row>
    <row r="92" spans="1:40" ht="15" customHeight="1" x14ac:dyDescent="0.25">
      <c r="A92" s="37"/>
      <c r="B92" s="132" t="s">
        <v>125</v>
      </c>
      <c r="C92" s="133"/>
      <c r="D92" s="37"/>
      <c r="E92" s="125" t="s">
        <v>126</v>
      </c>
      <c r="F92" s="134">
        <v>30</v>
      </c>
      <c r="G92" s="135" t="s">
        <v>39</v>
      </c>
      <c r="H92" s="37"/>
      <c r="I92" s="37"/>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84"/>
      <c r="AN92" s="40" t="s">
        <v>127</v>
      </c>
    </row>
    <row r="93" spans="1:40" ht="15" customHeight="1" x14ac:dyDescent="0.2">
      <c r="A93" s="37"/>
      <c r="B93" s="85"/>
      <c r="C93" s="37"/>
      <c r="D93" s="37"/>
      <c r="E93" s="125" t="s">
        <v>128</v>
      </c>
      <c r="F93" s="136">
        <v>10</v>
      </c>
      <c r="G93" s="135" t="s">
        <v>88</v>
      </c>
      <c r="H93" s="37"/>
      <c r="I93" s="37"/>
      <c r="J93" s="37"/>
      <c r="K93" s="37"/>
      <c r="L93" s="37"/>
      <c r="M93" s="37"/>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84"/>
    </row>
    <row r="94" spans="1:40" ht="15" customHeight="1" x14ac:dyDescent="0.2">
      <c r="A94" s="37"/>
      <c r="B94" s="85"/>
      <c r="C94" s="37"/>
      <c r="D94" s="37"/>
      <c r="E94" s="125" t="s">
        <v>129</v>
      </c>
      <c r="F94" s="82">
        <v>10</v>
      </c>
      <c r="G94" s="135" t="s">
        <v>88</v>
      </c>
      <c r="H94" s="37"/>
      <c r="I94" s="37"/>
      <c r="J94" s="37"/>
      <c r="K94" s="37"/>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84"/>
    </row>
    <row r="95" spans="1:40" ht="15" customHeight="1" x14ac:dyDescent="0.2">
      <c r="A95" s="37"/>
      <c r="B95" s="85"/>
      <c r="C95" s="37"/>
      <c r="D95" s="37"/>
      <c r="E95" s="125" t="s">
        <v>130</v>
      </c>
      <c r="F95" s="136">
        <f>Equations!F89</f>
        <v>212.22222222222223</v>
      </c>
      <c r="G95" s="135" t="s">
        <v>88</v>
      </c>
      <c r="H95" s="37"/>
      <c r="I95" s="37"/>
      <c r="J95" s="37"/>
      <c r="K95" s="37"/>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84"/>
    </row>
    <row r="96" spans="1:40" ht="15" customHeight="1" x14ac:dyDescent="0.2">
      <c r="A96" s="37"/>
      <c r="B96" s="85"/>
      <c r="C96" s="37"/>
      <c r="D96" s="37"/>
      <c r="E96" s="125" t="s">
        <v>131</v>
      </c>
      <c r="F96" s="82">
        <v>212</v>
      </c>
      <c r="G96" s="135" t="s">
        <v>88</v>
      </c>
      <c r="H96" s="37"/>
      <c r="I96" s="37"/>
      <c r="J96" s="137"/>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84"/>
    </row>
    <row r="97" spans="1:39" ht="15" customHeight="1" x14ac:dyDescent="0.2">
      <c r="A97" s="37"/>
      <c r="B97" s="85"/>
      <c r="C97" s="37"/>
      <c r="D97" s="37"/>
      <c r="E97" s="37"/>
      <c r="F97" s="37"/>
      <c r="G97" s="138"/>
      <c r="H97" s="37"/>
      <c r="I97" s="37"/>
      <c r="J97" s="37"/>
      <c r="K97" s="37"/>
      <c r="L97" s="37"/>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84"/>
    </row>
    <row r="98" spans="1:39" ht="15" customHeight="1" x14ac:dyDescent="0.2">
      <c r="A98" s="37"/>
      <c r="B98" s="85"/>
      <c r="C98" s="139" t="s">
        <v>132</v>
      </c>
      <c r="D98" s="140" t="s">
        <v>133</v>
      </c>
      <c r="E98" s="140" t="s">
        <v>134</v>
      </c>
      <c r="F98" s="140" t="s">
        <v>135</v>
      </c>
      <c r="G98" s="138"/>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84"/>
    </row>
    <row r="99" spans="1:39" ht="15" customHeight="1" x14ac:dyDescent="0.2">
      <c r="A99" s="37"/>
      <c r="B99" s="1" t="s">
        <v>125</v>
      </c>
      <c r="C99" s="114" t="s">
        <v>136</v>
      </c>
      <c r="D99" s="141">
        <f>Equations!E94</f>
        <v>29.304000000000002</v>
      </c>
      <c r="E99" s="141">
        <f>Equations!F94</f>
        <v>29.970000000000002</v>
      </c>
      <c r="F99" s="141">
        <f>Equations!G94</f>
        <v>30.635999999999996</v>
      </c>
      <c r="G99" s="135" t="s">
        <v>39</v>
      </c>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84"/>
    </row>
    <row r="100" spans="1:39" ht="15" customHeight="1" x14ac:dyDescent="0.2">
      <c r="A100" s="37"/>
      <c r="B100" s="1"/>
      <c r="C100" s="114" t="s">
        <v>137</v>
      </c>
      <c r="D100" s="141">
        <f>Equations!E95</f>
        <v>27.084</v>
      </c>
      <c r="E100" s="141">
        <f>Equations!F95</f>
        <v>27.75</v>
      </c>
      <c r="F100" s="141">
        <f>Equations!G95</f>
        <v>28.416</v>
      </c>
      <c r="G100" s="135" t="s">
        <v>39</v>
      </c>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84"/>
    </row>
    <row r="101" spans="1:39" ht="15" customHeight="1" x14ac:dyDescent="0.2">
      <c r="A101" s="37"/>
      <c r="B101" s="85"/>
      <c r="C101" s="114"/>
      <c r="D101" s="142"/>
      <c r="E101" s="142"/>
      <c r="F101" s="142"/>
      <c r="G101" s="143"/>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84"/>
    </row>
    <row r="102" spans="1:39" ht="15" customHeight="1" x14ac:dyDescent="0.2">
      <c r="A102" s="37"/>
      <c r="B102" s="85"/>
      <c r="C102" s="114"/>
      <c r="D102" s="142"/>
      <c r="E102" s="142"/>
      <c r="F102" s="142"/>
      <c r="G102" s="143"/>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84"/>
    </row>
    <row r="103" spans="1:39" ht="15" customHeight="1" x14ac:dyDescent="0.2">
      <c r="A103" s="37"/>
      <c r="B103" s="85"/>
      <c r="C103" s="37"/>
      <c r="D103" s="37"/>
      <c r="E103" s="37"/>
      <c r="F103" s="37"/>
      <c r="G103" s="37"/>
      <c r="H103" s="144"/>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84"/>
    </row>
    <row r="104" spans="1:39" ht="18.75" customHeight="1" x14ac:dyDescent="0.25">
      <c r="A104" s="37"/>
      <c r="B104" s="74" t="s">
        <v>138</v>
      </c>
      <c r="C104" s="75"/>
      <c r="D104" s="75"/>
      <c r="E104" s="145" t="s">
        <v>139</v>
      </c>
      <c r="F104" s="146">
        <f>Rs</f>
        <v>0.3</v>
      </c>
      <c r="G104" s="147" t="s">
        <v>51</v>
      </c>
      <c r="H104" s="75"/>
      <c r="I104" s="75"/>
      <c r="J104" s="75"/>
      <c r="K104" s="75"/>
      <c r="L104" s="75"/>
      <c r="M104" s="75"/>
      <c r="N104" s="75"/>
      <c r="O104" s="75"/>
      <c r="P104" s="75"/>
      <c r="Q104" s="75"/>
      <c r="R104" s="75"/>
      <c r="S104" s="75"/>
      <c r="T104" s="75"/>
      <c r="U104" s="75"/>
      <c r="V104" s="75"/>
      <c r="W104" s="75"/>
      <c r="X104" s="75"/>
      <c r="Y104" s="75"/>
      <c r="Z104" s="75"/>
      <c r="AA104" s="75"/>
      <c r="AB104" s="75"/>
      <c r="AC104" s="75"/>
      <c r="AD104" s="75"/>
      <c r="AE104" s="75"/>
      <c r="AF104" s="75"/>
      <c r="AG104" s="75"/>
      <c r="AH104" s="75"/>
      <c r="AI104" s="75"/>
      <c r="AJ104" s="75"/>
      <c r="AK104" s="75"/>
      <c r="AL104" s="75"/>
      <c r="AM104" s="79"/>
    </row>
    <row r="105" spans="1:39" ht="15" customHeight="1" x14ac:dyDescent="0.25">
      <c r="A105" s="37"/>
      <c r="B105" s="80"/>
      <c r="C105" s="37"/>
      <c r="D105" s="37"/>
      <c r="E105" s="148" t="s">
        <v>140</v>
      </c>
      <c r="F105" s="149" t="str">
        <f>IF(F39="No","DNP",RDIV1)</f>
        <v>DNP</v>
      </c>
      <c r="G105" s="150" t="s">
        <v>56</v>
      </c>
      <c r="H105" s="37"/>
      <c r="I105" s="37"/>
      <c r="J105" s="37"/>
      <c r="K105" s="37"/>
      <c r="L105" s="37"/>
      <c r="M105" s="37"/>
      <c r="N105" s="37"/>
      <c r="O105" s="37"/>
      <c r="P105" s="37"/>
      <c r="Q105" s="37"/>
      <c r="R105" s="37"/>
      <c r="S105" s="37"/>
      <c r="T105" s="37"/>
      <c r="U105" s="37"/>
      <c r="V105" s="37"/>
      <c r="W105" s="37"/>
      <c r="X105" s="37"/>
      <c r="Y105" s="37"/>
      <c r="Z105" s="37"/>
      <c r="AA105" s="37"/>
      <c r="AB105" s="37"/>
      <c r="AC105" s="37"/>
      <c r="AD105" s="37"/>
      <c r="AE105" s="37"/>
      <c r="AF105" s="37"/>
      <c r="AG105" s="37"/>
      <c r="AH105" s="37"/>
      <c r="AI105" s="37"/>
      <c r="AJ105" s="37"/>
      <c r="AK105" s="37"/>
      <c r="AL105" s="37"/>
      <c r="AM105" s="84"/>
    </row>
    <row r="106" spans="1:39" ht="14.25" customHeight="1" x14ac:dyDescent="0.25">
      <c r="A106" s="37"/>
      <c r="B106" s="80"/>
      <c r="C106" s="37"/>
      <c r="D106" s="37"/>
      <c r="E106" s="148" t="s">
        <v>141</v>
      </c>
      <c r="F106" s="149" t="str">
        <f>IF(F39="No","short",RDIV2)</f>
        <v>short</v>
      </c>
      <c r="G106" s="150" t="s">
        <v>56</v>
      </c>
      <c r="H106" s="37"/>
      <c r="I106" s="37"/>
      <c r="J106" s="37"/>
      <c r="K106" s="37"/>
      <c r="L106" s="37"/>
      <c r="M106" s="37"/>
      <c r="N106" s="37"/>
      <c r="O106" s="37"/>
      <c r="P106" s="37"/>
      <c r="Q106" s="37"/>
      <c r="R106" s="37"/>
      <c r="S106" s="37"/>
      <c r="T106" s="37"/>
      <c r="U106" s="37"/>
      <c r="V106" s="37"/>
      <c r="W106" s="37"/>
      <c r="X106" s="37"/>
      <c r="Y106" s="37"/>
      <c r="Z106" s="37"/>
      <c r="AA106" s="37"/>
      <c r="AB106" s="37"/>
      <c r="AC106" s="37"/>
      <c r="AD106" s="37"/>
      <c r="AE106" s="37"/>
      <c r="AF106" s="37"/>
      <c r="AG106" s="37"/>
      <c r="AH106" s="37"/>
      <c r="AI106" s="37"/>
      <c r="AJ106" s="37"/>
      <c r="AK106" s="37"/>
      <c r="AL106" s="37"/>
      <c r="AM106" s="84"/>
    </row>
    <row r="107" spans="1:39" ht="15" customHeight="1" x14ac:dyDescent="0.2">
      <c r="A107" s="37"/>
      <c r="B107" s="85"/>
      <c r="C107" s="37"/>
      <c r="D107" s="37"/>
      <c r="E107" s="151" t="s">
        <v>142</v>
      </c>
      <c r="F107" s="152">
        <f>F96</f>
        <v>212</v>
      </c>
      <c r="G107" s="143" t="s">
        <v>88</v>
      </c>
      <c r="H107" s="37"/>
      <c r="I107" s="153"/>
      <c r="J107" s="154"/>
      <c r="K107" s="155" t="s">
        <v>134</v>
      </c>
      <c r="L107" s="156" t="s">
        <v>143</v>
      </c>
      <c r="M107" s="140"/>
      <c r="N107" s="157"/>
      <c r="O107" s="157"/>
      <c r="P107" s="157"/>
      <c r="Q107" s="157"/>
      <c r="R107" s="157"/>
      <c r="S107" s="157"/>
      <c r="T107" s="157"/>
      <c r="U107" s="157"/>
      <c r="V107" s="157"/>
      <c r="W107" s="157"/>
      <c r="X107" s="157"/>
      <c r="Y107" s="157"/>
      <c r="Z107" s="157"/>
      <c r="AA107" s="157"/>
      <c r="AB107" s="157"/>
      <c r="AC107" s="157"/>
      <c r="AD107" s="157"/>
      <c r="AE107" s="157"/>
      <c r="AF107" s="157"/>
      <c r="AG107" s="157"/>
      <c r="AH107" s="157"/>
      <c r="AI107" s="157"/>
      <c r="AJ107" s="157"/>
      <c r="AK107" s="157"/>
      <c r="AL107" s="157"/>
      <c r="AM107" s="84"/>
    </row>
    <row r="108" spans="1:39" ht="15" customHeight="1" x14ac:dyDescent="0.2">
      <c r="A108" s="37"/>
      <c r="B108" s="85"/>
      <c r="C108" s="37"/>
      <c r="D108" s="37"/>
      <c r="E108" s="151" t="s">
        <v>144</v>
      </c>
      <c r="F108" s="152">
        <f>F94</f>
        <v>10</v>
      </c>
      <c r="G108" s="143" t="s">
        <v>88</v>
      </c>
      <c r="H108" s="37"/>
      <c r="I108" s="158"/>
      <c r="J108" s="159" t="s">
        <v>145</v>
      </c>
      <c r="K108" s="160">
        <f>F47</f>
        <v>166.66666666666669</v>
      </c>
      <c r="L108" s="161" t="s">
        <v>43</v>
      </c>
      <c r="M108" s="162"/>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84"/>
    </row>
    <row r="109" spans="1:39" ht="15" customHeight="1" x14ac:dyDescent="0.2">
      <c r="A109" s="37"/>
      <c r="B109" s="85"/>
      <c r="C109" s="37"/>
      <c r="D109" s="37"/>
      <c r="E109" s="151" t="s">
        <v>146</v>
      </c>
      <c r="F109" s="105">
        <f>F64</f>
        <v>45</v>
      </c>
      <c r="G109" s="143" t="s">
        <v>88</v>
      </c>
      <c r="H109" s="37"/>
      <c r="I109" s="158"/>
      <c r="J109" s="159" t="s">
        <v>147</v>
      </c>
      <c r="K109" s="163">
        <f>F67</f>
        <v>875.16087516087532</v>
      </c>
      <c r="L109" s="161" t="s">
        <v>56</v>
      </c>
      <c r="M109" s="164"/>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84"/>
    </row>
    <row r="110" spans="1:39" ht="15" customHeight="1" x14ac:dyDescent="0.2">
      <c r="A110" s="37"/>
      <c r="B110" s="85"/>
      <c r="C110" s="37"/>
      <c r="D110" s="37"/>
      <c r="E110" s="151" t="s">
        <v>148</v>
      </c>
      <c r="F110" s="165">
        <f>RPWR</f>
        <v>6.8</v>
      </c>
      <c r="G110" s="143" t="s">
        <v>88</v>
      </c>
      <c r="H110" s="37"/>
      <c r="I110" s="158"/>
      <c r="J110" s="159" t="s">
        <v>149</v>
      </c>
      <c r="K110" s="166">
        <f>IF(F71="YES", F90,F77)</f>
        <v>0.32</v>
      </c>
      <c r="L110" s="161" t="s">
        <v>101</v>
      </c>
      <c r="M110" s="162"/>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84"/>
    </row>
    <row r="111" spans="1:39" ht="15" customHeight="1" x14ac:dyDescent="0.2">
      <c r="A111" s="37"/>
      <c r="B111" s="85"/>
      <c r="C111" s="37"/>
      <c r="D111" s="37"/>
      <c r="E111" s="151" t="s">
        <v>150</v>
      </c>
      <c r="F111" s="121">
        <f>IF(F71="YES", F89, F76)</f>
        <v>2</v>
      </c>
      <c r="G111" s="143" t="s">
        <v>105</v>
      </c>
      <c r="H111" s="37"/>
      <c r="I111" s="158"/>
      <c r="J111" s="167" t="s">
        <v>151</v>
      </c>
      <c r="K111" s="160">
        <f>E99</f>
        <v>29.970000000000002</v>
      </c>
      <c r="L111" s="161" t="s">
        <v>39</v>
      </c>
      <c r="M111" s="168"/>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84"/>
    </row>
    <row r="112" spans="1:39" ht="15" customHeight="1" x14ac:dyDescent="0.2">
      <c r="A112" s="37"/>
      <c r="B112" s="85"/>
      <c r="C112" s="37"/>
      <c r="D112" s="37"/>
      <c r="E112" s="151" t="s">
        <v>152</v>
      </c>
      <c r="F112" s="169">
        <v>0.1</v>
      </c>
      <c r="G112" s="143" t="s">
        <v>45</v>
      </c>
      <c r="H112" s="37"/>
      <c r="I112" s="158"/>
      <c r="J112" s="167" t="s">
        <v>153</v>
      </c>
      <c r="K112" s="160">
        <f>E100</f>
        <v>27.75</v>
      </c>
      <c r="L112" s="161" t="s">
        <v>39</v>
      </c>
      <c r="M112" s="162"/>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84"/>
    </row>
    <row r="113" spans="1:40" ht="15" customHeight="1" x14ac:dyDescent="0.2">
      <c r="A113" s="37"/>
      <c r="B113" s="85"/>
      <c r="C113" s="37"/>
      <c r="D113" s="37"/>
      <c r="E113" s="65" t="s">
        <v>154</v>
      </c>
      <c r="F113" s="170" t="str">
        <f>F50</f>
        <v>PSMN3R7-100BSE</v>
      </c>
      <c r="G113" s="143"/>
      <c r="H113" s="37"/>
      <c r="M113" s="171"/>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7"/>
      <c r="AL113" s="37"/>
      <c r="AM113" s="84"/>
    </row>
    <row r="114" spans="1:40" ht="15" customHeight="1" x14ac:dyDescent="0.2">
      <c r="A114" s="37"/>
      <c r="B114" s="85"/>
      <c r="C114" s="37"/>
      <c r="D114" s="37"/>
      <c r="E114" s="148" t="s">
        <v>155</v>
      </c>
      <c r="F114" s="152">
        <f>IF(F71="YES", 1, "DNP" )</f>
        <v>1</v>
      </c>
      <c r="G114" s="143" t="s">
        <v>88</v>
      </c>
      <c r="H114" s="37"/>
      <c r="I114" s="37"/>
      <c r="J114" s="37"/>
      <c r="K114" s="37"/>
      <c r="L114" s="37"/>
      <c r="M114" s="171"/>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84"/>
    </row>
    <row r="115" spans="1:40" ht="15" customHeight="1" x14ac:dyDescent="0.2">
      <c r="A115" s="37"/>
      <c r="B115" s="85"/>
      <c r="C115" s="37"/>
      <c r="D115" s="37"/>
      <c r="E115" s="148" t="s">
        <v>156</v>
      </c>
      <c r="F115" s="172">
        <f>IF(F71="YES", F84, "DNP" )</f>
        <v>110</v>
      </c>
      <c r="G115" s="143" t="s">
        <v>105</v>
      </c>
      <c r="H115" s="37"/>
      <c r="I115" s="37"/>
      <c r="J115" s="37"/>
      <c r="K115" s="37"/>
      <c r="L115" s="37"/>
      <c r="M115" s="171"/>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84"/>
    </row>
    <row r="116" spans="1:40" ht="15" customHeight="1" x14ac:dyDescent="0.2">
      <c r="A116" s="37"/>
      <c r="B116" s="85"/>
      <c r="C116" s="37"/>
      <c r="D116" s="37"/>
      <c r="H116" s="37"/>
      <c r="I116" s="37"/>
      <c r="J116" s="37"/>
      <c r="K116" s="37"/>
      <c r="L116" s="37"/>
      <c r="M116" s="171"/>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84"/>
    </row>
    <row r="117" spans="1:40" ht="15" customHeight="1" x14ac:dyDescent="0.2">
      <c r="A117" s="37"/>
      <c r="B117" s="85"/>
      <c r="C117" s="37"/>
      <c r="D117" s="37"/>
      <c r="E117" s="81"/>
      <c r="F117" s="173"/>
      <c r="G117" s="143"/>
      <c r="H117" s="37"/>
      <c r="I117" s="37"/>
      <c r="J117" s="37"/>
      <c r="K117" s="37"/>
      <c r="L117" s="37"/>
      <c r="M117" s="171"/>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84"/>
    </row>
    <row r="118" spans="1:40" ht="15" customHeight="1" x14ac:dyDescent="0.2">
      <c r="A118" s="37"/>
      <c r="B118" s="85"/>
      <c r="C118" s="37"/>
      <c r="D118" s="37"/>
      <c r="E118" s="81"/>
      <c r="F118" s="173"/>
      <c r="G118" s="143"/>
      <c r="H118" s="37"/>
      <c r="I118" s="37"/>
      <c r="J118" s="37"/>
      <c r="K118" s="37"/>
      <c r="L118" s="37"/>
      <c r="M118" s="171"/>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84"/>
    </row>
    <row r="119" spans="1:40" ht="15" customHeight="1" x14ac:dyDescent="0.2">
      <c r="A119" s="37"/>
      <c r="B119" s="85"/>
      <c r="C119" s="37"/>
      <c r="D119" s="37"/>
      <c r="E119" s="81"/>
      <c r="F119" s="173"/>
      <c r="G119" s="143"/>
      <c r="H119" s="37"/>
      <c r="I119" s="37"/>
      <c r="J119" s="37"/>
      <c r="K119" s="37"/>
      <c r="L119" s="37"/>
      <c r="M119" s="39"/>
      <c r="N119" s="37"/>
      <c r="O119" s="37"/>
      <c r="P119" s="37"/>
      <c r="Q119" s="37"/>
      <c r="R119" s="37"/>
      <c r="S119" s="37"/>
      <c r="T119" s="37"/>
      <c r="U119" s="37"/>
      <c r="V119" s="37"/>
      <c r="W119" s="37"/>
      <c r="X119" s="37"/>
      <c r="Y119" s="37"/>
      <c r="Z119" s="37"/>
      <c r="AA119" s="37"/>
      <c r="AB119" s="37"/>
      <c r="AC119" s="37"/>
      <c r="AD119" s="37"/>
      <c r="AE119" s="37"/>
      <c r="AF119" s="37"/>
      <c r="AG119" s="37"/>
      <c r="AH119" s="37"/>
      <c r="AI119" s="37"/>
      <c r="AJ119" s="37"/>
      <c r="AK119" s="37"/>
      <c r="AL119" s="37"/>
      <c r="AM119" s="84"/>
    </row>
    <row r="120" spans="1:40" ht="15" customHeight="1" x14ac:dyDescent="0.2">
      <c r="A120" s="37"/>
      <c r="B120" s="85"/>
      <c r="C120" s="37"/>
      <c r="D120" s="37"/>
      <c r="E120" s="81"/>
      <c r="F120" s="173"/>
      <c r="G120" s="143"/>
      <c r="H120" s="37"/>
      <c r="I120" s="37"/>
      <c r="J120" s="37"/>
      <c r="K120" s="37"/>
      <c r="L120" s="37"/>
      <c r="M120" s="37"/>
      <c r="N120" s="37"/>
      <c r="O120" s="37"/>
      <c r="P120" s="37"/>
      <c r="Q120" s="37"/>
      <c r="R120" s="37"/>
      <c r="S120" s="37"/>
      <c r="T120" s="37"/>
      <c r="U120" s="37"/>
      <c r="V120" s="37"/>
      <c r="W120" s="37"/>
      <c r="X120" s="37"/>
      <c r="Y120" s="37"/>
      <c r="Z120" s="37"/>
      <c r="AA120" s="37"/>
      <c r="AB120" s="37"/>
      <c r="AC120" s="37"/>
      <c r="AD120" s="37"/>
      <c r="AE120" s="37"/>
      <c r="AF120" s="37"/>
      <c r="AG120" s="37"/>
      <c r="AH120" s="37"/>
      <c r="AI120" s="37"/>
      <c r="AJ120" s="37"/>
      <c r="AK120" s="37"/>
      <c r="AL120" s="37"/>
      <c r="AM120" s="84"/>
      <c r="AN120" s="40"/>
    </row>
    <row r="121" spans="1:40" ht="15.75" x14ac:dyDescent="0.3">
      <c r="A121" s="37"/>
      <c r="B121" s="174" t="s">
        <v>157</v>
      </c>
      <c r="C121" s="175" t="s">
        <v>158</v>
      </c>
      <c r="D121" s="176"/>
      <c r="E121" s="175"/>
      <c r="F121" s="177"/>
      <c r="G121" s="143"/>
      <c r="H121" s="37"/>
      <c r="I121" s="37"/>
      <c r="J121" s="37"/>
      <c r="K121" s="37"/>
      <c r="L121" s="37"/>
      <c r="M121" s="37"/>
      <c r="N121" s="37"/>
      <c r="O121" s="37"/>
      <c r="P121" s="37"/>
      <c r="Q121" s="37"/>
      <c r="R121" s="37"/>
      <c r="S121" s="37"/>
      <c r="T121" s="37"/>
      <c r="U121" s="37"/>
      <c r="V121" s="37"/>
      <c r="W121" s="37"/>
      <c r="X121" s="37"/>
      <c r="Y121" s="37"/>
      <c r="Z121" s="37"/>
      <c r="AA121" s="37"/>
      <c r="AB121" s="37"/>
      <c r="AC121" s="37"/>
      <c r="AD121" s="37"/>
      <c r="AE121" s="37"/>
      <c r="AF121" s="37"/>
      <c r="AG121" s="37"/>
      <c r="AH121" s="37"/>
      <c r="AI121" s="37"/>
      <c r="AJ121" s="37"/>
      <c r="AK121" s="37"/>
      <c r="AL121" s="37"/>
      <c r="AM121" s="84"/>
      <c r="AN121" s="40"/>
    </row>
    <row r="122" spans="1:40" x14ac:dyDescent="0.2">
      <c r="A122" s="37"/>
      <c r="B122" s="85"/>
      <c r="C122" s="175" t="s">
        <v>159</v>
      </c>
      <c r="D122" s="37"/>
      <c r="E122" s="175"/>
      <c r="F122" s="37"/>
      <c r="G122" s="143"/>
      <c r="H122" s="37"/>
      <c r="I122" s="37"/>
      <c r="J122" s="37"/>
      <c r="K122" s="37"/>
      <c r="L122" s="37"/>
      <c r="M122" s="37"/>
      <c r="N122" s="37"/>
      <c r="O122" s="37"/>
      <c r="P122" s="37"/>
      <c r="Q122" s="37"/>
      <c r="R122" s="37"/>
      <c r="S122" s="37"/>
      <c r="T122" s="37"/>
      <c r="U122" s="37"/>
      <c r="V122" s="37"/>
      <c r="W122" s="37"/>
      <c r="X122" s="37"/>
      <c r="Y122" s="37"/>
      <c r="Z122" s="37"/>
      <c r="AA122" s="37"/>
      <c r="AB122" s="37"/>
      <c r="AC122" s="37"/>
      <c r="AD122" s="37"/>
      <c r="AE122" s="37"/>
      <c r="AF122" s="37"/>
      <c r="AG122" s="37"/>
      <c r="AH122" s="37"/>
      <c r="AI122" s="37"/>
      <c r="AJ122" s="37"/>
      <c r="AK122" s="37"/>
      <c r="AL122" s="37"/>
      <c r="AM122" s="84"/>
    </row>
    <row r="123" spans="1:40" x14ac:dyDescent="0.2">
      <c r="A123" s="37"/>
      <c r="B123" s="85"/>
      <c r="C123" s="175" t="s">
        <v>160</v>
      </c>
      <c r="D123" s="37"/>
      <c r="E123" s="175"/>
      <c r="F123" s="37"/>
      <c r="G123" s="143"/>
      <c r="H123" s="37"/>
      <c r="I123" s="37"/>
      <c r="J123" s="37"/>
      <c r="K123" s="37"/>
      <c r="L123" s="37"/>
      <c r="M123" s="37"/>
      <c r="N123" s="37"/>
      <c r="O123" s="37"/>
      <c r="P123" s="37"/>
      <c r="Q123" s="37"/>
      <c r="R123" s="37"/>
      <c r="S123" s="37"/>
      <c r="T123" s="37"/>
      <c r="U123" s="37"/>
      <c r="V123" s="37"/>
      <c r="W123" s="37"/>
      <c r="X123" s="37"/>
      <c r="Y123" s="37"/>
      <c r="Z123" s="37"/>
      <c r="AA123" s="37"/>
      <c r="AB123" s="37"/>
      <c r="AC123" s="37"/>
      <c r="AD123" s="37"/>
      <c r="AE123" s="37"/>
      <c r="AF123" s="37"/>
      <c r="AG123" s="37"/>
      <c r="AH123" s="37"/>
      <c r="AI123" s="37"/>
      <c r="AJ123" s="37"/>
      <c r="AK123" s="37"/>
      <c r="AL123" s="37"/>
      <c r="AM123" s="84"/>
    </row>
    <row r="124" spans="1:40" x14ac:dyDescent="0.2">
      <c r="A124" s="37"/>
      <c r="B124" s="90"/>
      <c r="C124" s="91"/>
      <c r="D124" s="91"/>
      <c r="E124" s="178"/>
      <c r="F124" s="91"/>
      <c r="G124" s="179"/>
      <c r="H124" s="91"/>
      <c r="I124" s="91"/>
      <c r="J124" s="91"/>
      <c r="K124" s="91"/>
      <c r="L124" s="91"/>
      <c r="M124" s="91"/>
      <c r="N124" s="91"/>
      <c r="O124" s="91"/>
      <c r="P124" s="91"/>
      <c r="Q124" s="91"/>
      <c r="R124" s="91"/>
      <c r="S124" s="91"/>
      <c r="T124" s="91"/>
      <c r="U124" s="91"/>
      <c r="V124" s="91"/>
      <c r="W124" s="91"/>
      <c r="X124" s="91"/>
      <c r="Y124" s="91"/>
      <c r="Z124" s="91"/>
      <c r="AA124" s="91"/>
      <c r="AB124" s="91"/>
      <c r="AC124" s="91"/>
      <c r="AD124" s="91"/>
      <c r="AE124" s="91"/>
      <c r="AF124" s="91"/>
      <c r="AG124" s="91"/>
      <c r="AH124" s="91"/>
      <c r="AI124" s="91"/>
      <c r="AJ124" s="91"/>
      <c r="AK124" s="91"/>
      <c r="AL124" s="91"/>
      <c r="AM124" s="95"/>
    </row>
    <row r="125" spans="1:40" x14ac:dyDescent="0.2">
      <c r="A125" s="37"/>
      <c r="B125" s="37"/>
      <c r="C125" s="37"/>
      <c r="D125" s="37"/>
      <c r="E125" s="37"/>
      <c r="F125" s="37"/>
      <c r="G125" s="39"/>
      <c r="H125" s="37"/>
      <c r="I125" s="37"/>
      <c r="J125" s="37"/>
      <c r="K125" s="37"/>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row>
    <row r="126" spans="1:40" ht="15" x14ac:dyDescent="0.25">
      <c r="A126" s="37"/>
      <c r="B126" s="180"/>
      <c r="C126" s="37"/>
      <c r="D126" s="37"/>
      <c r="E126" s="37"/>
      <c r="F126" s="37"/>
      <c r="G126" s="39"/>
      <c r="H126" s="37"/>
      <c r="J126" s="37"/>
      <c r="K126" s="37"/>
      <c r="L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c r="AM126" s="37"/>
    </row>
    <row r="127" spans="1:40" x14ac:dyDescent="0.2">
      <c r="A127" s="37"/>
      <c r="B127" s="37"/>
      <c r="C127" s="37"/>
      <c r="D127" s="37"/>
      <c r="E127" s="37"/>
      <c r="F127" s="37"/>
      <c r="G127" s="39"/>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row>
    <row r="128" spans="1:40" x14ac:dyDescent="0.2">
      <c r="A128" s="37"/>
      <c r="B128" s="37"/>
      <c r="C128" s="37"/>
      <c r="D128" s="37"/>
      <c r="E128" s="37"/>
      <c r="F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row>
    <row r="129" spans="1:39" x14ac:dyDescent="0.2">
      <c r="A129" s="37"/>
      <c r="B129" s="37"/>
      <c r="C129" s="37"/>
      <c r="D129" s="37"/>
      <c r="E129" s="37"/>
      <c r="F129" s="37"/>
      <c r="G129" s="39"/>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row>
    <row r="130" spans="1:39" x14ac:dyDescent="0.2">
      <c r="A130" s="37"/>
      <c r="B130" s="37"/>
      <c r="C130" s="37"/>
      <c r="D130" s="37"/>
      <c r="E130" s="37"/>
      <c r="F130" s="37"/>
      <c r="G130" s="39"/>
      <c r="H130" s="37"/>
      <c r="I130" s="37"/>
      <c r="J130" s="37"/>
      <c r="K130" s="37"/>
      <c r="L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c r="AM130" s="37"/>
    </row>
    <row r="131" spans="1:39" x14ac:dyDescent="0.2">
      <c r="A131" s="37"/>
      <c r="B131" s="37"/>
      <c r="C131" s="37"/>
      <c r="D131" s="37"/>
      <c r="E131" s="37"/>
      <c r="F131" s="37"/>
      <c r="G131" s="39"/>
      <c r="H131" s="37"/>
      <c r="I131" s="37"/>
      <c r="J131" s="37"/>
      <c r="K131" s="37"/>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row>
    <row r="132" spans="1:39" x14ac:dyDescent="0.2">
      <c r="A132" s="37"/>
      <c r="B132" s="37"/>
      <c r="C132" s="37"/>
      <c r="D132" s="37"/>
      <c r="E132" s="37"/>
      <c r="F132" s="37"/>
      <c r="G132" s="39"/>
      <c r="H132" s="37"/>
      <c r="I132" s="37"/>
      <c r="J132" s="37"/>
      <c r="K132" s="37"/>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row>
    <row r="133" spans="1:39" x14ac:dyDescent="0.2">
      <c r="A133" s="37"/>
      <c r="B133" s="37"/>
      <c r="C133" s="37"/>
      <c r="D133" s="37"/>
      <c r="E133" s="37"/>
      <c r="F133" s="37"/>
      <c r="G133" s="39"/>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row>
    <row r="134" spans="1:39" x14ac:dyDescent="0.2">
      <c r="A134" s="37"/>
      <c r="B134" s="37"/>
      <c r="C134" s="37"/>
      <c r="D134" s="37"/>
      <c r="E134" s="37"/>
      <c r="F134" s="37"/>
      <c r="G134" s="39"/>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row>
    <row r="135" spans="1:39" x14ac:dyDescent="0.2">
      <c r="A135" s="37"/>
      <c r="B135" s="37"/>
      <c r="C135" s="37"/>
      <c r="D135" s="37"/>
      <c r="E135" s="37"/>
      <c r="F135" s="37"/>
      <c r="G135" s="39"/>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row>
    <row r="136" spans="1:39" x14ac:dyDescent="0.2">
      <c r="A136" s="37"/>
      <c r="B136" s="37"/>
      <c r="C136" s="37"/>
      <c r="D136" s="37"/>
      <c r="E136" s="37"/>
      <c r="F136" s="37"/>
      <c r="G136" s="39"/>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row>
    <row r="137" spans="1:39" x14ac:dyDescent="0.2">
      <c r="A137" s="37"/>
      <c r="B137" s="37"/>
      <c r="C137" s="37"/>
      <c r="D137" s="37"/>
      <c r="E137" s="37"/>
      <c r="F137" s="37"/>
      <c r="G137" s="39"/>
      <c r="H137" s="37"/>
      <c r="I137" s="37"/>
      <c r="J137" s="37"/>
      <c r="K137" s="37"/>
      <c r="L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row>
    <row r="138" spans="1:39" x14ac:dyDescent="0.2">
      <c r="A138" s="37"/>
      <c r="B138" s="37"/>
      <c r="C138" s="37"/>
      <c r="D138" s="37"/>
      <c r="E138" s="37"/>
      <c r="F138" s="37"/>
      <c r="G138" s="39"/>
      <c r="H138" s="37"/>
      <c r="I138" s="37"/>
      <c r="J138" s="37"/>
      <c r="K138" s="37"/>
      <c r="L138" s="37"/>
      <c r="M138" s="37"/>
      <c r="N138" s="37"/>
      <c r="O138" s="37"/>
      <c r="P138" s="37"/>
      <c r="Q138" s="37"/>
      <c r="R138" s="37"/>
      <c r="S138" s="37"/>
      <c r="T138" s="37"/>
      <c r="U138" s="37"/>
      <c r="V138" s="37"/>
      <c r="W138" s="37"/>
      <c r="X138" s="37"/>
      <c r="Y138" s="37"/>
      <c r="Z138" s="37"/>
      <c r="AA138" s="37"/>
      <c r="AB138" s="37"/>
      <c r="AC138" s="37"/>
      <c r="AD138" s="37"/>
      <c r="AE138" s="37"/>
      <c r="AF138" s="37"/>
      <c r="AG138" s="37"/>
      <c r="AH138" s="37"/>
      <c r="AI138" s="37"/>
      <c r="AJ138" s="37"/>
      <c r="AK138" s="37"/>
      <c r="AL138" s="37"/>
      <c r="AM138" s="37"/>
    </row>
    <row r="139" spans="1:39" x14ac:dyDescent="0.2">
      <c r="A139" s="37"/>
      <c r="B139" s="37"/>
      <c r="C139" s="37"/>
      <c r="D139" s="37"/>
      <c r="E139" s="37"/>
      <c r="F139" s="37"/>
      <c r="G139" s="39"/>
      <c r="H139" s="37"/>
      <c r="I139" s="37"/>
      <c r="J139" s="37"/>
      <c r="K139" s="37"/>
      <c r="L139" s="37"/>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37"/>
      <c r="AK139" s="37"/>
      <c r="AL139" s="37"/>
      <c r="AM139" s="37"/>
    </row>
    <row r="140" spans="1:39" x14ac:dyDescent="0.2">
      <c r="A140" s="37"/>
      <c r="B140" s="37"/>
      <c r="C140" s="37"/>
      <c r="D140" s="37"/>
      <c r="E140" s="37"/>
      <c r="F140" s="37"/>
      <c r="G140" s="39"/>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row>
    <row r="141" spans="1:39" x14ac:dyDescent="0.2">
      <c r="A141" s="37"/>
      <c r="B141" s="37"/>
      <c r="C141" s="37"/>
      <c r="D141" s="37"/>
      <c r="E141" s="37"/>
      <c r="F141" s="37"/>
      <c r="G141" s="39"/>
      <c r="H141" s="37"/>
      <c r="I141" s="37"/>
      <c r="J141" s="37"/>
      <c r="K141" s="37"/>
      <c r="L141" s="37"/>
      <c r="M141" s="37"/>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37"/>
      <c r="AK141" s="37"/>
      <c r="AL141" s="37"/>
      <c r="AM141" s="37"/>
    </row>
    <row r="142" spans="1:39" x14ac:dyDescent="0.2">
      <c r="A142" s="37"/>
      <c r="B142" s="37"/>
      <c r="C142" s="37"/>
      <c r="D142" s="37"/>
      <c r="E142" s="37"/>
      <c r="F142" s="37"/>
      <c r="G142" s="39"/>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c r="AM142" s="37"/>
    </row>
    <row r="143" spans="1:39" x14ac:dyDescent="0.2">
      <c r="A143" s="37"/>
      <c r="B143" s="37"/>
      <c r="C143" s="37"/>
      <c r="D143" s="37"/>
      <c r="E143" s="37"/>
      <c r="F143" s="37"/>
      <c r="G143" s="39"/>
      <c r="H143" s="37"/>
      <c r="I143" s="37"/>
      <c r="J143" s="37"/>
      <c r="K143" s="37"/>
      <c r="L143" s="37"/>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c r="AM143" s="37"/>
    </row>
    <row r="144" spans="1:39" x14ac:dyDescent="0.2">
      <c r="A144" s="37"/>
      <c r="B144" s="37"/>
      <c r="C144" s="37"/>
      <c r="D144" s="37"/>
      <c r="E144" s="37"/>
      <c r="F144" s="37"/>
      <c r="G144" s="39"/>
      <c r="H144" s="37"/>
      <c r="I144" s="37"/>
      <c r="J144" s="37"/>
      <c r="K144" s="37"/>
      <c r="L144" s="37"/>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c r="AM144" s="37"/>
    </row>
    <row r="145" spans="1:39" x14ac:dyDescent="0.2">
      <c r="A145" s="37"/>
      <c r="B145" s="37"/>
      <c r="C145" s="37"/>
      <c r="D145" s="37"/>
      <c r="E145" s="37"/>
      <c r="F145" s="37"/>
      <c r="G145" s="39"/>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row>
    <row r="146" spans="1:39" x14ac:dyDescent="0.2">
      <c r="A146" s="37"/>
      <c r="B146" s="37"/>
      <c r="C146" s="37"/>
      <c r="D146" s="37"/>
      <c r="E146" s="37"/>
      <c r="F146" s="37"/>
      <c r="G146" s="39"/>
      <c r="H146" s="37"/>
      <c r="I146" s="37"/>
      <c r="J146" s="37"/>
      <c r="K146" s="37"/>
      <c r="L146" s="37"/>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row>
    <row r="147" spans="1:39" x14ac:dyDescent="0.2">
      <c r="A147" s="37"/>
      <c r="B147" s="37"/>
      <c r="C147" s="37"/>
      <c r="D147" s="37"/>
      <c r="E147" s="37"/>
      <c r="F147" s="37"/>
      <c r="G147" s="39"/>
      <c r="H147" s="37"/>
      <c r="I147" s="37"/>
      <c r="J147" s="37"/>
      <c r="K147" s="37"/>
      <c r="L147" s="37"/>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c r="AM147" s="37"/>
    </row>
    <row r="148" spans="1:39" x14ac:dyDescent="0.2">
      <c r="A148" s="37"/>
      <c r="B148" s="37"/>
      <c r="C148" s="37"/>
      <c r="D148" s="37"/>
      <c r="E148" s="37"/>
      <c r="F148" s="37"/>
      <c r="G148" s="39"/>
      <c r="H148" s="37"/>
      <c r="I148" s="37"/>
      <c r="J148" s="37"/>
      <c r="K148" s="37"/>
      <c r="L148" s="37"/>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c r="AL148" s="37"/>
      <c r="AM148" s="37"/>
    </row>
    <row r="149" spans="1:39" x14ac:dyDescent="0.2">
      <c r="A149" s="37"/>
      <c r="B149" s="37"/>
      <c r="C149" s="37"/>
      <c r="D149" s="37"/>
      <c r="E149" s="37"/>
      <c r="F149" s="37"/>
      <c r="G149" s="39"/>
      <c r="H149" s="37"/>
      <c r="I149" s="37"/>
      <c r="J149" s="37"/>
      <c r="K149" s="37"/>
      <c r="L149" s="37"/>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c r="AM149" s="37"/>
    </row>
    <row r="150" spans="1:39" x14ac:dyDescent="0.2">
      <c r="A150" s="37"/>
      <c r="B150" s="37"/>
      <c r="C150" s="37"/>
      <c r="D150" s="37"/>
      <c r="E150" s="37"/>
      <c r="F150" s="37"/>
      <c r="G150" s="39"/>
      <c r="H150" s="37"/>
      <c r="I150" s="37"/>
      <c r="J150" s="37"/>
      <c r="K150" s="37"/>
      <c r="L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row>
    <row r="151" spans="1:39" x14ac:dyDescent="0.2">
      <c r="A151" s="37"/>
      <c r="B151" s="37"/>
      <c r="C151" s="37"/>
      <c r="D151" s="37"/>
      <c r="E151" s="37"/>
      <c r="F151" s="37"/>
      <c r="G151" s="39"/>
      <c r="H151" s="37"/>
      <c r="I151" s="37"/>
      <c r="J151" s="37"/>
      <c r="K151" s="37"/>
      <c r="L151" s="37"/>
      <c r="M151" s="37"/>
      <c r="N151" s="37"/>
      <c r="O151" s="37"/>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row>
    <row r="152" spans="1:39" ht="15" x14ac:dyDescent="0.25">
      <c r="A152" s="37"/>
      <c r="B152" s="181"/>
      <c r="C152" s="37"/>
      <c r="D152" s="37"/>
      <c r="E152" s="37"/>
      <c r="F152" s="37"/>
      <c r="G152" s="39"/>
      <c r="H152" s="37"/>
      <c r="I152" s="37"/>
      <c r="J152" s="37"/>
      <c r="K152" s="37"/>
      <c r="L152" s="37"/>
      <c r="M152" s="37"/>
      <c r="N152" s="37"/>
      <c r="O152" s="37"/>
      <c r="P152" s="37"/>
      <c r="Q152" s="37"/>
      <c r="R152" s="37"/>
      <c r="S152" s="37"/>
      <c r="T152" s="37"/>
      <c r="U152" s="37"/>
      <c r="V152" s="37"/>
      <c r="W152" s="37"/>
      <c r="X152" s="37"/>
      <c r="Y152" s="37"/>
      <c r="Z152" s="37"/>
      <c r="AA152" s="37"/>
      <c r="AB152" s="37"/>
      <c r="AC152" s="37"/>
      <c r="AD152" s="37"/>
      <c r="AE152" s="37"/>
      <c r="AF152" s="37"/>
      <c r="AG152" s="37"/>
      <c r="AH152" s="37"/>
      <c r="AI152" s="37"/>
      <c r="AJ152" s="37"/>
      <c r="AK152" s="37"/>
      <c r="AL152" s="37"/>
      <c r="AM152" s="37"/>
    </row>
    <row r="153" spans="1:39" x14ac:dyDescent="0.2">
      <c r="A153" s="37"/>
      <c r="B153" s="37"/>
      <c r="C153" s="37"/>
      <c r="D153" s="37"/>
      <c r="E153" s="37"/>
      <c r="F153" s="37"/>
      <c r="G153" s="39"/>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c r="AM153" s="37"/>
    </row>
    <row r="154" spans="1:39" x14ac:dyDescent="0.2">
      <c r="A154" s="37"/>
      <c r="B154" s="37"/>
      <c r="C154" s="37"/>
      <c r="D154" s="37"/>
      <c r="E154" s="37"/>
      <c r="F154" s="37"/>
      <c r="G154" s="39"/>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7"/>
    </row>
    <row r="155" spans="1:39" x14ac:dyDescent="0.2">
      <c r="A155" s="37"/>
      <c r="B155" s="37"/>
      <c r="C155" s="37"/>
      <c r="D155" s="37"/>
      <c r="E155" s="37"/>
      <c r="F155" s="37"/>
      <c r="G155" s="39"/>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37"/>
      <c r="AL155" s="37"/>
      <c r="AM155" s="37"/>
    </row>
    <row r="156" spans="1:39" x14ac:dyDescent="0.2">
      <c r="A156" s="37"/>
      <c r="B156" s="37"/>
      <c r="C156" s="37"/>
      <c r="D156" s="37"/>
      <c r="E156" s="37"/>
      <c r="F156" s="37"/>
      <c r="G156" s="39"/>
      <c r="H156" s="37"/>
      <c r="I156" s="37"/>
      <c r="J156" s="37"/>
      <c r="K156" s="37"/>
      <c r="L156" s="37"/>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37"/>
      <c r="AL156" s="37"/>
      <c r="AM156" s="37"/>
    </row>
    <row r="157" spans="1:39" x14ac:dyDescent="0.2">
      <c r="A157" s="37"/>
      <c r="B157" s="37"/>
      <c r="D157" s="37"/>
      <c r="E157" s="37"/>
      <c r="F157" s="37"/>
      <c r="G157" s="39"/>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c r="AL157" s="37"/>
      <c r="AM157" s="37"/>
    </row>
    <row r="158" spans="1:39" x14ac:dyDescent="0.2">
      <c r="A158" s="37"/>
      <c r="B158" s="37"/>
      <c r="C158" s="37"/>
      <c r="D158" s="37"/>
      <c r="E158" s="37"/>
      <c r="F158" s="37"/>
      <c r="G158" s="39"/>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row>
    <row r="159" spans="1:39" x14ac:dyDescent="0.2">
      <c r="A159" s="37"/>
      <c r="B159" s="37"/>
      <c r="C159" s="37"/>
      <c r="D159" s="37"/>
      <c r="E159" s="37"/>
      <c r="F159" s="37"/>
      <c r="G159" s="39"/>
      <c r="H159" s="37"/>
      <c r="I159" s="37"/>
      <c r="J159" s="37"/>
      <c r="K159" s="37"/>
      <c r="L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7"/>
    </row>
    <row r="160" spans="1:39" x14ac:dyDescent="0.2">
      <c r="A160" s="37"/>
      <c r="B160" s="37"/>
      <c r="C160" s="37"/>
      <c r="D160" s="37"/>
      <c r="E160" s="37"/>
      <c r="F160" s="37"/>
      <c r="G160" s="39"/>
      <c r="H160" s="37"/>
      <c r="I160" s="37"/>
      <c r="J160" s="37"/>
      <c r="K160" s="37"/>
      <c r="L160" s="37"/>
      <c r="M160" s="37"/>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c r="AL160" s="37"/>
      <c r="AM160" s="37"/>
    </row>
    <row r="161" spans="1:39" x14ac:dyDescent="0.2">
      <c r="A161" s="37"/>
      <c r="B161" s="37"/>
      <c r="C161" s="37"/>
      <c r="D161" s="37"/>
      <c r="E161" s="37"/>
      <c r="F161" s="37"/>
      <c r="G161" s="39"/>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c r="AM161" s="37"/>
    </row>
    <row r="162" spans="1:39" x14ac:dyDescent="0.2">
      <c r="A162" s="37"/>
      <c r="B162" s="37"/>
      <c r="C162" s="37"/>
      <c r="D162" s="37"/>
      <c r="E162" s="37"/>
      <c r="F162" s="37"/>
      <c r="G162" s="39"/>
      <c r="H162" s="37"/>
      <c r="I162" s="37"/>
      <c r="J162" s="37"/>
      <c r="K162" s="37"/>
      <c r="L162" s="37"/>
      <c r="M162" s="37"/>
      <c r="N162" s="37"/>
      <c r="O162" s="37"/>
      <c r="P162" s="37"/>
      <c r="Q162" s="37"/>
      <c r="R162" s="37"/>
      <c r="S162" s="37"/>
      <c r="T162" s="37"/>
      <c r="U162" s="37"/>
      <c r="V162" s="37"/>
      <c r="W162" s="37"/>
      <c r="X162" s="37"/>
      <c r="Y162" s="37"/>
      <c r="Z162" s="37"/>
      <c r="AA162" s="37"/>
      <c r="AB162" s="37"/>
      <c r="AC162" s="37"/>
      <c r="AD162" s="37"/>
      <c r="AE162" s="37"/>
      <c r="AF162" s="37"/>
      <c r="AG162" s="37"/>
      <c r="AH162" s="37"/>
      <c r="AI162" s="37"/>
      <c r="AJ162" s="37"/>
      <c r="AK162" s="37"/>
      <c r="AL162" s="37"/>
      <c r="AM162" s="37"/>
    </row>
    <row r="163" spans="1:39" x14ac:dyDescent="0.2">
      <c r="A163" s="37"/>
      <c r="B163" s="37"/>
      <c r="C163" s="37"/>
      <c r="D163" s="37"/>
      <c r="E163" s="37"/>
      <c r="F163" s="37"/>
      <c r="G163" s="39"/>
      <c r="H163" s="37"/>
      <c r="I163" s="37"/>
      <c r="J163" s="37"/>
      <c r="K163" s="37"/>
      <c r="L163" s="37"/>
      <c r="M163" s="37"/>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c r="AL163" s="37"/>
      <c r="AM163" s="37"/>
    </row>
    <row r="164" spans="1:39" x14ac:dyDescent="0.2">
      <c r="A164" s="37"/>
      <c r="B164" s="37"/>
      <c r="C164" s="37"/>
      <c r="D164" s="37"/>
      <c r="E164" s="37"/>
      <c r="F164" s="37"/>
      <c r="G164" s="39"/>
      <c r="H164" s="37"/>
      <c r="I164" s="37"/>
      <c r="J164" s="37"/>
      <c r="K164" s="37"/>
      <c r="L164" s="37"/>
      <c r="M164" s="37"/>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c r="AL164" s="37"/>
      <c r="AM164" s="37"/>
    </row>
    <row r="165" spans="1:39" x14ac:dyDescent="0.2">
      <c r="A165" s="37"/>
      <c r="B165" s="37"/>
      <c r="C165" s="37"/>
      <c r="D165" s="37"/>
      <c r="E165" s="37"/>
      <c r="F165" s="37"/>
      <c r="G165" s="39"/>
      <c r="H165" s="37"/>
      <c r="I165" s="37"/>
      <c r="J165" s="37"/>
      <c r="K165" s="37"/>
      <c r="L165" s="37"/>
      <c r="M165" s="37"/>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c r="AL165" s="37"/>
      <c r="AM165" s="37"/>
    </row>
    <row r="166" spans="1:39" x14ac:dyDescent="0.2">
      <c r="A166" s="37"/>
      <c r="B166" s="37"/>
      <c r="C166" s="37"/>
      <c r="D166" s="37"/>
      <c r="E166" s="37"/>
      <c r="F166" s="37"/>
      <c r="G166" s="39"/>
      <c r="H166" s="37"/>
      <c r="I166" s="37"/>
      <c r="J166" s="37"/>
      <c r="K166" s="37"/>
      <c r="L166" s="37"/>
      <c r="M166" s="37"/>
      <c r="N166" s="37"/>
      <c r="O166" s="37"/>
      <c r="P166" s="37"/>
      <c r="Q166" s="37"/>
      <c r="R166" s="37"/>
      <c r="S166" s="37"/>
      <c r="T166" s="37"/>
      <c r="U166" s="37"/>
      <c r="V166" s="37"/>
      <c r="W166" s="37"/>
      <c r="X166" s="37"/>
      <c r="Y166" s="37"/>
      <c r="Z166" s="37"/>
      <c r="AA166" s="37"/>
      <c r="AB166" s="37"/>
      <c r="AC166" s="37"/>
      <c r="AD166" s="37"/>
      <c r="AE166" s="37"/>
      <c r="AF166" s="37"/>
      <c r="AG166" s="37"/>
      <c r="AH166" s="37"/>
      <c r="AI166" s="37"/>
      <c r="AJ166" s="37"/>
      <c r="AK166" s="37"/>
      <c r="AL166" s="37"/>
      <c r="AM166" s="37"/>
    </row>
    <row r="167" spans="1:39" x14ac:dyDescent="0.2">
      <c r="A167" s="37"/>
      <c r="B167" s="37"/>
      <c r="C167" s="37"/>
      <c r="D167" s="37"/>
      <c r="E167" s="37"/>
      <c r="F167" s="37"/>
      <c r="G167" s="39"/>
      <c r="H167" s="37"/>
      <c r="I167" s="37"/>
      <c r="J167" s="37"/>
      <c r="K167" s="37"/>
      <c r="L167" s="37"/>
      <c r="M167" s="37"/>
      <c r="N167" s="37"/>
      <c r="O167" s="37"/>
      <c r="P167" s="37"/>
      <c r="Q167" s="37"/>
      <c r="R167" s="37"/>
      <c r="S167" s="37"/>
      <c r="T167" s="37"/>
      <c r="U167" s="37"/>
      <c r="V167" s="37"/>
      <c r="W167" s="37"/>
      <c r="X167" s="37"/>
      <c r="Y167" s="37"/>
      <c r="Z167" s="37"/>
      <c r="AA167" s="37"/>
      <c r="AB167" s="37"/>
      <c r="AC167" s="37"/>
      <c r="AD167" s="37"/>
      <c r="AE167" s="37"/>
      <c r="AF167" s="37"/>
      <c r="AG167" s="37"/>
      <c r="AH167" s="37"/>
      <c r="AI167" s="37"/>
      <c r="AJ167" s="37"/>
      <c r="AK167" s="37"/>
      <c r="AL167" s="37"/>
      <c r="AM167" s="37"/>
    </row>
    <row r="168" spans="1:39" x14ac:dyDescent="0.2">
      <c r="A168" s="37"/>
      <c r="B168" s="37"/>
      <c r="C168" s="37"/>
      <c r="D168" s="37"/>
      <c r="E168" s="37"/>
      <c r="F168" s="37"/>
      <c r="G168" s="39"/>
      <c r="H168" s="37"/>
      <c r="I168" s="37"/>
      <c r="J168" s="37"/>
      <c r="K168" s="37"/>
      <c r="L168" s="37"/>
      <c r="M168" s="37"/>
      <c r="N168" s="37"/>
      <c r="O168" s="37"/>
      <c r="P168" s="37"/>
      <c r="Q168" s="37"/>
      <c r="R168" s="37"/>
      <c r="S168" s="37"/>
      <c r="T168" s="37"/>
      <c r="U168" s="37"/>
      <c r="V168" s="37"/>
      <c r="W168" s="37"/>
      <c r="X168" s="37"/>
      <c r="Y168" s="37"/>
      <c r="Z168" s="37"/>
      <c r="AA168" s="37"/>
      <c r="AB168" s="37"/>
      <c r="AC168" s="37"/>
      <c r="AD168" s="37"/>
      <c r="AE168" s="37"/>
      <c r="AF168" s="37"/>
      <c r="AG168" s="37"/>
      <c r="AH168" s="37"/>
      <c r="AI168" s="37"/>
      <c r="AJ168" s="37"/>
      <c r="AK168" s="37"/>
      <c r="AL168" s="37"/>
      <c r="AM168" s="37"/>
    </row>
    <row r="169" spans="1:39" x14ac:dyDescent="0.2">
      <c r="A169" s="37"/>
      <c r="B169" s="37"/>
      <c r="C169" s="37"/>
      <c r="D169" s="37"/>
      <c r="E169" s="37"/>
      <c r="F169" s="37"/>
      <c r="G169" s="39"/>
      <c r="H169" s="37"/>
      <c r="I169" s="37"/>
      <c r="J169" s="37"/>
      <c r="K169" s="37"/>
      <c r="L169" s="37"/>
      <c r="M169" s="37"/>
      <c r="N169" s="37"/>
      <c r="O169" s="37"/>
      <c r="P169" s="37"/>
      <c r="Q169" s="37"/>
      <c r="R169" s="37"/>
      <c r="S169" s="37"/>
      <c r="T169" s="37"/>
      <c r="U169" s="37"/>
      <c r="V169" s="37"/>
      <c r="W169" s="37"/>
      <c r="X169" s="37"/>
      <c r="Y169" s="37"/>
      <c r="Z169" s="37"/>
      <c r="AA169" s="37"/>
      <c r="AB169" s="37"/>
      <c r="AC169" s="37"/>
      <c r="AD169" s="37"/>
      <c r="AE169" s="37"/>
      <c r="AF169" s="37"/>
      <c r="AG169" s="37"/>
      <c r="AH169" s="37"/>
      <c r="AI169" s="37"/>
      <c r="AJ169" s="37"/>
      <c r="AK169" s="37"/>
      <c r="AL169" s="37"/>
      <c r="AM169" s="37"/>
    </row>
    <row r="170" spans="1:39" x14ac:dyDescent="0.2">
      <c r="A170" s="37"/>
      <c r="B170" s="37"/>
      <c r="C170" s="37"/>
      <c r="D170" s="37"/>
      <c r="E170" s="37"/>
      <c r="F170" s="37"/>
      <c r="G170" s="39"/>
      <c r="H170" s="37"/>
      <c r="I170" s="37"/>
      <c r="J170" s="37"/>
      <c r="K170" s="37"/>
      <c r="L170" s="37"/>
      <c r="M170" s="37"/>
      <c r="N170" s="37"/>
      <c r="O170" s="37"/>
      <c r="P170" s="37"/>
      <c r="Q170" s="37"/>
      <c r="R170" s="37"/>
      <c r="S170" s="37"/>
      <c r="T170" s="37"/>
      <c r="U170" s="37"/>
      <c r="V170" s="37"/>
      <c r="W170" s="37"/>
      <c r="X170" s="37"/>
      <c r="Y170" s="37"/>
      <c r="Z170" s="37"/>
      <c r="AA170" s="37"/>
      <c r="AB170" s="37"/>
      <c r="AC170" s="37"/>
      <c r="AD170" s="37"/>
      <c r="AE170" s="37"/>
      <c r="AF170" s="37"/>
      <c r="AG170" s="37"/>
      <c r="AH170" s="37"/>
      <c r="AI170" s="37"/>
      <c r="AJ170" s="37"/>
      <c r="AK170" s="37"/>
      <c r="AL170" s="37"/>
      <c r="AM170" s="37"/>
    </row>
    <row r="171" spans="1:39" x14ac:dyDescent="0.2">
      <c r="A171" s="37"/>
      <c r="B171" s="37"/>
      <c r="C171" s="37"/>
      <c r="D171" s="37"/>
      <c r="E171" s="37"/>
      <c r="F171" s="37"/>
      <c r="G171" s="39"/>
      <c r="H171" s="37"/>
      <c r="I171" s="37"/>
      <c r="J171" s="37"/>
      <c r="K171" s="37"/>
      <c r="L171" s="37"/>
      <c r="M171" s="37"/>
      <c r="N171" s="37"/>
      <c r="O171" s="37"/>
      <c r="P171" s="37"/>
      <c r="Q171" s="37"/>
      <c r="R171" s="37"/>
      <c r="S171" s="37"/>
      <c r="T171" s="37"/>
      <c r="U171" s="37"/>
      <c r="V171" s="37"/>
      <c r="W171" s="37"/>
      <c r="X171" s="37"/>
      <c r="Y171" s="37"/>
      <c r="Z171" s="37"/>
      <c r="AA171" s="37"/>
      <c r="AB171" s="37"/>
      <c r="AC171" s="37"/>
      <c r="AD171" s="37"/>
      <c r="AE171" s="37"/>
      <c r="AF171" s="37"/>
      <c r="AG171" s="37"/>
      <c r="AH171" s="37"/>
      <c r="AI171" s="37"/>
      <c r="AJ171" s="37"/>
      <c r="AK171" s="37"/>
      <c r="AL171" s="37"/>
      <c r="AM171" s="37"/>
    </row>
    <row r="172" spans="1:39" x14ac:dyDescent="0.2">
      <c r="A172" s="37"/>
      <c r="B172" s="37"/>
      <c r="C172" s="37"/>
      <c r="D172" s="37"/>
      <c r="E172" s="37"/>
      <c r="F172" s="37"/>
      <c r="G172" s="39"/>
      <c r="H172" s="37"/>
      <c r="I172" s="37"/>
      <c r="J172" s="37"/>
      <c r="K172" s="37"/>
      <c r="L172" s="37"/>
      <c r="M172" s="37"/>
      <c r="N172" s="37"/>
      <c r="O172" s="37"/>
      <c r="P172" s="37"/>
      <c r="Q172" s="37"/>
      <c r="R172" s="37"/>
      <c r="S172" s="37"/>
      <c r="T172" s="37"/>
      <c r="U172" s="37"/>
      <c r="V172" s="37"/>
      <c r="W172" s="37"/>
      <c r="X172" s="37"/>
      <c r="Y172" s="37"/>
      <c r="Z172" s="37"/>
      <c r="AA172" s="37"/>
      <c r="AB172" s="37"/>
      <c r="AC172" s="37"/>
      <c r="AD172" s="37"/>
      <c r="AE172" s="37"/>
      <c r="AF172" s="37"/>
      <c r="AG172" s="37"/>
      <c r="AH172" s="37"/>
      <c r="AI172" s="37"/>
      <c r="AJ172" s="37"/>
      <c r="AK172" s="37"/>
      <c r="AL172" s="37"/>
      <c r="AM172" s="37"/>
    </row>
    <row r="173" spans="1:39" x14ac:dyDescent="0.2">
      <c r="A173" s="37"/>
      <c r="B173" s="37"/>
      <c r="C173" s="37"/>
      <c r="D173" s="37"/>
      <c r="E173" s="37"/>
      <c r="F173" s="37"/>
      <c r="G173" s="39"/>
      <c r="H173" s="37"/>
      <c r="I173" s="37"/>
      <c r="J173" s="37"/>
      <c r="K173" s="37"/>
      <c r="L173" s="37"/>
      <c r="M173" s="37"/>
      <c r="N173" s="37"/>
      <c r="O173" s="37"/>
      <c r="P173" s="37"/>
      <c r="Q173" s="37"/>
      <c r="R173" s="37"/>
      <c r="S173" s="37"/>
      <c r="T173" s="37"/>
      <c r="U173" s="37"/>
      <c r="V173" s="37"/>
      <c r="W173" s="37"/>
      <c r="X173" s="37"/>
      <c r="Y173" s="37"/>
      <c r="Z173" s="37"/>
      <c r="AA173" s="37"/>
      <c r="AB173" s="37"/>
      <c r="AC173" s="37"/>
      <c r="AD173" s="37"/>
      <c r="AE173" s="37"/>
      <c r="AF173" s="37"/>
      <c r="AG173" s="37"/>
      <c r="AH173" s="37"/>
      <c r="AI173" s="37"/>
      <c r="AJ173" s="37"/>
      <c r="AK173" s="37"/>
      <c r="AL173" s="37"/>
      <c r="AM173" s="37"/>
    </row>
    <row r="174" spans="1:39" x14ac:dyDescent="0.2">
      <c r="A174" s="37"/>
      <c r="B174" s="37"/>
      <c r="C174" s="37"/>
      <c r="D174" s="37"/>
      <c r="E174" s="37"/>
      <c r="F174" s="37"/>
      <c r="G174" s="39"/>
      <c r="H174" s="37"/>
      <c r="I174" s="37"/>
      <c r="J174" s="37"/>
      <c r="K174" s="37"/>
      <c r="L174" s="37"/>
      <c r="M174" s="37"/>
      <c r="N174" s="37"/>
      <c r="O174" s="37"/>
      <c r="P174" s="37"/>
      <c r="Q174" s="37"/>
      <c r="R174" s="37"/>
      <c r="S174" s="37"/>
      <c r="T174" s="37"/>
      <c r="U174" s="37"/>
      <c r="V174" s="37"/>
      <c r="W174" s="37"/>
      <c r="X174" s="37"/>
      <c r="Y174" s="37"/>
      <c r="Z174" s="37"/>
      <c r="AA174" s="37"/>
      <c r="AB174" s="37"/>
      <c r="AC174" s="37"/>
      <c r="AD174" s="37"/>
      <c r="AE174" s="37"/>
      <c r="AF174" s="37"/>
      <c r="AG174" s="37"/>
      <c r="AH174" s="37"/>
      <c r="AI174" s="37"/>
      <c r="AJ174" s="37"/>
      <c r="AK174" s="37"/>
      <c r="AL174" s="37"/>
      <c r="AM174" s="37"/>
    </row>
    <row r="175" spans="1:39" x14ac:dyDescent="0.2">
      <c r="A175" s="37"/>
      <c r="B175" s="37"/>
      <c r="C175" s="37"/>
      <c r="D175" s="37"/>
      <c r="E175" s="37"/>
      <c r="F175" s="37"/>
      <c r="G175" s="39"/>
      <c r="H175" s="37"/>
      <c r="I175" s="37"/>
      <c r="J175" s="37"/>
      <c r="K175" s="37"/>
      <c r="L175" s="37"/>
      <c r="M175" s="37"/>
      <c r="N175" s="37"/>
      <c r="O175" s="37"/>
      <c r="P175" s="37"/>
      <c r="Q175" s="37"/>
      <c r="R175" s="37"/>
      <c r="S175" s="37"/>
      <c r="T175" s="37"/>
      <c r="U175" s="37"/>
      <c r="V175" s="37"/>
      <c r="W175" s="37"/>
      <c r="X175" s="37"/>
      <c r="Y175" s="37"/>
      <c r="Z175" s="37"/>
      <c r="AA175" s="37"/>
      <c r="AB175" s="37"/>
      <c r="AC175" s="37"/>
      <c r="AD175" s="37"/>
      <c r="AE175" s="37"/>
      <c r="AF175" s="37"/>
      <c r="AG175" s="37"/>
      <c r="AH175" s="37"/>
      <c r="AI175" s="37"/>
      <c r="AJ175" s="37"/>
      <c r="AK175" s="37"/>
      <c r="AL175" s="37"/>
      <c r="AM175" s="37"/>
    </row>
    <row r="176" spans="1:39" x14ac:dyDescent="0.2">
      <c r="A176" s="37"/>
      <c r="B176" s="37"/>
      <c r="C176" s="37"/>
      <c r="D176" s="37"/>
      <c r="E176" s="37"/>
      <c r="F176" s="37"/>
      <c r="G176" s="39"/>
      <c r="H176" s="37"/>
      <c r="I176" s="37"/>
      <c r="J176" s="37"/>
      <c r="K176" s="37"/>
      <c r="L176" s="37"/>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c r="AL176" s="37"/>
      <c r="AM176" s="37"/>
    </row>
    <row r="177" spans="1:39" x14ac:dyDescent="0.2">
      <c r="A177" s="37"/>
      <c r="B177" s="37"/>
      <c r="C177" s="37"/>
      <c r="D177" s="37"/>
      <c r="E177" s="37"/>
      <c r="F177" s="37"/>
      <c r="G177" s="39"/>
      <c r="H177" s="37"/>
      <c r="I177" s="37"/>
      <c r="J177" s="37"/>
      <c r="K177" s="37"/>
      <c r="L177" s="37"/>
      <c r="M177" s="37"/>
      <c r="N177" s="37"/>
      <c r="O177" s="37"/>
      <c r="P177" s="37"/>
      <c r="Q177" s="37"/>
      <c r="R177" s="37"/>
      <c r="S177" s="37"/>
      <c r="T177" s="37"/>
      <c r="U177" s="37"/>
      <c r="V177" s="37"/>
      <c r="W177" s="37"/>
      <c r="X177" s="37"/>
      <c r="Y177" s="37"/>
      <c r="Z177" s="37"/>
      <c r="AA177" s="37"/>
      <c r="AB177" s="37"/>
      <c r="AC177" s="37"/>
      <c r="AD177" s="37"/>
      <c r="AE177" s="37"/>
      <c r="AF177" s="37"/>
      <c r="AG177" s="37"/>
      <c r="AH177" s="37"/>
      <c r="AI177" s="37"/>
      <c r="AJ177" s="37"/>
      <c r="AK177" s="37"/>
      <c r="AL177" s="37"/>
      <c r="AM177" s="37"/>
    </row>
    <row r="178" spans="1:39" x14ac:dyDescent="0.2">
      <c r="A178" s="37"/>
      <c r="B178" s="37"/>
      <c r="C178" s="37"/>
      <c r="D178" s="37"/>
      <c r="E178" s="37"/>
      <c r="F178" s="37"/>
      <c r="G178" s="39"/>
      <c r="H178" s="37"/>
      <c r="I178" s="37"/>
      <c r="J178" s="37"/>
      <c r="K178" s="37"/>
      <c r="L178" s="37"/>
      <c r="M178" s="37"/>
      <c r="N178" s="37"/>
      <c r="O178" s="37"/>
      <c r="P178" s="37"/>
      <c r="Q178" s="37"/>
      <c r="R178" s="37"/>
      <c r="S178" s="37"/>
      <c r="T178" s="37"/>
      <c r="U178" s="37"/>
      <c r="V178" s="37"/>
      <c r="W178" s="37"/>
      <c r="X178" s="37"/>
      <c r="Y178" s="37"/>
      <c r="Z178" s="37"/>
      <c r="AA178" s="37"/>
      <c r="AB178" s="37"/>
      <c r="AC178" s="37"/>
      <c r="AD178" s="37"/>
      <c r="AE178" s="37"/>
      <c r="AF178" s="37"/>
      <c r="AG178" s="37"/>
      <c r="AH178" s="37"/>
      <c r="AI178" s="37"/>
      <c r="AJ178" s="37"/>
      <c r="AK178" s="37"/>
      <c r="AL178" s="37"/>
      <c r="AM178" s="37"/>
    </row>
    <row r="179" spans="1:39" x14ac:dyDescent="0.2">
      <c r="A179" s="37"/>
      <c r="B179" s="37"/>
      <c r="C179" s="37"/>
      <c r="D179" s="37"/>
      <c r="E179" s="37"/>
      <c r="F179" s="37"/>
      <c r="G179" s="39"/>
      <c r="H179" s="37"/>
      <c r="I179" s="37"/>
      <c r="J179" s="37"/>
      <c r="K179" s="37"/>
      <c r="L179" s="37"/>
      <c r="M179" s="37"/>
      <c r="N179" s="37"/>
      <c r="O179" s="37"/>
      <c r="P179" s="37"/>
      <c r="Q179" s="37"/>
      <c r="R179" s="37"/>
      <c r="S179" s="37"/>
      <c r="T179" s="37"/>
      <c r="U179" s="37"/>
      <c r="V179" s="37"/>
      <c r="W179" s="37"/>
      <c r="X179" s="37"/>
      <c r="Y179" s="37"/>
      <c r="Z179" s="37"/>
      <c r="AA179" s="37"/>
      <c r="AB179" s="37"/>
      <c r="AC179" s="37"/>
      <c r="AD179" s="37"/>
      <c r="AE179" s="37"/>
      <c r="AF179" s="37"/>
      <c r="AG179" s="37"/>
      <c r="AH179" s="37"/>
      <c r="AI179" s="37"/>
      <c r="AJ179" s="37"/>
      <c r="AK179" s="37"/>
      <c r="AL179" s="37"/>
      <c r="AM179" s="37"/>
    </row>
    <row r="180" spans="1:39" x14ac:dyDescent="0.2">
      <c r="A180" s="37"/>
      <c r="B180" s="37"/>
      <c r="C180" s="37"/>
      <c r="D180" s="37"/>
      <c r="E180" s="37"/>
      <c r="F180" s="37"/>
      <c r="G180" s="39"/>
      <c r="H180" s="37"/>
      <c r="I180" s="37"/>
      <c r="J180" s="37"/>
      <c r="K180" s="37"/>
      <c r="L180" s="37"/>
      <c r="M180" s="37"/>
      <c r="N180" s="37"/>
      <c r="O180" s="37"/>
      <c r="P180" s="37"/>
      <c r="Q180" s="37"/>
      <c r="R180" s="37"/>
      <c r="S180" s="37"/>
      <c r="T180" s="37"/>
      <c r="U180" s="37"/>
      <c r="V180" s="37"/>
      <c r="W180" s="37"/>
      <c r="X180" s="37"/>
      <c r="Y180" s="37"/>
      <c r="Z180" s="37"/>
      <c r="AA180" s="37"/>
      <c r="AB180" s="37"/>
      <c r="AC180" s="37"/>
      <c r="AD180" s="37"/>
      <c r="AE180" s="37"/>
      <c r="AF180" s="37"/>
      <c r="AG180" s="37"/>
      <c r="AH180" s="37"/>
      <c r="AI180" s="37"/>
      <c r="AJ180" s="37"/>
      <c r="AK180" s="37"/>
      <c r="AL180" s="37"/>
      <c r="AM180" s="37"/>
    </row>
    <row r="181" spans="1:39" x14ac:dyDescent="0.2">
      <c r="A181" s="37"/>
      <c r="B181" s="37"/>
      <c r="C181" s="37"/>
      <c r="D181" s="37"/>
      <c r="E181" s="37"/>
      <c r="F181" s="37"/>
      <c r="G181" s="39"/>
      <c r="H181" s="37"/>
      <c r="I181" s="37"/>
      <c r="J181" s="37"/>
      <c r="K181" s="37"/>
      <c r="L181" s="37"/>
      <c r="M181" s="37"/>
      <c r="N181" s="37"/>
      <c r="O181" s="37"/>
      <c r="P181" s="37"/>
      <c r="Q181" s="37"/>
      <c r="R181" s="37"/>
      <c r="S181" s="37"/>
      <c r="T181" s="37"/>
      <c r="U181" s="37"/>
      <c r="V181" s="37"/>
      <c r="W181" s="37"/>
      <c r="X181" s="37"/>
      <c r="Y181" s="37"/>
      <c r="Z181" s="37"/>
      <c r="AA181" s="37"/>
      <c r="AB181" s="37"/>
      <c r="AC181" s="37"/>
      <c r="AD181" s="37"/>
      <c r="AE181" s="37"/>
      <c r="AF181" s="37"/>
      <c r="AG181" s="37"/>
      <c r="AH181" s="37"/>
      <c r="AI181" s="37"/>
      <c r="AJ181" s="37"/>
      <c r="AK181" s="37"/>
      <c r="AL181" s="37"/>
      <c r="AM181" s="37"/>
    </row>
    <row r="182" spans="1:39" x14ac:dyDescent="0.2">
      <c r="A182" s="37"/>
      <c r="B182" s="37"/>
      <c r="C182" s="37"/>
      <c r="D182" s="37"/>
      <c r="E182" s="37"/>
      <c r="F182" s="37"/>
      <c r="G182" s="39"/>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c r="AE182" s="37"/>
      <c r="AF182" s="37"/>
      <c r="AG182" s="37"/>
      <c r="AH182" s="37"/>
      <c r="AI182" s="37"/>
      <c r="AJ182" s="37"/>
      <c r="AK182" s="37"/>
      <c r="AL182" s="37"/>
      <c r="AM182" s="37"/>
    </row>
    <row r="183" spans="1:39" x14ac:dyDescent="0.2">
      <c r="A183" s="37"/>
      <c r="B183" s="37"/>
      <c r="C183" s="37"/>
      <c r="D183" s="37"/>
      <c r="E183" s="37"/>
      <c r="F183" s="37"/>
      <c r="G183" s="39"/>
      <c r="H183" s="37"/>
      <c r="I183" s="37"/>
      <c r="J183" s="37"/>
      <c r="K183" s="37"/>
      <c r="L183" s="37"/>
      <c r="M183" s="37"/>
      <c r="N183" s="37"/>
      <c r="O183" s="37"/>
      <c r="P183" s="37"/>
      <c r="Q183" s="37"/>
      <c r="R183" s="37"/>
      <c r="S183" s="37"/>
      <c r="T183" s="37"/>
      <c r="U183" s="37"/>
      <c r="V183" s="37"/>
      <c r="W183" s="37"/>
      <c r="X183" s="37"/>
      <c r="Y183" s="37"/>
      <c r="Z183" s="37"/>
      <c r="AA183" s="37"/>
      <c r="AB183" s="37"/>
      <c r="AC183" s="37"/>
      <c r="AD183" s="37"/>
      <c r="AE183" s="37"/>
      <c r="AF183" s="37"/>
      <c r="AG183" s="37"/>
      <c r="AH183" s="37"/>
      <c r="AI183" s="37"/>
      <c r="AJ183" s="37"/>
      <c r="AK183" s="37"/>
      <c r="AL183" s="37"/>
      <c r="AM183" s="37"/>
    </row>
    <row r="184" spans="1:39" x14ac:dyDescent="0.2">
      <c r="A184" s="37"/>
      <c r="B184" s="37"/>
      <c r="C184" s="37"/>
      <c r="D184" s="37"/>
      <c r="E184" s="37"/>
      <c r="F184" s="37"/>
      <c r="G184" s="39"/>
      <c r="H184" s="37"/>
      <c r="I184" s="37"/>
      <c r="J184" s="37"/>
      <c r="K184" s="37"/>
      <c r="L184" s="37"/>
      <c r="M184" s="37"/>
      <c r="N184" s="37"/>
      <c r="O184" s="37"/>
      <c r="P184" s="37"/>
      <c r="Q184" s="37"/>
      <c r="R184" s="37"/>
      <c r="S184" s="37"/>
      <c r="T184" s="37"/>
      <c r="U184" s="37"/>
      <c r="V184" s="37"/>
      <c r="W184" s="37"/>
      <c r="X184" s="37"/>
      <c r="Y184" s="37"/>
      <c r="Z184" s="37"/>
      <c r="AA184" s="37"/>
      <c r="AB184" s="37"/>
      <c r="AC184" s="37"/>
      <c r="AD184" s="37"/>
      <c r="AE184" s="37"/>
      <c r="AF184" s="37"/>
      <c r="AG184" s="37"/>
      <c r="AH184" s="37"/>
      <c r="AI184" s="37"/>
      <c r="AJ184" s="37"/>
      <c r="AK184" s="37"/>
      <c r="AL184" s="37"/>
      <c r="AM184" s="37"/>
    </row>
    <row r="185" spans="1:39" x14ac:dyDescent="0.2">
      <c r="A185" s="37"/>
      <c r="B185" s="37"/>
      <c r="C185" s="37"/>
      <c r="D185" s="37"/>
      <c r="E185" s="37"/>
      <c r="F185" s="37"/>
      <c r="G185" s="39"/>
      <c r="H185" s="37"/>
      <c r="I185" s="37"/>
      <c r="J185" s="37"/>
      <c r="K185" s="37"/>
      <c r="L185" s="37"/>
      <c r="M185" s="37"/>
      <c r="N185" s="37"/>
      <c r="O185" s="37"/>
      <c r="P185" s="37"/>
      <c r="Q185" s="37"/>
      <c r="R185" s="37"/>
      <c r="S185" s="37"/>
      <c r="T185" s="37"/>
      <c r="U185" s="37"/>
      <c r="V185" s="37"/>
      <c r="W185" s="37"/>
      <c r="X185" s="37"/>
      <c r="Y185" s="37"/>
      <c r="Z185" s="37"/>
      <c r="AA185" s="37"/>
      <c r="AB185" s="37"/>
      <c r="AC185" s="37"/>
      <c r="AD185" s="37"/>
      <c r="AE185" s="37"/>
      <c r="AF185" s="37"/>
      <c r="AG185" s="37"/>
      <c r="AH185" s="37"/>
      <c r="AI185" s="37"/>
      <c r="AJ185" s="37"/>
      <c r="AK185" s="37"/>
      <c r="AL185" s="37"/>
      <c r="AM185" s="37"/>
    </row>
    <row r="186" spans="1:39" x14ac:dyDescent="0.2">
      <c r="A186" s="37"/>
      <c r="B186" s="37"/>
      <c r="C186" s="37"/>
      <c r="D186" s="37"/>
      <c r="E186" s="37"/>
      <c r="F186" s="37"/>
      <c r="G186" s="39"/>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c r="AE186" s="37"/>
      <c r="AF186" s="37"/>
      <c r="AG186" s="37"/>
      <c r="AH186" s="37"/>
      <c r="AI186" s="37"/>
      <c r="AJ186" s="37"/>
      <c r="AK186" s="37"/>
      <c r="AL186" s="37"/>
      <c r="AM186" s="37"/>
    </row>
    <row r="187" spans="1:39" x14ac:dyDescent="0.2">
      <c r="A187" s="37"/>
      <c r="B187" s="37"/>
      <c r="C187" s="37"/>
      <c r="D187" s="37"/>
      <c r="E187" s="37"/>
      <c r="F187" s="37"/>
      <c r="G187" s="39"/>
      <c r="H187" s="37"/>
      <c r="I187" s="37"/>
      <c r="J187" s="37"/>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c r="AH187" s="37"/>
      <c r="AI187" s="37"/>
      <c r="AJ187" s="37"/>
      <c r="AK187" s="37"/>
      <c r="AL187" s="37"/>
      <c r="AM187" s="37"/>
    </row>
    <row r="188" spans="1:39" x14ac:dyDescent="0.2">
      <c r="A188" s="37"/>
      <c r="B188" s="37"/>
      <c r="C188" s="37"/>
      <c r="D188" s="37"/>
      <c r="E188" s="37"/>
      <c r="F188" s="37"/>
      <c r="G188" s="39"/>
      <c r="H188" s="37"/>
      <c r="I188" s="37"/>
      <c r="J188" s="37"/>
      <c r="K188" s="37"/>
      <c r="L188" s="37"/>
      <c r="M188" s="37"/>
      <c r="N188" s="37"/>
      <c r="O188" s="37"/>
      <c r="P188" s="37"/>
      <c r="Q188" s="37"/>
      <c r="R188" s="37"/>
      <c r="S188" s="37"/>
      <c r="T188" s="37"/>
      <c r="U188" s="37"/>
      <c r="V188" s="37"/>
      <c r="W188" s="37"/>
      <c r="X188" s="37"/>
      <c r="Y188" s="37"/>
      <c r="Z188" s="37"/>
      <c r="AA188" s="37"/>
      <c r="AB188" s="37"/>
      <c r="AC188" s="37"/>
      <c r="AD188" s="37"/>
      <c r="AE188" s="37"/>
      <c r="AF188" s="37"/>
      <c r="AG188" s="37"/>
      <c r="AH188" s="37"/>
      <c r="AI188" s="37"/>
      <c r="AJ188" s="37"/>
      <c r="AK188" s="37"/>
      <c r="AL188" s="37"/>
      <c r="AM188" s="37"/>
    </row>
    <row r="189" spans="1:39" x14ac:dyDescent="0.2">
      <c r="A189" s="37"/>
      <c r="B189" s="37"/>
      <c r="C189" s="37"/>
      <c r="D189" s="37"/>
      <c r="E189" s="37"/>
      <c r="F189" s="37"/>
      <c r="G189" s="39"/>
      <c r="H189" s="37"/>
      <c r="I189" s="37"/>
      <c r="J189" s="37"/>
      <c r="K189" s="37"/>
      <c r="L189" s="37"/>
      <c r="M189" s="37"/>
      <c r="N189" s="37"/>
      <c r="O189" s="37"/>
      <c r="P189" s="37"/>
      <c r="Q189" s="37"/>
      <c r="R189" s="37"/>
      <c r="S189" s="37"/>
      <c r="T189" s="37"/>
      <c r="U189" s="37"/>
      <c r="V189" s="37"/>
      <c r="W189" s="37"/>
      <c r="X189" s="37"/>
      <c r="Y189" s="37"/>
      <c r="Z189" s="37"/>
      <c r="AA189" s="37"/>
      <c r="AB189" s="37"/>
      <c r="AC189" s="37"/>
      <c r="AD189" s="37"/>
      <c r="AE189" s="37"/>
      <c r="AF189" s="37"/>
      <c r="AG189" s="37"/>
      <c r="AH189" s="37"/>
      <c r="AI189" s="37"/>
      <c r="AJ189" s="37"/>
      <c r="AK189" s="37"/>
      <c r="AL189" s="37"/>
      <c r="AM189" s="37"/>
    </row>
    <row r="190" spans="1:39" x14ac:dyDescent="0.2">
      <c r="A190" s="37"/>
      <c r="B190" s="37"/>
      <c r="C190" s="37"/>
      <c r="D190" s="37"/>
      <c r="E190" s="37"/>
      <c r="F190" s="37"/>
      <c r="G190" s="39"/>
      <c r="H190" s="37"/>
      <c r="I190" s="37"/>
      <c r="J190" s="37"/>
      <c r="K190" s="37"/>
      <c r="L190" s="37"/>
      <c r="M190" s="37"/>
      <c r="N190" s="37"/>
      <c r="O190" s="37"/>
      <c r="P190" s="37"/>
      <c r="Q190" s="37"/>
      <c r="R190" s="37"/>
      <c r="S190" s="37"/>
      <c r="T190" s="37"/>
      <c r="U190" s="37"/>
      <c r="V190" s="37"/>
      <c r="W190" s="37"/>
      <c r="X190" s="37"/>
      <c r="Y190" s="37"/>
      <c r="Z190" s="37"/>
      <c r="AA190" s="37"/>
      <c r="AB190" s="37"/>
      <c r="AC190" s="37"/>
      <c r="AD190" s="37"/>
      <c r="AE190" s="37"/>
      <c r="AF190" s="37"/>
      <c r="AG190" s="37"/>
      <c r="AH190" s="37"/>
      <c r="AI190" s="37"/>
      <c r="AJ190" s="37"/>
      <c r="AK190" s="37"/>
      <c r="AL190" s="37"/>
      <c r="AM190" s="37"/>
    </row>
    <row r="191" spans="1:39" x14ac:dyDescent="0.2">
      <c r="A191" s="37"/>
      <c r="B191" s="37"/>
      <c r="C191" s="37"/>
      <c r="D191" s="37"/>
      <c r="E191" s="37"/>
      <c r="F191" s="37"/>
      <c r="G191" s="39"/>
      <c r="H191" s="37"/>
      <c r="I191" s="37"/>
      <c r="J191" s="37"/>
      <c r="K191" s="37"/>
      <c r="L191" s="37"/>
      <c r="M191" s="37"/>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c r="AL191" s="37"/>
      <c r="AM191" s="37"/>
    </row>
    <row r="192" spans="1:39" x14ac:dyDescent="0.2">
      <c r="A192" s="37"/>
      <c r="B192" s="37"/>
      <c r="C192" s="37"/>
      <c r="D192" s="37"/>
      <c r="E192" s="37"/>
      <c r="F192" s="37"/>
      <c r="G192" s="39"/>
      <c r="H192" s="37"/>
      <c r="I192" s="37"/>
      <c r="J192" s="37"/>
      <c r="K192" s="37"/>
      <c r="L192" s="37"/>
      <c r="M192" s="37"/>
      <c r="N192" s="37"/>
      <c r="O192" s="37"/>
      <c r="P192" s="37"/>
      <c r="Q192" s="37"/>
      <c r="R192" s="37"/>
      <c r="S192" s="37"/>
      <c r="T192" s="37"/>
      <c r="U192" s="37"/>
      <c r="V192" s="37"/>
      <c r="W192" s="37"/>
      <c r="X192" s="37"/>
      <c r="Y192" s="37"/>
      <c r="Z192" s="37"/>
      <c r="AA192" s="37"/>
      <c r="AB192" s="37"/>
      <c r="AC192" s="37"/>
      <c r="AD192" s="37"/>
      <c r="AE192" s="37"/>
      <c r="AF192" s="37"/>
      <c r="AG192" s="37"/>
      <c r="AH192" s="37"/>
      <c r="AI192" s="37"/>
      <c r="AJ192" s="37"/>
      <c r="AK192" s="37"/>
      <c r="AL192" s="37"/>
      <c r="AM192" s="37"/>
    </row>
    <row r="193" spans="1:39" x14ac:dyDescent="0.2">
      <c r="A193" s="37"/>
      <c r="B193" s="37"/>
      <c r="C193" s="37"/>
      <c r="D193" s="37"/>
      <c r="E193" s="37"/>
      <c r="F193" s="37"/>
      <c r="G193" s="39"/>
      <c r="H193" s="37"/>
      <c r="I193" s="37"/>
      <c r="J193" s="37"/>
      <c r="K193" s="37"/>
      <c r="L193" s="37"/>
      <c r="M193" s="37"/>
      <c r="N193" s="37"/>
      <c r="O193" s="37"/>
      <c r="P193" s="37"/>
      <c r="Q193" s="37"/>
      <c r="R193" s="37"/>
      <c r="S193" s="37"/>
      <c r="T193" s="37"/>
      <c r="U193" s="37"/>
      <c r="V193" s="37"/>
      <c r="W193" s="37"/>
      <c r="X193" s="37"/>
      <c r="Y193" s="37"/>
      <c r="Z193" s="37"/>
      <c r="AA193" s="37"/>
      <c r="AB193" s="37"/>
      <c r="AC193" s="37"/>
      <c r="AD193" s="37"/>
      <c r="AE193" s="37"/>
      <c r="AF193" s="37"/>
      <c r="AG193" s="37"/>
      <c r="AH193" s="37"/>
      <c r="AI193" s="37"/>
      <c r="AJ193" s="37"/>
      <c r="AK193" s="37"/>
      <c r="AL193" s="37"/>
      <c r="AM193" s="37"/>
    </row>
    <row r="194" spans="1:39" x14ac:dyDescent="0.2">
      <c r="A194" s="37"/>
      <c r="B194" s="37"/>
      <c r="C194" s="37"/>
      <c r="D194" s="37"/>
      <c r="E194" s="37"/>
      <c r="F194" s="37"/>
      <c r="G194" s="39"/>
      <c r="H194" s="37"/>
      <c r="I194" s="37"/>
      <c r="J194" s="37"/>
      <c r="K194" s="37"/>
      <c r="L194" s="37"/>
      <c r="M194" s="37"/>
      <c r="N194" s="37"/>
      <c r="O194" s="37"/>
      <c r="P194" s="37"/>
      <c r="Q194" s="37"/>
      <c r="R194" s="37"/>
      <c r="S194" s="37"/>
      <c r="T194" s="37"/>
      <c r="U194" s="37"/>
      <c r="V194" s="37"/>
      <c r="W194" s="37"/>
      <c r="X194" s="37"/>
      <c r="Y194" s="37"/>
      <c r="Z194" s="37"/>
      <c r="AA194" s="37"/>
      <c r="AB194" s="37"/>
      <c r="AC194" s="37"/>
      <c r="AD194" s="37"/>
      <c r="AE194" s="37"/>
      <c r="AF194" s="37"/>
      <c r="AG194" s="37"/>
      <c r="AH194" s="37"/>
      <c r="AI194" s="37"/>
      <c r="AJ194" s="37"/>
      <c r="AK194" s="37"/>
      <c r="AL194" s="37"/>
      <c r="AM194" s="37"/>
    </row>
    <row r="195" spans="1:39" x14ac:dyDescent="0.2">
      <c r="A195" s="37"/>
      <c r="B195" s="37"/>
      <c r="C195" s="37"/>
      <c r="D195" s="37"/>
      <c r="E195" s="37"/>
      <c r="F195" s="37"/>
      <c r="G195" s="39"/>
      <c r="H195" s="37"/>
      <c r="I195" s="37"/>
      <c r="J195" s="37"/>
      <c r="K195" s="37"/>
      <c r="L195" s="37"/>
      <c r="M195" s="37"/>
      <c r="N195" s="37"/>
      <c r="O195" s="37"/>
      <c r="P195" s="37"/>
      <c r="Q195" s="37"/>
      <c r="R195" s="37"/>
      <c r="S195" s="37"/>
      <c r="T195" s="37"/>
      <c r="U195" s="37"/>
      <c r="V195" s="37"/>
      <c r="W195" s="37"/>
      <c r="X195" s="37"/>
      <c r="Y195" s="37"/>
      <c r="Z195" s="37"/>
      <c r="AA195" s="37"/>
      <c r="AB195" s="37"/>
      <c r="AC195" s="37"/>
      <c r="AD195" s="37"/>
      <c r="AE195" s="37"/>
      <c r="AF195" s="37"/>
      <c r="AG195" s="37"/>
      <c r="AH195" s="37"/>
      <c r="AI195" s="37"/>
      <c r="AJ195" s="37"/>
      <c r="AK195" s="37"/>
      <c r="AL195" s="37"/>
      <c r="AM195" s="37"/>
    </row>
    <row r="196" spans="1:39" x14ac:dyDescent="0.2">
      <c r="A196" s="37"/>
      <c r="B196" s="37"/>
      <c r="C196" s="37"/>
      <c r="D196" s="37"/>
      <c r="E196" s="37"/>
      <c r="F196" s="37"/>
      <c r="G196" s="39"/>
      <c r="H196" s="37"/>
      <c r="I196" s="37"/>
      <c r="J196" s="37"/>
      <c r="K196" s="37"/>
      <c r="L196" s="37"/>
      <c r="M196" s="37"/>
      <c r="N196" s="37"/>
      <c r="O196" s="37"/>
      <c r="P196" s="37"/>
      <c r="Q196" s="37"/>
      <c r="R196" s="37"/>
      <c r="S196" s="37"/>
      <c r="T196" s="37"/>
      <c r="U196" s="37"/>
      <c r="V196" s="37"/>
      <c r="W196" s="37"/>
      <c r="X196" s="37"/>
      <c r="Y196" s="37"/>
      <c r="Z196" s="37"/>
      <c r="AA196" s="37"/>
      <c r="AB196" s="37"/>
      <c r="AC196" s="37"/>
      <c r="AD196" s="37"/>
      <c r="AE196" s="37"/>
      <c r="AF196" s="37"/>
      <c r="AG196" s="37"/>
      <c r="AH196" s="37"/>
      <c r="AI196" s="37"/>
      <c r="AJ196" s="37"/>
      <c r="AK196" s="37"/>
      <c r="AL196" s="37"/>
      <c r="AM196" s="37"/>
    </row>
    <row r="197" spans="1:39" x14ac:dyDescent="0.2">
      <c r="G197" s="39"/>
    </row>
    <row r="198" spans="1:39" x14ac:dyDescent="0.2">
      <c r="G198" s="39"/>
    </row>
    <row r="199" spans="1:39" x14ac:dyDescent="0.2">
      <c r="G199" s="39"/>
    </row>
  </sheetData>
  <mergeCells count="19">
    <mergeCell ref="AT60:AT66"/>
    <mergeCell ref="B61:B67"/>
    <mergeCell ref="I66:M67"/>
    <mergeCell ref="B82:C86"/>
    <mergeCell ref="B99:B100"/>
    <mergeCell ref="D22:F22"/>
    <mergeCell ref="D23:F23"/>
    <mergeCell ref="D24:F25"/>
    <mergeCell ref="B33:B34"/>
    <mergeCell ref="B45:B47"/>
    <mergeCell ref="A1:M1"/>
    <mergeCell ref="L2:M2"/>
    <mergeCell ref="D11:E12"/>
    <mergeCell ref="D14:G15"/>
    <mergeCell ref="B16:B19"/>
    <mergeCell ref="D16:I16"/>
    <mergeCell ref="D17:I17"/>
    <mergeCell ref="D18:I18"/>
    <mergeCell ref="D19:I19"/>
  </mergeCells>
  <conditionalFormatting sqref="B61:B67">
    <cfRule type="expression" dxfId="26" priority="28">
      <formula>$G$23="No"</formula>
    </cfRule>
    <cfRule type="expression" dxfId="25" priority="29">
      <formula>$G$22="No"</formula>
    </cfRule>
  </conditionalFormatting>
  <conditionalFormatting sqref="B82">
    <cfRule type="expression" dxfId="24" priority="23">
      <formula>$F$71="NO"</formula>
    </cfRule>
  </conditionalFormatting>
  <conditionalFormatting sqref="B79:G91">
    <cfRule type="expression" dxfId="23" priority="15">
      <formula>$F$71="NO"</formula>
    </cfRule>
  </conditionalFormatting>
  <conditionalFormatting sqref="B27:AM60 C67:H67 B68:AM99 C61:AM65 C66:I66 N66:AM67 C100:AM100 B101:AM124">
    <cfRule type="expression" dxfId="22" priority="24">
      <formula>$G$23="No"</formula>
    </cfRule>
    <cfRule type="expression" dxfId="21" priority="25">
      <formula>$G$22="No"</formula>
    </cfRule>
  </conditionalFormatting>
  <conditionalFormatting sqref="E96">
    <cfRule type="expression" dxfId="20" priority="2">
      <formula>#REF!="Option A"</formula>
    </cfRule>
  </conditionalFormatting>
  <conditionalFormatting sqref="E71:F71">
    <cfRule type="expression" dxfId="19" priority="12">
      <formula>#REF!="Yes"</formula>
    </cfRule>
  </conditionalFormatting>
  <conditionalFormatting sqref="E41:G45">
    <cfRule type="expression" dxfId="18" priority="21">
      <formula>IF($F$39="No", "TRUE", "FALSE")</formula>
    </cfRule>
  </conditionalFormatting>
  <conditionalFormatting sqref="E72:G78">
    <cfRule type="expression" dxfId="17" priority="14">
      <formula>$F$71="Yes"</formula>
    </cfRule>
  </conditionalFormatting>
  <conditionalFormatting sqref="F40">
    <cfRule type="cellIs" dxfId="16" priority="3" operator="greaterThan">
      <formula>200</formula>
    </cfRule>
  </conditionalFormatting>
  <conditionalFormatting sqref="F41:F42">
    <cfRule type="cellIs" dxfId="15" priority="6" operator="equal">
      <formula>"NA"</formula>
    </cfRule>
    <cfRule type="cellIs" dxfId="14" priority="7" operator="equal">
      <formula>"""NA"""</formula>
    </cfRule>
  </conditionalFormatting>
  <conditionalFormatting sqref="F46:F48">
    <cfRule type="cellIs" dxfId="13" priority="22" operator="lessThan">
      <formula>$F$30</formula>
    </cfRule>
  </conditionalFormatting>
  <conditionalFormatting sqref="F61">
    <cfRule type="colorScale" priority="5">
      <colorScale>
        <cfvo type="min"/>
        <cfvo type="formula" val="$AN$54*0.8"/>
        <cfvo type="formula" val="$AN$54"/>
        <color rgb="FFFFFFFF"/>
        <color rgb="FFFFC000"/>
        <color rgb="FFFF0000"/>
      </colorScale>
    </cfRule>
  </conditionalFormatting>
  <conditionalFormatting sqref="F67">
    <cfRule type="cellIs" dxfId="12" priority="19" operator="lessThan">
      <formula>$F$62</formula>
    </cfRule>
  </conditionalFormatting>
  <conditionalFormatting sqref="F73">
    <cfRule type="cellIs" dxfId="11" priority="8" operator="lessThan">
      <formula>0.25</formula>
    </cfRule>
  </conditionalFormatting>
  <conditionalFormatting sqref="F76">
    <cfRule type="cellIs" dxfId="10" priority="9" operator="lessThan">
      <formula>$F$75</formula>
    </cfRule>
  </conditionalFormatting>
  <conditionalFormatting sqref="F78">
    <cfRule type="cellIs" dxfId="9" priority="10" operator="lessThan">
      <formula>1.1</formula>
    </cfRule>
    <cfRule type="cellIs" dxfId="8" priority="11" operator="between">
      <formula>1.1</formula>
      <formula>1.3</formula>
    </cfRule>
  </conditionalFormatting>
  <conditionalFormatting sqref="F79">
    <cfRule type="expression" dxfId="7" priority="20">
      <formula>#REF!="Yes"</formula>
    </cfRule>
  </conditionalFormatting>
  <conditionalFormatting sqref="F82 F85">
    <cfRule type="cellIs" dxfId="6" priority="16" operator="greaterThanOrEqual">
      <formula>$F$80</formula>
    </cfRule>
  </conditionalFormatting>
  <conditionalFormatting sqref="F86 F91">
    <cfRule type="cellIs" dxfId="5" priority="17" operator="between">
      <formula>1.1</formula>
      <formula>1.2999</formula>
    </cfRule>
    <cfRule type="cellIs" dxfId="4" priority="18" operator="lessThan">
      <formula>1.1</formula>
    </cfRule>
  </conditionalFormatting>
  <conditionalFormatting sqref="G82 G84:G89">
    <cfRule type="expression" dxfId="3" priority="13">
      <formula>#REF!="Yes"</formula>
    </cfRule>
  </conditionalFormatting>
  <conditionalFormatting sqref="G96">
    <cfRule type="expression" dxfId="2" priority="4">
      <formula>#REF!="Option A"</formula>
    </cfRule>
  </conditionalFormatting>
  <conditionalFormatting sqref="AT60:AT66">
    <cfRule type="expression" dxfId="1" priority="26">
      <formula>$G$23="No"</formula>
    </cfRule>
    <cfRule type="expression" dxfId="0" priority="27">
      <formula>$G$22="No"</formula>
    </cfRule>
  </conditionalFormatting>
  <dataValidations count="9">
    <dataValidation type="whole" allowBlank="1" showInputMessage="1" showErrorMessage="1" sqref="F52" xr:uid="{00000000-0002-0000-0100-000000000000}">
      <formula1>1</formula1>
      <formula2>6</formula2>
    </dataValidation>
    <dataValidation type="decimal" operator="greaterThan" allowBlank="1" showInputMessage="1" showErrorMessage="1" sqref="F43 F45" xr:uid="{00000000-0002-0000-0100-000001000000}">
      <formula1>0</formula1>
      <formula2>0</formula2>
    </dataValidation>
    <dataValidation type="custom" allowBlank="1" showInputMessage="1" showErrorMessage="1" errorTitle="Resistor Divider" error="When using resistor divider Rs should be set larger than Rs,eff. _x000a__x000a_Otherwise switch to &quot;No resistor divider&quot;" sqref="F41" xr:uid="{00000000-0002-0000-0100-000002000000}">
      <formula1>"""NA"""</formula1>
      <formula2>0</formula2>
    </dataValidation>
    <dataValidation type="list" allowBlank="1" showInputMessage="1" showErrorMessage="1" sqref="F39 F71 F79" xr:uid="{00000000-0002-0000-0100-000003000000}">
      <formula1>$AN$39:$AN$40</formula1>
      <formula2>0</formula2>
    </dataValidation>
    <dataValidation type="list" allowBlank="1" showInputMessage="1" showErrorMessage="1" sqref="F69" xr:uid="{00000000-0002-0000-0100-000004000000}">
      <formula1>$AN$70:$AN$71</formula1>
      <formula2>0</formula2>
    </dataValidation>
    <dataValidation type="decimal" allowBlank="1" showInputMessage="1" showErrorMessage="1" sqref="F54" xr:uid="{00000000-0002-0000-0100-000005000000}">
      <formula1>0</formula1>
      <formula2>200</formula2>
    </dataValidation>
    <dataValidation type="decimal" allowBlank="1" showInputMessage="1" showErrorMessage="1" sqref="F55:F59" xr:uid="{00000000-0002-0000-0100-000006000000}">
      <formula1>0.001</formula1>
      <formula2>400</formula2>
    </dataValidation>
    <dataValidation type="decimal" allowBlank="1" showInputMessage="1" showErrorMessage="1" error="Must enter value less than 10" sqref="F44" xr:uid="{00000000-0002-0000-0100-000007000000}">
      <formula1>0</formula1>
      <formula2>10</formula2>
    </dataValidation>
    <dataValidation type="list" allowBlank="1" showInputMessage="1" showErrorMessage="1" sqref="G22:G23" xr:uid="{00000000-0002-0000-0100-000008000000}">
      <formula1>yesno</formula1>
      <formula2>0</formula2>
    </dataValidation>
  </dataValidations>
  <hyperlinks>
    <hyperlink ref="B2" r:id="rId1" xr:uid="{00000000-0004-0000-0100-000000000000}"/>
    <hyperlink ref="D16" r:id="rId2" xr:uid="{00000000-0004-0000-0100-000001000000}"/>
    <hyperlink ref="D17" r:id="rId3" xr:uid="{00000000-0004-0000-0100-000002000000}"/>
    <hyperlink ref="D18" r:id="rId4" xr:uid="{00000000-0004-0000-0100-000003000000}"/>
    <hyperlink ref="D19" r:id="rId5" xr:uid="{00000000-0004-0000-0100-000004000000}"/>
    <hyperlink ref="D20" r:id="rId6" xr:uid="{00000000-0004-0000-0100-000005000000}"/>
    <hyperlink ref="D24" r:id="rId7" xr:uid="{00000000-0004-0000-0100-000006000000}"/>
    <hyperlink ref="B33" r:id="rId8" xr:uid="{00000000-0004-0000-0100-000007000000}"/>
    <hyperlink ref="B45" r:id="rId9" xr:uid="{00000000-0004-0000-0100-000008000000}"/>
    <hyperlink ref="B57" r:id="rId10" xr:uid="{00000000-0004-0000-0100-000009000000}"/>
    <hyperlink ref="B77" r:id="rId11" xr:uid="{00000000-0004-0000-0100-00000A000000}"/>
    <hyperlink ref="B99" r:id="rId12" xr:uid="{00000000-0004-0000-0100-00000B000000}"/>
  </hyperlinks>
  <pageMargins left="0.17013888888888901" right="0.17013888888888901" top="0.55000000000000004" bottom="0.92013888888888895" header="0.51180555555555496" footer="0.51180555555555496"/>
  <pageSetup scale="62" firstPageNumber="0" orientation="portrait" horizontalDpi="300" verticalDpi="300"/>
  <drawing r:id="rId13"/>
  <legacy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J24"/>
  <sheetViews>
    <sheetView zoomScaleNormal="100" workbookViewId="0">
      <selection activeCell="E25" sqref="E25"/>
    </sheetView>
  </sheetViews>
  <sheetFormatPr defaultColWidth="8.7109375" defaultRowHeight="12.75" x14ac:dyDescent="0.2"/>
  <cols>
    <col min="1" max="1" width="9.42578125" customWidth="1"/>
    <col min="2" max="2" width="24.28515625" customWidth="1"/>
    <col min="12" max="12" width="13.5703125" customWidth="1"/>
  </cols>
  <sheetData>
    <row r="2" spans="1:10" x14ac:dyDescent="0.2">
      <c r="A2" s="40"/>
      <c r="C2" s="40" t="s">
        <v>161</v>
      </c>
      <c r="D2" s="40" t="s">
        <v>162</v>
      </c>
      <c r="E2" s="40" t="s">
        <v>163</v>
      </c>
      <c r="F2" s="40" t="s">
        <v>143</v>
      </c>
    </row>
    <row r="3" spans="1:10" x14ac:dyDescent="0.2">
      <c r="A3" s="116" t="s">
        <v>164</v>
      </c>
      <c r="C3" s="40"/>
      <c r="D3" s="40"/>
      <c r="E3" s="40"/>
    </row>
    <row r="4" spans="1:10" x14ac:dyDescent="0.2">
      <c r="A4" s="116"/>
      <c r="B4" s="40" t="s">
        <v>165</v>
      </c>
      <c r="C4" s="182">
        <v>-40</v>
      </c>
      <c r="D4" s="182"/>
      <c r="E4" s="182">
        <v>125</v>
      </c>
    </row>
    <row r="5" spans="1:10" x14ac:dyDescent="0.2">
      <c r="B5" s="125" t="s">
        <v>166</v>
      </c>
      <c r="C5" s="32">
        <v>9</v>
      </c>
      <c r="D5" s="32"/>
      <c r="E5" s="32">
        <v>80</v>
      </c>
      <c r="F5" s="40" t="s">
        <v>39</v>
      </c>
      <c r="J5" s="183"/>
    </row>
    <row r="6" spans="1:10" ht="16.5" customHeight="1" x14ac:dyDescent="0.2">
      <c r="A6" s="116" t="s">
        <v>167</v>
      </c>
      <c r="B6" s="125"/>
      <c r="C6" s="32"/>
      <c r="D6" s="32"/>
      <c r="E6" s="32"/>
      <c r="J6" s="183"/>
    </row>
    <row r="7" spans="1:10" x14ac:dyDescent="0.2">
      <c r="B7" s="125" t="s">
        <v>168</v>
      </c>
      <c r="C7" s="32">
        <v>45</v>
      </c>
      <c r="D7" s="32">
        <v>50</v>
      </c>
      <c r="E7" s="32">
        <v>55</v>
      </c>
      <c r="J7" s="125"/>
    </row>
    <row r="8" spans="1:10" x14ac:dyDescent="0.2">
      <c r="B8" s="125" t="s">
        <v>169</v>
      </c>
      <c r="C8" s="32"/>
      <c r="D8" s="32">
        <v>7.5</v>
      </c>
      <c r="E8" s="32">
        <v>20</v>
      </c>
      <c r="F8" s="40" t="s">
        <v>170</v>
      </c>
      <c r="J8" s="125"/>
    </row>
    <row r="9" spans="1:10" x14ac:dyDescent="0.2">
      <c r="C9" s="32"/>
      <c r="D9" s="32"/>
      <c r="E9" s="32"/>
    </row>
    <row r="10" spans="1:10" x14ac:dyDescent="0.2">
      <c r="C10" s="32"/>
      <c r="D10" s="32"/>
      <c r="E10" s="32"/>
    </row>
    <row r="11" spans="1:10" x14ac:dyDescent="0.2">
      <c r="A11" s="116" t="s">
        <v>171</v>
      </c>
      <c r="C11" s="32"/>
      <c r="D11" s="32"/>
      <c r="E11" s="32"/>
    </row>
    <row r="12" spans="1:10" x14ac:dyDescent="0.2">
      <c r="B12" s="125" t="s">
        <v>172</v>
      </c>
      <c r="C12" s="32">
        <v>3.9</v>
      </c>
      <c r="D12" s="32">
        <v>4</v>
      </c>
      <c r="E12" s="32">
        <v>4.0999999999999996</v>
      </c>
      <c r="F12" s="40" t="s">
        <v>39</v>
      </c>
    </row>
    <row r="13" spans="1:10" x14ac:dyDescent="0.2">
      <c r="B13" s="125"/>
      <c r="C13" s="32"/>
      <c r="D13" s="32"/>
      <c r="E13" s="32"/>
      <c r="F13" s="40"/>
    </row>
    <row r="14" spans="1:10" x14ac:dyDescent="0.2">
      <c r="B14" s="125" t="s">
        <v>173</v>
      </c>
      <c r="C14" s="32"/>
      <c r="D14" s="32"/>
      <c r="E14" s="32"/>
      <c r="F14" s="40"/>
    </row>
    <row r="15" spans="1:10" x14ac:dyDescent="0.2">
      <c r="B15" s="125" t="s">
        <v>174</v>
      </c>
      <c r="C15" s="32">
        <v>15</v>
      </c>
      <c r="D15" s="32">
        <v>25</v>
      </c>
      <c r="E15" s="32">
        <v>34</v>
      </c>
      <c r="F15" s="40" t="s">
        <v>170</v>
      </c>
    </row>
    <row r="16" spans="1:10" x14ac:dyDescent="0.2">
      <c r="B16" s="125" t="s">
        <v>175</v>
      </c>
      <c r="C16" s="32"/>
      <c r="D16" s="32">
        <f>SQRT(0.66^2+ ((34-25)/25)^2+ 0.1^2)</f>
        <v>0.75841940903434168</v>
      </c>
      <c r="E16" s="32"/>
      <c r="F16" s="40"/>
      <c r="G16" s="40" t="s">
        <v>176</v>
      </c>
    </row>
    <row r="17" spans="1:7" x14ac:dyDescent="0.2">
      <c r="B17" s="125" t="s">
        <v>177</v>
      </c>
      <c r="C17" s="32"/>
      <c r="D17" s="32">
        <v>0.75</v>
      </c>
      <c r="E17" s="32"/>
      <c r="F17" s="40"/>
      <c r="G17" s="40" t="s">
        <v>178</v>
      </c>
    </row>
    <row r="18" spans="1:7" x14ac:dyDescent="0.2">
      <c r="B18" s="183"/>
      <c r="C18" s="32"/>
      <c r="D18" s="32"/>
      <c r="E18" s="32"/>
    </row>
    <row r="19" spans="1:7" x14ac:dyDescent="0.2">
      <c r="A19" s="116" t="s">
        <v>179</v>
      </c>
      <c r="B19" s="183"/>
      <c r="C19" s="32"/>
      <c r="D19" s="32"/>
      <c r="E19" s="32"/>
    </row>
    <row r="20" spans="1:7" x14ac:dyDescent="0.2">
      <c r="B20" s="125" t="s">
        <v>180</v>
      </c>
      <c r="C20" s="32">
        <v>15</v>
      </c>
      <c r="D20" s="32">
        <v>22</v>
      </c>
      <c r="E20" s="32">
        <v>35</v>
      </c>
    </row>
    <row r="21" spans="1:7" x14ac:dyDescent="0.2">
      <c r="B21" s="183"/>
      <c r="C21" s="32"/>
      <c r="D21" s="32"/>
      <c r="E21" s="32"/>
    </row>
    <row r="22" spans="1:7" x14ac:dyDescent="0.2">
      <c r="A22" s="116" t="s">
        <v>181</v>
      </c>
      <c r="B22" s="183"/>
      <c r="C22" s="32"/>
      <c r="D22" s="32"/>
      <c r="E22" s="32"/>
    </row>
    <row r="23" spans="1:7" x14ac:dyDescent="0.2">
      <c r="B23" s="40" t="s">
        <v>182</v>
      </c>
      <c r="C23">
        <v>1.32</v>
      </c>
      <c r="D23">
        <v>1.35</v>
      </c>
      <c r="E23">
        <v>1.38</v>
      </c>
      <c r="F23" s="40" t="s">
        <v>39</v>
      </c>
    </row>
    <row r="24" spans="1:7" x14ac:dyDescent="0.2">
      <c r="B24" s="40" t="s">
        <v>183</v>
      </c>
      <c r="C24">
        <v>1.22</v>
      </c>
      <c r="D24">
        <v>1.25</v>
      </c>
      <c r="E24">
        <v>1.28</v>
      </c>
      <c r="F24" s="40" t="s">
        <v>39</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3:Y171"/>
  <sheetViews>
    <sheetView topLeftCell="A25" zoomScaleNormal="100" workbookViewId="0">
      <selection activeCell="F46" sqref="F46"/>
    </sheetView>
  </sheetViews>
  <sheetFormatPr defaultColWidth="8.7109375" defaultRowHeight="12.75" x14ac:dyDescent="0.2"/>
  <cols>
    <col min="6" max="6" width="14.28515625" customWidth="1"/>
    <col min="8" max="8" width="14" customWidth="1"/>
    <col min="9" max="9" width="12.7109375" customWidth="1"/>
    <col min="10" max="10" width="11.7109375" customWidth="1"/>
  </cols>
  <sheetData>
    <row r="13" spans="1:6" x14ac:dyDescent="0.2">
      <c r="A13" s="116" t="s">
        <v>167</v>
      </c>
    </row>
    <row r="14" spans="1:6" x14ac:dyDescent="0.2">
      <c r="E14" s="183"/>
    </row>
    <row r="15" spans="1:6" x14ac:dyDescent="0.2">
      <c r="D15" t="s">
        <v>184</v>
      </c>
      <c r="E15">
        <v>45</v>
      </c>
      <c r="F15" s="184" t="s">
        <v>185</v>
      </c>
    </row>
    <row r="16" spans="1:6" x14ac:dyDescent="0.2">
      <c r="D16" t="s">
        <v>186</v>
      </c>
      <c r="E16">
        <v>50</v>
      </c>
      <c r="F16" s="184" t="s">
        <v>185</v>
      </c>
    </row>
    <row r="17" spans="1:10" x14ac:dyDescent="0.2">
      <c r="D17" t="s">
        <v>187</v>
      </c>
      <c r="E17">
        <v>55</v>
      </c>
      <c r="F17" s="184" t="s">
        <v>185</v>
      </c>
    </row>
    <row r="18" spans="1:10" x14ac:dyDescent="0.2">
      <c r="E18" s="183"/>
    </row>
    <row r="19" spans="1:10" x14ac:dyDescent="0.2">
      <c r="A19" s="116"/>
      <c r="E19" s="183"/>
    </row>
    <row r="20" spans="1:10" x14ac:dyDescent="0.2">
      <c r="E20" s="183" t="s">
        <v>188</v>
      </c>
      <c r="F20">
        <f>CLMIN_Threshold/('Design Calculator'!F30*1.01)</f>
        <v>0.31824611032531824</v>
      </c>
    </row>
    <row r="21" spans="1:10" x14ac:dyDescent="0.2">
      <c r="E21" s="125" t="s">
        <v>189</v>
      </c>
      <c r="F21" s="40" t="str">
        <f>IF(Rs&gt;RsMAX,10,"NA")</f>
        <v>NA</v>
      </c>
    </row>
    <row r="22" spans="1:10" x14ac:dyDescent="0.2">
      <c r="E22" s="125" t="s">
        <v>190</v>
      </c>
      <c r="F22" t="str">
        <f>IF(Rs&gt;RsMAX,(((IOUTMAX*Rs)/CLMIN_Threshold)-1)*F21,"NA")</f>
        <v>NA</v>
      </c>
    </row>
    <row r="23" spans="1:10" x14ac:dyDescent="0.2">
      <c r="E23" s="125" t="s">
        <v>191</v>
      </c>
      <c r="F23">
        <f>IF(RsMAX&gt;Rs,Rs,IF('Design Calculator'!F39="Yes",IF(Rs&gt;RsMAX,Rs/(1+RDIV2/RDIV1),Rs),Rs))</f>
        <v>0.3</v>
      </c>
      <c r="H23" s="185"/>
    </row>
    <row r="24" spans="1:10" x14ac:dyDescent="0.2">
      <c r="E24" s="183" t="s">
        <v>192</v>
      </c>
      <c r="F24" s="186">
        <f>CLMIN_Threshold/RsEFF</f>
        <v>150</v>
      </c>
      <c r="G24" s="186"/>
    </row>
    <row r="25" spans="1:10" x14ac:dyDescent="0.2">
      <c r="E25" s="183" t="s">
        <v>193</v>
      </c>
      <c r="F25">
        <f>CLNOM_Threshold/RsEFF</f>
        <v>166.66666666666669</v>
      </c>
    </row>
    <row r="26" spans="1:10" x14ac:dyDescent="0.2">
      <c r="E26" s="183" t="s">
        <v>194</v>
      </c>
      <c r="F26">
        <f>CLMAX_Threshold/RsEFF</f>
        <v>183.33333333333334</v>
      </c>
    </row>
    <row r="27" spans="1:10" x14ac:dyDescent="0.2">
      <c r="E27" s="183" t="s">
        <v>195</v>
      </c>
      <c r="F27">
        <f>F26^2*'Design Calculator'!F40</f>
        <v>10083.333333333334</v>
      </c>
      <c r="J27" s="40" t="s">
        <v>196</v>
      </c>
    </row>
    <row r="28" spans="1:10" x14ac:dyDescent="0.2">
      <c r="J28" s="40"/>
    </row>
    <row r="29" spans="1:10" x14ac:dyDescent="0.2">
      <c r="J29" s="40" t="s">
        <v>197</v>
      </c>
    </row>
    <row r="30" spans="1:10" x14ac:dyDescent="0.2">
      <c r="E30" s="183"/>
      <c r="J30" s="40"/>
    </row>
    <row r="31" spans="1:10" x14ac:dyDescent="0.2">
      <c r="A31" s="116" t="s">
        <v>198</v>
      </c>
      <c r="J31" s="40" t="s">
        <v>199</v>
      </c>
    </row>
    <row r="32" spans="1:10" x14ac:dyDescent="0.2">
      <c r="A32" s="40"/>
      <c r="F32" s="40" t="s">
        <v>200</v>
      </c>
      <c r="H32" s="40" t="s">
        <v>201</v>
      </c>
      <c r="J32" s="40"/>
    </row>
    <row r="33" spans="1:10" x14ac:dyDescent="0.2">
      <c r="A33" s="40"/>
      <c r="E33" s="114" t="s">
        <v>202</v>
      </c>
      <c r="F33" s="187">
        <f>VINMAX*'Design Calculator'!F55</f>
        <v>6240</v>
      </c>
      <c r="G33" s="40" t="s">
        <v>56</v>
      </c>
      <c r="H33">
        <f>F33*(TJMAX-TJ)/(TJMAX-25)</f>
        <v>2308.1066666666675</v>
      </c>
      <c r="J33" s="40" t="s">
        <v>203</v>
      </c>
    </row>
    <row r="34" spans="1:10" x14ac:dyDescent="0.2">
      <c r="A34" s="40"/>
      <c r="E34" s="114" t="s">
        <v>204</v>
      </c>
      <c r="F34" s="187">
        <f>VINMAX*'Design Calculator'!F56</f>
        <v>1560</v>
      </c>
      <c r="G34" s="40" t="s">
        <v>56</v>
      </c>
      <c r="H34">
        <f>F34*(TJMAX-TJ)/(TJMAX-25)</f>
        <v>577.02666666666687</v>
      </c>
      <c r="J34" s="40"/>
    </row>
    <row r="35" spans="1:10" x14ac:dyDescent="0.2">
      <c r="A35" s="40"/>
      <c r="E35" s="114" t="s">
        <v>205</v>
      </c>
      <c r="F35" s="187">
        <f>VINMAX*'Design Calculator'!F57</f>
        <v>624</v>
      </c>
      <c r="G35" s="40" t="s">
        <v>56</v>
      </c>
      <c r="H35">
        <f>F35*(TJMAX-TJ)/(TJMAX-25)</f>
        <v>230.81066666666672</v>
      </c>
    </row>
    <row r="36" spans="1:10" x14ac:dyDescent="0.2">
      <c r="A36" s="40"/>
      <c r="E36" s="114" t="s">
        <v>206</v>
      </c>
      <c r="F36" s="187">
        <f>VINMAX*'Design Calculator'!F58</f>
        <v>260</v>
      </c>
      <c r="G36" s="40" t="s">
        <v>56</v>
      </c>
      <c r="H36">
        <f>F36*(TJMAX-TJ)/(TJMAX-25)</f>
        <v>96.171111111111145</v>
      </c>
      <c r="J36" s="40"/>
    </row>
    <row r="37" spans="1:10" x14ac:dyDescent="0.2">
      <c r="A37" s="40"/>
      <c r="E37" s="125"/>
      <c r="F37" s="188"/>
      <c r="G37" s="40"/>
    </row>
    <row r="38" spans="1:10" x14ac:dyDescent="0.2">
      <c r="A38" s="40"/>
      <c r="E38" s="125" t="s">
        <v>207</v>
      </c>
      <c r="F38" s="188">
        <f>MAX(VINMAX*5/RsEFF,0.4*10*CLNOM)</f>
        <v>866.66666666666674</v>
      </c>
      <c r="G38" s="40" t="s">
        <v>56</v>
      </c>
      <c r="J38" s="40"/>
    </row>
    <row r="39" spans="1:10" x14ac:dyDescent="0.2">
      <c r="A39" s="40"/>
      <c r="E39" s="125" t="s">
        <v>208</v>
      </c>
      <c r="F39" s="188">
        <f>'Design Calculator'!F63</f>
        <v>500</v>
      </c>
      <c r="G39" s="40" t="s">
        <v>56</v>
      </c>
    </row>
    <row r="40" spans="1:10" x14ac:dyDescent="0.2">
      <c r="A40" s="40"/>
      <c r="E40" s="125" t="s">
        <v>209</v>
      </c>
      <c r="F40" s="32">
        <f>F39/CLNOM/10</f>
        <v>0.29999999999999993</v>
      </c>
      <c r="G40" s="40" t="s">
        <v>39</v>
      </c>
    </row>
    <row r="41" spans="1:10" x14ac:dyDescent="0.2">
      <c r="A41" s="40"/>
      <c r="E41" s="125" t="s">
        <v>210</v>
      </c>
      <c r="F41" s="32">
        <f>'Design Calculator'!F64</f>
        <v>45</v>
      </c>
      <c r="G41" s="40" t="s">
        <v>211</v>
      </c>
    </row>
    <row r="42" spans="1:10" x14ac:dyDescent="0.2">
      <c r="A42" s="40"/>
      <c r="E42" s="125" t="s">
        <v>212</v>
      </c>
      <c r="F42" s="189">
        <f>F40/4</f>
        <v>7.4999999999999983E-2</v>
      </c>
    </row>
    <row r="43" spans="1:10" x14ac:dyDescent="0.2">
      <c r="A43" s="40"/>
      <c r="E43" s="125" t="s">
        <v>213</v>
      </c>
      <c r="F43" s="189">
        <f>F41*F42/(1-F42)</f>
        <v>3.6486486486486474</v>
      </c>
      <c r="G43" s="40" t="s">
        <v>211</v>
      </c>
    </row>
    <row r="44" spans="1:10" x14ac:dyDescent="0.2">
      <c r="A44" s="40"/>
      <c r="E44" s="125" t="s">
        <v>214</v>
      </c>
      <c r="F44" s="188">
        <f>'Design Calculator'!F66</f>
        <v>6.8</v>
      </c>
    </row>
    <row r="45" spans="1:10" x14ac:dyDescent="0.2">
      <c r="A45" s="40"/>
      <c r="E45" s="125"/>
      <c r="F45" s="188"/>
    </row>
    <row r="46" spans="1:10" x14ac:dyDescent="0.2">
      <c r="E46" s="125" t="s">
        <v>215</v>
      </c>
      <c r="F46" s="190">
        <f>4*F44/(F44+F41)</f>
        <v>0.52509652509652516</v>
      </c>
      <c r="G46" s="40" t="s">
        <v>39</v>
      </c>
    </row>
    <row r="47" spans="1:10" x14ac:dyDescent="0.2">
      <c r="E47" s="125" t="s">
        <v>216</v>
      </c>
      <c r="F47" s="190">
        <f>F46*10*CLNOM</f>
        <v>875.16087516087532</v>
      </c>
      <c r="G47" s="40"/>
    </row>
    <row r="48" spans="1:10" x14ac:dyDescent="0.2">
      <c r="E48" s="125"/>
      <c r="F48" s="191"/>
      <c r="G48" s="40"/>
    </row>
    <row r="49" spans="1:12" x14ac:dyDescent="0.2">
      <c r="E49" s="183"/>
      <c r="F49" s="32"/>
      <c r="H49" s="183"/>
      <c r="I49" s="32"/>
      <c r="K49" s="183"/>
      <c r="L49" s="32"/>
    </row>
    <row r="50" spans="1:12" x14ac:dyDescent="0.2">
      <c r="E50" s="183"/>
      <c r="F50" s="32"/>
      <c r="H50" s="183"/>
      <c r="I50" s="32"/>
      <c r="K50" s="183"/>
      <c r="L50" s="32"/>
    </row>
    <row r="51" spans="1:12" x14ac:dyDescent="0.2">
      <c r="A51" s="116" t="s">
        <v>217</v>
      </c>
    </row>
    <row r="52" spans="1:12" x14ac:dyDescent="0.2">
      <c r="A52" s="116"/>
      <c r="D52" s="242" t="s">
        <v>218</v>
      </c>
      <c r="E52" s="242"/>
      <c r="F52" s="242"/>
      <c r="G52" s="242"/>
    </row>
    <row r="53" spans="1:12" x14ac:dyDescent="0.2">
      <c r="A53" s="116"/>
      <c r="E53" s="125" t="s">
        <v>219</v>
      </c>
      <c r="F53" s="186">
        <f>Start_up!M2</f>
        <v>260.00000000000017</v>
      </c>
      <c r="G53" s="40" t="s">
        <v>101</v>
      </c>
    </row>
    <row r="54" spans="1:12" x14ac:dyDescent="0.2">
      <c r="A54" s="116"/>
      <c r="E54" s="125" t="s">
        <v>220</v>
      </c>
      <c r="F54" s="186">
        <f>'Device Parmaters'!D17</f>
        <v>0.75</v>
      </c>
    </row>
    <row r="55" spans="1:12" x14ac:dyDescent="0.2">
      <c r="A55" s="116"/>
      <c r="E55" s="125" t="s">
        <v>221</v>
      </c>
      <c r="F55">
        <f>F53*(1+F54)</f>
        <v>455.00000000000028</v>
      </c>
      <c r="G55" s="40" t="s">
        <v>101</v>
      </c>
    </row>
    <row r="56" spans="1:12" x14ac:dyDescent="0.2">
      <c r="A56" s="116"/>
      <c r="E56" s="125" t="s">
        <v>104</v>
      </c>
      <c r="F56">
        <f>'Device Parmaters'!D15/'Device Parmaters'!D12*F55</f>
        <v>2843.7500000000018</v>
      </c>
      <c r="G56" s="40" t="s">
        <v>105</v>
      </c>
    </row>
    <row r="57" spans="1:12" x14ac:dyDescent="0.2">
      <c r="A57" s="116"/>
      <c r="E57" s="125" t="s">
        <v>222</v>
      </c>
      <c r="F57" s="186">
        <f>'Design Calculator'!F76</f>
        <v>220</v>
      </c>
      <c r="G57" s="40" t="s">
        <v>105</v>
      </c>
    </row>
    <row r="58" spans="1:12" x14ac:dyDescent="0.2">
      <c r="A58" s="116"/>
      <c r="E58" s="125" t="s">
        <v>223</v>
      </c>
      <c r="F58">
        <f>'Device Parmaters'!D12/'Device Parmaters'!D15*F57</f>
        <v>35.200000000000003</v>
      </c>
      <c r="G58" s="40" t="s">
        <v>101</v>
      </c>
    </row>
    <row r="59" spans="1:12" x14ac:dyDescent="0.2">
      <c r="A59" s="116"/>
      <c r="E59" s="125" t="s">
        <v>224</v>
      </c>
      <c r="F59">
        <f>SOA!C26/Equations!F47</f>
        <v>1.3092946398928516</v>
      </c>
      <c r="G59" s="40"/>
    </row>
    <row r="60" spans="1:12" x14ac:dyDescent="0.2">
      <c r="A60" s="116"/>
      <c r="E60" s="125"/>
      <c r="G60" s="40"/>
    </row>
    <row r="61" spans="1:12" x14ac:dyDescent="0.2">
      <c r="A61" s="116"/>
      <c r="D61" s="242" t="s">
        <v>225</v>
      </c>
      <c r="E61" s="242"/>
      <c r="F61" s="242"/>
      <c r="G61" s="242"/>
    </row>
    <row r="62" spans="1:12" x14ac:dyDescent="0.2">
      <c r="A62" s="116"/>
      <c r="C62" s="40"/>
      <c r="D62" s="193"/>
      <c r="E62" s="125" t="s">
        <v>226</v>
      </c>
      <c r="F62" s="182">
        <f>'Design Calculator'!F82</f>
        <v>0.2</v>
      </c>
      <c r="G62" s="182" t="s">
        <v>111</v>
      </c>
    </row>
    <row r="63" spans="1:12" x14ac:dyDescent="0.2">
      <c r="A63" s="116"/>
      <c r="C63" s="40"/>
      <c r="D63" s="193"/>
      <c r="E63" s="125" t="s">
        <v>115</v>
      </c>
      <c r="F63" s="32">
        <f>'Device Parmaters'!D20/ss_rate</f>
        <v>110</v>
      </c>
      <c r="G63" s="40" t="s">
        <v>105</v>
      </c>
    </row>
    <row r="64" spans="1:12" x14ac:dyDescent="0.2">
      <c r="A64" s="116"/>
      <c r="C64" s="40"/>
      <c r="D64" s="193"/>
      <c r="E64" s="125" t="s">
        <v>116</v>
      </c>
      <c r="F64" s="182">
        <f>'Design Calculator'!F84</f>
        <v>110</v>
      </c>
      <c r="G64" s="40" t="s">
        <v>105</v>
      </c>
    </row>
    <row r="65" spans="1:8" x14ac:dyDescent="0.2">
      <c r="A65" s="116"/>
      <c r="C65" s="40"/>
      <c r="D65" s="193"/>
      <c r="E65" s="125" t="s">
        <v>227</v>
      </c>
      <c r="F65" s="32">
        <f>ss_rate*F63/F64</f>
        <v>0.2</v>
      </c>
      <c r="G65" s="40" t="s">
        <v>111</v>
      </c>
    </row>
    <row r="66" spans="1:8" x14ac:dyDescent="0.2">
      <c r="A66" s="116"/>
      <c r="C66" s="40"/>
      <c r="D66" s="193"/>
      <c r="E66" s="125" t="s">
        <v>228</v>
      </c>
      <c r="F66" s="182">
        <f>COUTMAX*F65/1000</f>
        <v>2</v>
      </c>
      <c r="G66" s="182" t="s">
        <v>43</v>
      </c>
    </row>
    <row r="67" spans="1:8" x14ac:dyDescent="0.2">
      <c r="A67" s="116"/>
      <c r="C67" s="40"/>
      <c r="D67" s="193"/>
      <c r="E67" s="125" t="s">
        <v>229</v>
      </c>
      <c r="F67" s="182">
        <f>VINMAX/F65</f>
        <v>260</v>
      </c>
      <c r="G67" s="182" t="s">
        <v>101</v>
      </c>
    </row>
    <row r="68" spans="1:8" x14ac:dyDescent="0.2">
      <c r="A68" s="116"/>
      <c r="C68" s="40"/>
      <c r="D68" s="193"/>
      <c r="E68" s="125" t="s">
        <v>230</v>
      </c>
      <c r="F68" s="182">
        <f>Start_up!N5</f>
        <v>15.398500000000002</v>
      </c>
      <c r="G68" s="182" t="s">
        <v>231</v>
      </c>
    </row>
    <row r="69" spans="1:8" x14ac:dyDescent="0.2">
      <c r="A69" s="116"/>
      <c r="C69" s="40"/>
      <c r="D69" s="193"/>
      <c r="E69" s="125" t="s">
        <v>232</v>
      </c>
      <c r="F69" s="182">
        <f>Start_up!Q4</f>
        <v>119.6</v>
      </c>
      <c r="G69" s="182" t="s">
        <v>56</v>
      </c>
    </row>
    <row r="70" spans="1:8" x14ac:dyDescent="0.2">
      <c r="A70" s="116"/>
      <c r="D70" s="192"/>
      <c r="E70" s="125" t="s">
        <v>233</v>
      </c>
      <c r="F70" s="182">
        <f>F68/F69*1000</f>
        <v>128.75000000000003</v>
      </c>
      <c r="G70" s="182" t="s">
        <v>101</v>
      </c>
    </row>
    <row r="71" spans="1:8" x14ac:dyDescent="0.2">
      <c r="A71" s="116"/>
      <c r="E71" s="125" t="s">
        <v>234</v>
      </c>
      <c r="F71" s="40">
        <f>SOA!H28</f>
        <v>188.10074612437816</v>
      </c>
      <c r="G71" s="182" t="s">
        <v>56</v>
      </c>
    </row>
    <row r="72" spans="1:8" x14ac:dyDescent="0.2">
      <c r="A72" s="116"/>
      <c r="E72" s="125" t="s">
        <v>235</v>
      </c>
      <c r="F72" s="40">
        <f>F71/F69</f>
        <v>1.5727487134145333</v>
      </c>
      <c r="G72" s="40"/>
    </row>
    <row r="73" spans="1:8" x14ac:dyDescent="0.2">
      <c r="A73" s="116"/>
      <c r="E73" s="125"/>
      <c r="F73" s="40"/>
      <c r="G73" s="40"/>
    </row>
    <row r="74" spans="1:8" x14ac:dyDescent="0.2">
      <c r="A74" s="116"/>
      <c r="E74" s="125"/>
      <c r="F74" s="40">
        <v>1</v>
      </c>
      <c r="G74" s="182" t="s">
        <v>101</v>
      </c>
    </row>
    <row r="75" spans="1:8" x14ac:dyDescent="0.2">
      <c r="A75" s="116"/>
      <c r="D75" s="243" t="s">
        <v>236</v>
      </c>
      <c r="E75" s="243"/>
      <c r="F75" s="243"/>
      <c r="G75" s="243"/>
      <c r="H75" s="243"/>
    </row>
    <row r="76" spans="1:8" x14ac:dyDescent="0.2">
      <c r="A76" s="116"/>
      <c r="E76" s="125" t="s">
        <v>119</v>
      </c>
      <c r="F76" s="194">
        <f>'Design Calculator'!F87</f>
        <v>0.4</v>
      </c>
      <c r="G76" s="40"/>
    </row>
    <row r="77" spans="1:8" x14ac:dyDescent="0.2">
      <c r="A77" s="116"/>
      <c r="E77" s="125" t="s">
        <v>120</v>
      </c>
      <c r="F77" s="40">
        <f>'Device Parmaters'!D15/'Device Parmaters'!D12*F76</f>
        <v>2.5</v>
      </c>
      <c r="G77" s="40" t="s">
        <v>105</v>
      </c>
    </row>
    <row r="78" spans="1:8" x14ac:dyDescent="0.2">
      <c r="A78" s="116"/>
      <c r="E78" s="125" t="s">
        <v>237</v>
      </c>
      <c r="F78" s="194">
        <f>'Design Calculator'!F89</f>
        <v>2</v>
      </c>
      <c r="G78" s="40" t="s">
        <v>105</v>
      </c>
    </row>
    <row r="79" spans="1:8" x14ac:dyDescent="0.2">
      <c r="A79" s="116"/>
      <c r="E79" s="114" t="s">
        <v>122</v>
      </c>
      <c r="F79" s="40">
        <f>'Device Parmaters'!D12/'Device Parmaters'!D15*F78</f>
        <v>0.32</v>
      </c>
      <c r="G79" s="40" t="s">
        <v>101</v>
      </c>
    </row>
    <row r="80" spans="1:8" x14ac:dyDescent="0.2">
      <c r="A80" s="116"/>
      <c r="E80" s="125" t="s">
        <v>238</v>
      </c>
      <c r="F80" s="40">
        <f>SOA!C26</f>
        <v>1145.8434428920712</v>
      </c>
      <c r="G80" s="40" t="s">
        <v>56</v>
      </c>
    </row>
    <row r="81" spans="1:13" x14ac:dyDescent="0.2">
      <c r="A81" s="116"/>
      <c r="E81" s="114" t="s">
        <v>235</v>
      </c>
      <c r="F81" s="40">
        <f>F80/F47</f>
        <v>1.3092946398928516</v>
      </c>
      <c r="G81" s="40"/>
    </row>
    <row r="82" spans="1:13" x14ac:dyDescent="0.2">
      <c r="A82" s="116"/>
      <c r="E82" s="125"/>
      <c r="F82" s="40"/>
      <c r="G82" s="40"/>
    </row>
    <row r="83" spans="1:13" x14ac:dyDescent="0.2">
      <c r="E83" s="183"/>
      <c r="J83" s="195"/>
      <c r="M83" s="195"/>
    </row>
    <row r="84" spans="1:13" x14ac:dyDescent="0.2">
      <c r="E84" s="125"/>
      <c r="J84" s="195"/>
      <c r="M84" s="195"/>
    </row>
    <row r="85" spans="1:13" x14ac:dyDescent="0.2">
      <c r="E85" s="116" t="s">
        <v>239</v>
      </c>
      <c r="J85" s="40" t="s">
        <v>240</v>
      </c>
    </row>
    <row r="86" spans="1:13" x14ac:dyDescent="0.2">
      <c r="E86" s="125" t="s">
        <v>126</v>
      </c>
      <c r="F86">
        <f>'Design Calculator'!F92</f>
        <v>30</v>
      </c>
      <c r="G86" s="40" t="s">
        <v>39</v>
      </c>
    </row>
    <row r="87" spans="1:13" x14ac:dyDescent="0.2">
      <c r="E87" s="125" t="s">
        <v>128</v>
      </c>
      <c r="F87">
        <f>'Design Calculator'!F93</f>
        <v>10</v>
      </c>
      <c r="G87" s="40" t="s">
        <v>211</v>
      </c>
      <c r="J87" s="40" t="s">
        <v>241</v>
      </c>
    </row>
    <row r="88" spans="1:13" x14ac:dyDescent="0.2">
      <c r="E88" s="125" t="s">
        <v>129</v>
      </c>
      <c r="F88">
        <f>'Design Calculator'!F94</f>
        <v>10</v>
      </c>
      <c r="G88" s="40" t="s">
        <v>211</v>
      </c>
    </row>
    <row r="89" spans="1:13" x14ac:dyDescent="0.2">
      <c r="E89" s="125" t="s">
        <v>130</v>
      </c>
      <c r="F89" s="196">
        <f>F88*(-1+F86/'Device Parmaters'!D23)</f>
        <v>212.22222222222223</v>
      </c>
      <c r="G89" s="40" t="s">
        <v>211</v>
      </c>
      <c r="J89" s="40" t="s">
        <v>242</v>
      </c>
    </row>
    <row r="90" spans="1:13" x14ac:dyDescent="0.2">
      <c r="E90" s="125" t="s">
        <v>131</v>
      </c>
      <c r="F90">
        <f>'Design Calculator'!F96</f>
        <v>212</v>
      </c>
      <c r="G90" s="40" t="s">
        <v>211</v>
      </c>
    </row>
    <row r="91" spans="1:13" x14ac:dyDescent="0.2">
      <c r="E91" s="183"/>
      <c r="F91" s="197"/>
      <c r="G91" s="197"/>
    </row>
    <row r="92" spans="1:13" x14ac:dyDescent="0.2">
      <c r="E92" s="183"/>
      <c r="F92" s="197"/>
      <c r="G92" s="197"/>
    </row>
    <row r="93" spans="1:13" x14ac:dyDescent="0.2">
      <c r="D93" s="139" t="s">
        <v>132</v>
      </c>
      <c r="E93" s="140" t="s">
        <v>133</v>
      </c>
      <c r="F93" s="140" t="s">
        <v>134</v>
      </c>
      <c r="G93" s="140" t="s">
        <v>135</v>
      </c>
    </row>
    <row r="94" spans="1:13" x14ac:dyDescent="0.2">
      <c r="D94" s="114" t="s">
        <v>136</v>
      </c>
      <c r="E94" s="198">
        <f>($F$90+$F$88)/$F$88*'Device Parmaters'!C23</f>
        <v>29.304000000000002</v>
      </c>
      <c r="F94" s="198">
        <f>($F$90+$F$88)/$F$88*'Device Parmaters'!D23</f>
        <v>29.970000000000002</v>
      </c>
      <c r="G94" s="198">
        <f>($F$90+$F$88)/$F$88*'Device Parmaters'!E23</f>
        <v>30.635999999999996</v>
      </c>
    </row>
    <row r="95" spans="1:13" x14ac:dyDescent="0.2">
      <c r="D95" s="114" t="s">
        <v>137</v>
      </c>
      <c r="E95" s="198">
        <f>($F$90+$F$88)/$F$88*'Device Parmaters'!C24</f>
        <v>27.084</v>
      </c>
      <c r="F95" s="198">
        <f>($F$90+$F$88)/$F$88*'Device Parmaters'!D24</f>
        <v>27.75</v>
      </c>
      <c r="G95" s="198">
        <f>($F$90+$F$88)/$F$88*'Device Parmaters'!E24</f>
        <v>28.416</v>
      </c>
    </row>
    <row r="96" spans="1:13" x14ac:dyDescent="0.2">
      <c r="E96" s="183"/>
      <c r="F96" s="197"/>
      <c r="G96" s="197"/>
    </row>
    <row r="104" spans="5:7" x14ac:dyDescent="0.2">
      <c r="E104" s="125"/>
      <c r="F104" s="40"/>
      <c r="G104" s="40"/>
    </row>
    <row r="105" spans="5:7" x14ac:dyDescent="0.2">
      <c r="E105" s="125"/>
      <c r="F105" s="40"/>
      <c r="G105" s="40"/>
    </row>
    <row r="106" spans="5:7" x14ac:dyDescent="0.2">
      <c r="E106" s="125"/>
      <c r="G106" s="40"/>
    </row>
    <row r="127" spans="3:6" x14ac:dyDescent="0.2">
      <c r="C127" s="116" t="s">
        <v>243</v>
      </c>
    </row>
    <row r="128" spans="3:6" x14ac:dyDescent="0.2">
      <c r="E128" s="183" t="s">
        <v>244</v>
      </c>
      <c r="F128" s="32">
        <f>'Design Calculator'!F40</f>
        <v>0.3</v>
      </c>
    </row>
    <row r="129" spans="4:18" x14ac:dyDescent="0.2">
      <c r="E129" s="183" t="s">
        <v>245</v>
      </c>
      <c r="F129" s="32">
        <f>'Design Calculator'!F29</f>
        <v>52</v>
      </c>
    </row>
    <row r="131" spans="4:18" x14ac:dyDescent="0.2">
      <c r="E131" s="183" t="s">
        <v>246</v>
      </c>
      <c r="F131" s="197">
        <f>F24</f>
        <v>150</v>
      </c>
    </row>
    <row r="132" spans="4:18" x14ac:dyDescent="0.2">
      <c r="E132" s="183" t="s">
        <v>247</v>
      </c>
      <c r="F132" s="197">
        <f>F25</f>
        <v>166.66666666666669</v>
      </c>
    </row>
    <row r="133" spans="4:18" x14ac:dyDescent="0.2">
      <c r="E133" s="183" t="s">
        <v>248</v>
      </c>
      <c r="F133" s="197">
        <f>F26</f>
        <v>183.33333333333334</v>
      </c>
    </row>
    <row r="135" spans="4:18" x14ac:dyDescent="0.2">
      <c r="E135" s="183" t="s">
        <v>249</v>
      </c>
      <c r="F135" s="189">
        <f>'Design Calculator'!F67</f>
        <v>875.16087516087532</v>
      </c>
    </row>
    <row r="136" spans="4:18" x14ac:dyDescent="0.2">
      <c r="E136" s="183"/>
      <c r="F136" s="189"/>
    </row>
    <row r="138" spans="4:18" x14ac:dyDescent="0.2">
      <c r="E138" s="183"/>
      <c r="F138" s="189"/>
    </row>
    <row r="143" spans="4:18" x14ac:dyDescent="0.2">
      <c r="D143" t="s">
        <v>250</v>
      </c>
      <c r="E143" s="183"/>
      <c r="I143" t="s">
        <v>251</v>
      </c>
      <c r="N143" t="s">
        <v>252</v>
      </c>
      <c r="R143" s="40" t="s">
        <v>253</v>
      </c>
    </row>
    <row r="144" spans="4:18" x14ac:dyDescent="0.2">
      <c r="D144" t="s">
        <v>254</v>
      </c>
      <c r="I144" t="s">
        <v>255</v>
      </c>
      <c r="N144" t="s">
        <v>256</v>
      </c>
      <c r="R144" s="40" t="s">
        <v>257</v>
      </c>
    </row>
    <row r="145" spans="2:25" x14ac:dyDescent="0.2">
      <c r="B145" s="40" t="s">
        <v>258</v>
      </c>
      <c r="D145" s="172" t="s">
        <v>259</v>
      </c>
      <c r="E145" s="172" t="s">
        <v>161</v>
      </c>
      <c r="F145" s="199" t="s">
        <v>162</v>
      </c>
      <c r="G145" s="172" t="s">
        <v>163</v>
      </c>
      <c r="I145" s="172" t="s">
        <v>259</v>
      </c>
      <c r="J145" s="172" t="s">
        <v>161</v>
      </c>
      <c r="K145" s="172" t="s">
        <v>162</v>
      </c>
      <c r="L145" s="172" t="s">
        <v>163</v>
      </c>
      <c r="N145" t="s">
        <v>260</v>
      </c>
      <c r="R145" s="172" t="s">
        <v>259</v>
      </c>
      <c r="S145" s="172" t="s">
        <v>161</v>
      </c>
      <c r="T145" s="172" t="s">
        <v>162</v>
      </c>
      <c r="U145" s="172" t="s">
        <v>163</v>
      </c>
      <c r="V145" s="199" t="s">
        <v>261</v>
      </c>
      <c r="X145" s="200" t="s">
        <v>262</v>
      </c>
    </row>
    <row r="146" spans="2:25" x14ac:dyDescent="0.2">
      <c r="B146">
        <f t="shared" ref="B146:B162" si="0">D146*F146</f>
        <v>875.16087516087532</v>
      </c>
      <c r="C146" s="172">
        <v>0.1</v>
      </c>
      <c r="D146" s="172">
        <f t="shared" ref="D146:D162" si="1">C146/12*$F$129</f>
        <v>0.43333333333333335</v>
      </c>
      <c r="E146" s="201">
        <f t="shared" ref="E146:E162" si="2">(1-$F$169)*F146</f>
        <v>1514.701514701515</v>
      </c>
      <c r="F146" s="201">
        <f t="shared" ref="F146:F162" si="3">($F$135)/D146</f>
        <v>2019.6020196020199</v>
      </c>
      <c r="G146" s="201">
        <f t="shared" ref="G146:G162" si="4">F146*(1+$F$169)</f>
        <v>2524.5025245025249</v>
      </c>
      <c r="I146" s="172">
        <f t="shared" ref="I146:I162" si="5">D146</f>
        <v>0.43333333333333335</v>
      </c>
      <c r="J146" s="201">
        <f t="shared" ref="J146:J162" si="6">IF(E146&gt;$F$131,$F$131,E146)</f>
        <v>150</v>
      </c>
      <c r="K146" s="201">
        <f t="shared" ref="K146:K162" si="7">IF(F146&gt;$F$132,$F$132,F146)</f>
        <v>166.66666666666669</v>
      </c>
      <c r="L146" s="201">
        <f t="shared" ref="L146:L162" si="8">IF(G146&gt;$F$133,$F$133,G146)</f>
        <v>183.33333333333334</v>
      </c>
      <c r="N146" t="s">
        <v>263</v>
      </c>
      <c r="R146" s="172">
        <f t="shared" ref="R146:R162" si="9">I146</f>
        <v>0.43333333333333335</v>
      </c>
      <c r="S146" s="201">
        <f t="shared" ref="S146:S165" si="10">IF($R146&gt;$F$129,0.0000000005,J146)</f>
        <v>150</v>
      </c>
      <c r="T146" s="201">
        <f t="shared" ref="T146:T165" si="11">IF($R146&gt;$F$129,0.0000000005,K146)</f>
        <v>166.66666666666669</v>
      </c>
      <c r="U146" s="201">
        <f t="shared" ref="U146:U165" si="12">IF($R146&gt;$F$129,0.0000000005,L146)</f>
        <v>183.33333333333334</v>
      </c>
      <c r="V146" s="201">
        <f t="shared" ref="V146:V165" si="13">$X$146/R146</f>
        <v>2644.2540989817026</v>
      </c>
      <c r="X146">
        <f>SOA!C26</f>
        <v>1145.8434428920712</v>
      </c>
      <c r="Y146" s="40" t="s">
        <v>56</v>
      </c>
    </row>
    <row r="147" spans="2:25" x14ac:dyDescent="0.2">
      <c r="B147">
        <f t="shared" si="0"/>
        <v>875.16087516087532</v>
      </c>
      <c r="C147" s="172">
        <v>1</v>
      </c>
      <c r="D147" s="172">
        <f t="shared" si="1"/>
        <v>4.333333333333333</v>
      </c>
      <c r="E147" s="201">
        <f t="shared" si="2"/>
        <v>151.47015147015151</v>
      </c>
      <c r="F147" s="201">
        <f t="shared" si="3"/>
        <v>201.960201960202</v>
      </c>
      <c r="G147" s="201">
        <f t="shared" si="4"/>
        <v>252.45025245025249</v>
      </c>
      <c r="I147" s="172">
        <f t="shared" si="5"/>
        <v>4.333333333333333</v>
      </c>
      <c r="J147" s="201">
        <f t="shared" si="6"/>
        <v>150</v>
      </c>
      <c r="K147" s="201">
        <f t="shared" si="7"/>
        <v>166.66666666666669</v>
      </c>
      <c r="L147" s="201">
        <f t="shared" si="8"/>
        <v>183.33333333333334</v>
      </c>
      <c r="R147" s="172">
        <f t="shared" si="9"/>
        <v>4.333333333333333</v>
      </c>
      <c r="S147" s="201">
        <f t="shared" si="10"/>
        <v>150</v>
      </c>
      <c r="T147" s="201">
        <f t="shared" si="11"/>
        <v>166.66666666666669</v>
      </c>
      <c r="U147" s="201">
        <f t="shared" si="12"/>
        <v>183.33333333333334</v>
      </c>
      <c r="V147" s="201">
        <f t="shared" si="13"/>
        <v>264.4254098981703</v>
      </c>
    </row>
    <row r="148" spans="2:25" x14ac:dyDescent="0.2">
      <c r="B148">
        <f t="shared" si="0"/>
        <v>875.16087516087532</v>
      </c>
      <c r="C148" s="172">
        <v>2</v>
      </c>
      <c r="D148" s="172">
        <f t="shared" si="1"/>
        <v>8.6666666666666661</v>
      </c>
      <c r="E148" s="201">
        <f t="shared" si="2"/>
        <v>75.735075735075753</v>
      </c>
      <c r="F148" s="201">
        <f t="shared" si="3"/>
        <v>100.980100980101</v>
      </c>
      <c r="G148" s="201">
        <f t="shared" si="4"/>
        <v>126.22512622512625</v>
      </c>
      <c r="I148" s="172">
        <f t="shared" si="5"/>
        <v>8.6666666666666661</v>
      </c>
      <c r="J148" s="201">
        <f t="shared" si="6"/>
        <v>75.735075735075753</v>
      </c>
      <c r="K148" s="201">
        <f t="shared" si="7"/>
        <v>100.980100980101</v>
      </c>
      <c r="L148" s="201">
        <f t="shared" si="8"/>
        <v>126.22512622512625</v>
      </c>
      <c r="O148" s="202" t="s">
        <v>264</v>
      </c>
      <c r="R148" s="172">
        <f t="shared" si="9"/>
        <v>8.6666666666666661</v>
      </c>
      <c r="S148" s="201">
        <f t="shared" si="10"/>
        <v>75.735075735075753</v>
      </c>
      <c r="T148" s="201">
        <f t="shared" si="11"/>
        <v>100.980100980101</v>
      </c>
      <c r="U148" s="201">
        <f t="shared" si="12"/>
        <v>126.22512622512625</v>
      </c>
      <c r="V148" s="201">
        <f t="shared" si="13"/>
        <v>132.21270494908515</v>
      </c>
    </row>
    <row r="149" spans="2:25" x14ac:dyDescent="0.2">
      <c r="B149">
        <f t="shared" si="0"/>
        <v>875.16087516087543</v>
      </c>
      <c r="C149" s="172">
        <v>3</v>
      </c>
      <c r="D149" s="172">
        <f t="shared" si="1"/>
        <v>13</v>
      </c>
      <c r="E149" s="201">
        <f t="shared" si="2"/>
        <v>50.490050490050507</v>
      </c>
      <c r="F149" s="201">
        <f t="shared" si="3"/>
        <v>67.320067320067338</v>
      </c>
      <c r="G149" s="201">
        <f t="shared" si="4"/>
        <v>84.150084150084169</v>
      </c>
      <c r="I149" s="172">
        <f t="shared" si="5"/>
        <v>13</v>
      </c>
      <c r="J149" s="201">
        <f t="shared" si="6"/>
        <v>50.490050490050507</v>
      </c>
      <c r="K149" s="201">
        <f t="shared" si="7"/>
        <v>67.320067320067338</v>
      </c>
      <c r="L149" s="201">
        <f t="shared" si="8"/>
        <v>84.150084150084169</v>
      </c>
      <c r="N149" s="203" t="s">
        <v>259</v>
      </c>
      <c r="O149" s="204" t="s">
        <v>265</v>
      </c>
      <c r="R149" s="172">
        <f t="shared" si="9"/>
        <v>13</v>
      </c>
      <c r="S149" s="201">
        <f t="shared" si="10"/>
        <v>50.490050490050507</v>
      </c>
      <c r="T149" s="201">
        <f t="shared" si="11"/>
        <v>67.320067320067338</v>
      </c>
      <c r="U149" s="201">
        <f t="shared" si="12"/>
        <v>84.150084150084169</v>
      </c>
      <c r="V149" s="201">
        <f t="shared" si="13"/>
        <v>88.141803299390091</v>
      </c>
    </row>
    <row r="150" spans="2:25" x14ac:dyDescent="0.2">
      <c r="B150">
        <f t="shared" si="0"/>
        <v>875.16087516087532</v>
      </c>
      <c r="C150" s="172">
        <v>4</v>
      </c>
      <c r="D150" s="172">
        <f t="shared" si="1"/>
        <v>17.333333333333332</v>
      </c>
      <c r="E150" s="201">
        <f t="shared" si="2"/>
        <v>37.867537867537877</v>
      </c>
      <c r="F150" s="201">
        <f t="shared" si="3"/>
        <v>50.4900504900505</v>
      </c>
      <c r="G150" s="201">
        <f t="shared" si="4"/>
        <v>63.112563112563123</v>
      </c>
      <c r="I150" s="172">
        <f t="shared" si="5"/>
        <v>17.333333333333332</v>
      </c>
      <c r="J150" s="201">
        <f t="shared" si="6"/>
        <v>37.867537867537877</v>
      </c>
      <c r="K150" s="201">
        <f t="shared" si="7"/>
        <v>50.4900504900505</v>
      </c>
      <c r="L150" s="201">
        <f t="shared" si="8"/>
        <v>63.112563112563123</v>
      </c>
      <c r="N150" s="172">
        <f t="shared" ref="N150:N166" si="14">I146</f>
        <v>0.43333333333333335</v>
      </c>
      <c r="O150" s="172">
        <f>SOA!C39</f>
        <v>1145.8434428920712</v>
      </c>
      <c r="P150" t="s">
        <v>266</v>
      </c>
      <c r="R150" s="172">
        <f t="shared" si="9"/>
        <v>17.333333333333332</v>
      </c>
      <c r="S150" s="201">
        <f t="shared" si="10"/>
        <v>37.867537867537877</v>
      </c>
      <c r="T150" s="201">
        <f t="shared" si="11"/>
        <v>50.4900504900505</v>
      </c>
      <c r="U150" s="201">
        <f t="shared" si="12"/>
        <v>63.112563112563123</v>
      </c>
      <c r="V150" s="201">
        <f t="shared" si="13"/>
        <v>66.106352474542575</v>
      </c>
    </row>
    <row r="151" spans="2:25" x14ac:dyDescent="0.2">
      <c r="B151">
        <f t="shared" si="0"/>
        <v>875.16087516087543</v>
      </c>
      <c r="C151" s="172">
        <v>5</v>
      </c>
      <c r="D151" s="172">
        <f t="shared" si="1"/>
        <v>21.666666666666668</v>
      </c>
      <c r="E151" s="201">
        <f t="shared" si="2"/>
        <v>30.2940302940303</v>
      </c>
      <c r="F151" s="201">
        <f t="shared" si="3"/>
        <v>40.3920403920404</v>
      </c>
      <c r="G151" s="201">
        <f t="shared" si="4"/>
        <v>50.4900504900505</v>
      </c>
      <c r="I151" s="172">
        <f t="shared" si="5"/>
        <v>21.666666666666668</v>
      </c>
      <c r="J151" s="201">
        <f t="shared" si="6"/>
        <v>30.2940302940303</v>
      </c>
      <c r="K151" s="201">
        <f t="shared" si="7"/>
        <v>40.3920403920404</v>
      </c>
      <c r="L151" s="201">
        <f t="shared" si="8"/>
        <v>50.4900504900505</v>
      </c>
      <c r="N151" s="172">
        <f t="shared" si="14"/>
        <v>4.333333333333333</v>
      </c>
      <c r="O151" s="201">
        <f>O154+((O150-O154)*3/7)</f>
        <v>1036.7154959499692</v>
      </c>
      <c r="R151" s="172">
        <f t="shared" si="9"/>
        <v>21.666666666666668</v>
      </c>
      <c r="S151" s="201">
        <f t="shared" si="10"/>
        <v>30.2940302940303</v>
      </c>
      <c r="T151" s="201">
        <f t="shared" si="11"/>
        <v>40.3920403920404</v>
      </c>
      <c r="U151" s="201">
        <f t="shared" si="12"/>
        <v>50.4900504900505</v>
      </c>
      <c r="V151" s="201">
        <f t="shared" si="13"/>
        <v>52.885081979634052</v>
      </c>
    </row>
    <row r="152" spans="2:25" x14ac:dyDescent="0.2">
      <c r="B152">
        <f t="shared" si="0"/>
        <v>875.16087516087543</v>
      </c>
      <c r="C152" s="172">
        <v>6</v>
      </c>
      <c r="D152" s="172">
        <f t="shared" si="1"/>
        <v>26</v>
      </c>
      <c r="E152" s="201">
        <f t="shared" si="2"/>
        <v>25.245025245025253</v>
      </c>
      <c r="F152" s="201">
        <f t="shared" si="3"/>
        <v>33.660033660033669</v>
      </c>
      <c r="G152" s="201">
        <f t="shared" si="4"/>
        <v>42.075042075042084</v>
      </c>
      <c r="I152" s="172">
        <f t="shared" si="5"/>
        <v>26</v>
      </c>
      <c r="J152" s="201">
        <f t="shared" si="6"/>
        <v>25.245025245025253</v>
      </c>
      <c r="K152" s="201">
        <f t="shared" si="7"/>
        <v>33.660033660033669</v>
      </c>
      <c r="L152" s="201">
        <f t="shared" si="8"/>
        <v>42.075042075042084</v>
      </c>
      <c r="N152" s="172">
        <f t="shared" si="14"/>
        <v>8.6666666666666661</v>
      </c>
      <c r="O152" s="201">
        <f>O154+((O150-O154)*2/8)</f>
        <v>1002.6130125305623</v>
      </c>
      <c r="R152" s="172">
        <f t="shared" si="9"/>
        <v>26</v>
      </c>
      <c r="S152" s="201">
        <f t="shared" si="10"/>
        <v>25.245025245025253</v>
      </c>
      <c r="T152" s="201">
        <f t="shared" si="11"/>
        <v>33.660033660033669</v>
      </c>
      <c r="U152" s="201">
        <f t="shared" si="12"/>
        <v>42.075042075042084</v>
      </c>
      <c r="V152" s="201">
        <f t="shared" si="13"/>
        <v>44.070901649695045</v>
      </c>
    </row>
    <row r="153" spans="2:25" x14ac:dyDescent="0.2">
      <c r="B153">
        <f t="shared" si="0"/>
        <v>875.16087516087532</v>
      </c>
      <c r="C153" s="172">
        <v>7</v>
      </c>
      <c r="D153" s="172">
        <f t="shared" si="1"/>
        <v>30.333333333333336</v>
      </c>
      <c r="E153" s="201">
        <f t="shared" si="2"/>
        <v>21.638593067164496</v>
      </c>
      <c r="F153" s="201">
        <f t="shared" si="3"/>
        <v>28.851457422885996</v>
      </c>
      <c r="G153" s="201">
        <f t="shared" si="4"/>
        <v>36.064321778607493</v>
      </c>
      <c r="I153" s="172">
        <f t="shared" si="5"/>
        <v>30.333333333333336</v>
      </c>
      <c r="J153" s="201">
        <f t="shared" si="6"/>
        <v>21.638593067164496</v>
      </c>
      <c r="K153" s="201">
        <f t="shared" si="7"/>
        <v>28.851457422885996</v>
      </c>
      <c r="L153" s="201">
        <f t="shared" si="8"/>
        <v>36.064321778607493</v>
      </c>
      <c r="N153" s="172">
        <f t="shared" si="14"/>
        <v>13</v>
      </c>
      <c r="O153" s="201">
        <f>O154+((O150-O154)*1/9)</f>
        <v>976.08885875991257</v>
      </c>
      <c r="R153" s="172">
        <f t="shared" si="9"/>
        <v>30.333333333333336</v>
      </c>
      <c r="S153" s="201">
        <f t="shared" si="10"/>
        <v>21.638593067164496</v>
      </c>
      <c r="T153" s="201">
        <f t="shared" si="11"/>
        <v>28.851457422885996</v>
      </c>
      <c r="U153" s="201">
        <f t="shared" si="12"/>
        <v>36.064321778607493</v>
      </c>
      <c r="V153" s="201">
        <f t="shared" si="13"/>
        <v>37.775058556881461</v>
      </c>
    </row>
    <row r="154" spans="2:25" x14ac:dyDescent="0.2">
      <c r="B154">
        <f t="shared" si="0"/>
        <v>875.16087516087532</v>
      </c>
      <c r="C154" s="172">
        <v>8</v>
      </c>
      <c r="D154" s="172">
        <f t="shared" si="1"/>
        <v>34.666666666666664</v>
      </c>
      <c r="E154" s="201">
        <f t="shared" si="2"/>
        <v>18.933768933768938</v>
      </c>
      <c r="F154" s="201">
        <f t="shared" si="3"/>
        <v>25.24502524502525</v>
      </c>
      <c r="G154" s="201">
        <f t="shared" si="4"/>
        <v>31.556281556281562</v>
      </c>
      <c r="I154" s="172">
        <f t="shared" si="5"/>
        <v>34.666666666666664</v>
      </c>
      <c r="J154" s="201">
        <f t="shared" si="6"/>
        <v>18.933768933768938</v>
      </c>
      <c r="K154" s="201">
        <f t="shared" si="7"/>
        <v>25.24502524502525</v>
      </c>
      <c r="L154" s="201">
        <f t="shared" si="8"/>
        <v>31.556281556281562</v>
      </c>
      <c r="N154" s="172">
        <f t="shared" si="14"/>
        <v>17.333333333333332</v>
      </c>
      <c r="O154" s="201">
        <f>SOA!C40</f>
        <v>954.8695357433927</v>
      </c>
      <c r="P154" t="s">
        <v>267</v>
      </c>
      <c r="R154" s="172">
        <f t="shared" si="9"/>
        <v>34.666666666666664</v>
      </c>
      <c r="S154" s="201">
        <f t="shared" si="10"/>
        <v>18.933768933768938</v>
      </c>
      <c r="T154" s="201">
        <f t="shared" si="11"/>
        <v>25.24502524502525</v>
      </c>
      <c r="U154" s="201">
        <f t="shared" si="12"/>
        <v>31.556281556281562</v>
      </c>
      <c r="V154" s="201">
        <f t="shared" si="13"/>
        <v>33.053176237271288</v>
      </c>
    </row>
    <row r="155" spans="2:25" x14ac:dyDescent="0.2">
      <c r="B155">
        <f t="shared" si="0"/>
        <v>875.16087516087521</v>
      </c>
      <c r="C155" s="172">
        <v>9</v>
      </c>
      <c r="D155" s="172">
        <f t="shared" si="1"/>
        <v>39</v>
      </c>
      <c r="E155" s="201">
        <f t="shared" si="2"/>
        <v>16.830016830016831</v>
      </c>
      <c r="F155" s="201">
        <f t="shared" si="3"/>
        <v>22.440022440022442</v>
      </c>
      <c r="G155" s="201">
        <f t="shared" si="4"/>
        <v>28.050028050028054</v>
      </c>
      <c r="I155" s="172">
        <f t="shared" si="5"/>
        <v>39</v>
      </c>
      <c r="J155" s="201">
        <f t="shared" si="6"/>
        <v>16.830016830016831</v>
      </c>
      <c r="K155" s="201">
        <f t="shared" si="7"/>
        <v>22.440022440022442</v>
      </c>
      <c r="L155" s="201">
        <f t="shared" si="8"/>
        <v>28.050028050028054</v>
      </c>
      <c r="N155" s="172">
        <f t="shared" si="14"/>
        <v>21.666666666666668</v>
      </c>
      <c r="O155" s="201">
        <f>O$159+((O$154-O$159)*4/6)</f>
        <v>649.311284305507</v>
      </c>
      <c r="R155" s="172">
        <f t="shared" si="9"/>
        <v>39</v>
      </c>
      <c r="S155" s="201">
        <f t="shared" si="10"/>
        <v>16.830016830016831</v>
      </c>
      <c r="T155" s="201">
        <f t="shared" si="11"/>
        <v>22.440022440022442</v>
      </c>
      <c r="U155" s="201">
        <f t="shared" si="12"/>
        <v>28.050028050028054</v>
      </c>
      <c r="V155" s="201">
        <f t="shared" si="13"/>
        <v>29.380601099796696</v>
      </c>
    </row>
    <row r="156" spans="2:25" x14ac:dyDescent="0.2">
      <c r="B156">
        <f t="shared" si="0"/>
        <v>875.16087516087543</v>
      </c>
      <c r="C156" s="172">
        <v>10</v>
      </c>
      <c r="D156" s="172">
        <f t="shared" si="1"/>
        <v>43.333333333333336</v>
      </c>
      <c r="E156" s="201">
        <f t="shared" si="2"/>
        <v>15.14701514701515</v>
      </c>
      <c r="F156" s="201">
        <f t="shared" si="3"/>
        <v>20.1960201960202</v>
      </c>
      <c r="G156" s="201">
        <f t="shared" si="4"/>
        <v>25.24502524502525</v>
      </c>
      <c r="I156" s="172">
        <f t="shared" si="5"/>
        <v>43.333333333333336</v>
      </c>
      <c r="J156" s="201">
        <f t="shared" si="6"/>
        <v>15.14701514701515</v>
      </c>
      <c r="K156" s="201">
        <f t="shared" si="7"/>
        <v>20.1960201960202</v>
      </c>
      <c r="L156" s="201">
        <f t="shared" si="8"/>
        <v>25.24502524502525</v>
      </c>
      <c r="N156" s="172">
        <f t="shared" si="14"/>
        <v>26</v>
      </c>
      <c r="O156" s="201">
        <f>O$159+((O$154-O$159)*3/7)</f>
        <v>431.055390421303</v>
      </c>
      <c r="R156" s="172">
        <f t="shared" si="9"/>
        <v>43.333333333333336</v>
      </c>
      <c r="S156" s="201">
        <f t="shared" si="10"/>
        <v>15.14701514701515</v>
      </c>
      <c r="T156" s="201">
        <f t="shared" si="11"/>
        <v>20.1960201960202</v>
      </c>
      <c r="U156" s="201">
        <f t="shared" si="12"/>
        <v>25.24502524502525</v>
      </c>
      <c r="V156" s="201">
        <f t="shared" si="13"/>
        <v>26.442540989817026</v>
      </c>
    </row>
    <row r="157" spans="2:25" x14ac:dyDescent="0.2">
      <c r="B157">
        <f t="shared" si="0"/>
        <v>875.16087516087543</v>
      </c>
      <c r="C157" s="172">
        <v>11</v>
      </c>
      <c r="D157" s="172">
        <f t="shared" si="1"/>
        <v>47.666666666666664</v>
      </c>
      <c r="E157" s="201">
        <f t="shared" si="2"/>
        <v>13.770013770013774</v>
      </c>
      <c r="F157" s="201">
        <f t="shared" si="3"/>
        <v>18.360018360018366</v>
      </c>
      <c r="G157" s="201">
        <f t="shared" si="4"/>
        <v>22.950022950022955</v>
      </c>
      <c r="I157" s="172">
        <f t="shared" si="5"/>
        <v>47.666666666666664</v>
      </c>
      <c r="J157" s="201">
        <f t="shared" si="6"/>
        <v>13.770013770013774</v>
      </c>
      <c r="K157" s="201">
        <f t="shared" si="7"/>
        <v>18.360018360018366</v>
      </c>
      <c r="L157" s="201">
        <f t="shared" si="8"/>
        <v>22.950022950022955</v>
      </c>
      <c r="N157" s="172">
        <f t="shared" si="14"/>
        <v>30.333333333333336</v>
      </c>
      <c r="O157" s="201">
        <f>O$159+((O$154-O$159)*2/8)</f>
        <v>267.36347000814993</v>
      </c>
      <c r="R157" s="172">
        <f t="shared" si="9"/>
        <v>47.666666666666664</v>
      </c>
      <c r="S157" s="201">
        <f t="shared" si="10"/>
        <v>13.770013770013774</v>
      </c>
      <c r="T157" s="201">
        <f t="shared" si="11"/>
        <v>18.360018360018366</v>
      </c>
      <c r="U157" s="201">
        <f t="shared" si="12"/>
        <v>22.950022950022955</v>
      </c>
      <c r="V157" s="201">
        <f t="shared" si="13"/>
        <v>24.038673627106387</v>
      </c>
    </row>
    <row r="158" spans="2:25" x14ac:dyDescent="0.2">
      <c r="B158">
        <f t="shared" si="0"/>
        <v>875.16087516087543</v>
      </c>
      <c r="C158" s="172">
        <v>12</v>
      </c>
      <c r="D158" s="172">
        <f t="shared" si="1"/>
        <v>52</v>
      </c>
      <c r="E158" s="201">
        <f t="shared" si="2"/>
        <v>12.622512622512627</v>
      </c>
      <c r="F158" s="201">
        <f t="shared" si="3"/>
        <v>16.830016830016834</v>
      </c>
      <c r="G158" s="201">
        <f t="shared" si="4"/>
        <v>21.037521037521042</v>
      </c>
      <c r="I158" s="172">
        <f t="shared" si="5"/>
        <v>52</v>
      </c>
      <c r="J158" s="201">
        <f t="shared" si="6"/>
        <v>12.622512622512627</v>
      </c>
      <c r="K158" s="201">
        <f t="shared" si="7"/>
        <v>16.830016830016834</v>
      </c>
      <c r="L158" s="201">
        <f t="shared" si="8"/>
        <v>21.037521037521042</v>
      </c>
      <c r="N158" s="172">
        <f t="shared" si="14"/>
        <v>34.666666666666664</v>
      </c>
      <c r="O158" s="201">
        <f>O$159+((O$154-O$159)*1/9)</f>
        <v>140.04753190903094</v>
      </c>
      <c r="R158" s="172">
        <f t="shared" si="9"/>
        <v>52</v>
      </c>
      <c r="S158" s="201">
        <f t="shared" si="10"/>
        <v>12.622512622512627</v>
      </c>
      <c r="T158" s="201">
        <f t="shared" si="11"/>
        <v>16.830016830016834</v>
      </c>
      <c r="U158" s="201">
        <f t="shared" si="12"/>
        <v>21.037521037521042</v>
      </c>
      <c r="V158" s="201">
        <f t="shared" si="13"/>
        <v>22.035450824847523</v>
      </c>
    </row>
    <row r="159" spans="2:25" x14ac:dyDescent="0.2">
      <c r="B159">
        <f t="shared" si="0"/>
        <v>875.16087516087532</v>
      </c>
      <c r="C159" s="172">
        <v>13</v>
      </c>
      <c r="D159" s="172">
        <f t="shared" si="1"/>
        <v>56.333333333333329</v>
      </c>
      <c r="E159" s="201">
        <f t="shared" si="2"/>
        <v>11.651550113088579</v>
      </c>
      <c r="F159" s="201">
        <f t="shared" si="3"/>
        <v>15.535400150784771</v>
      </c>
      <c r="G159" s="201">
        <f t="shared" si="4"/>
        <v>19.419250188480962</v>
      </c>
      <c r="I159" s="172">
        <f t="shared" si="5"/>
        <v>56.333333333333329</v>
      </c>
      <c r="J159" s="201">
        <f t="shared" si="6"/>
        <v>11.651550113088579</v>
      </c>
      <c r="K159" s="201">
        <f t="shared" si="7"/>
        <v>15.535400150784771</v>
      </c>
      <c r="L159" s="201">
        <f t="shared" si="8"/>
        <v>19.419250188480962</v>
      </c>
      <c r="N159" s="172">
        <f t="shared" si="14"/>
        <v>39</v>
      </c>
      <c r="O159" s="201">
        <f>SOA!C41</f>
        <v>38.194781429735706</v>
      </c>
      <c r="P159" t="s">
        <v>267</v>
      </c>
      <c r="R159" s="172">
        <f t="shared" si="9"/>
        <v>56.333333333333329</v>
      </c>
      <c r="S159" s="201">
        <f t="shared" si="10"/>
        <v>5.0000000000000003E-10</v>
      </c>
      <c r="T159" s="201">
        <f t="shared" si="11"/>
        <v>5.0000000000000003E-10</v>
      </c>
      <c r="U159" s="201">
        <f t="shared" si="12"/>
        <v>5.0000000000000003E-10</v>
      </c>
      <c r="V159" s="201">
        <f t="shared" si="13"/>
        <v>20.340416146013098</v>
      </c>
    </row>
    <row r="160" spans="2:25" x14ac:dyDescent="0.2">
      <c r="B160">
        <f t="shared" si="0"/>
        <v>875.16087516087532</v>
      </c>
      <c r="C160" s="172">
        <v>14</v>
      </c>
      <c r="D160" s="172">
        <f t="shared" si="1"/>
        <v>60.666666666666671</v>
      </c>
      <c r="E160" s="201">
        <f t="shared" si="2"/>
        <v>10.819296533582248</v>
      </c>
      <c r="F160" s="201">
        <f t="shared" si="3"/>
        <v>14.425728711442998</v>
      </c>
      <c r="G160" s="201">
        <f t="shared" si="4"/>
        <v>18.032160889303746</v>
      </c>
      <c r="I160" s="172">
        <f t="shared" si="5"/>
        <v>60.666666666666671</v>
      </c>
      <c r="J160" s="201">
        <f t="shared" si="6"/>
        <v>10.819296533582248</v>
      </c>
      <c r="K160" s="201">
        <f t="shared" si="7"/>
        <v>14.425728711442998</v>
      </c>
      <c r="L160" s="201">
        <f t="shared" si="8"/>
        <v>18.032160889303746</v>
      </c>
      <c r="N160" s="172">
        <f t="shared" si="14"/>
        <v>43.333333333333336</v>
      </c>
      <c r="O160" s="201">
        <f>O$164+((O$159-O$164)*4/6)</f>
        <v>25.463187619823803</v>
      </c>
      <c r="R160" s="172">
        <f t="shared" si="9"/>
        <v>60.666666666666671</v>
      </c>
      <c r="S160" s="201">
        <f t="shared" si="10"/>
        <v>5.0000000000000003E-10</v>
      </c>
      <c r="T160" s="201">
        <f t="shared" si="11"/>
        <v>5.0000000000000003E-10</v>
      </c>
      <c r="U160" s="201">
        <f t="shared" si="12"/>
        <v>5.0000000000000003E-10</v>
      </c>
      <c r="V160" s="201">
        <f t="shared" si="13"/>
        <v>18.887529278440731</v>
      </c>
    </row>
    <row r="161" spans="2:22" x14ac:dyDescent="0.2">
      <c r="B161">
        <f t="shared" si="0"/>
        <v>875.16087516087532</v>
      </c>
      <c r="C161" s="172">
        <v>15</v>
      </c>
      <c r="D161" s="172">
        <f t="shared" si="1"/>
        <v>65</v>
      </c>
      <c r="E161" s="201">
        <f t="shared" si="2"/>
        <v>10.0980100980101</v>
      </c>
      <c r="F161" s="201">
        <f t="shared" si="3"/>
        <v>13.464013464013467</v>
      </c>
      <c r="G161" s="201">
        <f t="shared" si="4"/>
        <v>16.830016830016834</v>
      </c>
      <c r="I161" s="172">
        <f t="shared" si="5"/>
        <v>65</v>
      </c>
      <c r="J161" s="201">
        <f t="shared" si="6"/>
        <v>10.0980100980101</v>
      </c>
      <c r="K161" s="201">
        <f t="shared" si="7"/>
        <v>13.464013464013467</v>
      </c>
      <c r="L161" s="201">
        <f t="shared" si="8"/>
        <v>16.830016830016834</v>
      </c>
      <c r="N161" s="172">
        <f t="shared" si="14"/>
        <v>47.666666666666664</v>
      </c>
      <c r="O161" s="201">
        <f>O$164+((O$159-O$164)*3/7)</f>
        <v>16.369192041315301</v>
      </c>
      <c r="R161" s="172">
        <f t="shared" si="9"/>
        <v>65</v>
      </c>
      <c r="S161" s="201">
        <f t="shared" si="10"/>
        <v>5.0000000000000003E-10</v>
      </c>
      <c r="T161" s="201">
        <f t="shared" si="11"/>
        <v>5.0000000000000003E-10</v>
      </c>
      <c r="U161" s="201">
        <f t="shared" si="12"/>
        <v>5.0000000000000003E-10</v>
      </c>
      <c r="V161" s="201">
        <f t="shared" si="13"/>
        <v>17.628360659878016</v>
      </c>
    </row>
    <row r="162" spans="2:22" x14ac:dyDescent="0.2">
      <c r="B162">
        <f t="shared" si="0"/>
        <v>875.16087516087532</v>
      </c>
      <c r="C162" s="172">
        <v>16</v>
      </c>
      <c r="D162" s="172">
        <f t="shared" si="1"/>
        <v>69.333333333333329</v>
      </c>
      <c r="E162" s="201">
        <f t="shared" si="2"/>
        <v>9.4668844668844692</v>
      </c>
      <c r="F162" s="201">
        <f t="shared" si="3"/>
        <v>12.622512622512625</v>
      </c>
      <c r="G162" s="201">
        <f t="shared" si="4"/>
        <v>15.778140778140781</v>
      </c>
      <c r="I162" s="172">
        <f t="shared" si="5"/>
        <v>69.333333333333329</v>
      </c>
      <c r="J162" s="201">
        <f t="shared" si="6"/>
        <v>9.4668844668844692</v>
      </c>
      <c r="K162" s="201">
        <f t="shared" si="7"/>
        <v>12.622512622512625</v>
      </c>
      <c r="L162" s="201">
        <f t="shared" si="8"/>
        <v>15.778140778140781</v>
      </c>
      <c r="N162" s="172">
        <f t="shared" si="14"/>
        <v>52</v>
      </c>
      <c r="O162" s="201">
        <f>O$164+((O$159-O$164)*2/8)</f>
        <v>9.5486953574339264</v>
      </c>
      <c r="R162" s="172">
        <f t="shared" si="9"/>
        <v>69.333333333333329</v>
      </c>
      <c r="S162" s="201">
        <f t="shared" si="10"/>
        <v>5.0000000000000003E-10</v>
      </c>
      <c r="T162" s="201">
        <f t="shared" si="11"/>
        <v>5.0000000000000003E-10</v>
      </c>
      <c r="U162" s="201">
        <f t="shared" si="12"/>
        <v>5.0000000000000003E-10</v>
      </c>
      <c r="V162" s="201">
        <f t="shared" si="13"/>
        <v>16.526588118635644</v>
      </c>
    </row>
    <row r="163" spans="2:22" x14ac:dyDescent="0.2">
      <c r="N163" s="172">
        <f t="shared" si="14"/>
        <v>56.333333333333329</v>
      </c>
      <c r="O163" s="201">
        <f>O$164+((O$159-O$164)*1/9)</f>
        <v>4.2438646033039671</v>
      </c>
      <c r="R163" s="172"/>
      <c r="S163" s="201">
        <f t="shared" si="10"/>
        <v>0</v>
      </c>
      <c r="T163" s="201">
        <f t="shared" si="11"/>
        <v>0</v>
      </c>
      <c r="U163" s="201">
        <f t="shared" si="12"/>
        <v>0</v>
      </c>
      <c r="V163" s="201" t="e">
        <f t="shared" si="13"/>
        <v>#DIV/0!</v>
      </c>
    </row>
    <row r="164" spans="2:22" x14ac:dyDescent="0.2">
      <c r="D164" s="40" t="s">
        <v>268</v>
      </c>
      <c r="N164" s="172">
        <f t="shared" si="14"/>
        <v>60.666666666666671</v>
      </c>
      <c r="O164" s="201">
        <f>SOA!C42</f>
        <v>0</v>
      </c>
      <c r="P164" t="s">
        <v>267</v>
      </c>
      <c r="R164" s="172"/>
      <c r="S164" s="201">
        <f t="shared" si="10"/>
        <v>0</v>
      </c>
      <c r="T164" s="201">
        <f t="shared" si="11"/>
        <v>0</v>
      </c>
      <c r="U164" s="201">
        <f t="shared" si="12"/>
        <v>0</v>
      </c>
      <c r="V164" s="201" t="e">
        <f t="shared" si="13"/>
        <v>#DIV/0!</v>
      </c>
    </row>
    <row r="165" spans="2:22" x14ac:dyDescent="0.2">
      <c r="N165" s="172">
        <f t="shared" si="14"/>
        <v>65</v>
      </c>
      <c r="O165" s="201">
        <f>O$169+((O$164-O$169)*4/6)</f>
        <v>0</v>
      </c>
      <c r="R165" s="172"/>
      <c r="S165" s="201">
        <f t="shared" si="10"/>
        <v>0</v>
      </c>
      <c r="T165" s="201">
        <f t="shared" si="11"/>
        <v>0</v>
      </c>
      <c r="U165" s="201">
        <f t="shared" si="12"/>
        <v>0</v>
      </c>
      <c r="V165" s="201" t="e">
        <f t="shared" si="13"/>
        <v>#DIV/0!</v>
      </c>
    </row>
    <row r="166" spans="2:22" x14ac:dyDescent="0.2">
      <c r="D166" s="40" t="s">
        <v>269</v>
      </c>
      <c r="E166" t="e">
        <f>'Device Parmaters'!#REF!</f>
        <v>#REF!</v>
      </c>
      <c r="N166" s="172">
        <f t="shared" si="14"/>
        <v>69.333333333333329</v>
      </c>
      <c r="O166" s="201">
        <f>O$169+((O$164-O$169)*3/7)</f>
        <v>0</v>
      </c>
    </row>
    <row r="167" spans="2:22" x14ac:dyDescent="0.2">
      <c r="D167" s="40" t="s">
        <v>270</v>
      </c>
      <c r="E167">
        <f>RsEFF*0.001</f>
        <v>2.9999999999999997E-4</v>
      </c>
      <c r="N167" s="172"/>
      <c r="O167" s="201"/>
    </row>
    <row r="168" spans="2:22" x14ac:dyDescent="0.2">
      <c r="D168" s="40" t="s">
        <v>271</v>
      </c>
      <c r="E168">
        <f>VINMAX</f>
        <v>52</v>
      </c>
      <c r="N168" s="172"/>
      <c r="O168" s="201"/>
    </row>
    <row r="169" spans="2:22" x14ac:dyDescent="0.2">
      <c r="D169" s="40" t="s">
        <v>272</v>
      </c>
      <c r="E169" s="32"/>
      <c r="F169">
        <v>0.25</v>
      </c>
      <c r="N169" s="172"/>
      <c r="O169" s="201"/>
    </row>
    <row r="171" spans="2:22" x14ac:dyDescent="0.2">
      <c r="D171" s="205" t="s">
        <v>273</v>
      </c>
    </row>
  </sheetData>
  <mergeCells count="3">
    <mergeCell ref="D52:G52"/>
    <mergeCell ref="D61:G61"/>
    <mergeCell ref="D75:H75"/>
  </mergeCell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5"/>
  <sheetViews>
    <sheetView topLeftCell="A5" zoomScale="85" zoomScaleNormal="85" workbookViewId="0">
      <selection activeCell="J9" sqref="J9"/>
    </sheetView>
  </sheetViews>
  <sheetFormatPr defaultColWidth="9.140625" defaultRowHeight="12.75" x14ac:dyDescent="0.2"/>
  <cols>
    <col min="1" max="1" width="11" style="31" customWidth="1"/>
    <col min="2" max="3" width="9.140625" style="31"/>
    <col min="4" max="5" width="15" style="31" customWidth="1"/>
    <col min="6" max="6" width="15.42578125" style="31" customWidth="1"/>
    <col min="7" max="7" width="14.85546875" style="31" customWidth="1"/>
    <col min="8" max="8" width="10.7109375" style="31" customWidth="1"/>
    <col min="9" max="9" width="12.42578125" style="31" customWidth="1"/>
    <col min="10" max="10" width="14.85546875" style="31" customWidth="1"/>
    <col min="11" max="11" width="12.85546875" style="31" customWidth="1"/>
    <col min="12" max="12" width="14.28515625" style="31" customWidth="1"/>
    <col min="13" max="13" width="20.85546875" style="31" customWidth="1"/>
    <col min="14" max="14" width="12.7109375" style="31" customWidth="1"/>
    <col min="15" max="15" width="10.140625" style="31" customWidth="1"/>
    <col min="16" max="16" width="18.85546875" style="31" customWidth="1"/>
    <col min="17" max="17" width="10.85546875" style="31" customWidth="1"/>
    <col min="18" max="1024" width="9.140625" style="31"/>
  </cols>
  <sheetData>
    <row r="1" spans="1:25" x14ac:dyDescent="0.2">
      <c r="B1" s="31" t="s">
        <v>258</v>
      </c>
      <c r="C1" s="31" t="s">
        <v>274</v>
      </c>
      <c r="D1" s="31" t="s">
        <v>275</v>
      </c>
      <c r="F1" s="206" t="s">
        <v>276</v>
      </c>
      <c r="G1" s="206" t="s">
        <v>277</v>
      </c>
      <c r="H1" s="206" t="s">
        <v>278</v>
      </c>
      <c r="I1" s="206" t="s">
        <v>279</v>
      </c>
      <c r="J1" s="206" t="s">
        <v>280</v>
      </c>
      <c r="K1" s="206"/>
      <c r="L1" s="206"/>
      <c r="M1" s="206" t="s">
        <v>281</v>
      </c>
      <c r="N1" s="206"/>
      <c r="O1" s="206" t="s">
        <v>282</v>
      </c>
      <c r="Q1" s="31" t="s">
        <v>283</v>
      </c>
      <c r="R1" s="31" t="s">
        <v>284</v>
      </c>
    </row>
    <row r="2" spans="1:25" x14ac:dyDescent="0.2">
      <c r="B2" s="207">
        <f>'Design Calculator'!F67</f>
        <v>875.16087516087532</v>
      </c>
      <c r="C2" s="31">
        <f>'Design Calculator'!F47</f>
        <v>166.66666666666669</v>
      </c>
      <c r="D2" s="31" t="str">
        <f>IF( 'Design Calculator'!F69 = "Constant Current", "CC", "R")</f>
        <v>CC</v>
      </c>
      <c r="F2" s="31" t="str">
        <f>'Design Calculator'!F71</f>
        <v>Yes</v>
      </c>
      <c r="G2" s="31">
        <f>'Design Calculator'!F70</f>
        <v>0.3</v>
      </c>
      <c r="H2" s="31">
        <f>'Design Calculator'!F68</f>
        <v>0</v>
      </c>
      <c r="I2" s="31">
        <f>RsEFF</f>
        <v>0.3</v>
      </c>
      <c r="J2" s="31">
        <v>0</v>
      </c>
      <c r="M2" s="207">
        <f>J114*1000</f>
        <v>260.00000000000017</v>
      </c>
      <c r="N2" s="31" t="s">
        <v>101</v>
      </c>
      <c r="O2" s="208">
        <f>MIN(L10:L111)</f>
        <v>0.86956521739130432</v>
      </c>
      <c r="Q2" s="31">
        <f>'Device Parmaters'!E20/'Device Parmaters'!D20</f>
        <v>1.5909090909090908</v>
      </c>
      <c r="R2" s="31">
        <f>'Device Parmaters'!C20/'Device Parmaters'!D20</f>
        <v>0.68181818181818177</v>
      </c>
    </row>
    <row r="3" spans="1:25" x14ac:dyDescent="0.2">
      <c r="B3" s="207"/>
      <c r="M3" s="207"/>
      <c r="O3" s="208"/>
    </row>
    <row r="4" spans="1:25" x14ac:dyDescent="0.2">
      <c r="B4" s="207"/>
      <c r="D4" s="31" t="s">
        <v>285</v>
      </c>
      <c r="M4" s="207" t="s">
        <v>286</v>
      </c>
      <c r="N4" s="31">
        <f>MIN(M10:M114)</f>
        <v>0.81150084150084167</v>
      </c>
      <c r="O4" s="208" t="s">
        <v>111</v>
      </c>
      <c r="P4" s="31" t="s">
        <v>287</v>
      </c>
      <c r="Q4" s="31">
        <f>MAX(O10:O114)</f>
        <v>119.6</v>
      </c>
      <c r="R4" s="31" t="s">
        <v>56</v>
      </c>
    </row>
    <row r="5" spans="1:25" x14ac:dyDescent="0.2">
      <c r="B5" s="207"/>
      <c r="M5" s="31" t="s">
        <v>288</v>
      </c>
      <c r="N5" s="31">
        <f>SUM(N10:N114)</f>
        <v>15.398500000000002</v>
      </c>
      <c r="O5" s="208" t="s">
        <v>231</v>
      </c>
      <c r="P5" s="31" t="s">
        <v>289</v>
      </c>
      <c r="Q5" s="31">
        <f>MAX(P10:P114)</f>
        <v>181.05454545454543</v>
      </c>
      <c r="R5" s="31" t="s">
        <v>56</v>
      </c>
    </row>
    <row r="6" spans="1:25" x14ac:dyDescent="0.2">
      <c r="P6" s="31" t="s">
        <v>290</v>
      </c>
      <c r="Q6" s="31">
        <f>MAX(Q10:Q114)</f>
        <v>86.509090909090901</v>
      </c>
      <c r="R6" s="31" t="s">
        <v>56</v>
      </c>
    </row>
    <row r="7" spans="1:25" x14ac:dyDescent="0.2">
      <c r="A7" s="209" t="s">
        <v>291</v>
      </c>
      <c r="B7" s="210" t="s">
        <v>292</v>
      </c>
      <c r="C7" s="210" t="s">
        <v>293</v>
      </c>
      <c r="D7" s="210" t="s">
        <v>258</v>
      </c>
      <c r="E7" s="210" t="s">
        <v>294</v>
      </c>
      <c r="F7" s="210" t="s">
        <v>295</v>
      </c>
      <c r="G7" s="210" t="s">
        <v>296</v>
      </c>
      <c r="H7" s="210" t="s">
        <v>297</v>
      </c>
      <c r="I7" s="211" t="s">
        <v>298</v>
      </c>
      <c r="J7" s="210" t="s">
        <v>299</v>
      </c>
      <c r="K7" s="210" t="s">
        <v>300</v>
      </c>
      <c r="L7" s="209" t="s">
        <v>301</v>
      </c>
      <c r="M7" s="209" t="s">
        <v>302</v>
      </c>
      <c r="N7" s="209" t="s">
        <v>303</v>
      </c>
      <c r="O7" s="209" t="s">
        <v>304</v>
      </c>
      <c r="P7" s="31" t="s">
        <v>305</v>
      </c>
      <c r="Q7" s="31" t="s">
        <v>306</v>
      </c>
    </row>
    <row r="8" spans="1:25" x14ac:dyDescent="0.2">
      <c r="A8" s="209"/>
      <c r="B8" s="210"/>
      <c r="C8" s="210"/>
      <c r="D8" s="210"/>
      <c r="E8" s="210"/>
      <c r="F8" s="210"/>
      <c r="G8" s="210"/>
      <c r="H8" s="210"/>
      <c r="I8" s="210"/>
      <c r="J8" s="210"/>
      <c r="K8" s="212">
        <v>-10</v>
      </c>
      <c r="L8" s="209"/>
      <c r="M8" s="209"/>
      <c r="N8" s="209"/>
      <c r="O8" s="31">
        <v>0</v>
      </c>
    </row>
    <row r="9" spans="1:25" x14ac:dyDescent="0.2">
      <c r="A9" s="209"/>
      <c r="B9" s="210"/>
      <c r="C9" s="210"/>
      <c r="D9" s="210"/>
      <c r="E9" s="210"/>
      <c r="F9" s="210"/>
      <c r="G9" s="210"/>
      <c r="H9" s="210"/>
      <c r="I9" s="210"/>
      <c r="J9" s="210"/>
      <c r="K9" s="213">
        <v>-0.01</v>
      </c>
      <c r="L9" s="209"/>
      <c r="M9" s="209"/>
      <c r="N9" s="209"/>
      <c r="O9" s="31">
        <v>0</v>
      </c>
    </row>
    <row r="10" spans="1:25" x14ac:dyDescent="0.2">
      <c r="A10" s="31">
        <f t="shared" ref="A10:A41" si="0">VINMAX</f>
        <v>52</v>
      </c>
      <c r="B10" s="214">
        <f t="shared" ref="B10:B41" si="1">VINMAX*((ROW()-10)/104)</f>
        <v>0</v>
      </c>
      <c r="C10" s="215">
        <f t="shared" ref="C10:C41" si="2">IF(B10&gt;=$H$2,IF($D$2="CC", $G$2, B10/$G$2), 0)</f>
        <v>0.3</v>
      </c>
      <c r="D10" s="216">
        <f t="shared" ref="D10:D41" si="3">$B$2-B10*$J$2/($I$2*0.001)</f>
        <v>875.16087516087532</v>
      </c>
      <c r="E10" s="216">
        <f t="shared" ref="E10:E41" si="4">MIN(D10/(A10-B10),$C$2)</f>
        <v>16.830016830016834</v>
      </c>
      <c r="F10" s="215">
        <f t="shared" ref="F10:F41" si="5">I_Cout_ss+C10</f>
        <v>2.2999999999999998</v>
      </c>
      <c r="G10" s="216">
        <f t="shared" ref="G10:G41" si="6">IF($F$2="YES", F10, E10)</f>
        <v>2.2999999999999998</v>
      </c>
      <c r="H10" s="215">
        <f t="shared" ref="H10:H41" si="7">G10-C10</f>
        <v>1.9999999999999998</v>
      </c>
      <c r="I10" s="217">
        <f>(COUTMAX/1000000)*(B10)/H10</f>
        <v>0</v>
      </c>
      <c r="J10" s="217">
        <f>I10</f>
        <v>0</v>
      </c>
      <c r="K10" s="212">
        <f t="shared" ref="K10:K41" si="8">J10*1000</f>
        <v>0</v>
      </c>
      <c r="L10" s="208">
        <f t="shared" ref="L10:L41" si="9">H10/G10</f>
        <v>0.86956521739130432</v>
      </c>
      <c r="M10" s="31">
        <f t="shared" ref="M10:M41" si="10">1/COUTMAX*(E10/2-C10)*1000</f>
        <v>0.81150084150084167</v>
      </c>
      <c r="N10" s="31">
        <f t="shared" ref="N10:N41" si="11">I10*G10*(A10-B10)</f>
        <v>0</v>
      </c>
      <c r="O10" s="31">
        <f t="shared" ref="O10:O41" si="12">G10*(A10-B10)</f>
        <v>119.6</v>
      </c>
      <c r="P10" s="31">
        <f t="shared" ref="P10:P41" si="13">(A10-B10)*(I_Cout_ss*$Q$2+C10)</f>
        <v>181.05454545454543</v>
      </c>
      <c r="Q10" s="31">
        <f t="shared" ref="Q10:Q41" si="14">(A10-B10)*(I_Cout_ss*$R$2+C10)</f>
        <v>86.509090909090901</v>
      </c>
    </row>
    <row r="11" spans="1:25" x14ac:dyDescent="0.2">
      <c r="A11" s="31">
        <f t="shared" si="0"/>
        <v>52</v>
      </c>
      <c r="B11" s="214">
        <f t="shared" si="1"/>
        <v>0.5</v>
      </c>
      <c r="C11" s="215">
        <f t="shared" si="2"/>
        <v>0.3</v>
      </c>
      <c r="D11" s="216">
        <f t="shared" si="3"/>
        <v>875.16087516087532</v>
      </c>
      <c r="E11" s="216">
        <f t="shared" si="4"/>
        <v>16.993415051667483</v>
      </c>
      <c r="F11" s="215">
        <f t="shared" si="5"/>
        <v>2.2999999999999998</v>
      </c>
      <c r="G11" s="216">
        <f t="shared" si="6"/>
        <v>2.2999999999999998</v>
      </c>
      <c r="H11" s="215">
        <f t="shared" si="7"/>
        <v>1.9999999999999998</v>
      </c>
      <c r="I11" s="217">
        <f t="shared" ref="I11:I42" si="15">(COUTMAX/1000000)*(B11-B10)/H11</f>
        <v>2.5000000000000005E-3</v>
      </c>
      <c r="J11" s="217">
        <f t="shared" ref="J11:J42" si="16">J10+I11</f>
        <v>2.5000000000000005E-3</v>
      </c>
      <c r="K11" s="212">
        <f t="shared" si="8"/>
        <v>2.5000000000000004</v>
      </c>
      <c r="L11" s="208">
        <f t="shared" si="9"/>
        <v>0.86956521739130432</v>
      </c>
      <c r="M11" s="31">
        <f t="shared" si="10"/>
        <v>0.81967075258337407</v>
      </c>
      <c r="N11" s="31">
        <f t="shared" si="11"/>
        <v>0.29612500000000003</v>
      </c>
      <c r="O11" s="31">
        <f t="shared" si="12"/>
        <v>118.44999999999999</v>
      </c>
      <c r="P11" s="31">
        <f t="shared" si="13"/>
        <v>179.31363636363633</v>
      </c>
      <c r="Q11" s="31">
        <f t="shared" si="14"/>
        <v>85.677272727272722</v>
      </c>
    </row>
    <row r="12" spans="1:25" x14ac:dyDescent="0.2">
      <c r="A12" s="31">
        <f t="shared" si="0"/>
        <v>52</v>
      </c>
      <c r="B12" s="214">
        <f t="shared" si="1"/>
        <v>1</v>
      </c>
      <c r="C12" s="215">
        <f t="shared" si="2"/>
        <v>0.3</v>
      </c>
      <c r="D12" s="216">
        <f t="shared" si="3"/>
        <v>875.16087516087532</v>
      </c>
      <c r="E12" s="216">
        <f t="shared" si="4"/>
        <v>17.160017160017162</v>
      </c>
      <c r="F12" s="215">
        <f t="shared" si="5"/>
        <v>2.2999999999999998</v>
      </c>
      <c r="G12" s="216">
        <f t="shared" si="6"/>
        <v>2.2999999999999998</v>
      </c>
      <c r="H12" s="215">
        <f t="shared" si="7"/>
        <v>1.9999999999999998</v>
      </c>
      <c r="I12" s="217">
        <f t="shared" si="15"/>
        <v>2.5000000000000005E-3</v>
      </c>
      <c r="J12" s="217">
        <f t="shared" si="16"/>
        <v>5.000000000000001E-3</v>
      </c>
      <c r="K12" s="212">
        <f t="shared" si="8"/>
        <v>5.0000000000000009</v>
      </c>
      <c r="L12" s="208">
        <f t="shared" si="9"/>
        <v>0.86956521739130432</v>
      </c>
      <c r="M12" s="31">
        <f t="shared" si="10"/>
        <v>0.82800085800085799</v>
      </c>
      <c r="N12" s="31">
        <f t="shared" si="11"/>
        <v>0.29325000000000007</v>
      </c>
      <c r="O12" s="31">
        <f t="shared" si="12"/>
        <v>117.3</v>
      </c>
      <c r="P12" s="31">
        <f t="shared" si="13"/>
        <v>177.57272727272726</v>
      </c>
      <c r="Q12" s="31">
        <f t="shared" si="14"/>
        <v>84.845454545454544</v>
      </c>
      <c r="X12" s="244" t="s">
        <v>307</v>
      </c>
      <c r="Y12" s="244"/>
    </row>
    <row r="13" spans="1:25" x14ac:dyDescent="0.2">
      <c r="A13" s="31">
        <f t="shared" si="0"/>
        <v>52</v>
      </c>
      <c r="B13" s="214">
        <f t="shared" si="1"/>
        <v>1.5</v>
      </c>
      <c r="C13" s="215">
        <f t="shared" si="2"/>
        <v>0.3</v>
      </c>
      <c r="D13" s="216">
        <f t="shared" si="3"/>
        <v>875.16087516087532</v>
      </c>
      <c r="E13" s="216">
        <f t="shared" si="4"/>
        <v>17.329918320017335</v>
      </c>
      <c r="F13" s="215">
        <f t="shared" si="5"/>
        <v>2.2999999999999998</v>
      </c>
      <c r="G13" s="216">
        <f t="shared" si="6"/>
        <v>2.2999999999999998</v>
      </c>
      <c r="H13" s="215">
        <f t="shared" si="7"/>
        <v>1.9999999999999998</v>
      </c>
      <c r="I13" s="217">
        <f t="shared" si="15"/>
        <v>2.5000000000000005E-3</v>
      </c>
      <c r="J13" s="217">
        <f t="shared" si="16"/>
        <v>7.5000000000000015E-3</v>
      </c>
      <c r="K13" s="212">
        <f t="shared" si="8"/>
        <v>7.5000000000000018</v>
      </c>
      <c r="L13" s="208">
        <f t="shared" si="9"/>
        <v>0.86956521739130432</v>
      </c>
      <c r="M13" s="31">
        <f t="shared" si="10"/>
        <v>0.8364959160008667</v>
      </c>
      <c r="N13" s="31">
        <f t="shared" si="11"/>
        <v>0.29037500000000005</v>
      </c>
      <c r="O13" s="31">
        <f t="shared" si="12"/>
        <v>116.14999999999999</v>
      </c>
      <c r="P13" s="31">
        <f t="shared" si="13"/>
        <v>175.83181818181816</v>
      </c>
      <c r="Q13" s="31">
        <f t="shared" si="14"/>
        <v>84.013636363636365</v>
      </c>
      <c r="X13" s="218" t="s">
        <v>308</v>
      </c>
      <c r="Y13" s="218">
        <v>0.3</v>
      </c>
    </row>
    <row r="14" spans="1:25" x14ac:dyDescent="0.2">
      <c r="A14" s="31">
        <f t="shared" si="0"/>
        <v>52</v>
      </c>
      <c r="B14" s="214">
        <f t="shared" si="1"/>
        <v>2</v>
      </c>
      <c r="C14" s="215">
        <f t="shared" si="2"/>
        <v>0.3</v>
      </c>
      <c r="D14" s="216">
        <f t="shared" si="3"/>
        <v>875.16087516087532</v>
      </c>
      <c r="E14" s="216">
        <f t="shared" si="4"/>
        <v>17.503217503217506</v>
      </c>
      <c r="F14" s="215">
        <f t="shared" si="5"/>
        <v>2.2999999999999998</v>
      </c>
      <c r="G14" s="216">
        <f t="shared" si="6"/>
        <v>2.2999999999999998</v>
      </c>
      <c r="H14" s="215">
        <f t="shared" si="7"/>
        <v>1.9999999999999998</v>
      </c>
      <c r="I14" s="217">
        <f t="shared" si="15"/>
        <v>2.5000000000000005E-3</v>
      </c>
      <c r="J14" s="217">
        <f t="shared" si="16"/>
        <v>1.0000000000000002E-2</v>
      </c>
      <c r="K14" s="212">
        <f t="shared" si="8"/>
        <v>10.000000000000002</v>
      </c>
      <c r="L14" s="208">
        <f t="shared" si="9"/>
        <v>0.86956521739130432</v>
      </c>
      <c r="M14" s="31">
        <f t="shared" si="10"/>
        <v>0.84516087516087524</v>
      </c>
      <c r="N14" s="31">
        <f t="shared" si="11"/>
        <v>0.28750000000000003</v>
      </c>
      <c r="O14" s="31">
        <f t="shared" si="12"/>
        <v>114.99999999999999</v>
      </c>
      <c r="P14" s="31">
        <f t="shared" si="13"/>
        <v>174.09090909090907</v>
      </c>
      <c r="Q14" s="31">
        <f t="shared" si="14"/>
        <v>83.181818181818173</v>
      </c>
      <c r="X14" s="218" t="s">
        <v>309</v>
      </c>
      <c r="Y14" s="218">
        <v>0.3</v>
      </c>
    </row>
    <row r="15" spans="1:25" x14ac:dyDescent="0.2">
      <c r="A15" s="31">
        <f t="shared" si="0"/>
        <v>52</v>
      </c>
      <c r="B15" s="214">
        <f t="shared" si="1"/>
        <v>2.5</v>
      </c>
      <c r="C15" s="215">
        <f t="shared" si="2"/>
        <v>0.3</v>
      </c>
      <c r="D15" s="216">
        <f t="shared" si="3"/>
        <v>875.16087516087532</v>
      </c>
      <c r="E15" s="216">
        <f t="shared" si="4"/>
        <v>17.680017680017684</v>
      </c>
      <c r="F15" s="215">
        <f t="shared" si="5"/>
        <v>2.2999999999999998</v>
      </c>
      <c r="G15" s="216">
        <f t="shared" si="6"/>
        <v>2.2999999999999998</v>
      </c>
      <c r="H15" s="215">
        <f t="shared" si="7"/>
        <v>1.9999999999999998</v>
      </c>
      <c r="I15" s="217">
        <f t="shared" si="15"/>
        <v>2.5000000000000005E-3</v>
      </c>
      <c r="J15" s="217">
        <f t="shared" si="16"/>
        <v>1.2500000000000002E-2</v>
      </c>
      <c r="K15" s="212">
        <f t="shared" si="8"/>
        <v>12.500000000000002</v>
      </c>
      <c r="L15" s="208">
        <f t="shared" si="9"/>
        <v>0.86956521739130432</v>
      </c>
      <c r="M15" s="31">
        <f t="shared" si="10"/>
        <v>0.85400088400088414</v>
      </c>
      <c r="N15" s="31">
        <f t="shared" si="11"/>
        <v>0.28462500000000002</v>
      </c>
      <c r="O15" s="31">
        <f t="shared" si="12"/>
        <v>113.85</v>
      </c>
      <c r="P15" s="31">
        <f t="shared" si="13"/>
        <v>172.35</v>
      </c>
      <c r="Q15" s="31">
        <f t="shared" si="14"/>
        <v>82.35</v>
      </c>
      <c r="X15" s="218" t="s">
        <v>310</v>
      </c>
      <c r="Y15" s="218">
        <f>SQRT(Y14^2+Y13^2)</f>
        <v>0.42426406871192851</v>
      </c>
    </row>
    <row r="16" spans="1:25" x14ac:dyDescent="0.2">
      <c r="A16" s="31">
        <f t="shared" si="0"/>
        <v>52</v>
      </c>
      <c r="B16" s="214">
        <f t="shared" si="1"/>
        <v>3</v>
      </c>
      <c r="C16" s="215">
        <f t="shared" si="2"/>
        <v>0.3</v>
      </c>
      <c r="D16" s="216">
        <f t="shared" si="3"/>
        <v>875.16087516087532</v>
      </c>
      <c r="E16" s="216">
        <f t="shared" si="4"/>
        <v>17.860426023691332</v>
      </c>
      <c r="F16" s="215">
        <f t="shared" si="5"/>
        <v>2.2999999999999998</v>
      </c>
      <c r="G16" s="216">
        <f t="shared" si="6"/>
        <v>2.2999999999999998</v>
      </c>
      <c r="H16" s="215">
        <f t="shared" si="7"/>
        <v>1.9999999999999998</v>
      </c>
      <c r="I16" s="217">
        <f t="shared" si="15"/>
        <v>2.5000000000000005E-3</v>
      </c>
      <c r="J16" s="217">
        <f t="shared" si="16"/>
        <v>1.5000000000000003E-2</v>
      </c>
      <c r="K16" s="212">
        <f t="shared" si="8"/>
        <v>15.000000000000004</v>
      </c>
      <c r="L16" s="208">
        <f t="shared" si="9"/>
        <v>0.86956521739130432</v>
      </c>
      <c r="M16" s="31">
        <f t="shared" si="10"/>
        <v>0.86302130118456655</v>
      </c>
      <c r="N16" s="31">
        <f t="shared" si="11"/>
        <v>0.28175000000000006</v>
      </c>
      <c r="O16" s="31">
        <f t="shared" si="12"/>
        <v>112.69999999999999</v>
      </c>
      <c r="P16" s="31">
        <f t="shared" si="13"/>
        <v>170.6090909090909</v>
      </c>
      <c r="Q16" s="31">
        <f t="shared" si="14"/>
        <v>81.518181818181816</v>
      </c>
      <c r="X16" s="218"/>
      <c r="Y16" s="218"/>
    </row>
    <row r="17" spans="1:25" x14ac:dyDescent="0.2">
      <c r="A17" s="31">
        <f t="shared" si="0"/>
        <v>52</v>
      </c>
      <c r="B17" s="214">
        <f t="shared" si="1"/>
        <v>3.5</v>
      </c>
      <c r="C17" s="215">
        <f t="shared" si="2"/>
        <v>0.3</v>
      </c>
      <c r="D17" s="216">
        <f t="shared" si="3"/>
        <v>875.16087516087532</v>
      </c>
      <c r="E17" s="216">
        <f t="shared" si="4"/>
        <v>18.044554127028356</v>
      </c>
      <c r="F17" s="215">
        <f t="shared" si="5"/>
        <v>2.2999999999999998</v>
      </c>
      <c r="G17" s="216">
        <f t="shared" si="6"/>
        <v>2.2999999999999998</v>
      </c>
      <c r="H17" s="215">
        <f t="shared" si="7"/>
        <v>1.9999999999999998</v>
      </c>
      <c r="I17" s="217">
        <f t="shared" si="15"/>
        <v>2.5000000000000005E-3</v>
      </c>
      <c r="J17" s="217">
        <f t="shared" si="16"/>
        <v>1.7500000000000002E-2</v>
      </c>
      <c r="K17" s="212">
        <f t="shared" si="8"/>
        <v>17.5</v>
      </c>
      <c r="L17" s="208">
        <f t="shared" si="9"/>
        <v>0.86956521739130432</v>
      </c>
      <c r="M17" s="31">
        <f t="shared" si="10"/>
        <v>0.87222770635141778</v>
      </c>
      <c r="N17" s="31">
        <f t="shared" si="11"/>
        <v>0.27887500000000004</v>
      </c>
      <c r="O17" s="31">
        <f t="shared" si="12"/>
        <v>111.55</v>
      </c>
      <c r="P17" s="31">
        <f t="shared" si="13"/>
        <v>168.8681818181818</v>
      </c>
      <c r="Q17" s="31">
        <f t="shared" si="14"/>
        <v>80.686363636363637</v>
      </c>
      <c r="X17" s="218" t="s">
        <v>258</v>
      </c>
      <c r="Y17" s="218">
        <v>0.3</v>
      </c>
    </row>
    <row r="18" spans="1:25" x14ac:dyDescent="0.2">
      <c r="A18" s="31">
        <f t="shared" si="0"/>
        <v>52</v>
      </c>
      <c r="B18" s="214">
        <f t="shared" si="1"/>
        <v>4</v>
      </c>
      <c r="C18" s="215">
        <f t="shared" si="2"/>
        <v>0.3</v>
      </c>
      <c r="D18" s="216">
        <f t="shared" si="3"/>
        <v>875.16087516087532</v>
      </c>
      <c r="E18" s="216">
        <f t="shared" si="4"/>
        <v>18.232518232518235</v>
      </c>
      <c r="F18" s="215">
        <f t="shared" si="5"/>
        <v>2.2999999999999998</v>
      </c>
      <c r="G18" s="216">
        <f t="shared" si="6"/>
        <v>2.2999999999999998</v>
      </c>
      <c r="H18" s="215">
        <f t="shared" si="7"/>
        <v>1.9999999999999998</v>
      </c>
      <c r="I18" s="217">
        <f t="shared" si="15"/>
        <v>2.5000000000000005E-3</v>
      </c>
      <c r="J18" s="217">
        <f t="shared" si="16"/>
        <v>2.0000000000000004E-2</v>
      </c>
      <c r="K18" s="212">
        <f t="shared" si="8"/>
        <v>20.000000000000004</v>
      </c>
      <c r="L18" s="208">
        <f t="shared" si="9"/>
        <v>0.86956521739130432</v>
      </c>
      <c r="M18" s="31">
        <f t="shared" si="10"/>
        <v>0.88162591162591175</v>
      </c>
      <c r="N18" s="31">
        <f t="shared" si="11"/>
        <v>0.27600000000000002</v>
      </c>
      <c r="O18" s="31">
        <f t="shared" si="12"/>
        <v>110.39999999999999</v>
      </c>
      <c r="P18" s="31">
        <f t="shared" si="13"/>
        <v>167.12727272727273</v>
      </c>
      <c r="Q18" s="31">
        <f t="shared" si="14"/>
        <v>79.854545454545445</v>
      </c>
      <c r="X18" s="218" t="s">
        <v>311</v>
      </c>
      <c r="Y18" s="218">
        <f>MAX(Y15:Y17)</f>
        <v>0.42426406871192851</v>
      </c>
    </row>
    <row r="19" spans="1:25" x14ac:dyDescent="0.2">
      <c r="A19" s="31">
        <f t="shared" si="0"/>
        <v>52</v>
      </c>
      <c r="B19" s="214">
        <f t="shared" si="1"/>
        <v>4.5</v>
      </c>
      <c r="C19" s="215">
        <f t="shared" si="2"/>
        <v>0.3</v>
      </c>
      <c r="D19" s="216">
        <f t="shared" si="3"/>
        <v>875.16087516087532</v>
      </c>
      <c r="E19" s="216">
        <f t="shared" si="4"/>
        <v>18.424439477071058</v>
      </c>
      <c r="F19" s="215">
        <f t="shared" si="5"/>
        <v>2.2999999999999998</v>
      </c>
      <c r="G19" s="216">
        <f t="shared" si="6"/>
        <v>2.2999999999999998</v>
      </c>
      <c r="H19" s="215">
        <f t="shared" si="7"/>
        <v>1.9999999999999998</v>
      </c>
      <c r="I19" s="217">
        <f t="shared" si="15"/>
        <v>2.5000000000000005E-3</v>
      </c>
      <c r="J19" s="217">
        <f t="shared" si="16"/>
        <v>2.2500000000000006E-2</v>
      </c>
      <c r="K19" s="212">
        <f t="shared" si="8"/>
        <v>22.500000000000007</v>
      </c>
      <c r="L19" s="208">
        <f t="shared" si="9"/>
        <v>0.86956521739130432</v>
      </c>
      <c r="M19" s="31">
        <f t="shared" si="10"/>
        <v>0.89122197385355295</v>
      </c>
      <c r="N19" s="31">
        <f t="shared" si="11"/>
        <v>0.27312500000000006</v>
      </c>
      <c r="O19" s="31">
        <f t="shared" si="12"/>
        <v>109.24999999999999</v>
      </c>
      <c r="P19" s="31">
        <f t="shared" si="13"/>
        <v>165.38636363636363</v>
      </c>
      <c r="Q19" s="31">
        <f t="shared" si="14"/>
        <v>79.022727272727266</v>
      </c>
      <c r="X19" s="218"/>
      <c r="Y19" s="218"/>
    </row>
    <row r="20" spans="1:25" x14ac:dyDescent="0.2">
      <c r="A20" s="31">
        <f t="shared" si="0"/>
        <v>52</v>
      </c>
      <c r="B20" s="214">
        <f t="shared" si="1"/>
        <v>5</v>
      </c>
      <c r="C20" s="215">
        <f t="shared" si="2"/>
        <v>0.3</v>
      </c>
      <c r="D20" s="216">
        <f t="shared" si="3"/>
        <v>875.16087516087532</v>
      </c>
      <c r="E20" s="216">
        <f t="shared" si="4"/>
        <v>18.620444152359049</v>
      </c>
      <c r="F20" s="215">
        <f t="shared" si="5"/>
        <v>2.2999999999999998</v>
      </c>
      <c r="G20" s="216">
        <f t="shared" si="6"/>
        <v>2.2999999999999998</v>
      </c>
      <c r="H20" s="215">
        <f t="shared" si="7"/>
        <v>1.9999999999999998</v>
      </c>
      <c r="I20" s="217">
        <f t="shared" si="15"/>
        <v>2.5000000000000005E-3</v>
      </c>
      <c r="J20" s="217">
        <f t="shared" si="16"/>
        <v>2.5000000000000008E-2</v>
      </c>
      <c r="K20" s="212">
        <f t="shared" si="8"/>
        <v>25.000000000000007</v>
      </c>
      <c r="L20" s="208">
        <f t="shared" si="9"/>
        <v>0.86956521739130432</v>
      </c>
      <c r="M20" s="31">
        <f t="shared" si="10"/>
        <v>0.90102220761795238</v>
      </c>
      <c r="N20" s="31">
        <f t="shared" si="11"/>
        <v>0.27025000000000005</v>
      </c>
      <c r="O20" s="31">
        <f t="shared" si="12"/>
        <v>108.1</v>
      </c>
      <c r="P20" s="31">
        <f t="shared" si="13"/>
        <v>163.64545454545453</v>
      </c>
      <c r="Q20" s="31">
        <f t="shared" si="14"/>
        <v>78.190909090909088</v>
      </c>
      <c r="X20" s="218" t="s">
        <v>312</v>
      </c>
      <c r="Y20" s="218">
        <v>0.2</v>
      </c>
    </row>
    <row r="21" spans="1:25" x14ac:dyDescent="0.2">
      <c r="A21" s="31">
        <f t="shared" si="0"/>
        <v>52</v>
      </c>
      <c r="B21" s="214">
        <f t="shared" si="1"/>
        <v>5.5</v>
      </c>
      <c r="C21" s="215">
        <f t="shared" si="2"/>
        <v>0.3</v>
      </c>
      <c r="D21" s="216">
        <f t="shared" si="3"/>
        <v>875.16087516087532</v>
      </c>
      <c r="E21" s="216">
        <f t="shared" si="4"/>
        <v>18.820663981954308</v>
      </c>
      <c r="F21" s="215">
        <f t="shared" si="5"/>
        <v>2.2999999999999998</v>
      </c>
      <c r="G21" s="216">
        <f t="shared" si="6"/>
        <v>2.2999999999999998</v>
      </c>
      <c r="H21" s="215">
        <f t="shared" si="7"/>
        <v>1.9999999999999998</v>
      </c>
      <c r="I21" s="217">
        <f t="shared" si="15"/>
        <v>2.5000000000000005E-3</v>
      </c>
      <c r="J21" s="217">
        <f t="shared" si="16"/>
        <v>2.7500000000000011E-2</v>
      </c>
      <c r="K21" s="212">
        <f t="shared" si="8"/>
        <v>27.500000000000011</v>
      </c>
      <c r="L21" s="208">
        <f t="shared" si="9"/>
        <v>0.86956521739130432</v>
      </c>
      <c r="M21" s="31">
        <f t="shared" si="10"/>
        <v>0.9110331990977153</v>
      </c>
      <c r="N21" s="31">
        <f t="shared" si="11"/>
        <v>0.26737500000000003</v>
      </c>
      <c r="O21" s="31">
        <f t="shared" si="12"/>
        <v>106.94999999999999</v>
      </c>
      <c r="P21" s="31">
        <f t="shared" si="13"/>
        <v>161.90454545454543</v>
      </c>
      <c r="Q21" s="31">
        <f t="shared" si="14"/>
        <v>77.359090909090909</v>
      </c>
      <c r="X21" s="218" t="s">
        <v>313</v>
      </c>
      <c r="Y21" s="218">
        <v>0.2</v>
      </c>
    </row>
    <row r="22" spans="1:25" x14ac:dyDescent="0.2">
      <c r="A22" s="31">
        <f t="shared" si="0"/>
        <v>52</v>
      </c>
      <c r="B22" s="214">
        <f t="shared" si="1"/>
        <v>6</v>
      </c>
      <c r="C22" s="215">
        <f t="shared" si="2"/>
        <v>0.3</v>
      </c>
      <c r="D22" s="216">
        <f t="shared" si="3"/>
        <v>875.16087516087532</v>
      </c>
      <c r="E22" s="216">
        <f t="shared" si="4"/>
        <v>19.025236416540768</v>
      </c>
      <c r="F22" s="215">
        <f t="shared" si="5"/>
        <v>2.2999999999999998</v>
      </c>
      <c r="G22" s="216">
        <f t="shared" si="6"/>
        <v>2.2999999999999998</v>
      </c>
      <c r="H22" s="215">
        <f t="shared" si="7"/>
        <v>1.9999999999999998</v>
      </c>
      <c r="I22" s="217">
        <f t="shared" si="15"/>
        <v>2.5000000000000005E-3</v>
      </c>
      <c r="J22" s="217">
        <f t="shared" si="16"/>
        <v>3.0000000000000013E-2</v>
      </c>
      <c r="K22" s="212">
        <f t="shared" si="8"/>
        <v>30.000000000000014</v>
      </c>
      <c r="L22" s="208">
        <f t="shared" si="9"/>
        <v>0.86956521739130432</v>
      </c>
      <c r="M22" s="31">
        <f t="shared" si="10"/>
        <v>0.92126182082703834</v>
      </c>
      <c r="N22" s="31">
        <f t="shared" si="11"/>
        <v>0.26450000000000001</v>
      </c>
      <c r="O22" s="31">
        <f t="shared" si="12"/>
        <v>105.8</v>
      </c>
      <c r="P22" s="31">
        <f t="shared" si="13"/>
        <v>160.16363636363636</v>
      </c>
      <c r="Q22" s="31">
        <f t="shared" si="14"/>
        <v>76.527272727272731</v>
      </c>
      <c r="X22" s="218" t="s">
        <v>310</v>
      </c>
      <c r="Y22" s="218">
        <f>SQRT(Y21^2+Y20^2)</f>
        <v>0.28284271247461906</v>
      </c>
    </row>
    <row r="23" spans="1:25" x14ac:dyDescent="0.2">
      <c r="A23" s="31">
        <f t="shared" si="0"/>
        <v>52</v>
      </c>
      <c r="B23" s="214">
        <f t="shared" si="1"/>
        <v>6.5</v>
      </c>
      <c r="C23" s="215">
        <f t="shared" si="2"/>
        <v>0.3</v>
      </c>
      <c r="D23" s="216">
        <f t="shared" si="3"/>
        <v>875.16087516087532</v>
      </c>
      <c r="E23" s="216">
        <f t="shared" si="4"/>
        <v>19.234304948590665</v>
      </c>
      <c r="F23" s="215">
        <f t="shared" si="5"/>
        <v>2.2999999999999998</v>
      </c>
      <c r="G23" s="216">
        <f t="shared" si="6"/>
        <v>2.2999999999999998</v>
      </c>
      <c r="H23" s="215">
        <f t="shared" si="7"/>
        <v>1.9999999999999998</v>
      </c>
      <c r="I23" s="217">
        <f t="shared" si="15"/>
        <v>2.5000000000000005E-3</v>
      </c>
      <c r="J23" s="217">
        <f t="shared" si="16"/>
        <v>3.2500000000000015E-2</v>
      </c>
      <c r="K23" s="212">
        <f t="shared" si="8"/>
        <v>32.500000000000014</v>
      </c>
      <c r="L23" s="208">
        <f t="shared" si="9"/>
        <v>0.86956521739130432</v>
      </c>
      <c r="M23" s="31">
        <f t="shared" si="10"/>
        <v>0.93171524742953316</v>
      </c>
      <c r="N23" s="31">
        <f t="shared" si="11"/>
        <v>0.26162500000000005</v>
      </c>
      <c r="O23" s="31">
        <f t="shared" si="12"/>
        <v>104.64999999999999</v>
      </c>
      <c r="P23" s="31">
        <f t="shared" si="13"/>
        <v>158.42272727272726</v>
      </c>
      <c r="Q23" s="31">
        <f t="shared" si="14"/>
        <v>75.695454545454538</v>
      </c>
      <c r="X23" s="218"/>
      <c r="Y23" s="218"/>
    </row>
    <row r="24" spans="1:25" x14ac:dyDescent="0.2">
      <c r="A24" s="31">
        <f t="shared" si="0"/>
        <v>52</v>
      </c>
      <c r="B24" s="214">
        <f t="shared" si="1"/>
        <v>7</v>
      </c>
      <c r="C24" s="215">
        <f t="shared" si="2"/>
        <v>0.3</v>
      </c>
      <c r="D24" s="216">
        <f t="shared" si="3"/>
        <v>875.16087516087532</v>
      </c>
      <c r="E24" s="216">
        <f t="shared" si="4"/>
        <v>19.448019448019451</v>
      </c>
      <c r="F24" s="215">
        <f t="shared" si="5"/>
        <v>2.2999999999999998</v>
      </c>
      <c r="G24" s="216">
        <f t="shared" si="6"/>
        <v>2.2999999999999998</v>
      </c>
      <c r="H24" s="215">
        <f t="shared" si="7"/>
        <v>1.9999999999999998</v>
      </c>
      <c r="I24" s="217">
        <f t="shared" si="15"/>
        <v>2.5000000000000005E-3</v>
      </c>
      <c r="J24" s="217">
        <f t="shared" si="16"/>
        <v>3.5000000000000017E-2</v>
      </c>
      <c r="K24" s="212">
        <f t="shared" si="8"/>
        <v>35.000000000000014</v>
      </c>
      <c r="L24" s="208">
        <f t="shared" si="9"/>
        <v>0.86956521739130432</v>
      </c>
      <c r="M24" s="31">
        <f t="shared" si="10"/>
        <v>0.94240097240097254</v>
      </c>
      <c r="N24" s="31">
        <f t="shared" si="11"/>
        <v>0.25875000000000004</v>
      </c>
      <c r="O24" s="31">
        <f t="shared" si="12"/>
        <v>103.49999999999999</v>
      </c>
      <c r="P24" s="31">
        <f t="shared" si="13"/>
        <v>156.68181818181816</v>
      </c>
      <c r="Q24" s="31">
        <f t="shared" si="14"/>
        <v>74.86363636363636</v>
      </c>
      <c r="X24" s="218" t="s">
        <v>314</v>
      </c>
      <c r="Y24" s="218">
        <f>SQRT(Y18^2+Y22^2)</f>
        <v>0.50990195135927852</v>
      </c>
    </row>
    <row r="25" spans="1:25" x14ac:dyDescent="0.2">
      <c r="A25" s="31">
        <f t="shared" si="0"/>
        <v>52</v>
      </c>
      <c r="B25" s="214">
        <f t="shared" si="1"/>
        <v>7.4999999999999991</v>
      </c>
      <c r="C25" s="215">
        <f t="shared" si="2"/>
        <v>0.3</v>
      </c>
      <c r="D25" s="216">
        <f t="shared" si="3"/>
        <v>875.16087516087532</v>
      </c>
      <c r="E25" s="216">
        <f t="shared" si="4"/>
        <v>19.666536520469108</v>
      </c>
      <c r="F25" s="215">
        <f t="shared" si="5"/>
        <v>2.2999999999999998</v>
      </c>
      <c r="G25" s="216">
        <f t="shared" si="6"/>
        <v>2.2999999999999998</v>
      </c>
      <c r="H25" s="215">
        <f t="shared" si="7"/>
        <v>1.9999999999999998</v>
      </c>
      <c r="I25" s="217">
        <f t="shared" si="15"/>
        <v>2.4999999999999961E-3</v>
      </c>
      <c r="J25" s="217">
        <f t="shared" si="16"/>
        <v>3.7500000000000012E-2</v>
      </c>
      <c r="K25" s="212">
        <f t="shared" si="8"/>
        <v>37.500000000000014</v>
      </c>
      <c r="L25" s="208">
        <f t="shared" si="9"/>
        <v>0.86956521739130432</v>
      </c>
      <c r="M25" s="31">
        <f t="shared" si="10"/>
        <v>0.95332682602345531</v>
      </c>
      <c r="N25" s="31">
        <f t="shared" si="11"/>
        <v>0.25587499999999958</v>
      </c>
      <c r="O25" s="31">
        <f t="shared" si="12"/>
        <v>102.35</v>
      </c>
      <c r="P25" s="31">
        <f t="shared" si="13"/>
        <v>154.94090909090909</v>
      </c>
      <c r="Q25" s="31">
        <f t="shared" si="14"/>
        <v>74.031818181818181</v>
      </c>
    </row>
    <row r="26" spans="1:25" x14ac:dyDescent="0.2">
      <c r="A26" s="31">
        <f t="shared" si="0"/>
        <v>52</v>
      </c>
      <c r="B26" s="214">
        <f t="shared" si="1"/>
        <v>8</v>
      </c>
      <c r="C26" s="215">
        <f t="shared" si="2"/>
        <v>0.3</v>
      </c>
      <c r="D26" s="216">
        <f t="shared" si="3"/>
        <v>875.16087516087532</v>
      </c>
      <c r="E26" s="216">
        <f t="shared" si="4"/>
        <v>19.890019890019893</v>
      </c>
      <c r="F26" s="215">
        <f t="shared" si="5"/>
        <v>2.2999999999999998</v>
      </c>
      <c r="G26" s="216">
        <f t="shared" si="6"/>
        <v>2.2999999999999998</v>
      </c>
      <c r="H26" s="215">
        <f t="shared" si="7"/>
        <v>1.9999999999999998</v>
      </c>
      <c r="I26" s="217">
        <f t="shared" si="15"/>
        <v>2.5000000000000048E-3</v>
      </c>
      <c r="J26" s="217">
        <f t="shared" si="16"/>
        <v>4.0000000000000015E-2</v>
      </c>
      <c r="K26" s="212">
        <f t="shared" si="8"/>
        <v>40.000000000000014</v>
      </c>
      <c r="L26" s="208">
        <f t="shared" si="9"/>
        <v>0.86956521739130432</v>
      </c>
      <c r="M26" s="31">
        <f t="shared" si="10"/>
        <v>0.96450099450099469</v>
      </c>
      <c r="N26" s="31">
        <f t="shared" si="11"/>
        <v>0.25300000000000045</v>
      </c>
      <c r="O26" s="31">
        <f t="shared" si="12"/>
        <v>101.19999999999999</v>
      </c>
      <c r="P26" s="31">
        <f t="shared" si="13"/>
        <v>153.19999999999999</v>
      </c>
      <c r="Q26" s="31">
        <f t="shared" si="14"/>
        <v>73.2</v>
      </c>
    </row>
    <row r="27" spans="1:25" x14ac:dyDescent="0.2">
      <c r="A27" s="31">
        <f t="shared" si="0"/>
        <v>52</v>
      </c>
      <c r="B27" s="214">
        <f t="shared" si="1"/>
        <v>8.5</v>
      </c>
      <c r="C27" s="215">
        <f t="shared" si="2"/>
        <v>0.3</v>
      </c>
      <c r="D27" s="216">
        <f t="shared" si="3"/>
        <v>875.16087516087532</v>
      </c>
      <c r="E27" s="216">
        <f t="shared" si="4"/>
        <v>20.118640808295986</v>
      </c>
      <c r="F27" s="215">
        <f t="shared" si="5"/>
        <v>2.2999999999999998</v>
      </c>
      <c r="G27" s="216">
        <f t="shared" si="6"/>
        <v>2.2999999999999998</v>
      </c>
      <c r="H27" s="215">
        <f t="shared" si="7"/>
        <v>1.9999999999999998</v>
      </c>
      <c r="I27" s="217">
        <f t="shared" si="15"/>
        <v>2.5000000000000005E-3</v>
      </c>
      <c r="J27" s="217">
        <f t="shared" si="16"/>
        <v>4.2500000000000017E-2</v>
      </c>
      <c r="K27" s="212">
        <f t="shared" si="8"/>
        <v>42.500000000000014</v>
      </c>
      <c r="L27" s="208">
        <f t="shared" si="9"/>
        <v>0.86956521739130432</v>
      </c>
      <c r="M27" s="31">
        <f t="shared" si="10"/>
        <v>0.9759320404147992</v>
      </c>
      <c r="N27" s="31">
        <f t="shared" si="11"/>
        <v>0.25012500000000004</v>
      </c>
      <c r="O27" s="31">
        <f t="shared" si="12"/>
        <v>100.05</v>
      </c>
      <c r="P27" s="31">
        <f t="shared" si="13"/>
        <v>151.45909090909089</v>
      </c>
      <c r="Q27" s="31">
        <f t="shared" si="14"/>
        <v>72.36818181818181</v>
      </c>
    </row>
    <row r="28" spans="1:25" x14ac:dyDescent="0.2">
      <c r="A28" s="31">
        <f t="shared" si="0"/>
        <v>52</v>
      </c>
      <c r="B28" s="214">
        <f t="shared" si="1"/>
        <v>9</v>
      </c>
      <c r="C28" s="215">
        <f t="shared" si="2"/>
        <v>0.3</v>
      </c>
      <c r="D28" s="216">
        <f t="shared" si="3"/>
        <v>875.16087516087532</v>
      </c>
      <c r="E28" s="216">
        <f t="shared" si="4"/>
        <v>20.352578492113381</v>
      </c>
      <c r="F28" s="215">
        <f t="shared" si="5"/>
        <v>2.2999999999999998</v>
      </c>
      <c r="G28" s="216">
        <f t="shared" si="6"/>
        <v>2.2999999999999998</v>
      </c>
      <c r="H28" s="215">
        <f t="shared" si="7"/>
        <v>1.9999999999999998</v>
      </c>
      <c r="I28" s="217">
        <f t="shared" si="15"/>
        <v>2.5000000000000005E-3</v>
      </c>
      <c r="J28" s="217">
        <f t="shared" si="16"/>
        <v>4.5000000000000019E-2</v>
      </c>
      <c r="K28" s="212">
        <f t="shared" si="8"/>
        <v>45.000000000000021</v>
      </c>
      <c r="L28" s="208">
        <f t="shared" si="9"/>
        <v>0.86956521739130432</v>
      </c>
      <c r="M28" s="31">
        <f t="shared" si="10"/>
        <v>0.98762892460566909</v>
      </c>
      <c r="N28" s="31">
        <f t="shared" si="11"/>
        <v>0.24725000000000003</v>
      </c>
      <c r="O28" s="31">
        <f t="shared" si="12"/>
        <v>98.899999999999991</v>
      </c>
      <c r="P28" s="31">
        <f t="shared" si="13"/>
        <v>149.71818181818179</v>
      </c>
      <c r="Q28" s="31">
        <f t="shared" si="14"/>
        <v>71.536363636363632</v>
      </c>
    </row>
    <row r="29" spans="1:25" x14ac:dyDescent="0.2">
      <c r="A29" s="31">
        <f t="shared" si="0"/>
        <v>52</v>
      </c>
      <c r="B29" s="214">
        <f t="shared" si="1"/>
        <v>9.5</v>
      </c>
      <c r="C29" s="215">
        <f t="shared" si="2"/>
        <v>0.3</v>
      </c>
      <c r="D29" s="216">
        <f t="shared" si="3"/>
        <v>875.16087516087532</v>
      </c>
      <c r="E29" s="216">
        <f t="shared" si="4"/>
        <v>20.592020592020596</v>
      </c>
      <c r="F29" s="215">
        <f t="shared" si="5"/>
        <v>2.2999999999999998</v>
      </c>
      <c r="G29" s="216">
        <f t="shared" si="6"/>
        <v>2.2999999999999998</v>
      </c>
      <c r="H29" s="215">
        <f t="shared" si="7"/>
        <v>1.9999999999999998</v>
      </c>
      <c r="I29" s="217">
        <f t="shared" si="15"/>
        <v>2.5000000000000005E-3</v>
      </c>
      <c r="J29" s="217">
        <f t="shared" si="16"/>
        <v>4.7500000000000021E-2</v>
      </c>
      <c r="K29" s="212">
        <f t="shared" si="8"/>
        <v>47.500000000000021</v>
      </c>
      <c r="L29" s="208">
        <f t="shared" si="9"/>
        <v>0.86956521739130432</v>
      </c>
      <c r="M29" s="31">
        <f t="shared" si="10"/>
        <v>0.9996010296010297</v>
      </c>
      <c r="N29" s="31">
        <f t="shared" si="11"/>
        <v>0.24437500000000004</v>
      </c>
      <c r="O29" s="31">
        <f t="shared" si="12"/>
        <v>97.749999999999986</v>
      </c>
      <c r="P29" s="31">
        <f t="shared" si="13"/>
        <v>147.97727272727272</v>
      </c>
      <c r="Q29" s="31">
        <f t="shared" si="14"/>
        <v>70.704545454545453</v>
      </c>
    </row>
    <row r="30" spans="1:25" x14ac:dyDescent="0.2">
      <c r="A30" s="31">
        <f t="shared" si="0"/>
        <v>52</v>
      </c>
      <c r="B30" s="214">
        <f t="shared" si="1"/>
        <v>10</v>
      </c>
      <c r="C30" s="215">
        <f t="shared" si="2"/>
        <v>0.3</v>
      </c>
      <c r="D30" s="216">
        <f t="shared" si="3"/>
        <v>875.16087516087532</v>
      </c>
      <c r="E30" s="216">
        <f t="shared" si="4"/>
        <v>20.837163694306554</v>
      </c>
      <c r="F30" s="215">
        <f t="shared" si="5"/>
        <v>2.2999999999999998</v>
      </c>
      <c r="G30" s="216">
        <f t="shared" si="6"/>
        <v>2.2999999999999998</v>
      </c>
      <c r="H30" s="215">
        <f t="shared" si="7"/>
        <v>1.9999999999999998</v>
      </c>
      <c r="I30" s="217">
        <f t="shared" si="15"/>
        <v>2.5000000000000005E-3</v>
      </c>
      <c r="J30" s="217">
        <f t="shared" si="16"/>
        <v>5.0000000000000024E-2</v>
      </c>
      <c r="K30" s="212">
        <f t="shared" si="8"/>
        <v>50.000000000000021</v>
      </c>
      <c r="L30" s="208">
        <f t="shared" si="9"/>
        <v>0.86956521739130432</v>
      </c>
      <c r="M30" s="31">
        <f t="shared" si="10"/>
        <v>1.0118581847153276</v>
      </c>
      <c r="N30" s="31">
        <f t="shared" si="11"/>
        <v>0.24150000000000002</v>
      </c>
      <c r="O30" s="31">
        <f t="shared" si="12"/>
        <v>96.6</v>
      </c>
      <c r="P30" s="31">
        <f t="shared" si="13"/>
        <v>146.23636363636362</v>
      </c>
      <c r="Q30" s="31">
        <f t="shared" si="14"/>
        <v>69.872727272727275</v>
      </c>
    </row>
    <row r="31" spans="1:25" x14ac:dyDescent="0.2">
      <c r="A31" s="31">
        <f t="shared" si="0"/>
        <v>52</v>
      </c>
      <c r="B31" s="214">
        <f t="shared" si="1"/>
        <v>10.5</v>
      </c>
      <c r="C31" s="215">
        <f t="shared" si="2"/>
        <v>0.3</v>
      </c>
      <c r="D31" s="216">
        <f t="shared" si="3"/>
        <v>875.16087516087532</v>
      </c>
      <c r="E31" s="216">
        <f t="shared" si="4"/>
        <v>21.0882138592982</v>
      </c>
      <c r="F31" s="215">
        <f t="shared" si="5"/>
        <v>2.2999999999999998</v>
      </c>
      <c r="G31" s="216">
        <f t="shared" si="6"/>
        <v>2.2999999999999998</v>
      </c>
      <c r="H31" s="215">
        <f t="shared" si="7"/>
        <v>1.9999999999999998</v>
      </c>
      <c r="I31" s="217">
        <f t="shared" si="15"/>
        <v>2.5000000000000005E-3</v>
      </c>
      <c r="J31" s="217">
        <f t="shared" si="16"/>
        <v>5.2500000000000026E-2</v>
      </c>
      <c r="K31" s="212">
        <f t="shared" si="8"/>
        <v>52.500000000000028</v>
      </c>
      <c r="L31" s="208">
        <f t="shared" si="9"/>
        <v>0.86956521739130432</v>
      </c>
      <c r="M31" s="31">
        <f t="shared" si="10"/>
        <v>1.0244106929649099</v>
      </c>
      <c r="N31" s="31">
        <f t="shared" si="11"/>
        <v>0.23862500000000003</v>
      </c>
      <c r="O31" s="31">
        <f t="shared" si="12"/>
        <v>95.449999999999989</v>
      </c>
      <c r="P31" s="31">
        <f t="shared" si="13"/>
        <v>144.49545454545452</v>
      </c>
      <c r="Q31" s="31">
        <f t="shared" si="14"/>
        <v>69.040909090909082</v>
      </c>
    </row>
    <row r="32" spans="1:25" x14ac:dyDescent="0.2">
      <c r="A32" s="31">
        <f t="shared" si="0"/>
        <v>52</v>
      </c>
      <c r="B32" s="214">
        <f t="shared" si="1"/>
        <v>11</v>
      </c>
      <c r="C32" s="215">
        <f t="shared" si="2"/>
        <v>0.3</v>
      </c>
      <c r="D32" s="216">
        <f t="shared" si="3"/>
        <v>875.16087516087532</v>
      </c>
      <c r="E32" s="216">
        <f t="shared" si="4"/>
        <v>21.345387199045739</v>
      </c>
      <c r="F32" s="215">
        <f t="shared" si="5"/>
        <v>2.2999999999999998</v>
      </c>
      <c r="G32" s="216">
        <f t="shared" si="6"/>
        <v>2.2999999999999998</v>
      </c>
      <c r="H32" s="215">
        <f t="shared" si="7"/>
        <v>1.9999999999999998</v>
      </c>
      <c r="I32" s="217">
        <f t="shared" si="15"/>
        <v>2.5000000000000005E-3</v>
      </c>
      <c r="J32" s="217">
        <f t="shared" si="16"/>
        <v>5.5000000000000028E-2</v>
      </c>
      <c r="K32" s="212">
        <f t="shared" si="8"/>
        <v>55.000000000000028</v>
      </c>
      <c r="L32" s="208">
        <f t="shared" si="9"/>
        <v>0.86956521739130432</v>
      </c>
      <c r="M32" s="31">
        <f t="shared" si="10"/>
        <v>1.0372693599522869</v>
      </c>
      <c r="N32" s="31">
        <f t="shared" si="11"/>
        <v>0.23575000000000004</v>
      </c>
      <c r="O32" s="31">
        <f t="shared" si="12"/>
        <v>94.3</v>
      </c>
      <c r="P32" s="31">
        <f t="shared" si="13"/>
        <v>142.75454545454545</v>
      </c>
      <c r="Q32" s="31">
        <f t="shared" si="14"/>
        <v>68.209090909090904</v>
      </c>
    </row>
    <row r="33" spans="1:17" x14ac:dyDescent="0.2">
      <c r="A33" s="31">
        <f t="shared" si="0"/>
        <v>52</v>
      </c>
      <c r="B33" s="214">
        <f t="shared" si="1"/>
        <v>11.5</v>
      </c>
      <c r="C33" s="215">
        <f t="shared" si="2"/>
        <v>0.3</v>
      </c>
      <c r="D33" s="216">
        <f t="shared" si="3"/>
        <v>875.16087516087532</v>
      </c>
      <c r="E33" s="216">
        <f t="shared" si="4"/>
        <v>21.608910497799389</v>
      </c>
      <c r="F33" s="215">
        <f t="shared" si="5"/>
        <v>2.2999999999999998</v>
      </c>
      <c r="G33" s="216">
        <f t="shared" si="6"/>
        <v>2.2999999999999998</v>
      </c>
      <c r="H33" s="215">
        <f t="shared" si="7"/>
        <v>1.9999999999999998</v>
      </c>
      <c r="I33" s="217">
        <f t="shared" si="15"/>
        <v>2.5000000000000005E-3</v>
      </c>
      <c r="J33" s="217">
        <f t="shared" si="16"/>
        <v>5.750000000000003E-2</v>
      </c>
      <c r="K33" s="212">
        <f t="shared" si="8"/>
        <v>57.500000000000028</v>
      </c>
      <c r="L33" s="208">
        <f t="shared" si="9"/>
        <v>0.86956521739130432</v>
      </c>
      <c r="M33" s="31">
        <f t="shared" si="10"/>
        <v>1.0504455248899696</v>
      </c>
      <c r="N33" s="31">
        <f t="shared" si="11"/>
        <v>0.23287500000000003</v>
      </c>
      <c r="O33" s="31">
        <f t="shared" si="12"/>
        <v>93.149999999999991</v>
      </c>
      <c r="P33" s="31">
        <f t="shared" si="13"/>
        <v>141.01363636363635</v>
      </c>
      <c r="Q33" s="31">
        <f t="shared" si="14"/>
        <v>67.377272727272725</v>
      </c>
    </row>
    <row r="34" spans="1:17" x14ac:dyDescent="0.2">
      <c r="A34" s="31">
        <f t="shared" si="0"/>
        <v>52</v>
      </c>
      <c r="B34" s="214">
        <f t="shared" si="1"/>
        <v>12</v>
      </c>
      <c r="C34" s="215">
        <f t="shared" si="2"/>
        <v>0.3</v>
      </c>
      <c r="D34" s="216">
        <f t="shared" si="3"/>
        <v>875.16087516087532</v>
      </c>
      <c r="E34" s="216">
        <f t="shared" si="4"/>
        <v>21.879021879021884</v>
      </c>
      <c r="F34" s="215">
        <f t="shared" si="5"/>
        <v>2.2999999999999998</v>
      </c>
      <c r="G34" s="216">
        <f t="shared" si="6"/>
        <v>2.2999999999999998</v>
      </c>
      <c r="H34" s="215">
        <f t="shared" si="7"/>
        <v>1.9999999999999998</v>
      </c>
      <c r="I34" s="217">
        <f t="shared" si="15"/>
        <v>2.5000000000000005E-3</v>
      </c>
      <c r="J34" s="217">
        <f t="shared" si="16"/>
        <v>6.0000000000000032E-2</v>
      </c>
      <c r="K34" s="212">
        <f t="shared" si="8"/>
        <v>60.000000000000036</v>
      </c>
      <c r="L34" s="208">
        <f t="shared" si="9"/>
        <v>0.86956521739130432</v>
      </c>
      <c r="M34" s="31">
        <f t="shared" si="10"/>
        <v>1.0639510939510941</v>
      </c>
      <c r="N34" s="31">
        <f t="shared" si="11"/>
        <v>0.23000000000000004</v>
      </c>
      <c r="O34" s="31">
        <f t="shared" si="12"/>
        <v>92</v>
      </c>
      <c r="P34" s="31">
        <f t="shared" si="13"/>
        <v>139.27272727272725</v>
      </c>
      <c r="Q34" s="31">
        <f t="shared" si="14"/>
        <v>66.545454545454547</v>
      </c>
    </row>
    <row r="35" spans="1:17" x14ac:dyDescent="0.2">
      <c r="A35" s="31">
        <f t="shared" si="0"/>
        <v>52</v>
      </c>
      <c r="B35" s="214">
        <f t="shared" si="1"/>
        <v>12.5</v>
      </c>
      <c r="C35" s="215">
        <f t="shared" si="2"/>
        <v>0.3</v>
      </c>
      <c r="D35" s="216">
        <f t="shared" si="3"/>
        <v>875.16087516087532</v>
      </c>
      <c r="E35" s="216">
        <f t="shared" si="4"/>
        <v>22.155971523060135</v>
      </c>
      <c r="F35" s="215">
        <f t="shared" si="5"/>
        <v>2.2999999999999998</v>
      </c>
      <c r="G35" s="216">
        <f t="shared" si="6"/>
        <v>2.2999999999999998</v>
      </c>
      <c r="H35" s="215">
        <f t="shared" si="7"/>
        <v>1.9999999999999998</v>
      </c>
      <c r="I35" s="217">
        <f t="shared" si="15"/>
        <v>2.5000000000000005E-3</v>
      </c>
      <c r="J35" s="217">
        <f t="shared" si="16"/>
        <v>6.2500000000000028E-2</v>
      </c>
      <c r="K35" s="212">
        <f t="shared" si="8"/>
        <v>62.500000000000028</v>
      </c>
      <c r="L35" s="208">
        <f t="shared" si="9"/>
        <v>0.86956521739130432</v>
      </c>
      <c r="M35" s="31">
        <f t="shared" si="10"/>
        <v>1.0777985761530067</v>
      </c>
      <c r="N35" s="31">
        <f t="shared" si="11"/>
        <v>0.22712500000000002</v>
      </c>
      <c r="O35" s="31">
        <f t="shared" si="12"/>
        <v>90.85</v>
      </c>
      <c r="P35" s="31">
        <f t="shared" si="13"/>
        <v>137.53181818181818</v>
      </c>
      <c r="Q35" s="31">
        <f t="shared" si="14"/>
        <v>65.713636363636368</v>
      </c>
    </row>
    <row r="36" spans="1:17" x14ac:dyDescent="0.2">
      <c r="A36" s="31">
        <f t="shared" si="0"/>
        <v>52</v>
      </c>
      <c r="B36" s="214">
        <f t="shared" si="1"/>
        <v>13</v>
      </c>
      <c r="C36" s="215">
        <f t="shared" si="2"/>
        <v>0.3</v>
      </c>
      <c r="D36" s="216">
        <f t="shared" si="3"/>
        <v>875.16087516087532</v>
      </c>
      <c r="E36" s="216">
        <f t="shared" si="4"/>
        <v>22.440022440022442</v>
      </c>
      <c r="F36" s="215">
        <f t="shared" si="5"/>
        <v>2.2999999999999998</v>
      </c>
      <c r="G36" s="216">
        <f t="shared" si="6"/>
        <v>2.2999999999999998</v>
      </c>
      <c r="H36" s="215">
        <f t="shared" si="7"/>
        <v>1.9999999999999998</v>
      </c>
      <c r="I36" s="217">
        <f t="shared" si="15"/>
        <v>2.5000000000000005E-3</v>
      </c>
      <c r="J36" s="217">
        <f t="shared" si="16"/>
        <v>6.500000000000003E-2</v>
      </c>
      <c r="K36" s="212">
        <f t="shared" si="8"/>
        <v>65.000000000000028</v>
      </c>
      <c r="L36" s="208">
        <f t="shared" si="9"/>
        <v>0.86956521739130432</v>
      </c>
      <c r="M36" s="31">
        <f t="shared" si="10"/>
        <v>1.0920011220011221</v>
      </c>
      <c r="N36" s="31">
        <f t="shared" si="11"/>
        <v>0.22425000000000003</v>
      </c>
      <c r="O36" s="31">
        <f t="shared" si="12"/>
        <v>89.699999999999989</v>
      </c>
      <c r="P36" s="31">
        <f t="shared" si="13"/>
        <v>135.79090909090908</v>
      </c>
      <c r="Q36" s="31">
        <f t="shared" si="14"/>
        <v>64.881818181818176</v>
      </c>
    </row>
    <row r="37" spans="1:17" x14ac:dyDescent="0.2">
      <c r="A37" s="31">
        <f t="shared" si="0"/>
        <v>52</v>
      </c>
      <c r="B37" s="214">
        <f t="shared" si="1"/>
        <v>13.500000000000002</v>
      </c>
      <c r="C37" s="215">
        <f t="shared" si="2"/>
        <v>0.3</v>
      </c>
      <c r="D37" s="216">
        <f t="shared" si="3"/>
        <v>875.16087516087532</v>
      </c>
      <c r="E37" s="216">
        <f t="shared" si="4"/>
        <v>22.731451302879879</v>
      </c>
      <c r="F37" s="215">
        <f t="shared" si="5"/>
        <v>2.2999999999999998</v>
      </c>
      <c r="G37" s="216">
        <f t="shared" si="6"/>
        <v>2.2999999999999998</v>
      </c>
      <c r="H37" s="215">
        <f t="shared" si="7"/>
        <v>1.9999999999999998</v>
      </c>
      <c r="I37" s="217">
        <f t="shared" si="15"/>
        <v>2.5000000000000092E-3</v>
      </c>
      <c r="J37" s="217">
        <f t="shared" si="16"/>
        <v>6.7500000000000032E-2</v>
      </c>
      <c r="K37" s="212">
        <f t="shared" si="8"/>
        <v>67.500000000000028</v>
      </c>
      <c r="L37" s="208">
        <f t="shared" si="9"/>
        <v>0.86956521739130432</v>
      </c>
      <c r="M37" s="31">
        <f t="shared" si="10"/>
        <v>1.1065725651439939</v>
      </c>
      <c r="N37" s="31">
        <f t="shared" si="11"/>
        <v>0.22137500000000079</v>
      </c>
      <c r="O37" s="31">
        <f t="shared" si="12"/>
        <v>88.55</v>
      </c>
      <c r="P37" s="31">
        <f t="shared" si="13"/>
        <v>134.04999999999998</v>
      </c>
      <c r="Q37" s="31">
        <f t="shared" si="14"/>
        <v>64.05</v>
      </c>
    </row>
    <row r="38" spans="1:17" x14ac:dyDescent="0.2">
      <c r="A38" s="31">
        <f t="shared" si="0"/>
        <v>52</v>
      </c>
      <c r="B38" s="214">
        <f t="shared" si="1"/>
        <v>14</v>
      </c>
      <c r="C38" s="215">
        <f t="shared" si="2"/>
        <v>0.3</v>
      </c>
      <c r="D38" s="216">
        <f t="shared" si="3"/>
        <v>875.16087516087532</v>
      </c>
      <c r="E38" s="216">
        <f t="shared" si="4"/>
        <v>23.030549346338823</v>
      </c>
      <c r="F38" s="215">
        <f t="shared" si="5"/>
        <v>2.2999999999999998</v>
      </c>
      <c r="G38" s="216">
        <f t="shared" si="6"/>
        <v>2.2999999999999998</v>
      </c>
      <c r="H38" s="215">
        <f t="shared" si="7"/>
        <v>1.9999999999999998</v>
      </c>
      <c r="I38" s="217">
        <f t="shared" si="15"/>
        <v>2.4999999999999918E-3</v>
      </c>
      <c r="J38" s="217">
        <f t="shared" si="16"/>
        <v>7.0000000000000021E-2</v>
      </c>
      <c r="K38" s="212">
        <f t="shared" si="8"/>
        <v>70.000000000000014</v>
      </c>
      <c r="L38" s="208">
        <f t="shared" si="9"/>
        <v>0.86956521739130432</v>
      </c>
      <c r="M38" s="31">
        <f t="shared" si="10"/>
        <v>1.1215274673169413</v>
      </c>
      <c r="N38" s="31">
        <f t="shared" si="11"/>
        <v>0.21849999999999928</v>
      </c>
      <c r="O38" s="31">
        <f t="shared" si="12"/>
        <v>87.399999999999991</v>
      </c>
      <c r="P38" s="31">
        <f t="shared" si="13"/>
        <v>132.30909090909088</v>
      </c>
      <c r="Q38" s="31">
        <f t="shared" si="14"/>
        <v>63.218181818181819</v>
      </c>
    </row>
    <row r="39" spans="1:17" x14ac:dyDescent="0.2">
      <c r="A39" s="31">
        <f t="shared" si="0"/>
        <v>52</v>
      </c>
      <c r="B39" s="214">
        <f t="shared" si="1"/>
        <v>14.5</v>
      </c>
      <c r="C39" s="215">
        <f t="shared" si="2"/>
        <v>0.3</v>
      </c>
      <c r="D39" s="216">
        <f t="shared" si="3"/>
        <v>875.16087516087532</v>
      </c>
      <c r="E39" s="216">
        <f t="shared" si="4"/>
        <v>23.337623337623342</v>
      </c>
      <c r="F39" s="215">
        <f t="shared" si="5"/>
        <v>2.2999999999999998</v>
      </c>
      <c r="G39" s="216">
        <f t="shared" si="6"/>
        <v>2.2999999999999998</v>
      </c>
      <c r="H39" s="215">
        <f t="shared" si="7"/>
        <v>1.9999999999999998</v>
      </c>
      <c r="I39" s="217">
        <f t="shared" si="15"/>
        <v>2.5000000000000005E-3</v>
      </c>
      <c r="J39" s="217">
        <f t="shared" si="16"/>
        <v>7.2500000000000023E-2</v>
      </c>
      <c r="K39" s="212">
        <f t="shared" si="8"/>
        <v>72.500000000000028</v>
      </c>
      <c r="L39" s="208">
        <f t="shared" si="9"/>
        <v>0.86956521739130432</v>
      </c>
      <c r="M39" s="31">
        <f t="shared" si="10"/>
        <v>1.1368811668811671</v>
      </c>
      <c r="N39" s="31">
        <f t="shared" si="11"/>
        <v>0.21562500000000004</v>
      </c>
      <c r="O39" s="31">
        <f t="shared" si="12"/>
        <v>86.25</v>
      </c>
      <c r="P39" s="31">
        <f t="shared" si="13"/>
        <v>130.56818181818181</v>
      </c>
      <c r="Q39" s="31">
        <f t="shared" si="14"/>
        <v>62.386363636363633</v>
      </c>
    </row>
    <row r="40" spans="1:17" x14ac:dyDescent="0.2">
      <c r="A40" s="31">
        <f t="shared" si="0"/>
        <v>52</v>
      </c>
      <c r="B40" s="214">
        <f t="shared" si="1"/>
        <v>14.999999999999998</v>
      </c>
      <c r="C40" s="215">
        <f t="shared" si="2"/>
        <v>0.3</v>
      </c>
      <c r="D40" s="216">
        <f t="shared" si="3"/>
        <v>875.16087516087532</v>
      </c>
      <c r="E40" s="216">
        <f t="shared" si="4"/>
        <v>23.652996625969603</v>
      </c>
      <c r="F40" s="215">
        <f t="shared" si="5"/>
        <v>2.2999999999999998</v>
      </c>
      <c r="G40" s="216">
        <f t="shared" si="6"/>
        <v>2.2999999999999998</v>
      </c>
      <c r="H40" s="215">
        <f t="shared" si="7"/>
        <v>1.9999999999999998</v>
      </c>
      <c r="I40" s="217">
        <f t="shared" si="15"/>
        <v>2.4999999999999918E-3</v>
      </c>
      <c r="J40" s="217">
        <f t="shared" si="16"/>
        <v>7.5000000000000011E-2</v>
      </c>
      <c r="K40" s="212">
        <f t="shared" si="8"/>
        <v>75.000000000000014</v>
      </c>
      <c r="L40" s="208">
        <f t="shared" si="9"/>
        <v>0.86956521739130432</v>
      </c>
      <c r="M40" s="31">
        <f t="shared" si="10"/>
        <v>1.1526498312984801</v>
      </c>
      <c r="N40" s="31">
        <f t="shared" si="11"/>
        <v>0.2127499999999993</v>
      </c>
      <c r="O40" s="31">
        <f t="shared" si="12"/>
        <v>85.1</v>
      </c>
      <c r="P40" s="31">
        <f t="shared" si="13"/>
        <v>128.82727272727271</v>
      </c>
      <c r="Q40" s="31">
        <f t="shared" si="14"/>
        <v>61.554545454545455</v>
      </c>
    </row>
    <row r="41" spans="1:17" x14ac:dyDescent="0.2">
      <c r="A41" s="31">
        <f t="shared" si="0"/>
        <v>52</v>
      </c>
      <c r="B41" s="214">
        <f t="shared" si="1"/>
        <v>15.5</v>
      </c>
      <c r="C41" s="215">
        <f t="shared" si="2"/>
        <v>0.3</v>
      </c>
      <c r="D41" s="216">
        <f t="shared" si="3"/>
        <v>875.16087516087532</v>
      </c>
      <c r="E41" s="216">
        <f t="shared" si="4"/>
        <v>23.977010278380146</v>
      </c>
      <c r="F41" s="215">
        <f t="shared" si="5"/>
        <v>2.2999999999999998</v>
      </c>
      <c r="G41" s="216">
        <f t="shared" si="6"/>
        <v>2.2999999999999998</v>
      </c>
      <c r="H41" s="215">
        <f t="shared" si="7"/>
        <v>1.9999999999999998</v>
      </c>
      <c r="I41" s="217">
        <f t="shared" si="15"/>
        <v>2.5000000000000092E-3</v>
      </c>
      <c r="J41" s="217">
        <f t="shared" si="16"/>
        <v>7.7500000000000013E-2</v>
      </c>
      <c r="K41" s="212">
        <f t="shared" si="8"/>
        <v>77.500000000000014</v>
      </c>
      <c r="L41" s="208">
        <f t="shared" si="9"/>
        <v>0.86956521739130432</v>
      </c>
      <c r="M41" s="31">
        <f t="shared" si="10"/>
        <v>1.1688505139190073</v>
      </c>
      <c r="N41" s="31">
        <f t="shared" si="11"/>
        <v>0.20987500000000076</v>
      </c>
      <c r="O41" s="31">
        <f t="shared" si="12"/>
        <v>83.949999999999989</v>
      </c>
      <c r="P41" s="31">
        <f t="shared" si="13"/>
        <v>127.08636363636363</v>
      </c>
      <c r="Q41" s="31">
        <f t="shared" si="14"/>
        <v>60.722727272727269</v>
      </c>
    </row>
    <row r="42" spans="1:17" x14ac:dyDescent="0.2">
      <c r="A42" s="31">
        <f t="shared" ref="A42:A73" si="17">VINMAX</f>
        <v>52</v>
      </c>
      <c r="B42" s="214">
        <f t="shared" ref="B42:B73" si="18">VINMAX*((ROW()-10)/104)</f>
        <v>16</v>
      </c>
      <c r="C42" s="215">
        <f t="shared" ref="C42:C73" si="19">IF(B42&gt;=$H$2,IF($D$2="CC", $G$2, B42/$G$2), 0)</f>
        <v>0.3</v>
      </c>
      <c r="D42" s="216">
        <f t="shared" ref="D42:D73" si="20">$B$2-B42*$J$2/($I$2*0.001)</f>
        <v>875.16087516087532</v>
      </c>
      <c r="E42" s="216">
        <f t="shared" ref="E42:E73" si="21">MIN(D42/(A42-B42),$C$2)</f>
        <v>24.310024310024314</v>
      </c>
      <c r="F42" s="215">
        <f t="shared" ref="F42:F73" si="22">I_Cout_ss+C42</f>
        <v>2.2999999999999998</v>
      </c>
      <c r="G42" s="216">
        <f t="shared" ref="G42:G73" si="23">IF($F$2="YES", F42, E42)</f>
        <v>2.2999999999999998</v>
      </c>
      <c r="H42" s="215">
        <f t="shared" ref="H42:H73" si="24">G42-C42</f>
        <v>1.9999999999999998</v>
      </c>
      <c r="I42" s="217">
        <f t="shared" si="15"/>
        <v>2.5000000000000005E-3</v>
      </c>
      <c r="J42" s="217">
        <f t="shared" si="16"/>
        <v>8.0000000000000016E-2</v>
      </c>
      <c r="K42" s="212">
        <f t="shared" ref="K42:K73" si="25">J42*1000</f>
        <v>80.000000000000014</v>
      </c>
      <c r="L42" s="208">
        <f t="shared" ref="L42:L73" si="26">H42/G42</f>
        <v>0.86956521739130432</v>
      </c>
      <c r="M42" s="31">
        <f t="shared" ref="M42:M73" si="27">1/COUTMAX*(E42/2-C42)*1000</f>
        <v>1.1855012155012157</v>
      </c>
      <c r="N42" s="31">
        <f t="shared" ref="N42:N73" si="28">I42*G42*(A42-B42)</f>
        <v>0.20700000000000002</v>
      </c>
      <c r="O42" s="31">
        <f t="shared" ref="O42:O73" si="29">G42*(A42-B42)</f>
        <v>82.8</v>
      </c>
      <c r="P42" s="31">
        <f t="shared" ref="P42:P73" si="30">(A42-B42)*(I_Cout_ss*$Q$2+C42)</f>
        <v>125.34545454545453</v>
      </c>
      <c r="Q42" s="31">
        <f t="shared" ref="Q42:Q73" si="31">(A42-B42)*(I_Cout_ss*$R$2+C42)</f>
        <v>59.890909090909091</v>
      </c>
    </row>
    <row r="43" spans="1:17" x14ac:dyDescent="0.2">
      <c r="A43" s="31">
        <f t="shared" si="17"/>
        <v>52</v>
      </c>
      <c r="B43" s="214">
        <f t="shared" si="18"/>
        <v>16.5</v>
      </c>
      <c r="C43" s="215">
        <f t="shared" si="19"/>
        <v>0.3</v>
      </c>
      <c r="D43" s="216">
        <f t="shared" si="20"/>
        <v>875.16087516087532</v>
      </c>
      <c r="E43" s="216">
        <f t="shared" si="21"/>
        <v>24.652419018616207</v>
      </c>
      <c r="F43" s="215">
        <f t="shared" si="22"/>
        <v>2.2999999999999998</v>
      </c>
      <c r="G43" s="216">
        <f t="shared" si="23"/>
        <v>2.2999999999999998</v>
      </c>
      <c r="H43" s="215">
        <f t="shared" si="24"/>
        <v>1.9999999999999998</v>
      </c>
      <c r="I43" s="217">
        <f t="shared" ref="I43:I74" si="32">(COUTMAX/1000000)*(B43-B42)/H43</f>
        <v>2.5000000000000005E-3</v>
      </c>
      <c r="J43" s="217">
        <f t="shared" ref="J43:J74" si="33">J42+I43</f>
        <v>8.2500000000000018E-2</v>
      </c>
      <c r="K43" s="212">
        <f t="shared" si="25"/>
        <v>82.500000000000014</v>
      </c>
      <c r="L43" s="208">
        <f t="shared" si="26"/>
        <v>0.86956521739130432</v>
      </c>
      <c r="M43" s="31">
        <f t="shared" si="27"/>
        <v>1.2026209509308103</v>
      </c>
      <c r="N43" s="31">
        <f t="shared" si="28"/>
        <v>0.20412500000000003</v>
      </c>
      <c r="O43" s="31">
        <f t="shared" si="29"/>
        <v>81.649999999999991</v>
      </c>
      <c r="P43" s="31">
        <f t="shared" si="30"/>
        <v>123.60454545454544</v>
      </c>
      <c r="Q43" s="31">
        <f t="shared" si="31"/>
        <v>59.059090909090905</v>
      </c>
    </row>
    <row r="44" spans="1:17" x14ac:dyDescent="0.2">
      <c r="A44" s="31">
        <f t="shared" si="17"/>
        <v>52</v>
      </c>
      <c r="B44" s="214">
        <f t="shared" si="18"/>
        <v>17</v>
      </c>
      <c r="C44" s="215">
        <f t="shared" si="19"/>
        <v>0.3</v>
      </c>
      <c r="D44" s="216">
        <f t="shared" si="20"/>
        <v>875.16087516087532</v>
      </c>
      <c r="E44" s="216">
        <f t="shared" si="21"/>
        <v>25.004596433167865</v>
      </c>
      <c r="F44" s="215">
        <f t="shared" si="22"/>
        <v>2.2999999999999998</v>
      </c>
      <c r="G44" s="216">
        <f t="shared" si="23"/>
        <v>2.2999999999999998</v>
      </c>
      <c r="H44" s="215">
        <f t="shared" si="24"/>
        <v>1.9999999999999998</v>
      </c>
      <c r="I44" s="217">
        <f t="shared" si="32"/>
        <v>2.5000000000000005E-3</v>
      </c>
      <c r="J44" s="217">
        <f t="shared" si="33"/>
        <v>8.500000000000002E-2</v>
      </c>
      <c r="K44" s="212">
        <f t="shared" si="25"/>
        <v>85.000000000000014</v>
      </c>
      <c r="L44" s="208">
        <f t="shared" si="26"/>
        <v>0.86956521739130432</v>
      </c>
      <c r="M44" s="31">
        <f t="shared" si="27"/>
        <v>1.2202298216583931</v>
      </c>
      <c r="N44" s="31">
        <f t="shared" si="28"/>
        <v>0.20125000000000004</v>
      </c>
      <c r="O44" s="31">
        <f t="shared" si="29"/>
        <v>80.5</v>
      </c>
      <c r="P44" s="31">
        <f t="shared" si="30"/>
        <v>121.86363636363635</v>
      </c>
      <c r="Q44" s="31">
        <f t="shared" si="31"/>
        <v>58.227272727272727</v>
      </c>
    </row>
    <row r="45" spans="1:17" x14ac:dyDescent="0.2">
      <c r="A45" s="31">
        <f t="shared" si="17"/>
        <v>52</v>
      </c>
      <c r="B45" s="214">
        <f t="shared" si="18"/>
        <v>17.5</v>
      </c>
      <c r="C45" s="215">
        <f t="shared" si="19"/>
        <v>0.3</v>
      </c>
      <c r="D45" s="216">
        <f t="shared" si="20"/>
        <v>875.16087516087532</v>
      </c>
      <c r="E45" s="216">
        <f t="shared" si="21"/>
        <v>25.366981888721025</v>
      </c>
      <c r="F45" s="215">
        <f t="shared" si="22"/>
        <v>2.2999999999999998</v>
      </c>
      <c r="G45" s="216">
        <f t="shared" si="23"/>
        <v>2.2999999999999998</v>
      </c>
      <c r="H45" s="215">
        <f t="shared" si="24"/>
        <v>1.9999999999999998</v>
      </c>
      <c r="I45" s="217">
        <f t="shared" si="32"/>
        <v>2.5000000000000005E-3</v>
      </c>
      <c r="J45" s="217">
        <f t="shared" si="33"/>
        <v>8.7500000000000022E-2</v>
      </c>
      <c r="K45" s="212">
        <f t="shared" si="25"/>
        <v>87.500000000000028</v>
      </c>
      <c r="L45" s="208">
        <f t="shared" si="26"/>
        <v>0.86956521739130432</v>
      </c>
      <c r="M45" s="31">
        <f t="shared" si="27"/>
        <v>1.2383490944360511</v>
      </c>
      <c r="N45" s="31">
        <f t="shared" si="28"/>
        <v>0.19837500000000002</v>
      </c>
      <c r="O45" s="31">
        <f t="shared" si="29"/>
        <v>79.349999999999994</v>
      </c>
      <c r="P45" s="31">
        <f t="shared" si="30"/>
        <v>120.12272727272726</v>
      </c>
      <c r="Q45" s="31">
        <f t="shared" si="31"/>
        <v>57.395454545454541</v>
      </c>
    </row>
    <row r="46" spans="1:17" x14ac:dyDescent="0.2">
      <c r="A46" s="31">
        <f t="shared" si="17"/>
        <v>52</v>
      </c>
      <c r="B46" s="214">
        <f t="shared" si="18"/>
        <v>18</v>
      </c>
      <c r="C46" s="215">
        <f t="shared" si="19"/>
        <v>0.3</v>
      </c>
      <c r="D46" s="216">
        <f t="shared" si="20"/>
        <v>875.16087516087532</v>
      </c>
      <c r="E46" s="216">
        <f t="shared" si="21"/>
        <v>25.740025740025743</v>
      </c>
      <c r="F46" s="215">
        <f t="shared" si="22"/>
        <v>2.2999999999999998</v>
      </c>
      <c r="G46" s="216">
        <f t="shared" si="23"/>
        <v>2.2999999999999998</v>
      </c>
      <c r="H46" s="215">
        <f t="shared" si="24"/>
        <v>1.9999999999999998</v>
      </c>
      <c r="I46" s="217">
        <f t="shared" si="32"/>
        <v>2.5000000000000005E-3</v>
      </c>
      <c r="J46" s="217">
        <f t="shared" si="33"/>
        <v>9.0000000000000024E-2</v>
      </c>
      <c r="K46" s="212">
        <f t="shared" si="25"/>
        <v>90.000000000000028</v>
      </c>
      <c r="L46" s="208">
        <f t="shared" si="26"/>
        <v>0.86956521739130432</v>
      </c>
      <c r="M46" s="31">
        <f t="shared" si="27"/>
        <v>1.257001287001287</v>
      </c>
      <c r="N46" s="31">
        <f t="shared" si="28"/>
        <v>0.19550000000000003</v>
      </c>
      <c r="O46" s="31">
        <f t="shared" si="29"/>
        <v>78.199999999999989</v>
      </c>
      <c r="P46" s="31">
        <f t="shared" si="30"/>
        <v>118.38181818181818</v>
      </c>
      <c r="Q46" s="31">
        <f t="shared" si="31"/>
        <v>56.563636363636363</v>
      </c>
    </row>
    <row r="47" spans="1:17" x14ac:dyDescent="0.2">
      <c r="A47" s="31">
        <f t="shared" si="17"/>
        <v>52</v>
      </c>
      <c r="B47" s="214">
        <f t="shared" si="18"/>
        <v>18.5</v>
      </c>
      <c r="C47" s="215">
        <f t="shared" si="19"/>
        <v>0.3</v>
      </c>
      <c r="D47" s="216">
        <f t="shared" si="20"/>
        <v>875.16087516087532</v>
      </c>
      <c r="E47" s="216">
        <f t="shared" si="21"/>
        <v>26.124205228682847</v>
      </c>
      <c r="F47" s="215">
        <f t="shared" si="22"/>
        <v>2.2999999999999998</v>
      </c>
      <c r="G47" s="216">
        <f t="shared" si="23"/>
        <v>2.2999999999999998</v>
      </c>
      <c r="H47" s="215">
        <f t="shared" si="24"/>
        <v>1.9999999999999998</v>
      </c>
      <c r="I47" s="217">
        <f t="shared" si="32"/>
        <v>2.5000000000000005E-3</v>
      </c>
      <c r="J47" s="217">
        <f t="shared" si="33"/>
        <v>9.2500000000000027E-2</v>
      </c>
      <c r="K47" s="212">
        <f t="shared" si="25"/>
        <v>92.500000000000028</v>
      </c>
      <c r="L47" s="208">
        <f t="shared" si="26"/>
        <v>0.86956521739130432</v>
      </c>
      <c r="M47" s="31">
        <f t="shared" si="27"/>
        <v>1.2762102614341424</v>
      </c>
      <c r="N47" s="31">
        <f t="shared" si="28"/>
        <v>0.19262500000000002</v>
      </c>
      <c r="O47" s="31">
        <f t="shared" si="29"/>
        <v>77.05</v>
      </c>
      <c r="P47" s="31">
        <f t="shared" si="30"/>
        <v>116.64090909090908</v>
      </c>
      <c r="Q47" s="31">
        <f t="shared" si="31"/>
        <v>55.731818181818177</v>
      </c>
    </row>
    <row r="48" spans="1:17" x14ac:dyDescent="0.2">
      <c r="A48" s="31">
        <f t="shared" si="17"/>
        <v>52</v>
      </c>
      <c r="B48" s="214">
        <f t="shared" si="18"/>
        <v>19</v>
      </c>
      <c r="C48" s="215">
        <f t="shared" si="19"/>
        <v>0.3</v>
      </c>
      <c r="D48" s="216">
        <f t="shared" si="20"/>
        <v>875.16087516087532</v>
      </c>
      <c r="E48" s="216">
        <f t="shared" si="21"/>
        <v>26.520026520026526</v>
      </c>
      <c r="F48" s="215">
        <f t="shared" si="22"/>
        <v>2.2999999999999998</v>
      </c>
      <c r="G48" s="216">
        <f t="shared" si="23"/>
        <v>2.2999999999999998</v>
      </c>
      <c r="H48" s="215">
        <f t="shared" si="24"/>
        <v>1.9999999999999998</v>
      </c>
      <c r="I48" s="217">
        <f t="shared" si="32"/>
        <v>2.5000000000000005E-3</v>
      </c>
      <c r="J48" s="217">
        <f t="shared" si="33"/>
        <v>9.5000000000000029E-2</v>
      </c>
      <c r="K48" s="212">
        <f t="shared" si="25"/>
        <v>95.000000000000028</v>
      </c>
      <c r="L48" s="208">
        <f t="shared" si="26"/>
        <v>0.86956521739130432</v>
      </c>
      <c r="M48" s="31">
        <f t="shared" si="27"/>
        <v>1.2960013260013263</v>
      </c>
      <c r="N48" s="31">
        <f t="shared" si="28"/>
        <v>0.18975000000000003</v>
      </c>
      <c r="O48" s="31">
        <f t="shared" si="29"/>
        <v>75.899999999999991</v>
      </c>
      <c r="P48" s="31">
        <f t="shared" si="30"/>
        <v>114.89999999999999</v>
      </c>
      <c r="Q48" s="31">
        <f t="shared" si="31"/>
        <v>54.9</v>
      </c>
    </row>
    <row r="49" spans="1:17" x14ac:dyDescent="0.2">
      <c r="A49" s="31">
        <f t="shared" si="17"/>
        <v>52</v>
      </c>
      <c r="B49" s="214">
        <f t="shared" si="18"/>
        <v>19.5</v>
      </c>
      <c r="C49" s="215">
        <f t="shared" si="19"/>
        <v>0.3</v>
      </c>
      <c r="D49" s="216">
        <f t="shared" si="20"/>
        <v>875.16087516087532</v>
      </c>
      <c r="E49" s="216">
        <f t="shared" si="21"/>
        <v>26.928026928026934</v>
      </c>
      <c r="F49" s="215">
        <f t="shared" si="22"/>
        <v>2.2999999999999998</v>
      </c>
      <c r="G49" s="216">
        <f t="shared" si="23"/>
        <v>2.2999999999999998</v>
      </c>
      <c r="H49" s="215">
        <f t="shared" si="24"/>
        <v>1.9999999999999998</v>
      </c>
      <c r="I49" s="217">
        <f t="shared" si="32"/>
        <v>2.5000000000000005E-3</v>
      </c>
      <c r="J49" s="217">
        <f t="shared" si="33"/>
        <v>9.7500000000000031E-2</v>
      </c>
      <c r="K49" s="212">
        <f t="shared" si="25"/>
        <v>97.500000000000028</v>
      </c>
      <c r="L49" s="208">
        <f t="shared" si="26"/>
        <v>0.86956521739130432</v>
      </c>
      <c r="M49" s="31">
        <f t="shared" si="27"/>
        <v>1.3164013464013467</v>
      </c>
      <c r="N49" s="31">
        <f t="shared" si="28"/>
        <v>0.18687500000000001</v>
      </c>
      <c r="O49" s="31">
        <f t="shared" si="29"/>
        <v>74.75</v>
      </c>
      <c r="P49" s="31">
        <f t="shared" si="30"/>
        <v>113.15909090909089</v>
      </c>
      <c r="Q49" s="31">
        <f t="shared" si="31"/>
        <v>54.068181818181813</v>
      </c>
    </row>
    <row r="50" spans="1:17" x14ac:dyDescent="0.2">
      <c r="A50" s="31">
        <f t="shared" si="17"/>
        <v>52</v>
      </c>
      <c r="B50" s="214">
        <f t="shared" si="18"/>
        <v>20</v>
      </c>
      <c r="C50" s="215">
        <f t="shared" si="19"/>
        <v>0.3</v>
      </c>
      <c r="D50" s="216">
        <f t="shared" si="20"/>
        <v>875.16087516087532</v>
      </c>
      <c r="E50" s="216">
        <f t="shared" si="21"/>
        <v>27.348777348777354</v>
      </c>
      <c r="F50" s="215">
        <f t="shared" si="22"/>
        <v>2.2999999999999998</v>
      </c>
      <c r="G50" s="216">
        <f t="shared" si="23"/>
        <v>2.2999999999999998</v>
      </c>
      <c r="H50" s="215">
        <f t="shared" si="24"/>
        <v>1.9999999999999998</v>
      </c>
      <c r="I50" s="217">
        <f t="shared" si="32"/>
        <v>2.5000000000000005E-3</v>
      </c>
      <c r="J50" s="217">
        <f t="shared" si="33"/>
        <v>0.10000000000000003</v>
      </c>
      <c r="K50" s="212">
        <f t="shared" si="25"/>
        <v>100.00000000000003</v>
      </c>
      <c r="L50" s="208">
        <f t="shared" si="26"/>
        <v>0.86956521739130432</v>
      </c>
      <c r="M50" s="31">
        <f t="shared" si="27"/>
        <v>1.3374388674388678</v>
      </c>
      <c r="N50" s="31">
        <f t="shared" si="28"/>
        <v>0.18400000000000002</v>
      </c>
      <c r="O50" s="31">
        <f t="shared" si="29"/>
        <v>73.599999999999994</v>
      </c>
      <c r="P50" s="31">
        <f t="shared" si="30"/>
        <v>111.41818181818181</v>
      </c>
      <c r="Q50" s="31">
        <f t="shared" si="31"/>
        <v>53.236363636363635</v>
      </c>
    </row>
    <row r="51" spans="1:17" x14ac:dyDescent="0.2">
      <c r="A51" s="31">
        <f t="shared" si="17"/>
        <v>52</v>
      </c>
      <c r="B51" s="214">
        <f t="shared" si="18"/>
        <v>20.5</v>
      </c>
      <c r="C51" s="215">
        <f t="shared" si="19"/>
        <v>0.3</v>
      </c>
      <c r="D51" s="216">
        <f t="shared" si="20"/>
        <v>875.16087516087532</v>
      </c>
      <c r="E51" s="216">
        <f t="shared" si="21"/>
        <v>27.782884925742074</v>
      </c>
      <c r="F51" s="215">
        <f t="shared" si="22"/>
        <v>2.2999999999999998</v>
      </c>
      <c r="G51" s="216">
        <f t="shared" si="23"/>
        <v>2.2999999999999998</v>
      </c>
      <c r="H51" s="215">
        <f t="shared" si="24"/>
        <v>1.9999999999999998</v>
      </c>
      <c r="I51" s="217">
        <f t="shared" si="32"/>
        <v>2.5000000000000005E-3</v>
      </c>
      <c r="J51" s="217">
        <f t="shared" si="33"/>
        <v>0.10250000000000004</v>
      </c>
      <c r="K51" s="212">
        <f t="shared" si="25"/>
        <v>102.50000000000003</v>
      </c>
      <c r="L51" s="208">
        <f t="shared" si="26"/>
        <v>0.86956521739130432</v>
      </c>
      <c r="M51" s="31">
        <f t="shared" si="27"/>
        <v>1.3591442462871037</v>
      </c>
      <c r="N51" s="31">
        <f t="shared" si="28"/>
        <v>0.18112500000000004</v>
      </c>
      <c r="O51" s="31">
        <f t="shared" si="29"/>
        <v>72.449999999999989</v>
      </c>
      <c r="P51" s="31">
        <f t="shared" si="30"/>
        <v>109.67727272727272</v>
      </c>
      <c r="Q51" s="31">
        <f t="shared" si="31"/>
        <v>52.404545454545456</v>
      </c>
    </row>
    <row r="52" spans="1:17" x14ac:dyDescent="0.2">
      <c r="A52" s="31">
        <f t="shared" si="17"/>
        <v>52</v>
      </c>
      <c r="B52" s="214">
        <f t="shared" si="18"/>
        <v>21</v>
      </c>
      <c r="C52" s="215">
        <f t="shared" si="19"/>
        <v>0.3</v>
      </c>
      <c r="D52" s="216">
        <f t="shared" si="20"/>
        <v>875.16087516087532</v>
      </c>
      <c r="E52" s="216">
        <f t="shared" si="21"/>
        <v>28.230995972931463</v>
      </c>
      <c r="F52" s="215">
        <f t="shared" si="22"/>
        <v>2.2999999999999998</v>
      </c>
      <c r="G52" s="216">
        <f t="shared" si="23"/>
        <v>2.2999999999999998</v>
      </c>
      <c r="H52" s="215">
        <f t="shared" si="24"/>
        <v>1.9999999999999998</v>
      </c>
      <c r="I52" s="217">
        <f t="shared" si="32"/>
        <v>2.5000000000000005E-3</v>
      </c>
      <c r="J52" s="217">
        <f t="shared" si="33"/>
        <v>0.10500000000000004</v>
      </c>
      <c r="K52" s="212">
        <f t="shared" si="25"/>
        <v>105.00000000000004</v>
      </c>
      <c r="L52" s="208">
        <f t="shared" si="26"/>
        <v>0.86956521739130432</v>
      </c>
      <c r="M52" s="31">
        <f t="shared" si="27"/>
        <v>1.381549798646573</v>
      </c>
      <c r="N52" s="31">
        <f t="shared" si="28"/>
        <v>0.17825000000000002</v>
      </c>
      <c r="O52" s="31">
        <f t="shared" si="29"/>
        <v>71.3</v>
      </c>
      <c r="P52" s="31">
        <f t="shared" si="30"/>
        <v>107.93636363636362</v>
      </c>
      <c r="Q52" s="31">
        <f t="shared" si="31"/>
        <v>51.572727272727271</v>
      </c>
    </row>
    <row r="53" spans="1:17" x14ac:dyDescent="0.2">
      <c r="A53" s="31">
        <f t="shared" si="17"/>
        <v>52</v>
      </c>
      <c r="B53" s="214">
        <f t="shared" si="18"/>
        <v>21.5</v>
      </c>
      <c r="C53" s="215">
        <f t="shared" si="19"/>
        <v>0.3</v>
      </c>
      <c r="D53" s="216">
        <f t="shared" si="20"/>
        <v>875.16087516087532</v>
      </c>
      <c r="E53" s="216">
        <f t="shared" si="21"/>
        <v>28.693799185602469</v>
      </c>
      <c r="F53" s="215">
        <f t="shared" si="22"/>
        <v>2.2999999999999998</v>
      </c>
      <c r="G53" s="216">
        <f t="shared" si="23"/>
        <v>2.2999999999999998</v>
      </c>
      <c r="H53" s="215">
        <f t="shared" si="24"/>
        <v>1.9999999999999998</v>
      </c>
      <c r="I53" s="217">
        <f t="shared" si="32"/>
        <v>2.5000000000000005E-3</v>
      </c>
      <c r="J53" s="217">
        <f t="shared" si="33"/>
        <v>0.10750000000000004</v>
      </c>
      <c r="K53" s="212">
        <f t="shared" si="25"/>
        <v>107.50000000000004</v>
      </c>
      <c r="L53" s="208">
        <f t="shared" si="26"/>
        <v>0.86956521739130432</v>
      </c>
      <c r="M53" s="31">
        <f t="shared" si="27"/>
        <v>1.4046899592801234</v>
      </c>
      <c r="N53" s="31">
        <f t="shared" si="28"/>
        <v>0.17537500000000003</v>
      </c>
      <c r="O53" s="31">
        <f t="shared" si="29"/>
        <v>70.149999999999991</v>
      </c>
      <c r="P53" s="31">
        <f t="shared" si="30"/>
        <v>106.19545454545454</v>
      </c>
      <c r="Q53" s="31">
        <f t="shared" si="31"/>
        <v>50.740909090909092</v>
      </c>
    </row>
    <row r="54" spans="1:17" x14ac:dyDescent="0.2">
      <c r="A54" s="31">
        <f t="shared" si="17"/>
        <v>52</v>
      </c>
      <c r="B54" s="214">
        <f t="shared" si="18"/>
        <v>22</v>
      </c>
      <c r="C54" s="215">
        <f t="shared" si="19"/>
        <v>0.3</v>
      </c>
      <c r="D54" s="216">
        <f t="shared" si="20"/>
        <v>875.16087516087532</v>
      </c>
      <c r="E54" s="216">
        <f t="shared" si="21"/>
        <v>29.172029172029177</v>
      </c>
      <c r="F54" s="215">
        <f t="shared" si="22"/>
        <v>2.2999999999999998</v>
      </c>
      <c r="G54" s="216">
        <f t="shared" si="23"/>
        <v>2.2999999999999998</v>
      </c>
      <c r="H54" s="215">
        <f t="shared" si="24"/>
        <v>1.9999999999999998</v>
      </c>
      <c r="I54" s="217">
        <f t="shared" si="32"/>
        <v>2.5000000000000005E-3</v>
      </c>
      <c r="J54" s="217">
        <f t="shared" si="33"/>
        <v>0.11000000000000004</v>
      </c>
      <c r="K54" s="212">
        <f t="shared" si="25"/>
        <v>110.00000000000004</v>
      </c>
      <c r="L54" s="208">
        <f t="shared" si="26"/>
        <v>0.86956521739130432</v>
      </c>
      <c r="M54" s="31">
        <f t="shared" si="27"/>
        <v>1.428601458601459</v>
      </c>
      <c r="N54" s="31">
        <f t="shared" si="28"/>
        <v>0.17250000000000001</v>
      </c>
      <c r="O54" s="31">
        <f t="shared" si="29"/>
        <v>69</v>
      </c>
      <c r="P54" s="31">
        <f t="shared" si="30"/>
        <v>104.45454545454544</v>
      </c>
      <c r="Q54" s="31">
        <f t="shared" si="31"/>
        <v>49.909090909090907</v>
      </c>
    </row>
    <row r="55" spans="1:17" x14ac:dyDescent="0.2">
      <c r="A55" s="31">
        <f t="shared" si="17"/>
        <v>52</v>
      </c>
      <c r="B55" s="214">
        <f t="shared" si="18"/>
        <v>22.5</v>
      </c>
      <c r="C55" s="215">
        <f t="shared" si="19"/>
        <v>0.3</v>
      </c>
      <c r="D55" s="216">
        <f t="shared" si="20"/>
        <v>875.16087516087532</v>
      </c>
      <c r="E55" s="216">
        <f t="shared" si="21"/>
        <v>29.666470344436451</v>
      </c>
      <c r="F55" s="215">
        <f t="shared" si="22"/>
        <v>2.2999999999999998</v>
      </c>
      <c r="G55" s="216">
        <f t="shared" si="23"/>
        <v>2.2999999999999998</v>
      </c>
      <c r="H55" s="215">
        <f t="shared" si="24"/>
        <v>1.9999999999999998</v>
      </c>
      <c r="I55" s="217">
        <f t="shared" si="32"/>
        <v>2.5000000000000005E-3</v>
      </c>
      <c r="J55" s="217">
        <f t="shared" si="33"/>
        <v>0.11250000000000004</v>
      </c>
      <c r="K55" s="212">
        <f t="shared" si="25"/>
        <v>112.50000000000004</v>
      </c>
      <c r="L55" s="208">
        <f t="shared" si="26"/>
        <v>0.86956521739130432</v>
      </c>
      <c r="M55" s="31">
        <f t="shared" si="27"/>
        <v>1.4533235172218226</v>
      </c>
      <c r="N55" s="31">
        <f t="shared" si="28"/>
        <v>0.16962500000000003</v>
      </c>
      <c r="O55" s="31">
        <f t="shared" si="29"/>
        <v>67.849999999999994</v>
      </c>
      <c r="P55" s="31">
        <f t="shared" si="30"/>
        <v>102.71363636363635</v>
      </c>
      <c r="Q55" s="31">
        <f t="shared" si="31"/>
        <v>49.077272727272728</v>
      </c>
    </row>
    <row r="56" spans="1:17" x14ac:dyDescent="0.2">
      <c r="A56" s="31">
        <f t="shared" si="17"/>
        <v>52</v>
      </c>
      <c r="B56" s="214">
        <f t="shared" si="18"/>
        <v>23</v>
      </c>
      <c r="C56" s="215">
        <f t="shared" si="19"/>
        <v>0.3</v>
      </c>
      <c r="D56" s="216">
        <f t="shared" si="20"/>
        <v>875.16087516087532</v>
      </c>
      <c r="E56" s="216">
        <f t="shared" si="21"/>
        <v>30.177961212443975</v>
      </c>
      <c r="F56" s="215">
        <f t="shared" si="22"/>
        <v>2.2999999999999998</v>
      </c>
      <c r="G56" s="216">
        <f t="shared" si="23"/>
        <v>2.2999999999999998</v>
      </c>
      <c r="H56" s="215">
        <f t="shared" si="24"/>
        <v>1.9999999999999998</v>
      </c>
      <c r="I56" s="217">
        <f t="shared" si="32"/>
        <v>2.5000000000000005E-3</v>
      </c>
      <c r="J56" s="217">
        <f t="shared" si="33"/>
        <v>0.11500000000000005</v>
      </c>
      <c r="K56" s="212">
        <f t="shared" si="25"/>
        <v>115.00000000000004</v>
      </c>
      <c r="L56" s="208">
        <f t="shared" si="26"/>
        <v>0.86956521739130432</v>
      </c>
      <c r="M56" s="31">
        <f t="shared" si="27"/>
        <v>1.4788980606221989</v>
      </c>
      <c r="N56" s="31">
        <f t="shared" si="28"/>
        <v>0.16675000000000001</v>
      </c>
      <c r="O56" s="31">
        <f t="shared" si="29"/>
        <v>66.699999999999989</v>
      </c>
      <c r="P56" s="31">
        <f t="shared" si="30"/>
        <v>100.97272727272727</v>
      </c>
      <c r="Q56" s="31">
        <f t="shared" si="31"/>
        <v>48.245454545454542</v>
      </c>
    </row>
    <row r="57" spans="1:17" x14ac:dyDescent="0.2">
      <c r="A57" s="31">
        <f t="shared" si="17"/>
        <v>52</v>
      </c>
      <c r="B57" s="214">
        <f t="shared" si="18"/>
        <v>23.5</v>
      </c>
      <c r="C57" s="215">
        <f t="shared" si="19"/>
        <v>0.3</v>
      </c>
      <c r="D57" s="216">
        <f t="shared" si="20"/>
        <v>875.16087516087532</v>
      </c>
      <c r="E57" s="216">
        <f t="shared" si="21"/>
        <v>30.707399128451765</v>
      </c>
      <c r="F57" s="215">
        <f t="shared" si="22"/>
        <v>2.2999999999999998</v>
      </c>
      <c r="G57" s="216">
        <f t="shared" si="23"/>
        <v>2.2999999999999998</v>
      </c>
      <c r="H57" s="215">
        <f t="shared" si="24"/>
        <v>1.9999999999999998</v>
      </c>
      <c r="I57" s="217">
        <f t="shared" si="32"/>
        <v>2.5000000000000005E-3</v>
      </c>
      <c r="J57" s="217">
        <f t="shared" si="33"/>
        <v>0.11750000000000005</v>
      </c>
      <c r="K57" s="212">
        <f t="shared" si="25"/>
        <v>117.50000000000004</v>
      </c>
      <c r="L57" s="208">
        <f t="shared" si="26"/>
        <v>0.86956521739130432</v>
      </c>
      <c r="M57" s="31">
        <f t="shared" si="27"/>
        <v>1.5053699564225884</v>
      </c>
      <c r="N57" s="31">
        <f t="shared" si="28"/>
        <v>0.16387500000000002</v>
      </c>
      <c r="O57" s="31">
        <f t="shared" si="29"/>
        <v>65.55</v>
      </c>
      <c r="P57" s="31">
        <f t="shared" si="30"/>
        <v>99.23181818181817</v>
      </c>
      <c r="Q57" s="31">
        <f t="shared" si="31"/>
        <v>47.413636363636364</v>
      </c>
    </row>
    <row r="58" spans="1:17" x14ac:dyDescent="0.2">
      <c r="A58" s="31">
        <f t="shared" si="17"/>
        <v>52</v>
      </c>
      <c r="B58" s="214">
        <f t="shared" si="18"/>
        <v>24</v>
      </c>
      <c r="C58" s="215">
        <f t="shared" si="19"/>
        <v>0.3</v>
      </c>
      <c r="D58" s="216">
        <f t="shared" si="20"/>
        <v>875.16087516087532</v>
      </c>
      <c r="E58" s="216">
        <f t="shared" si="21"/>
        <v>31.255745541459834</v>
      </c>
      <c r="F58" s="215">
        <f t="shared" si="22"/>
        <v>2.2999999999999998</v>
      </c>
      <c r="G58" s="216">
        <f t="shared" si="23"/>
        <v>2.2999999999999998</v>
      </c>
      <c r="H58" s="215">
        <f t="shared" si="24"/>
        <v>1.9999999999999998</v>
      </c>
      <c r="I58" s="217">
        <f t="shared" si="32"/>
        <v>2.5000000000000005E-3</v>
      </c>
      <c r="J58" s="217">
        <f t="shared" si="33"/>
        <v>0.12000000000000005</v>
      </c>
      <c r="K58" s="212">
        <f t="shared" si="25"/>
        <v>120.00000000000006</v>
      </c>
      <c r="L58" s="208">
        <f t="shared" si="26"/>
        <v>0.86956521739130432</v>
      </c>
      <c r="M58" s="31">
        <f t="shared" si="27"/>
        <v>1.5327872770729918</v>
      </c>
      <c r="N58" s="31">
        <f t="shared" si="28"/>
        <v>0.16100000000000003</v>
      </c>
      <c r="O58" s="31">
        <f t="shared" si="29"/>
        <v>64.399999999999991</v>
      </c>
      <c r="P58" s="31">
        <f t="shared" si="30"/>
        <v>97.490909090909085</v>
      </c>
      <c r="Q58" s="31">
        <f t="shared" si="31"/>
        <v>46.581818181818178</v>
      </c>
    </row>
    <row r="59" spans="1:17" x14ac:dyDescent="0.2">
      <c r="A59" s="31">
        <f t="shared" si="17"/>
        <v>52</v>
      </c>
      <c r="B59" s="214">
        <f t="shared" si="18"/>
        <v>24.5</v>
      </c>
      <c r="C59" s="215">
        <f t="shared" si="19"/>
        <v>0.3</v>
      </c>
      <c r="D59" s="216">
        <f t="shared" si="20"/>
        <v>875.16087516087532</v>
      </c>
      <c r="E59" s="216">
        <f t="shared" si="21"/>
        <v>31.824031824031831</v>
      </c>
      <c r="F59" s="215">
        <f t="shared" si="22"/>
        <v>2.2999999999999998</v>
      </c>
      <c r="G59" s="216">
        <f t="shared" si="23"/>
        <v>2.2999999999999998</v>
      </c>
      <c r="H59" s="215">
        <f t="shared" si="24"/>
        <v>1.9999999999999998</v>
      </c>
      <c r="I59" s="217">
        <f t="shared" si="32"/>
        <v>2.5000000000000005E-3</v>
      </c>
      <c r="J59" s="217">
        <f t="shared" si="33"/>
        <v>0.12250000000000005</v>
      </c>
      <c r="K59" s="212">
        <f t="shared" si="25"/>
        <v>122.50000000000006</v>
      </c>
      <c r="L59" s="208">
        <f t="shared" si="26"/>
        <v>0.86956521739130432</v>
      </c>
      <c r="M59" s="31">
        <f t="shared" si="27"/>
        <v>1.5612015912015915</v>
      </c>
      <c r="N59" s="31">
        <f t="shared" si="28"/>
        <v>0.15812500000000002</v>
      </c>
      <c r="O59" s="31">
        <f t="shared" si="29"/>
        <v>63.249999999999993</v>
      </c>
      <c r="P59" s="31">
        <f t="shared" si="30"/>
        <v>95.749999999999986</v>
      </c>
      <c r="Q59" s="31">
        <f t="shared" si="31"/>
        <v>45.75</v>
      </c>
    </row>
    <row r="60" spans="1:17" x14ac:dyDescent="0.2">
      <c r="A60" s="31">
        <f t="shared" si="17"/>
        <v>52</v>
      </c>
      <c r="B60" s="214">
        <f t="shared" si="18"/>
        <v>25</v>
      </c>
      <c r="C60" s="215">
        <f t="shared" si="19"/>
        <v>0.3</v>
      </c>
      <c r="D60" s="216">
        <f t="shared" si="20"/>
        <v>875.16087516087532</v>
      </c>
      <c r="E60" s="216">
        <f t="shared" si="21"/>
        <v>32.413365746699085</v>
      </c>
      <c r="F60" s="215">
        <f t="shared" si="22"/>
        <v>2.2999999999999998</v>
      </c>
      <c r="G60" s="216">
        <f t="shared" si="23"/>
        <v>2.2999999999999998</v>
      </c>
      <c r="H60" s="215">
        <f t="shared" si="24"/>
        <v>1.9999999999999998</v>
      </c>
      <c r="I60" s="217">
        <f t="shared" si="32"/>
        <v>2.5000000000000005E-3</v>
      </c>
      <c r="J60" s="217">
        <f t="shared" si="33"/>
        <v>0.12500000000000006</v>
      </c>
      <c r="K60" s="212">
        <f t="shared" si="25"/>
        <v>125.00000000000006</v>
      </c>
      <c r="L60" s="208">
        <f t="shared" si="26"/>
        <v>0.86956521739130432</v>
      </c>
      <c r="M60" s="31">
        <f t="shared" si="27"/>
        <v>1.5906682873349545</v>
      </c>
      <c r="N60" s="31">
        <f t="shared" si="28"/>
        <v>0.15525000000000003</v>
      </c>
      <c r="O60" s="31">
        <f t="shared" si="29"/>
        <v>62.099999999999994</v>
      </c>
      <c r="P60" s="31">
        <f t="shared" si="30"/>
        <v>94.009090909090901</v>
      </c>
      <c r="Q60" s="31">
        <f t="shared" si="31"/>
        <v>44.918181818181814</v>
      </c>
    </row>
    <row r="61" spans="1:17" x14ac:dyDescent="0.2">
      <c r="A61" s="31">
        <f t="shared" si="17"/>
        <v>52</v>
      </c>
      <c r="B61" s="214">
        <f t="shared" si="18"/>
        <v>25.5</v>
      </c>
      <c r="C61" s="215">
        <f t="shared" si="19"/>
        <v>0.3</v>
      </c>
      <c r="D61" s="216">
        <f t="shared" si="20"/>
        <v>875.16087516087532</v>
      </c>
      <c r="E61" s="216">
        <f t="shared" si="21"/>
        <v>33.024938685316052</v>
      </c>
      <c r="F61" s="215">
        <f t="shared" si="22"/>
        <v>2.2999999999999998</v>
      </c>
      <c r="G61" s="216">
        <f t="shared" si="23"/>
        <v>2.2999999999999998</v>
      </c>
      <c r="H61" s="215">
        <f t="shared" si="24"/>
        <v>1.9999999999999998</v>
      </c>
      <c r="I61" s="217">
        <f t="shared" si="32"/>
        <v>2.5000000000000005E-3</v>
      </c>
      <c r="J61" s="217">
        <f t="shared" si="33"/>
        <v>0.12750000000000006</v>
      </c>
      <c r="K61" s="212">
        <f t="shared" si="25"/>
        <v>127.50000000000006</v>
      </c>
      <c r="L61" s="208">
        <f t="shared" si="26"/>
        <v>0.86956521739130432</v>
      </c>
      <c r="M61" s="31">
        <f t="shared" si="27"/>
        <v>1.6212469342658025</v>
      </c>
      <c r="N61" s="31">
        <f t="shared" si="28"/>
        <v>0.15237500000000001</v>
      </c>
      <c r="O61" s="31">
        <f t="shared" si="29"/>
        <v>60.949999999999996</v>
      </c>
      <c r="P61" s="31">
        <f t="shared" si="30"/>
        <v>92.268181818181816</v>
      </c>
      <c r="Q61" s="31">
        <f t="shared" si="31"/>
        <v>44.086363636363636</v>
      </c>
    </row>
    <row r="62" spans="1:17" x14ac:dyDescent="0.2">
      <c r="A62" s="31">
        <f t="shared" si="17"/>
        <v>52</v>
      </c>
      <c r="B62" s="214">
        <f t="shared" si="18"/>
        <v>26</v>
      </c>
      <c r="C62" s="215">
        <f t="shared" si="19"/>
        <v>0.3</v>
      </c>
      <c r="D62" s="216">
        <f t="shared" si="20"/>
        <v>875.16087516087532</v>
      </c>
      <c r="E62" s="216">
        <f t="shared" si="21"/>
        <v>33.660033660033669</v>
      </c>
      <c r="F62" s="215">
        <f t="shared" si="22"/>
        <v>2.2999999999999998</v>
      </c>
      <c r="G62" s="216">
        <f t="shared" si="23"/>
        <v>2.2999999999999998</v>
      </c>
      <c r="H62" s="215">
        <f t="shared" si="24"/>
        <v>1.9999999999999998</v>
      </c>
      <c r="I62" s="217">
        <f t="shared" si="32"/>
        <v>2.5000000000000005E-3</v>
      </c>
      <c r="J62" s="217">
        <f t="shared" si="33"/>
        <v>0.13000000000000006</v>
      </c>
      <c r="K62" s="212">
        <f t="shared" si="25"/>
        <v>130.00000000000006</v>
      </c>
      <c r="L62" s="208">
        <f t="shared" si="26"/>
        <v>0.86956521739130432</v>
      </c>
      <c r="M62" s="31">
        <f t="shared" si="27"/>
        <v>1.6530016830016836</v>
      </c>
      <c r="N62" s="31">
        <f t="shared" si="28"/>
        <v>0.14950000000000002</v>
      </c>
      <c r="O62" s="31">
        <f t="shared" si="29"/>
        <v>59.8</v>
      </c>
      <c r="P62" s="31">
        <f t="shared" si="30"/>
        <v>90.527272727272717</v>
      </c>
      <c r="Q62" s="31">
        <f t="shared" si="31"/>
        <v>43.25454545454545</v>
      </c>
    </row>
    <row r="63" spans="1:17" x14ac:dyDescent="0.2">
      <c r="A63" s="31">
        <f t="shared" si="17"/>
        <v>52</v>
      </c>
      <c r="B63" s="214">
        <f t="shared" si="18"/>
        <v>26.5</v>
      </c>
      <c r="C63" s="215">
        <f t="shared" si="19"/>
        <v>0.3</v>
      </c>
      <c r="D63" s="216">
        <f t="shared" si="20"/>
        <v>875.16087516087532</v>
      </c>
      <c r="E63" s="216">
        <f t="shared" si="21"/>
        <v>34.320034320034324</v>
      </c>
      <c r="F63" s="215">
        <f t="shared" si="22"/>
        <v>2.2999999999999998</v>
      </c>
      <c r="G63" s="216">
        <f t="shared" si="23"/>
        <v>2.2999999999999998</v>
      </c>
      <c r="H63" s="215">
        <f t="shared" si="24"/>
        <v>1.9999999999999998</v>
      </c>
      <c r="I63" s="217">
        <f t="shared" si="32"/>
        <v>2.5000000000000005E-3</v>
      </c>
      <c r="J63" s="217">
        <f t="shared" si="33"/>
        <v>0.13250000000000006</v>
      </c>
      <c r="K63" s="212">
        <f t="shared" si="25"/>
        <v>132.50000000000006</v>
      </c>
      <c r="L63" s="208">
        <f t="shared" si="26"/>
        <v>0.86956521739130432</v>
      </c>
      <c r="M63" s="31">
        <f t="shared" si="27"/>
        <v>1.6860017160017162</v>
      </c>
      <c r="N63" s="31">
        <f t="shared" si="28"/>
        <v>0.14662500000000003</v>
      </c>
      <c r="O63" s="31">
        <f t="shared" si="29"/>
        <v>58.65</v>
      </c>
      <c r="P63" s="31">
        <f t="shared" si="30"/>
        <v>88.786363636363632</v>
      </c>
      <c r="Q63" s="31">
        <f t="shared" si="31"/>
        <v>42.422727272727272</v>
      </c>
    </row>
    <row r="64" spans="1:17" x14ac:dyDescent="0.2">
      <c r="A64" s="31">
        <f t="shared" si="17"/>
        <v>52</v>
      </c>
      <c r="B64" s="214">
        <f t="shared" si="18"/>
        <v>27.000000000000004</v>
      </c>
      <c r="C64" s="215">
        <f t="shared" si="19"/>
        <v>0.3</v>
      </c>
      <c r="D64" s="216">
        <f t="shared" si="20"/>
        <v>875.16087516087532</v>
      </c>
      <c r="E64" s="216">
        <f t="shared" si="21"/>
        <v>35.006435006435019</v>
      </c>
      <c r="F64" s="215">
        <f t="shared" si="22"/>
        <v>2.2999999999999998</v>
      </c>
      <c r="G64" s="216">
        <f t="shared" si="23"/>
        <v>2.2999999999999998</v>
      </c>
      <c r="H64" s="215">
        <f t="shared" si="24"/>
        <v>1.9999999999999998</v>
      </c>
      <c r="I64" s="217">
        <f t="shared" si="32"/>
        <v>2.5000000000000183E-3</v>
      </c>
      <c r="J64" s="217">
        <f t="shared" si="33"/>
        <v>0.13500000000000009</v>
      </c>
      <c r="K64" s="212">
        <f t="shared" si="25"/>
        <v>135.00000000000009</v>
      </c>
      <c r="L64" s="208">
        <f t="shared" si="26"/>
        <v>0.86956521739130432</v>
      </c>
      <c r="M64" s="31">
        <f t="shared" si="27"/>
        <v>1.7203217503217509</v>
      </c>
      <c r="N64" s="31">
        <f t="shared" si="28"/>
        <v>0.14375000000000102</v>
      </c>
      <c r="O64" s="31">
        <f t="shared" si="29"/>
        <v>57.499999999999986</v>
      </c>
      <c r="P64" s="31">
        <f t="shared" si="30"/>
        <v>87.045454545454518</v>
      </c>
      <c r="Q64" s="31">
        <f t="shared" si="31"/>
        <v>41.590909090909086</v>
      </c>
    </row>
    <row r="65" spans="1:17" x14ac:dyDescent="0.2">
      <c r="A65" s="31">
        <f t="shared" si="17"/>
        <v>52</v>
      </c>
      <c r="B65" s="214">
        <f t="shared" si="18"/>
        <v>27.5</v>
      </c>
      <c r="C65" s="215">
        <f t="shared" si="19"/>
        <v>0.3</v>
      </c>
      <c r="D65" s="216">
        <f t="shared" si="20"/>
        <v>875.16087516087532</v>
      </c>
      <c r="E65" s="216">
        <f t="shared" si="21"/>
        <v>35.720852047382664</v>
      </c>
      <c r="F65" s="215">
        <f t="shared" si="22"/>
        <v>2.2999999999999998</v>
      </c>
      <c r="G65" s="216">
        <f t="shared" si="23"/>
        <v>2.2999999999999998</v>
      </c>
      <c r="H65" s="215">
        <f t="shared" si="24"/>
        <v>1.9999999999999998</v>
      </c>
      <c r="I65" s="217">
        <f t="shared" si="32"/>
        <v>2.4999999999999827E-3</v>
      </c>
      <c r="J65" s="217">
        <f t="shared" si="33"/>
        <v>0.13750000000000007</v>
      </c>
      <c r="K65" s="212">
        <f t="shared" si="25"/>
        <v>137.50000000000006</v>
      </c>
      <c r="L65" s="208">
        <f t="shared" si="26"/>
        <v>0.86956521739130432</v>
      </c>
      <c r="M65" s="31">
        <f t="shared" si="27"/>
        <v>1.7560426023691333</v>
      </c>
      <c r="N65" s="31">
        <f t="shared" si="28"/>
        <v>0.14087499999999903</v>
      </c>
      <c r="O65" s="31">
        <f t="shared" si="29"/>
        <v>56.349999999999994</v>
      </c>
      <c r="P65" s="31">
        <f t="shared" si="30"/>
        <v>85.304545454545448</v>
      </c>
      <c r="Q65" s="31">
        <f t="shared" si="31"/>
        <v>40.759090909090908</v>
      </c>
    </row>
    <row r="66" spans="1:17" x14ac:dyDescent="0.2">
      <c r="A66" s="31">
        <f t="shared" si="17"/>
        <v>52</v>
      </c>
      <c r="B66" s="214">
        <f t="shared" si="18"/>
        <v>28</v>
      </c>
      <c r="C66" s="215">
        <f t="shared" si="19"/>
        <v>0.3</v>
      </c>
      <c r="D66" s="216">
        <f t="shared" si="20"/>
        <v>875.16087516087532</v>
      </c>
      <c r="E66" s="216">
        <f t="shared" si="21"/>
        <v>36.465036465036469</v>
      </c>
      <c r="F66" s="215">
        <f t="shared" si="22"/>
        <v>2.2999999999999998</v>
      </c>
      <c r="G66" s="216">
        <f t="shared" si="23"/>
        <v>2.2999999999999998</v>
      </c>
      <c r="H66" s="215">
        <f t="shared" si="24"/>
        <v>1.9999999999999998</v>
      </c>
      <c r="I66" s="217">
        <f t="shared" si="32"/>
        <v>2.5000000000000005E-3</v>
      </c>
      <c r="J66" s="217">
        <f t="shared" si="33"/>
        <v>0.14000000000000007</v>
      </c>
      <c r="K66" s="212">
        <f t="shared" si="25"/>
        <v>140.00000000000006</v>
      </c>
      <c r="L66" s="208">
        <f t="shared" si="26"/>
        <v>0.86956521739130432</v>
      </c>
      <c r="M66" s="31">
        <f t="shared" si="27"/>
        <v>1.7932518232518235</v>
      </c>
      <c r="N66" s="31">
        <f t="shared" si="28"/>
        <v>0.13800000000000001</v>
      </c>
      <c r="O66" s="31">
        <f t="shared" si="29"/>
        <v>55.199999999999996</v>
      </c>
      <c r="P66" s="31">
        <f t="shared" si="30"/>
        <v>83.563636363636363</v>
      </c>
      <c r="Q66" s="31">
        <f t="shared" si="31"/>
        <v>39.927272727272722</v>
      </c>
    </row>
    <row r="67" spans="1:17" x14ac:dyDescent="0.2">
      <c r="A67" s="31">
        <f t="shared" si="17"/>
        <v>52</v>
      </c>
      <c r="B67" s="214">
        <f t="shared" si="18"/>
        <v>28.500000000000004</v>
      </c>
      <c r="C67" s="215">
        <f t="shared" si="19"/>
        <v>0.3</v>
      </c>
      <c r="D67" s="216">
        <f t="shared" si="20"/>
        <v>875.16087516087532</v>
      </c>
      <c r="E67" s="216">
        <f t="shared" si="21"/>
        <v>37.240888304718105</v>
      </c>
      <c r="F67" s="215">
        <f t="shared" si="22"/>
        <v>2.2999999999999998</v>
      </c>
      <c r="G67" s="216">
        <f t="shared" si="23"/>
        <v>2.2999999999999998</v>
      </c>
      <c r="H67" s="215">
        <f t="shared" si="24"/>
        <v>1.9999999999999998</v>
      </c>
      <c r="I67" s="217">
        <f t="shared" si="32"/>
        <v>2.5000000000000183E-3</v>
      </c>
      <c r="J67" s="217">
        <f t="shared" si="33"/>
        <v>0.1425000000000001</v>
      </c>
      <c r="K67" s="212">
        <f t="shared" si="25"/>
        <v>142.50000000000009</v>
      </c>
      <c r="L67" s="208">
        <f t="shared" si="26"/>
        <v>0.86956521739130432</v>
      </c>
      <c r="M67" s="31">
        <f t="shared" si="27"/>
        <v>1.8320444152359052</v>
      </c>
      <c r="N67" s="31">
        <f t="shared" si="28"/>
        <v>0.13512500000000097</v>
      </c>
      <c r="O67" s="31">
        <f t="shared" si="29"/>
        <v>54.04999999999999</v>
      </c>
      <c r="P67" s="31">
        <f t="shared" si="30"/>
        <v>81.822727272727249</v>
      </c>
      <c r="Q67" s="31">
        <f t="shared" si="31"/>
        <v>39.095454545454537</v>
      </c>
    </row>
    <row r="68" spans="1:17" x14ac:dyDescent="0.2">
      <c r="A68" s="31">
        <f t="shared" si="17"/>
        <v>52</v>
      </c>
      <c r="B68" s="214">
        <f t="shared" si="18"/>
        <v>29</v>
      </c>
      <c r="C68" s="215">
        <f t="shared" si="19"/>
        <v>0.3</v>
      </c>
      <c r="D68" s="216">
        <f t="shared" si="20"/>
        <v>875.16087516087532</v>
      </c>
      <c r="E68" s="216">
        <f t="shared" si="21"/>
        <v>38.050472833081535</v>
      </c>
      <c r="F68" s="215">
        <f t="shared" si="22"/>
        <v>2.2999999999999998</v>
      </c>
      <c r="G68" s="216">
        <f t="shared" si="23"/>
        <v>2.2999999999999998</v>
      </c>
      <c r="H68" s="215">
        <f t="shared" si="24"/>
        <v>1.9999999999999998</v>
      </c>
      <c r="I68" s="217">
        <f t="shared" si="32"/>
        <v>2.4999999999999827E-3</v>
      </c>
      <c r="J68" s="217">
        <f t="shared" si="33"/>
        <v>0.14500000000000007</v>
      </c>
      <c r="K68" s="212">
        <f t="shared" si="25"/>
        <v>145.00000000000009</v>
      </c>
      <c r="L68" s="208">
        <f t="shared" si="26"/>
        <v>0.86956521739130432</v>
      </c>
      <c r="M68" s="31">
        <f t="shared" si="27"/>
        <v>1.8725236416540767</v>
      </c>
      <c r="N68" s="31">
        <f t="shared" si="28"/>
        <v>0.13224999999999909</v>
      </c>
      <c r="O68" s="31">
        <f t="shared" si="29"/>
        <v>52.9</v>
      </c>
      <c r="P68" s="31">
        <f t="shared" si="30"/>
        <v>80.081818181818178</v>
      </c>
      <c r="Q68" s="31">
        <f t="shared" si="31"/>
        <v>38.263636363636365</v>
      </c>
    </row>
    <row r="69" spans="1:17" x14ac:dyDescent="0.2">
      <c r="A69" s="31">
        <f t="shared" si="17"/>
        <v>52</v>
      </c>
      <c r="B69" s="214">
        <f t="shared" si="18"/>
        <v>29.5</v>
      </c>
      <c r="C69" s="215">
        <f t="shared" si="19"/>
        <v>0.3</v>
      </c>
      <c r="D69" s="216">
        <f t="shared" si="20"/>
        <v>875.16087516087532</v>
      </c>
      <c r="E69" s="216">
        <f t="shared" si="21"/>
        <v>38.896038896038903</v>
      </c>
      <c r="F69" s="215">
        <f t="shared" si="22"/>
        <v>2.2999999999999998</v>
      </c>
      <c r="G69" s="216">
        <f t="shared" si="23"/>
        <v>2.2999999999999998</v>
      </c>
      <c r="H69" s="215">
        <f t="shared" si="24"/>
        <v>1.9999999999999998</v>
      </c>
      <c r="I69" s="217">
        <f t="shared" si="32"/>
        <v>2.5000000000000005E-3</v>
      </c>
      <c r="J69" s="217">
        <f t="shared" si="33"/>
        <v>0.14750000000000008</v>
      </c>
      <c r="K69" s="212">
        <f t="shared" si="25"/>
        <v>147.50000000000009</v>
      </c>
      <c r="L69" s="208">
        <f t="shared" si="26"/>
        <v>0.86956521739130432</v>
      </c>
      <c r="M69" s="31">
        <f t="shared" si="27"/>
        <v>1.9148019448019451</v>
      </c>
      <c r="N69" s="31">
        <f t="shared" si="28"/>
        <v>0.12937500000000002</v>
      </c>
      <c r="O69" s="31">
        <f t="shared" si="29"/>
        <v>51.749999999999993</v>
      </c>
      <c r="P69" s="31">
        <f t="shared" si="30"/>
        <v>78.340909090909079</v>
      </c>
      <c r="Q69" s="31">
        <f t="shared" si="31"/>
        <v>37.43181818181818</v>
      </c>
    </row>
    <row r="70" spans="1:17" x14ac:dyDescent="0.2">
      <c r="A70" s="31">
        <f t="shared" si="17"/>
        <v>52</v>
      </c>
      <c r="B70" s="214">
        <f t="shared" si="18"/>
        <v>29.999999999999996</v>
      </c>
      <c r="C70" s="215">
        <f t="shared" si="19"/>
        <v>0.3</v>
      </c>
      <c r="D70" s="216">
        <f t="shared" si="20"/>
        <v>875.16087516087532</v>
      </c>
      <c r="E70" s="216">
        <f t="shared" si="21"/>
        <v>39.780039780039779</v>
      </c>
      <c r="F70" s="215">
        <f t="shared" si="22"/>
        <v>2.2999999999999998</v>
      </c>
      <c r="G70" s="216">
        <f t="shared" si="23"/>
        <v>2.2999999999999998</v>
      </c>
      <c r="H70" s="215">
        <f t="shared" si="24"/>
        <v>1.9999999999999998</v>
      </c>
      <c r="I70" s="217">
        <f t="shared" si="32"/>
        <v>2.4999999999999827E-3</v>
      </c>
      <c r="J70" s="217">
        <f t="shared" si="33"/>
        <v>0.15000000000000005</v>
      </c>
      <c r="K70" s="212">
        <f t="shared" si="25"/>
        <v>150.00000000000006</v>
      </c>
      <c r="L70" s="208">
        <f t="shared" si="26"/>
        <v>0.86956521739130432</v>
      </c>
      <c r="M70" s="31">
        <f t="shared" si="27"/>
        <v>1.959001989001989</v>
      </c>
      <c r="N70" s="31">
        <f t="shared" si="28"/>
        <v>0.12649999999999914</v>
      </c>
      <c r="O70" s="31">
        <f t="shared" si="29"/>
        <v>50.6</v>
      </c>
      <c r="P70" s="31">
        <f t="shared" si="30"/>
        <v>76.600000000000009</v>
      </c>
      <c r="Q70" s="31">
        <f t="shared" si="31"/>
        <v>36.6</v>
      </c>
    </row>
    <row r="71" spans="1:17" x14ac:dyDescent="0.2">
      <c r="A71" s="31">
        <f t="shared" si="17"/>
        <v>52</v>
      </c>
      <c r="B71" s="214">
        <f t="shared" si="18"/>
        <v>30.5</v>
      </c>
      <c r="C71" s="215">
        <f t="shared" si="19"/>
        <v>0.3</v>
      </c>
      <c r="D71" s="216">
        <f t="shared" si="20"/>
        <v>875.16087516087532</v>
      </c>
      <c r="E71" s="216">
        <f t="shared" si="21"/>
        <v>40.705156984226761</v>
      </c>
      <c r="F71" s="215">
        <f t="shared" si="22"/>
        <v>2.2999999999999998</v>
      </c>
      <c r="G71" s="216">
        <f t="shared" si="23"/>
        <v>2.2999999999999998</v>
      </c>
      <c r="H71" s="215">
        <f t="shared" si="24"/>
        <v>1.9999999999999998</v>
      </c>
      <c r="I71" s="217">
        <f t="shared" si="32"/>
        <v>2.5000000000000183E-3</v>
      </c>
      <c r="J71" s="217">
        <f t="shared" si="33"/>
        <v>0.15250000000000008</v>
      </c>
      <c r="K71" s="212">
        <f t="shared" si="25"/>
        <v>152.50000000000009</v>
      </c>
      <c r="L71" s="208">
        <f t="shared" si="26"/>
        <v>0.86956521739130432</v>
      </c>
      <c r="M71" s="31">
        <f t="shared" si="27"/>
        <v>2.0052578492113384</v>
      </c>
      <c r="N71" s="31">
        <f t="shared" si="28"/>
        <v>0.12362500000000089</v>
      </c>
      <c r="O71" s="31">
        <f t="shared" si="29"/>
        <v>49.449999999999996</v>
      </c>
      <c r="P71" s="31">
        <f t="shared" si="30"/>
        <v>74.859090909090895</v>
      </c>
      <c r="Q71" s="31">
        <f t="shared" si="31"/>
        <v>35.768181818181816</v>
      </c>
    </row>
    <row r="72" spans="1:17" x14ac:dyDescent="0.2">
      <c r="A72" s="31">
        <f t="shared" si="17"/>
        <v>52</v>
      </c>
      <c r="B72" s="214">
        <f t="shared" si="18"/>
        <v>31</v>
      </c>
      <c r="C72" s="215">
        <f t="shared" si="19"/>
        <v>0.3</v>
      </c>
      <c r="D72" s="216">
        <f t="shared" si="20"/>
        <v>875.16087516087532</v>
      </c>
      <c r="E72" s="216">
        <f t="shared" si="21"/>
        <v>41.674327388613108</v>
      </c>
      <c r="F72" s="215">
        <f t="shared" si="22"/>
        <v>2.2999999999999998</v>
      </c>
      <c r="G72" s="216">
        <f t="shared" si="23"/>
        <v>2.2999999999999998</v>
      </c>
      <c r="H72" s="215">
        <f t="shared" si="24"/>
        <v>1.9999999999999998</v>
      </c>
      <c r="I72" s="217">
        <f t="shared" si="32"/>
        <v>2.5000000000000005E-3</v>
      </c>
      <c r="J72" s="217">
        <f t="shared" si="33"/>
        <v>0.15500000000000008</v>
      </c>
      <c r="K72" s="212">
        <f t="shared" si="25"/>
        <v>155.00000000000009</v>
      </c>
      <c r="L72" s="208">
        <f t="shared" si="26"/>
        <v>0.86956521739130432</v>
      </c>
      <c r="M72" s="31">
        <f t="shared" si="27"/>
        <v>2.0537163694306555</v>
      </c>
      <c r="N72" s="31">
        <f t="shared" si="28"/>
        <v>0.12075000000000001</v>
      </c>
      <c r="O72" s="31">
        <f t="shared" si="29"/>
        <v>48.3</v>
      </c>
      <c r="P72" s="31">
        <f t="shared" si="30"/>
        <v>73.11818181818181</v>
      </c>
      <c r="Q72" s="31">
        <f t="shared" si="31"/>
        <v>34.936363636363637</v>
      </c>
    </row>
    <row r="73" spans="1:17" x14ac:dyDescent="0.2">
      <c r="A73" s="31">
        <f t="shared" si="17"/>
        <v>52</v>
      </c>
      <c r="B73" s="214">
        <f t="shared" si="18"/>
        <v>31.499999999999996</v>
      </c>
      <c r="C73" s="215">
        <f t="shared" si="19"/>
        <v>0.3</v>
      </c>
      <c r="D73" s="216">
        <f t="shared" si="20"/>
        <v>875.16087516087532</v>
      </c>
      <c r="E73" s="216">
        <f t="shared" si="21"/>
        <v>42.69077439809147</v>
      </c>
      <c r="F73" s="215">
        <f t="shared" si="22"/>
        <v>2.2999999999999998</v>
      </c>
      <c r="G73" s="216">
        <f t="shared" si="23"/>
        <v>2.2999999999999998</v>
      </c>
      <c r="H73" s="215">
        <f t="shared" si="24"/>
        <v>1.9999999999999998</v>
      </c>
      <c r="I73" s="217">
        <f t="shared" si="32"/>
        <v>2.4999999999999827E-3</v>
      </c>
      <c r="J73" s="217">
        <f t="shared" si="33"/>
        <v>0.15750000000000006</v>
      </c>
      <c r="K73" s="212">
        <f t="shared" si="25"/>
        <v>157.50000000000006</v>
      </c>
      <c r="L73" s="208">
        <f t="shared" si="26"/>
        <v>0.86956521739130432</v>
      </c>
      <c r="M73" s="31">
        <f t="shared" si="27"/>
        <v>2.1045387199045735</v>
      </c>
      <c r="N73" s="31">
        <f t="shared" si="28"/>
        <v>0.1178749999999992</v>
      </c>
      <c r="O73" s="31">
        <f t="shared" si="29"/>
        <v>47.150000000000006</v>
      </c>
      <c r="P73" s="31">
        <f t="shared" si="30"/>
        <v>71.377272727272739</v>
      </c>
      <c r="Q73" s="31">
        <f t="shared" si="31"/>
        <v>34.104545454545459</v>
      </c>
    </row>
    <row r="74" spans="1:17" x14ac:dyDescent="0.2">
      <c r="A74" s="31">
        <f t="shared" ref="A74:A105" si="34">VINMAX</f>
        <v>52</v>
      </c>
      <c r="B74" s="214">
        <f t="shared" ref="B74:B105" si="35">VINMAX*((ROW()-10)/104)</f>
        <v>32</v>
      </c>
      <c r="C74" s="215">
        <f t="shared" ref="C74:C105" si="36">IF(B74&gt;=$H$2,IF($D$2="CC", $G$2, B74/$G$2), 0)</f>
        <v>0.3</v>
      </c>
      <c r="D74" s="216">
        <f t="shared" ref="D74:D105" si="37">$B$2-B74*$J$2/($I$2*0.001)</f>
        <v>875.16087516087532</v>
      </c>
      <c r="E74" s="216">
        <f t="shared" ref="E74:E105" si="38">MIN(D74/(A74-B74),$C$2)</f>
        <v>43.758043758043769</v>
      </c>
      <c r="F74" s="215">
        <f t="shared" ref="F74:F105" si="39">I_Cout_ss+C74</f>
        <v>2.2999999999999998</v>
      </c>
      <c r="G74" s="216">
        <f t="shared" ref="G74:G105" si="40">IF($F$2="YES", F74, E74)</f>
        <v>2.2999999999999998</v>
      </c>
      <c r="H74" s="215">
        <f t="shared" ref="H74:H105" si="41">G74-C74</f>
        <v>1.9999999999999998</v>
      </c>
      <c r="I74" s="217">
        <f t="shared" si="32"/>
        <v>2.5000000000000183E-3</v>
      </c>
      <c r="J74" s="217">
        <f t="shared" si="33"/>
        <v>0.16000000000000009</v>
      </c>
      <c r="K74" s="212">
        <f t="shared" ref="K74:K105" si="42">J74*1000</f>
        <v>160.00000000000009</v>
      </c>
      <c r="L74" s="208">
        <f t="shared" ref="L74:L105" si="43">H74/G74</f>
        <v>0.86956521739130432</v>
      </c>
      <c r="M74" s="31">
        <f t="shared" ref="M74:M105" si="44">1/COUTMAX*(E74/2-C74)*1000</f>
        <v>2.1579021879021885</v>
      </c>
      <c r="N74" s="31">
        <f t="shared" ref="N74:N105" si="45">I74*G74*(A74-B74)</f>
        <v>0.11500000000000082</v>
      </c>
      <c r="O74" s="31">
        <f t="shared" ref="O74:O105" si="46">G74*(A74-B74)</f>
        <v>46</v>
      </c>
      <c r="P74" s="31">
        <f t="shared" ref="P74:P105" si="47">(A74-B74)*(I_Cout_ss*$Q$2+C74)</f>
        <v>69.636363636363626</v>
      </c>
      <c r="Q74" s="31">
        <f t="shared" ref="Q74:Q105" si="48">(A74-B74)*(I_Cout_ss*$R$2+C74)</f>
        <v>33.272727272727273</v>
      </c>
    </row>
    <row r="75" spans="1:17" x14ac:dyDescent="0.2">
      <c r="A75" s="31">
        <f t="shared" si="34"/>
        <v>52</v>
      </c>
      <c r="B75" s="214">
        <f t="shared" si="35"/>
        <v>32.5</v>
      </c>
      <c r="C75" s="215">
        <f t="shared" si="36"/>
        <v>0.3</v>
      </c>
      <c r="D75" s="216">
        <f t="shared" si="37"/>
        <v>875.16087516087532</v>
      </c>
      <c r="E75" s="216">
        <f t="shared" si="38"/>
        <v>44.880044880044885</v>
      </c>
      <c r="F75" s="215">
        <f t="shared" si="39"/>
        <v>2.2999999999999998</v>
      </c>
      <c r="G75" s="216">
        <f t="shared" si="40"/>
        <v>2.2999999999999998</v>
      </c>
      <c r="H75" s="215">
        <f t="shared" si="41"/>
        <v>1.9999999999999998</v>
      </c>
      <c r="I75" s="217">
        <f t="shared" ref="I75:I106" si="49">(COUTMAX/1000000)*(B75-B74)/H75</f>
        <v>2.5000000000000005E-3</v>
      </c>
      <c r="J75" s="217">
        <f t="shared" ref="J75:J106" si="50">J74+I75</f>
        <v>0.16250000000000009</v>
      </c>
      <c r="K75" s="212">
        <f t="shared" si="42"/>
        <v>162.50000000000009</v>
      </c>
      <c r="L75" s="208">
        <f t="shared" si="43"/>
        <v>0.86956521739130432</v>
      </c>
      <c r="M75" s="31">
        <f t="shared" si="44"/>
        <v>2.2140022440022444</v>
      </c>
      <c r="N75" s="31">
        <f t="shared" si="45"/>
        <v>0.11212500000000002</v>
      </c>
      <c r="O75" s="31">
        <f t="shared" si="46"/>
        <v>44.849999999999994</v>
      </c>
      <c r="P75" s="31">
        <f t="shared" si="47"/>
        <v>67.895454545454541</v>
      </c>
      <c r="Q75" s="31">
        <f t="shared" si="48"/>
        <v>32.440909090909088</v>
      </c>
    </row>
    <row r="76" spans="1:17" x14ac:dyDescent="0.2">
      <c r="A76" s="31">
        <f t="shared" si="34"/>
        <v>52</v>
      </c>
      <c r="B76" s="214">
        <f t="shared" si="35"/>
        <v>33</v>
      </c>
      <c r="C76" s="215">
        <f t="shared" si="36"/>
        <v>0.3</v>
      </c>
      <c r="D76" s="216">
        <f t="shared" si="37"/>
        <v>875.16087516087532</v>
      </c>
      <c r="E76" s="216">
        <f t="shared" si="38"/>
        <v>46.061098692677646</v>
      </c>
      <c r="F76" s="215">
        <f t="shared" si="39"/>
        <v>2.2999999999999998</v>
      </c>
      <c r="G76" s="216">
        <f t="shared" si="40"/>
        <v>2.2999999999999998</v>
      </c>
      <c r="H76" s="215">
        <f t="shared" si="41"/>
        <v>1.9999999999999998</v>
      </c>
      <c r="I76" s="217">
        <f t="shared" si="49"/>
        <v>2.5000000000000005E-3</v>
      </c>
      <c r="J76" s="217">
        <f t="shared" si="50"/>
        <v>0.16500000000000009</v>
      </c>
      <c r="K76" s="212">
        <f t="shared" si="42"/>
        <v>165.00000000000009</v>
      </c>
      <c r="L76" s="208">
        <f t="shared" si="43"/>
        <v>0.86956521739130432</v>
      </c>
      <c r="M76" s="31">
        <f t="shared" si="44"/>
        <v>2.2730549346338824</v>
      </c>
      <c r="N76" s="31">
        <f t="shared" si="45"/>
        <v>0.10925000000000001</v>
      </c>
      <c r="O76" s="31">
        <f t="shared" si="46"/>
        <v>43.699999999999996</v>
      </c>
      <c r="P76" s="31">
        <f t="shared" si="47"/>
        <v>66.154545454545442</v>
      </c>
      <c r="Q76" s="31">
        <f t="shared" si="48"/>
        <v>31.609090909090909</v>
      </c>
    </row>
    <row r="77" spans="1:17" x14ac:dyDescent="0.2">
      <c r="A77" s="31">
        <f t="shared" si="34"/>
        <v>52</v>
      </c>
      <c r="B77" s="214">
        <f t="shared" si="35"/>
        <v>33.5</v>
      </c>
      <c r="C77" s="215">
        <f t="shared" si="36"/>
        <v>0.3</v>
      </c>
      <c r="D77" s="216">
        <f t="shared" si="37"/>
        <v>875.16087516087532</v>
      </c>
      <c r="E77" s="216">
        <f t="shared" si="38"/>
        <v>47.305993251939206</v>
      </c>
      <c r="F77" s="215">
        <f t="shared" si="39"/>
        <v>2.2999999999999998</v>
      </c>
      <c r="G77" s="216">
        <f t="shared" si="40"/>
        <v>2.2999999999999998</v>
      </c>
      <c r="H77" s="215">
        <f t="shared" si="41"/>
        <v>1.9999999999999998</v>
      </c>
      <c r="I77" s="217">
        <f t="shared" si="49"/>
        <v>2.5000000000000005E-3</v>
      </c>
      <c r="J77" s="217">
        <f t="shared" si="50"/>
        <v>0.16750000000000009</v>
      </c>
      <c r="K77" s="212">
        <f t="shared" si="42"/>
        <v>167.50000000000009</v>
      </c>
      <c r="L77" s="208">
        <f t="shared" si="43"/>
        <v>0.86956521739130432</v>
      </c>
      <c r="M77" s="31">
        <f t="shared" si="44"/>
        <v>2.3352996625969604</v>
      </c>
      <c r="N77" s="31">
        <f t="shared" si="45"/>
        <v>0.10637500000000001</v>
      </c>
      <c r="O77" s="31">
        <f t="shared" si="46"/>
        <v>42.55</v>
      </c>
      <c r="P77" s="31">
        <f t="shared" si="47"/>
        <v>64.413636363636357</v>
      </c>
      <c r="Q77" s="31">
        <f t="shared" si="48"/>
        <v>30.777272727272727</v>
      </c>
    </row>
    <row r="78" spans="1:17" x14ac:dyDescent="0.2">
      <c r="A78" s="31">
        <f t="shared" si="34"/>
        <v>52</v>
      </c>
      <c r="B78" s="214">
        <f t="shared" si="35"/>
        <v>34</v>
      </c>
      <c r="C78" s="215">
        <f t="shared" si="36"/>
        <v>0.3</v>
      </c>
      <c r="D78" s="216">
        <f t="shared" si="37"/>
        <v>875.16087516087532</v>
      </c>
      <c r="E78" s="216">
        <f t="shared" si="38"/>
        <v>48.620048620048628</v>
      </c>
      <c r="F78" s="215">
        <f t="shared" si="39"/>
        <v>2.2999999999999998</v>
      </c>
      <c r="G78" s="216">
        <f t="shared" si="40"/>
        <v>2.2999999999999998</v>
      </c>
      <c r="H78" s="215">
        <f t="shared" si="41"/>
        <v>1.9999999999999998</v>
      </c>
      <c r="I78" s="217">
        <f t="shared" si="49"/>
        <v>2.5000000000000005E-3</v>
      </c>
      <c r="J78" s="217">
        <f t="shared" si="50"/>
        <v>0.1700000000000001</v>
      </c>
      <c r="K78" s="212">
        <f t="shared" si="42"/>
        <v>170.00000000000009</v>
      </c>
      <c r="L78" s="208">
        <f t="shared" si="43"/>
        <v>0.86956521739130432</v>
      </c>
      <c r="M78" s="31">
        <f t="shared" si="44"/>
        <v>2.4010024310024316</v>
      </c>
      <c r="N78" s="31">
        <f t="shared" si="45"/>
        <v>0.10350000000000001</v>
      </c>
      <c r="O78" s="31">
        <f t="shared" si="46"/>
        <v>41.4</v>
      </c>
      <c r="P78" s="31">
        <f t="shared" si="47"/>
        <v>62.672727272727265</v>
      </c>
      <c r="Q78" s="31">
        <f t="shared" si="48"/>
        <v>29.945454545454545</v>
      </c>
    </row>
    <row r="79" spans="1:17" x14ac:dyDescent="0.2">
      <c r="A79" s="31">
        <f t="shared" si="34"/>
        <v>52</v>
      </c>
      <c r="B79" s="214">
        <f t="shared" si="35"/>
        <v>34.5</v>
      </c>
      <c r="C79" s="215">
        <f t="shared" si="36"/>
        <v>0.3</v>
      </c>
      <c r="D79" s="216">
        <f t="shared" si="37"/>
        <v>875.16087516087532</v>
      </c>
      <c r="E79" s="216">
        <f t="shared" si="38"/>
        <v>50.009192866335731</v>
      </c>
      <c r="F79" s="215">
        <f t="shared" si="39"/>
        <v>2.2999999999999998</v>
      </c>
      <c r="G79" s="216">
        <f t="shared" si="40"/>
        <v>2.2999999999999998</v>
      </c>
      <c r="H79" s="215">
        <f t="shared" si="41"/>
        <v>1.9999999999999998</v>
      </c>
      <c r="I79" s="217">
        <f t="shared" si="49"/>
        <v>2.5000000000000005E-3</v>
      </c>
      <c r="J79" s="217">
        <f t="shared" si="50"/>
        <v>0.1725000000000001</v>
      </c>
      <c r="K79" s="212">
        <f t="shared" si="42"/>
        <v>172.50000000000009</v>
      </c>
      <c r="L79" s="208">
        <f t="shared" si="43"/>
        <v>0.86956521739130432</v>
      </c>
      <c r="M79" s="31">
        <f t="shared" si="44"/>
        <v>2.4704596433167865</v>
      </c>
      <c r="N79" s="31">
        <f t="shared" si="45"/>
        <v>0.10062500000000002</v>
      </c>
      <c r="O79" s="31">
        <f t="shared" si="46"/>
        <v>40.25</v>
      </c>
      <c r="P79" s="31">
        <f t="shared" si="47"/>
        <v>60.931818181818173</v>
      </c>
      <c r="Q79" s="31">
        <f t="shared" si="48"/>
        <v>29.113636363636363</v>
      </c>
    </row>
    <row r="80" spans="1:17" x14ac:dyDescent="0.2">
      <c r="A80" s="31">
        <f t="shared" si="34"/>
        <v>52</v>
      </c>
      <c r="B80" s="214">
        <f t="shared" si="35"/>
        <v>35</v>
      </c>
      <c r="C80" s="215">
        <f t="shared" si="36"/>
        <v>0.3</v>
      </c>
      <c r="D80" s="216">
        <f t="shared" si="37"/>
        <v>875.16087516087532</v>
      </c>
      <c r="E80" s="216">
        <f t="shared" si="38"/>
        <v>51.480051480051486</v>
      </c>
      <c r="F80" s="215">
        <f t="shared" si="39"/>
        <v>2.2999999999999998</v>
      </c>
      <c r="G80" s="216">
        <f t="shared" si="40"/>
        <v>2.2999999999999998</v>
      </c>
      <c r="H80" s="215">
        <f t="shared" si="41"/>
        <v>1.9999999999999998</v>
      </c>
      <c r="I80" s="217">
        <f t="shared" si="49"/>
        <v>2.5000000000000005E-3</v>
      </c>
      <c r="J80" s="217">
        <f t="shared" si="50"/>
        <v>0.1750000000000001</v>
      </c>
      <c r="K80" s="212">
        <f t="shared" si="42"/>
        <v>175.00000000000011</v>
      </c>
      <c r="L80" s="208">
        <f t="shared" si="43"/>
        <v>0.86956521739130432</v>
      </c>
      <c r="M80" s="31">
        <f t="shared" si="44"/>
        <v>2.5440025740025742</v>
      </c>
      <c r="N80" s="31">
        <f t="shared" si="45"/>
        <v>9.7750000000000017E-2</v>
      </c>
      <c r="O80" s="31">
        <f t="shared" si="46"/>
        <v>39.099999999999994</v>
      </c>
      <c r="P80" s="31">
        <f t="shared" si="47"/>
        <v>59.190909090909088</v>
      </c>
      <c r="Q80" s="31">
        <f t="shared" si="48"/>
        <v>28.281818181818181</v>
      </c>
    </row>
    <row r="81" spans="1:17" x14ac:dyDescent="0.2">
      <c r="A81" s="31">
        <f t="shared" si="34"/>
        <v>52</v>
      </c>
      <c r="B81" s="214">
        <f t="shared" si="35"/>
        <v>35.5</v>
      </c>
      <c r="C81" s="215">
        <f t="shared" si="36"/>
        <v>0.3</v>
      </c>
      <c r="D81" s="216">
        <f t="shared" si="37"/>
        <v>875.16087516087532</v>
      </c>
      <c r="E81" s="216">
        <f t="shared" si="38"/>
        <v>53.040053040053053</v>
      </c>
      <c r="F81" s="215">
        <f t="shared" si="39"/>
        <v>2.2999999999999998</v>
      </c>
      <c r="G81" s="216">
        <f t="shared" si="40"/>
        <v>2.2999999999999998</v>
      </c>
      <c r="H81" s="215">
        <f t="shared" si="41"/>
        <v>1.9999999999999998</v>
      </c>
      <c r="I81" s="217">
        <f t="shared" si="49"/>
        <v>2.5000000000000005E-3</v>
      </c>
      <c r="J81" s="217">
        <f t="shared" si="50"/>
        <v>0.1775000000000001</v>
      </c>
      <c r="K81" s="212">
        <f t="shared" si="42"/>
        <v>177.50000000000011</v>
      </c>
      <c r="L81" s="208">
        <f t="shared" si="43"/>
        <v>0.86956521739130432</v>
      </c>
      <c r="M81" s="31">
        <f t="shared" si="44"/>
        <v>2.6220026520026529</v>
      </c>
      <c r="N81" s="31">
        <f t="shared" si="45"/>
        <v>9.4875000000000015E-2</v>
      </c>
      <c r="O81" s="31">
        <f t="shared" si="46"/>
        <v>37.949999999999996</v>
      </c>
      <c r="P81" s="31">
        <f t="shared" si="47"/>
        <v>57.449999999999996</v>
      </c>
      <c r="Q81" s="31">
        <f t="shared" si="48"/>
        <v>27.45</v>
      </c>
    </row>
    <row r="82" spans="1:17" x14ac:dyDescent="0.2">
      <c r="A82" s="31">
        <f t="shared" si="34"/>
        <v>52</v>
      </c>
      <c r="B82" s="214">
        <f t="shared" si="35"/>
        <v>36</v>
      </c>
      <c r="C82" s="215">
        <f t="shared" si="36"/>
        <v>0.3</v>
      </c>
      <c r="D82" s="216">
        <f t="shared" si="37"/>
        <v>875.16087516087532</v>
      </c>
      <c r="E82" s="216">
        <f t="shared" si="38"/>
        <v>54.697554697554708</v>
      </c>
      <c r="F82" s="215">
        <f t="shared" si="39"/>
        <v>2.2999999999999998</v>
      </c>
      <c r="G82" s="216">
        <f t="shared" si="40"/>
        <v>2.2999999999999998</v>
      </c>
      <c r="H82" s="215">
        <f t="shared" si="41"/>
        <v>1.9999999999999998</v>
      </c>
      <c r="I82" s="217">
        <f t="shared" si="49"/>
        <v>2.5000000000000005E-3</v>
      </c>
      <c r="J82" s="217">
        <f t="shared" si="50"/>
        <v>0.1800000000000001</v>
      </c>
      <c r="K82" s="212">
        <f t="shared" si="42"/>
        <v>180.00000000000011</v>
      </c>
      <c r="L82" s="208">
        <f t="shared" si="43"/>
        <v>0.86956521739130432</v>
      </c>
      <c r="M82" s="31">
        <f t="shared" si="44"/>
        <v>2.7048777348777358</v>
      </c>
      <c r="N82" s="31">
        <f t="shared" si="45"/>
        <v>9.2000000000000012E-2</v>
      </c>
      <c r="O82" s="31">
        <f t="shared" si="46"/>
        <v>36.799999999999997</v>
      </c>
      <c r="P82" s="31">
        <f t="shared" si="47"/>
        <v>55.709090909090904</v>
      </c>
      <c r="Q82" s="31">
        <f t="shared" si="48"/>
        <v>26.618181818181817</v>
      </c>
    </row>
    <row r="83" spans="1:17" x14ac:dyDescent="0.2">
      <c r="A83" s="31">
        <f t="shared" si="34"/>
        <v>52</v>
      </c>
      <c r="B83" s="214">
        <f t="shared" si="35"/>
        <v>36.5</v>
      </c>
      <c r="C83" s="215">
        <f t="shared" si="36"/>
        <v>0.3</v>
      </c>
      <c r="D83" s="216">
        <f t="shared" si="37"/>
        <v>875.16087516087532</v>
      </c>
      <c r="E83" s="216">
        <f t="shared" si="38"/>
        <v>56.461991945862927</v>
      </c>
      <c r="F83" s="215">
        <f t="shared" si="39"/>
        <v>2.2999999999999998</v>
      </c>
      <c r="G83" s="216">
        <f t="shared" si="40"/>
        <v>2.2999999999999998</v>
      </c>
      <c r="H83" s="215">
        <f t="shared" si="41"/>
        <v>1.9999999999999998</v>
      </c>
      <c r="I83" s="217">
        <f t="shared" si="49"/>
        <v>2.5000000000000005E-3</v>
      </c>
      <c r="J83" s="217">
        <f t="shared" si="50"/>
        <v>0.18250000000000011</v>
      </c>
      <c r="K83" s="212">
        <f t="shared" si="42"/>
        <v>182.50000000000011</v>
      </c>
      <c r="L83" s="208">
        <f t="shared" si="43"/>
        <v>0.86956521739130432</v>
      </c>
      <c r="M83" s="31">
        <f t="shared" si="44"/>
        <v>2.7930995972931463</v>
      </c>
      <c r="N83" s="31">
        <f t="shared" si="45"/>
        <v>8.912500000000001E-2</v>
      </c>
      <c r="O83" s="31">
        <f t="shared" si="46"/>
        <v>35.65</v>
      </c>
      <c r="P83" s="31">
        <f t="shared" si="47"/>
        <v>53.968181818181812</v>
      </c>
      <c r="Q83" s="31">
        <f t="shared" si="48"/>
        <v>25.786363636363635</v>
      </c>
    </row>
    <row r="84" spans="1:17" x14ac:dyDescent="0.2">
      <c r="A84" s="31">
        <f t="shared" si="34"/>
        <v>52</v>
      </c>
      <c r="B84" s="214">
        <f t="shared" si="35"/>
        <v>37</v>
      </c>
      <c r="C84" s="215">
        <f t="shared" si="36"/>
        <v>0.3</v>
      </c>
      <c r="D84" s="216">
        <f t="shared" si="37"/>
        <v>875.16087516087532</v>
      </c>
      <c r="E84" s="216">
        <f t="shared" si="38"/>
        <v>58.344058344058354</v>
      </c>
      <c r="F84" s="215">
        <f t="shared" si="39"/>
        <v>2.2999999999999998</v>
      </c>
      <c r="G84" s="216">
        <f t="shared" si="40"/>
        <v>2.2999999999999998</v>
      </c>
      <c r="H84" s="215">
        <f t="shared" si="41"/>
        <v>1.9999999999999998</v>
      </c>
      <c r="I84" s="217">
        <f t="shared" si="49"/>
        <v>2.5000000000000005E-3</v>
      </c>
      <c r="J84" s="217">
        <f t="shared" si="50"/>
        <v>0.18500000000000011</v>
      </c>
      <c r="K84" s="212">
        <f t="shared" si="42"/>
        <v>185.00000000000011</v>
      </c>
      <c r="L84" s="208">
        <f t="shared" si="43"/>
        <v>0.86956521739130432</v>
      </c>
      <c r="M84" s="31">
        <f t="shared" si="44"/>
        <v>2.8872029172029179</v>
      </c>
      <c r="N84" s="31">
        <f t="shared" si="45"/>
        <v>8.6250000000000007E-2</v>
      </c>
      <c r="O84" s="31">
        <f t="shared" si="46"/>
        <v>34.5</v>
      </c>
      <c r="P84" s="31">
        <f t="shared" si="47"/>
        <v>52.22727272727272</v>
      </c>
      <c r="Q84" s="31">
        <f t="shared" si="48"/>
        <v>24.954545454545453</v>
      </c>
    </row>
    <row r="85" spans="1:17" x14ac:dyDescent="0.2">
      <c r="A85" s="31">
        <f t="shared" si="34"/>
        <v>52</v>
      </c>
      <c r="B85" s="214">
        <f t="shared" si="35"/>
        <v>37.5</v>
      </c>
      <c r="C85" s="215">
        <f t="shared" si="36"/>
        <v>0.3</v>
      </c>
      <c r="D85" s="216">
        <f t="shared" si="37"/>
        <v>875.16087516087532</v>
      </c>
      <c r="E85" s="216">
        <f t="shared" si="38"/>
        <v>60.35592242488795</v>
      </c>
      <c r="F85" s="215">
        <f t="shared" si="39"/>
        <v>2.2999999999999998</v>
      </c>
      <c r="G85" s="216">
        <f t="shared" si="40"/>
        <v>2.2999999999999998</v>
      </c>
      <c r="H85" s="215">
        <f t="shared" si="41"/>
        <v>1.9999999999999998</v>
      </c>
      <c r="I85" s="217">
        <f t="shared" si="49"/>
        <v>2.5000000000000005E-3</v>
      </c>
      <c r="J85" s="217">
        <f t="shared" si="50"/>
        <v>0.18750000000000011</v>
      </c>
      <c r="K85" s="212">
        <f t="shared" si="42"/>
        <v>187.50000000000011</v>
      </c>
      <c r="L85" s="208">
        <f t="shared" si="43"/>
        <v>0.86956521739130432</v>
      </c>
      <c r="M85" s="31">
        <f t="shared" si="44"/>
        <v>2.987796121244398</v>
      </c>
      <c r="N85" s="31">
        <f t="shared" si="45"/>
        <v>8.3375000000000005E-2</v>
      </c>
      <c r="O85" s="31">
        <f t="shared" si="46"/>
        <v>33.349999999999994</v>
      </c>
      <c r="P85" s="31">
        <f t="shared" si="47"/>
        <v>50.486363636363635</v>
      </c>
      <c r="Q85" s="31">
        <f t="shared" si="48"/>
        <v>24.122727272727271</v>
      </c>
    </row>
    <row r="86" spans="1:17" x14ac:dyDescent="0.2">
      <c r="A86" s="31">
        <f t="shared" si="34"/>
        <v>52</v>
      </c>
      <c r="B86" s="214">
        <f t="shared" si="35"/>
        <v>38</v>
      </c>
      <c r="C86" s="215">
        <f t="shared" si="36"/>
        <v>0.3</v>
      </c>
      <c r="D86" s="216">
        <f t="shared" si="37"/>
        <v>875.16087516087532</v>
      </c>
      <c r="E86" s="216">
        <f t="shared" si="38"/>
        <v>62.511491082919669</v>
      </c>
      <c r="F86" s="215">
        <f t="shared" si="39"/>
        <v>2.2999999999999998</v>
      </c>
      <c r="G86" s="216">
        <f t="shared" si="40"/>
        <v>2.2999999999999998</v>
      </c>
      <c r="H86" s="215">
        <f t="shared" si="41"/>
        <v>1.9999999999999998</v>
      </c>
      <c r="I86" s="217">
        <f t="shared" si="49"/>
        <v>2.5000000000000005E-3</v>
      </c>
      <c r="J86" s="217">
        <f t="shared" si="50"/>
        <v>0.19000000000000011</v>
      </c>
      <c r="K86" s="212">
        <f t="shared" si="42"/>
        <v>190.00000000000011</v>
      </c>
      <c r="L86" s="208">
        <f t="shared" si="43"/>
        <v>0.86956521739130432</v>
      </c>
      <c r="M86" s="31">
        <f t="shared" si="44"/>
        <v>3.0955745541459838</v>
      </c>
      <c r="N86" s="31">
        <f t="shared" si="45"/>
        <v>8.0500000000000016E-2</v>
      </c>
      <c r="O86" s="31">
        <f t="shared" si="46"/>
        <v>32.199999999999996</v>
      </c>
      <c r="P86" s="31">
        <f t="shared" si="47"/>
        <v>48.745454545454542</v>
      </c>
      <c r="Q86" s="31">
        <f t="shared" si="48"/>
        <v>23.290909090909089</v>
      </c>
    </row>
    <row r="87" spans="1:17" x14ac:dyDescent="0.2">
      <c r="A87" s="31">
        <f t="shared" si="34"/>
        <v>52</v>
      </c>
      <c r="B87" s="214">
        <f t="shared" si="35"/>
        <v>38.5</v>
      </c>
      <c r="C87" s="215">
        <f t="shared" si="36"/>
        <v>0.3</v>
      </c>
      <c r="D87" s="216">
        <f t="shared" si="37"/>
        <v>875.16087516087532</v>
      </c>
      <c r="E87" s="216">
        <f t="shared" si="38"/>
        <v>64.826731493398171</v>
      </c>
      <c r="F87" s="215">
        <f t="shared" si="39"/>
        <v>2.2999999999999998</v>
      </c>
      <c r="G87" s="216">
        <f t="shared" si="40"/>
        <v>2.2999999999999998</v>
      </c>
      <c r="H87" s="215">
        <f t="shared" si="41"/>
        <v>1.9999999999999998</v>
      </c>
      <c r="I87" s="217">
        <f t="shared" si="49"/>
        <v>2.5000000000000005E-3</v>
      </c>
      <c r="J87" s="217">
        <f t="shared" si="50"/>
        <v>0.19250000000000012</v>
      </c>
      <c r="K87" s="212">
        <f t="shared" si="42"/>
        <v>192.50000000000011</v>
      </c>
      <c r="L87" s="208">
        <f t="shared" si="43"/>
        <v>0.86956521739130432</v>
      </c>
      <c r="M87" s="31">
        <f t="shared" si="44"/>
        <v>3.2113365746699087</v>
      </c>
      <c r="N87" s="31">
        <f t="shared" si="45"/>
        <v>7.7625000000000013E-2</v>
      </c>
      <c r="O87" s="31">
        <f t="shared" si="46"/>
        <v>31.049999999999997</v>
      </c>
      <c r="P87" s="31">
        <f t="shared" si="47"/>
        <v>47.00454545454545</v>
      </c>
      <c r="Q87" s="31">
        <f t="shared" si="48"/>
        <v>22.459090909090907</v>
      </c>
    </row>
    <row r="88" spans="1:17" x14ac:dyDescent="0.2">
      <c r="A88" s="31">
        <f t="shared" si="34"/>
        <v>52</v>
      </c>
      <c r="B88" s="214">
        <f t="shared" si="35"/>
        <v>39</v>
      </c>
      <c r="C88" s="215">
        <f t="shared" si="36"/>
        <v>0.3</v>
      </c>
      <c r="D88" s="216">
        <f t="shared" si="37"/>
        <v>875.16087516087532</v>
      </c>
      <c r="E88" s="216">
        <f t="shared" si="38"/>
        <v>67.320067320067338</v>
      </c>
      <c r="F88" s="215">
        <f t="shared" si="39"/>
        <v>2.2999999999999998</v>
      </c>
      <c r="G88" s="216">
        <f t="shared" si="40"/>
        <v>2.2999999999999998</v>
      </c>
      <c r="H88" s="215">
        <f t="shared" si="41"/>
        <v>1.9999999999999998</v>
      </c>
      <c r="I88" s="217">
        <f t="shared" si="49"/>
        <v>2.5000000000000005E-3</v>
      </c>
      <c r="J88" s="217">
        <f t="shared" si="50"/>
        <v>0.19500000000000012</v>
      </c>
      <c r="K88" s="212">
        <f t="shared" si="42"/>
        <v>195.00000000000011</v>
      </c>
      <c r="L88" s="208">
        <f t="shared" si="43"/>
        <v>0.86956521739130432</v>
      </c>
      <c r="M88" s="31">
        <f t="shared" si="44"/>
        <v>3.3360033660033674</v>
      </c>
      <c r="N88" s="31">
        <f t="shared" si="45"/>
        <v>7.4750000000000011E-2</v>
      </c>
      <c r="O88" s="31">
        <f t="shared" si="46"/>
        <v>29.9</v>
      </c>
      <c r="P88" s="31">
        <f t="shared" si="47"/>
        <v>45.263636363636358</v>
      </c>
      <c r="Q88" s="31">
        <f t="shared" si="48"/>
        <v>21.627272727272725</v>
      </c>
    </row>
    <row r="89" spans="1:17" x14ac:dyDescent="0.2">
      <c r="A89" s="31">
        <f t="shared" si="34"/>
        <v>52</v>
      </c>
      <c r="B89" s="214">
        <f t="shared" si="35"/>
        <v>39.5</v>
      </c>
      <c r="C89" s="215">
        <f t="shared" si="36"/>
        <v>0.3</v>
      </c>
      <c r="D89" s="216">
        <f t="shared" si="37"/>
        <v>875.16087516087532</v>
      </c>
      <c r="E89" s="216">
        <f t="shared" si="38"/>
        <v>70.012870012870025</v>
      </c>
      <c r="F89" s="215">
        <f t="shared" si="39"/>
        <v>2.2999999999999998</v>
      </c>
      <c r="G89" s="216">
        <f t="shared" si="40"/>
        <v>2.2999999999999998</v>
      </c>
      <c r="H89" s="215">
        <f t="shared" si="41"/>
        <v>1.9999999999999998</v>
      </c>
      <c r="I89" s="217">
        <f t="shared" si="49"/>
        <v>2.5000000000000005E-3</v>
      </c>
      <c r="J89" s="217">
        <f t="shared" si="50"/>
        <v>0.19750000000000012</v>
      </c>
      <c r="K89" s="212">
        <f t="shared" si="42"/>
        <v>197.50000000000011</v>
      </c>
      <c r="L89" s="208">
        <f t="shared" si="43"/>
        <v>0.86956521739130432</v>
      </c>
      <c r="M89" s="31">
        <f t="shared" si="44"/>
        <v>3.4706435006435017</v>
      </c>
      <c r="N89" s="31">
        <f t="shared" si="45"/>
        <v>7.1875000000000008E-2</v>
      </c>
      <c r="O89" s="31">
        <f t="shared" si="46"/>
        <v>28.749999999999996</v>
      </c>
      <c r="P89" s="31">
        <f t="shared" si="47"/>
        <v>43.522727272727266</v>
      </c>
      <c r="Q89" s="31">
        <f t="shared" si="48"/>
        <v>20.795454545454543</v>
      </c>
    </row>
    <row r="90" spans="1:17" x14ac:dyDescent="0.2">
      <c r="A90" s="31">
        <f t="shared" si="34"/>
        <v>52</v>
      </c>
      <c r="B90" s="214">
        <f t="shared" si="35"/>
        <v>40</v>
      </c>
      <c r="C90" s="215">
        <f t="shared" si="36"/>
        <v>0.3</v>
      </c>
      <c r="D90" s="216">
        <f t="shared" si="37"/>
        <v>875.16087516087532</v>
      </c>
      <c r="E90" s="216">
        <f t="shared" si="38"/>
        <v>72.930072930072939</v>
      </c>
      <c r="F90" s="215">
        <f t="shared" si="39"/>
        <v>2.2999999999999998</v>
      </c>
      <c r="G90" s="216">
        <f t="shared" si="40"/>
        <v>2.2999999999999998</v>
      </c>
      <c r="H90" s="215">
        <f t="shared" si="41"/>
        <v>1.9999999999999998</v>
      </c>
      <c r="I90" s="217">
        <f t="shared" si="49"/>
        <v>2.5000000000000005E-3</v>
      </c>
      <c r="J90" s="217">
        <f t="shared" si="50"/>
        <v>0.20000000000000012</v>
      </c>
      <c r="K90" s="212">
        <f t="shared" si="42"/>
        <v>200.00000000000011</v>
      </c>
      <c r="L90" s="208">
        <f t="shared" si="43"/>
        <v>0.86956521739130432</v>
      </c>
      <c r="M90" s="31">
        <f t="shared" si="44"/>
        <v>3.6165036465036478</v>
      </c>
      <c r="N90" s="31">
        <f t="shared" si="45"/>
        <v>6.9000000000000006E-2</v>
      </c>
      <c r="O90" s="31">
        <f t="shared" si="46"/>
        <v>27.599999999999998</v>
      </c>
      <c r="P90" s="31">
        <f t="shared" si="47"/>
        <v>41.781818181818181</v>
      </c>
      <c r="Q90" s="31">
        <f t="shared" si="48"/>
        <v>19.963636363636361</v>
      </c>
    </row>
    <row r="91" spans="1:17" x14ac:dyDescent="0.2">
      <c r="A91" s="31">
        <f t="shared" si="34"/>
        <v>52</v>
      </c>
      <c r="B91" s="214">
        <f t="shared" si="35"/>
        <v>40.5</v>
      </c>
      <c r="C91" s="215">
        <f t="shared" si="36"/>
        <v>0.3</v>
      </c>
      <c r="D91" s="216">
        <f t="shared" si="37"/>
        <v>875.16087516087532</v>
      </c>
      <c r="E91" s="216">
        <f t="shared" si="38"/>
        <v>76.100945666163071</v>
      </c>
      <c r="F91" s="215">
        <f t="shared" si="39"/>
        <v>2.2999999999999998</v>
      </c>
      <c r="G91" s="216">
        <f t="shared" si="40"/>
        <v>2.2999999999999998</v>
      </c>
      <c r="H91" s="215">
        <f t="shared" si="41"/>
        <v>1.9999999999999998</v>
      </c>
      <c r="I91" s="217">
        <f t="shared" si="49"/>
        <v>2.5000000000000005E-3</v>
      </c>
      <c r="J91" s="217">
        <f t="shared" si="50"/>
        <v>0.20250000000000012</v>
      </c>
      <c r="K91" s="212">
        <f t="shared" si="42"/>
        <v>202.50000000000011</v>
      </c>
      <c r="L91" s="208">
        <f t="shared" si="43"/>
        <v>0.86956521739130432</v>
      </c>
      <c r="M91" s="31">
        <f t="shared" si="44"/>
        <v>3.7750472833081541</v>
      </c>
      <c r="N91" s="31">
        <f t="shared" si="45"/>
        <v>6.6125000000000003E-2</v>
      </c>
      <c r="O91" s="31">
        <f t="shared" si="46"/>
        <v>26.45</v>
      </c>
      <c r="P91" s="31">
        <f t="shared" si="47"/>
        <v>40.040909090909089</v>
      </c>
      <c r="Q91" s="31">
        <f t="shared" si="48"/>
        <v>19.131818181818183</v>
      </c>
    </row>
    <row r="92" spans="1:17" x14ac:dyDescent="0.2">
      <c r="A92" s="31">
        <f t="shared" si="34"/>
        <v>52</v>
      </c>
      <c r="B92" s="214">
        <f t="shared" si="35"/>
        <v>41</v>
      </c>
      <c r="C92" s="215">
        <f t="shared" si="36"/>
        <v>0.3</v>
      </c>
      <c r="D92" s="216">
        <f t="shared" si="37"/>
        <v>875.16087516087532</v>
      </c>
      <c r="E92" s="216">
        <f t="shared" si="38"/>
        <v>79.560079560079572</v>
      </c>
      <c r="F92" s="215">
        <f t="shared" si="39"/>
        <v>2.2999999999999998</v>
      </c>
      <c r="G92" s="216">
        <f t="shared" si="40"/>
        <v>2.2999999999999998</v>
      </c>
      <c r="H92" s="215">
        <f t="shared" si="41"/>
        <v>1.9999999999999998</v>
      </c>
      <c r="I92" s="217">
        <f t="shared" si="49"/>
        <v>2.5000000000000005E-3</v>
      </c>
      <c r="J92" s="217">
        <f t="shared" si="50"/>
        <v>0.20500000000000013</v>
      </c>
      <c r="K92" s="212">
        <f t="shared" si="42"/>
        <v>205.00000000000011</v>
      </c>
      <c r="L92" s="208">
        <f t="shared" si="43"/>
        <v>0.86956521739130432</v>
      </c>
      <c r="M92" s="31">
        <f t="shared" si="44"/>
        <v>3.9480039780039795</v>
      </c>
      <c r="N92" s="31">
        <f t="shared" si="45"/>
        <v>6.3250000000000015E-2</v>
      </c>
      <c r="O92" s="31">
        <f t="shared" si="46"/>
        <v>25.299999999999997</v>
      </c>
      <c r="P92" s="31">
        <f t="shared" si="47"/>
        <v>38.299999999999997</v>
      </c>
      <c r="Q92" s="31">
        <f t="shared" si="48"/>
        <v>18.3</v>
      </c>
    </row>
    <row r="93" spans="1:17" x14ac:dyDescent="0.2">
      <c r="A93" s="31">
        <f t="shared" si="34"/>
        <v>52</v>
      </c>
      <c r="B93" s="214">
        <f t="shared" si="35"/>
        <v>41.5</v>
      </c>
      <c r="C93" s="215">
        <f t="shared" si="36"/>
        <v>0.3</v>
      </c>
      <c r="D93" s="216">
        <f t="shared" si="37"/>
        <v>875.16087516087532</v>
      </c>
      <c r="E93" s="216">
        <f t="shared" si="38"/>
        <v>83.348654777226216</v>
      </c>
      <c r="F93" s="215">
        <f t="shared" si="39"/>
        <v>2.2999999999999998</v>
      </c>
      <c r="G93" s="216">
        <f t="shared" si="40"/>
        <v>2.2999999999999998</v>
      </c>
      <c r="H93" s="215">
        <f t="shared" si="41"/>
        <v>1.9999999999999998</v>
      </c>
      <c r="I93" s="217">
        <f t="shared" si="49"/>
        <v>2.5000000000000005E-3</v>
      </c>
      <c r="J93" s="217">
        <f t="shared" si="50"/>
        <v>0.20750000000000013</v>
      </c>
      <c r="K93" s="212">
        <f t="shared" si="42"/>
        <v>207.50000000000014</v>
      </c>
      <c r="L93" s="208">
        <f t="shared" si="43"/>
        <v>0.86956521739130432</v>
      </c>
      <c r="M93" s="31">
        <f t="shared" si="44"/>
        <v>4.1374327388613112</v>
      </c>
      <c r="N93" s="31">
        <f t="shared" si="45"/>
        <v>6.0375000000000005E-2</v>
      </c>
      <c r="O93" s="31">
        <f t="shared" si="46"/>
        <v>24.15</v>
      </c>
      <c r="P93" s="31">
        <f t="shared" si="47"/>
        <v>36.559090909090905</v>
      </c>
      <c r="Q93" s="31">
        <f t="shared" si="48"/>
        <v>17.468181818181819</v>
      </c>
    </row>
    <row r="94" spans="1:17" x14ac:dyDescent="0.2">
      <c r="A94" s="31">
        <f t="shared" si="34"/>
        <v>52</v>
      </c>
      <c r="B94" s="214">
        <f t="shared" si="35"/>
        <v>42</v>
      </c>
      <c r="C94" s="215">
        <f t="shared" si="36"/>
        <v>0.3</v>
      </c>
      <c r="D94" s="216">
        <f t="shared" si="37"/>
        <v>875.16087516087532</v>
      </c>
      <c r="E94" s="216">
        <f t="shared" si="38"/>
        <v>87.516087516087538</v>
      </c>
      <c r="F94" s="215">
        <f t="shared" si="39"/>
        <v>2.2999999999999998</v>
      </c>
      <c r="G94" s="216">
        <f t="shared" si="40"/>
        <v>2.2999999999999998</v>
      </c>
      <c r="H94" s="215">
        <f t="shared" si="41"/>
        <v>1.9999999999999998</v>
      </c>
      <c r="I94" s="217">
        <f t="shared" si="49"/>
        <v>2.5000000000000005E-3</v>
      </c>
      <c r="J94" s="217">
        <f t="shared" si="50"/>
        <v>0.21000000000000013</v>
      </c>
      <c r="K94" s="212">
        <f t="shared" si="42"/>
        <v>210.00000000000014</v>
      </c>
      <c r="L94" s="208">
        <f t="shared" si="43"/>
        <v>0.86956521739130432</v>
      </c>
      <c r="M94" s="31">
        <f t="shared" si="44"/>
        <v>4.3458043758043772</v>
      </c>
      <c r="N94" s="31">
        <f t="shared" si="45"/>
        <v>5.7500000000000009E-2</v>
      </c>
      <c r="O94" s="31">
        <f t="shared" si="46"/>
        <v>23</v>
      </c>
      <c r="P94" s="31">
        <f t="shared" si="47"/>
        <v>34.818181818181813</v>
      </c>
      <c r="Q94" s="31">
        <f t="shared" si="48"/>
        <v>16.636363636363637</v>
      </c>
    </row>
    <row r="95" spans="1:17" x14ac:dyDescent="0.2">
      <c r="A95" s="31">
        <f t="shared" si="34"/>
        <v>52</v>
      </c>
      <c r="B95" s="214">
        <f t="shared" si="35"/>
        <v>42.5</v>
      </c>
      <c r="C95" s="215">
        <f t="shared" si="36"/>
        <v>0.3</v>
      </c>
      <c r="D95" s="216">
        <f t="shared" si="37"/>
        <v>875.16087516087532</v>
      </c>
      <c r="E95" s="216">
        <f t="shared" si="38"/>
        <v>92.122197385355292</v>
      </c>
      <c r="F95" s="215">
        <f t="shared" si="39"/>
        <v>2.2999999999999998</v>
      </c>
      <c r="G95" s="216">
        <f t="shared" si="40"/>
        <v>2.2999999999999998</v>
      </c>
      <c r="H95" s="215">
        <f t="shared" si="41"/>
        <v>1.9999999999999998</v>
      </c>
      <c r="I95" s="217">
        <f t="shared" si="49"/>
        <v>2.5000000000000005E-3</v>
      </c>
      <c r="J95" s="217">
        <f t="shared" si="50"/>
        <v>0.21250000000000013</v>
      </c>
      <c r="K95" s="212">
        <f t="shared" si="42"/>
        <v>212.50000000000014</v>
      </c>
      <c r="L95" s="208">
        <f t="shared" si="43"/>
        <v>0.86956521739130432</v>
      </c>
      <c r="M95" s="31">
        <f t="shared" si="44"/>
        <v>4.5761098692677651</v>
      </c>
      <c r="N95" s="31">
        <f t="shared" si="45"/>
        <v>5.4625000000000007E-2</v>
      </c>
      <c r="O95" s="31">
        <f t="shared" si="46"/>
        <v>21.849999999999998</v>
      </c>
      <c r="P95" s="31">
        <f t="shared" si="47"/>
        <v>33.077272727272721</v>
      </c>
      <c r="Q95" s="31">
        <f t="shared" si="48"/>
        <v>15.804545454545455</v>
      </c>
    </row>
    <row r="96" spans="1:17" x14ac:dyDescent="0.2">
      <c r="A96" s="31">
        <f t="shared" si="34"/>
        <v>52</v>
      </c>
      <c r="B96" s="214">
        <f t="shared" si="35"/>
        <v>43</v>
      </c>
      <c r="C96" s="215">
        <f t="shared" si="36"/>
        <v>0.3</v>
      </c>
      <c r="D96" s="216">
        <f t="shared" si="37"/>
        <v>875.16087516087532</v>
      </c>
      <c r="E96" s="216">
        <f t="shared" si="38"/>
        <v>97.240097240097256</v>
      </c>
      <c r="F96" s="215">
        <f t="shared" si="39"/>
        <v>2.2999999999999998</v>
      </c>
      <c r="G96" s="216">
        <f t="shared" si="40"/>
        <v>2.2999999999999998</v>
      </c>
      <c r="H96" s="215">
        <f t="shared" si="41"/>
        <v>1.9999999999999998</v>
      </c>
      <c r="I96" s="217">
        <f t="shared" si="49"/>
        <v>2.5000000000000005E-3</v>
      </c>
      <c r="J96" s="217">
        <f t="shared" si="50"/>
        <v>0.21500000000000014</v>
      </c>
      <c r="K96" s="212">
        <f t="shared" si="42"/>
        <v>215.00000000000014</v>
      </c>
      <c r="L96" s="208">
        <f t="shared" si="43"/>
        <v>0.86956521739130432</v>
      </c>
      <c r="M96" s="31">
        <f t="shared" si="44"/>
        <v>4.8320048620048635</v>
      </c>
      <c r="N96" s="31">
        <f t="shared" si="45"/>
        <v>5.1750000000000004E-2</v>
      </c>
      <c r="O96" s="31">
        <f t="shared" si="46"/>
        <v>20.7</v>
      </c>
      <c r="P96" s="31">
        <f t="shared" si="47"/>
        <v>31.336363636363632</v>
      </c>
      <c r="Q96" s="31">
        <f t="shared" si="48"/>
        <v>14.972727272727273</v>
      </c>
    </row>
    <row r="97" spans="1:17" x14ac:dyDescent="0.2">
      <c r="A97" s="31">
        <f t="shared" si="34"/>
        <v>52</v>
      </c>
      <c r="B97" s="214">
        <f t="shared" si="35"/>
        <v>43.5</v>
      </c>
      <c r="C97" s="215">
        <f t="shared" si="36"/>
        <v>0.3</v>
      </c>
      <c r="D97" s="216">
        <f t="shared" si="37"/>
        <v>875.16087516087532</v>
      </c>
      <c r="E97" s="216">
        <f t="shared" si="38"/>
        <v>102.96010296010297</v>
      </c>
      <c r="F97" s="215">
        <f t="shared" si="39"/>
        <v>2.2999999999999998</v>
      </c>
      <c r="G97" s="216">
        <f t="shared" si="40"/>
        <v>2.2999999999999998</v>
      </c>
      <c r="H97" s="215">
        <f t="shared" si="41"/>
        <v>1.9999999999999998</v>
      </c>
      <c r="I97" s="217">
        <f t="shared" si="49"/>
        <v>2.5000000000000005E-3</v>
      </c>
      <c r="J97" s="217">
        <f t="shared" si="50"/>
        <v>0.21750000000000014</v>
      </c>
      <c r="K97" s="212">
        <f t="shared" si="42"/>
        <v>217.50000000000014</v>
      </c>
      <c r="L97" s="208">
        <f t="shared" si="43"/>
        <v>0.86956521739130432</v>
      </c>
      <c r="M97" s="31">
        <f t="shared" si="44"/>
        <v>5.1180051480051487</v>
      </c>
      <c r="N97" s="31">
        <f t="shared" si="45"/>
        <v>4.8875000000000009E-2</v>
      </c>
      <c r="O97" s="31">
        <f t="shared" si="46"/>
        <v>19.549999999999997</v>
      </c>
      <c r="P97" s="31">
        <f t="shared" si="47"/>
        <v>29.595454545454544</v>
      </c>
      <c r="Q97" s="31">
        <f t="shared" si="48"/>
        <v>14.140909090909091</v>
      </c>
    </row>
    <row r="98" spans="1:17" x14ac:dyDescent="0.2">
      <c r="A98" s="31">
        <f t="shared" si="34"/>
        <v>52</v>
      </c>
      <c r="B98" s="214">
        <f t="shared" si="35"/>
        <v>44</v>
      </c>
      <c r="C98" s="215">
        <f t="shared" si="36"/>
        <v>0.3</v>
      </c>
      <c r="D98" s="216">
        <f t="shared" si="37"/>
        <v>875.16087516087532</v>
      </c>
      <c r="E98" s="216">
        <f t="shared" si="38"/>
        <v>109.39510939510942</v>
      </c>
      <c r="F98" s="215">
        <f t="shared" si="39"/>
        <v>2.2999999999999998</v>
      </c>
      <c r="G98" s="216">
        <f t="shared" si="40"/>
        <v>2.2999999999999998</v>
      </c>
      <c r="H98" s="215">
        <f t="shared" si="41"/>
        <v>1.9999999999999998</v>
      </c>
      <c r="I98" s="217">
        <f t="shared" si="49"/>
        <v>2.5000000000000005E-3</v>
      </c>
      <c r="J98" s="217">
        <f t="shared" si="50"/>
        <v>0.22000000000000014</v>
      </c>
      <c r="K98" s="212">
        <f t="shared" si="42"/>
        <v>220.00000000000014</v>
      </c>
      <c r="L98" s="208">
        <f t="shared" si="43"/>
        <v>0.86956521739130432</v>
      </c>
      <c r="M98" s="31">
        <f t="shared" si="44"/>
        <v>5.4397554697554718</v>
      </c>
      <c r="N98" s="31">
        <f t="shared" si="45"/>
        <v>4.6000000000000006E-2</v>
      </c>
      <c r="O98" s="31">
        <f t="shared" si="46"/>
        <v>18.399999999999999</v>
      </c>
      <c r="P98" s="31">
        <f t="shared" si="47"/>
        <v>27.854545454545452</v>
      </c>
      <c r="Q98" s="31">
        <f t="shared" si="48"/>
        <v>13.309090909090909</v>
      </c>
    </row>
    <row r="99" spans="1:17" x14ac:dyDescent="0.2">
      <c r="A99" s="31">
        <f t="shared" si="34"/>
        <v>52</v>
      </c>
      <c r="B99" s="214">
        <f t="shared" si="35"/>
        <v>44.5</v>
      </c>
      <c r="C99" s="215">
        <f t="shared" si="36"/>
        <v>0.3</v>
      </c>
      <c r="D99" s="216">
        <f t="shared" si="37"/>
        <v>875.16087516087532</v>
      </c>
      <c r="E99" s="216">
        <f t="shared" si="38"/>
        <v>116.68811668811671</v>
      </c>
      <c r="F99" s="215">
        <f t="shared" si="39"/>
        <v>2.2999999999999998</v>
      </c>
      <c r="G99" s="216">
        <f t="shared" si="40"/>
        <v>2.2999999999999998</v>
      </c>
      <c r="H99" s="215">
        <f t="shared" si="41"/>
        <v>1.9999999999999998</v>
      </c>
      <c r="I99" s="217">
        <f t="shared" si="49"/>
        <v>2.5000000000000005E-3</v>
      </c>
      <c r="J99" s="217">
        <f t="shared" si="50"/>
        <v>0.22250000000000014</v>
      </c>
      <c r="K99" s="212">
        <f t="shared" si="42"/>
        <v>222.50000000000014</v>
      </c>
      <c r="L99" s="208">
        <f t="shared" si="43"/>
        <v>0.86956521739130432</v>
      </c>
      <c r="M99" s="31">
        <f t="shared" si="44"/>
        <v>5.8044058344058351</v>
      </c>
      <c r="N99" s="31">
        <f t="shared" si="45"/>
        <v>4.3125000000000004E-2</v>
      </c>
      <c r="O99" s="31">
        <f t="shared" si="46"/>
        <v>17.25</v>
      </c>
      <c r="P99" s="31">
        <f t="shared" si="47"/>
        <v>26.11363636363636</v>
      </c>
      <c r="Q99" s="31">
        <f t="shared" si="48"/>
        <v>12.477272727272727</v>
      </c>
    </row>
    <row r="100" spans="1:17" x14ac:dyDescent="0.2">
      <c r="A100" s="31">
        <f t="shared" si="34"/>
        <v>52</v>
      </c>
      <c r="B100" s="214">
        <f t="shared" si="35"/>
        <v>45</v>
      </c>
      <c r="C100" s="215">
        <f t="shared" si="36"/>
        <v>0.3</v>
      </c>
      <c r="D100" s="216">
        <f t="shared" si="37"/>
        <v>875.16087516087532</v>
      </c>
      <c r="E100" s="216">
        <f t="shared" si="38"/>
        <v>125.02298216583934</v>
      </c>
      <c r="F100" s="215">
        <f t="shared" si="39"/>
        <v>2.2999999999999998</v>
      </c>
      <c r="G100" s="216">
        <f t="shared" si="40"/>
        <v>2.2999999999999998</v>
      </c>
      <c r="H100" s="215">
        <f t="shared" si="41"/>
        <v>1.9999999999999998</v>
      </c>
      <c r="I100" s="217">
        <f t="shared" si="49"/>
        <v>2.5000000000000005E-3</v>
      </c>
      <c r="J100" s="217">
        <f t="shared" si="50"/>
        <v>0.22500000000000014</v>
      </c>
      <c r="K100" s="212">
        <f t="shared" si="42"/>
        <v>225.00000000000014</v>
      </c>
      <c r="L100" s="208">
        <f t="shared" si="43"/>
        <v>0.86956521739130432</v>
      </c>
      <c r="M100" s="31">
        <f t="shared" si="44"/>
        <v>6.2211491082919679</v>
      </c>
      <c r="N100" s="31">
        <f t="shared" si="45"/>
        <v>4.0250000000000008E-2</v>
      </c>
      <c r="O100" s="31">
        <f t="shared" si="46"/>
        <v>16.099999999999998</v>
      </c>
      <c r="P100" s="31">
        <f t="shared" si="47"/>
        <v>24.372727272727271</v>
      </c>
      <c r="Q100" s="31">
        <f t="shared" si="48"/>
        <v>11.645454545454545</v>
      </c>
    </row>
    <row r="101" spans="1:17" x14ac:dyDescent="0.2">
      <c r="A101" s="31">
        <f t="shared" si="34"/>
        <v>52</v>
      </c>
      <c r="B101" s="214">
        <f t="shared" si="35"/>
        <v>45.5</v>
      </c>
      <c r="C101" s="215">
        <f t="shared" si="36"/>
        <v>0.3</v>
      </c>
      <c r="D101" s="216">
        <f t="shared" si="37"/>
        <v>875.16087516087532</v>
      </c>
      <c r="E101" s="216">
        <f t="shared" si="38"/>
        <v>134.64013464013468</v>
      </c>
      <c r="F101" s="215">
        <f t="shared" si="39"/>
        <v>2.2999999999999998</v>
      </c>
      <c r="G101" s="216">
        <f t="shared" si="40"/>
        <v>2.2999999999999998</v>
      </c>
      <c r="H101" s="215">
        <f t="shared" si="41"/>
        <v>1.9999999999999998</v>
      </c>
      <c r="I101" s="217">
        <f t="shared" si="49"/>
        <v>2.5000000000000005E-3</v>
      </c>
      <c r="J101" s="217">
        <f t="shared" si="50"/>
        <v>0.22750000000000015</v>
      </c>
      <c r="K101" s="212">
        <f t="shared" si="42"/>
        <v>227.50000000000014</v>
      </c>
      <c r="L101" s="208">
        <f t="shared" si="43"/>
        <v>0.86956521739130432</v>
      </c>
      <c r="M101" s="31">
        <f t="shared" si="44"/>
        <v>6.7020067320067342</v>
      </c>
      <c r="N101" s="31">
        <f t="shared" si="45"/>
        <v>3.7375000000000005E-2</v>
      </c>
      <c r="O101" s="31">
        <f t="shared" si="46"/>
        <v>14.95</v>
      </c>
      <c r="P101" s="31">
        <f t="shared" si="47"/>
        <v>22.631818181818179</v>
      </c>
      <c r="Q101" s="31">
        <f t="shared" si="48"/>
        <v>10.813636363636363</v>
      </c>
    </row>
    <row r="102" spans="1:17" x14ac:dyDescent="0.2">
      <c r="A102" s="31">
        <f t="shared" si="34"/>
        <v>52</v>
      </c>
      <c r="B102" s="214">
        <f t="shared" si="35"/>
        <v>46</v>
      </c>
      <c r="C102" s="215">
        <f t="shared" si="36"/>
        <v>0.3</v>
      </c>
      <c r="D102" s="216">
        <f t="shared" si="37"/>
        <v>875.16087516087532</v>
      </c>
      <c r="E102" s="216">
        <f t="shared" si="38"/>
        <v>145.86014586014588</v>
      </c>
      <c r="F102" s="215">
        <f t="shared" si="39"/>
        <v>2.2999999999999998</v>
      </c>
      <c r="G102" s="216">
        <f t="shared" si="40"/>
        <v>2.2999999999999998</v>
      </c>
      <c r="H102" s="215">
        <f t="shared" si="41"/>
        <v>1.9999999999999998</v>
      </c>
      <c r="I102" s="217">
        <f t="shared" si="49"/>
        <v>2.5000000000000005E-3</v>
      </c>
      <c r="J102" s="217">
        <f t="shared" si="50"/>
        <v>0.23000000000000015</v>
      </c>
      <c r="K102" s="212">
        <f t="shared" si="42"/>
        <v>230.00000000000014</v>
      </c>
      <c r="L102" s="208">
        <f t="shared" si="43"/>
        <v>0.86956521739130432</v>
      </c>
      <c r="M102" s="31">
        <f t="shared" si="44"/>
        <v>7.2630072930072949</v>
      </c>
      <c r="N102" s="31">
        <f t="shared" si="45"/>
        <v>3.4500000000000003E-2</v>
      </c>
      <c r="O102" s="31">
        <f t="shared" si="46"/>
        <v>13.799999999999999</v>
      </c>
      <c r="P102" s="31">
        <f t="shared" si="47"/>
        <v>20.890909090909091</v>
      </c>
      <c r="Q102" s="31">
        <f t="shared" si="48"/>
        <v>9.9818181818181806</v>
      </c>
    </row>
    <row r="103" spans="1:17" x14ac:dyDescent="0.2">
      <c r="A103" s="31">
        <f t="shared" si="34"/>
        <v>52</v>
      </c>
      <c r="B103" s="214">
        <f t="shared" si="35"/>
        <v>46.5</v>
      </c>
      <c r="C103" s="215">
        <f t="shared" si="36"/>
        <v>0.3</v>
      </c>
      <c r="D103" s="216">
        <f t="shared" si="37"/>
        <v>875.16087516087532</v>
      </c>
      <c r="E103" s="216">
        <f t="shared" si="38"/>
        <v>159.12015912015914</v>
      </c>
      <c r="F103" s="215">
        <f t="shared" si="39"/>
        <v>2.2999999999999998</v>
      </c>
      <c r="G103" s="216">
        <f t="shared" si="40"/>
        <v>2.2999999999999998</v>
      </c>
      <c r="H103" s="215">
        <f t="shared" si="41"/>
        <v>1.9999999999999998</v>
      </c>
      <c r="I103" s="217">
        <f t="shared" si="49"/>
        <v>2.5000000000000005E-3</v>
      </c>
      <c r="J103" s="217">
        <f t="shared" si="50"/>
        <v>0.23250000000000015</v>
      </c>
      <c r="K103" s="212">
        <f t="shared" si="42"/>
        <v>232.50000000000014</v>
      </c>
      <c r="L103" s="208">
        <f t="shared" si="43"/>
        <v>0.86956521739130432</v>
      </c>
      <c r="M103" s="31">
        <f t="shared" si="44"/>
        <v>7.9260079560079575</v>
      </c>
      <c r="N103" s="31">
        <f t="shared" si="45"/>
        <v>3.1625000000000007E-2</v>
      </c>
      <c r="O103" s="31">
        <f t="shared" si="46"/>
        <v>12.649999999999999</v>
      </c>
      <c r="P103" s="31">
        <f t="shared" si="47"/>
        <v>19.149999999999999</v>
      </c>
      <c r="Q103" s="31">
        <f t="shared" si="48"/>
        <v>9.15</v>
      </c>
    </row>
    <row r="104" spans="1:17" x14ac:dyDescent="0.2">
      <c r="A104" s="31">
        <f t="shared" si="34"/>
        <v>52</v>
      </c>
      <c r="B104" s="214">
        <f t="shared" si="35"/>
        <v>47</v>
      </c>
      <c r="C104" s="215">
        <f t="shared" si="36"/>
        <v>0.3</v>
      </c>
      <c r="D104" s="216">
        <f t="shared" si="37"/>
        <v>875.16087516087532</v>
      </c>
      <c r="E104" s="216">
        <f t="shared" si="38"/>
        <v>166.66666666666669</v>
      </c>
      <c r="F104" s="215">
        <f t="shared" si="39"/>
        <v>2.2999999999999998</v>
      </c>
      <c r="G104" s="216">
        <f t="shared" si="40"/>
        <v>2.2999999999999998</v>
      </c>
      <c r="H104" s="215">
        <f t="shared" si="41"/>
        <v>1.9999999999999998</v>
      </c>
      <c r="I104" s="217">
        <f t="shared" si="49"/>
        <v>2.5000000000000005E-3</v>
      </c>
      <c r="J104" s="217">
        <f t="shared" si="50"/>
        <v>0.23500000000000015</v>
      </c>
      <c r="K104" s="212">
        <f t="shared" si="42"/>
        <v>235.00000000000014</v>
      </c>
      <c r="L104" s="208">
        <f t="shared" si="43"/>
        <v>0.86956521739130432</v>
      </c>
      <c r="M104" s="31">
        <f t="shared" si="44"/>
        <v>8.3033333333333346</v>
      </c>
      <c r="N104" s="31">
        <f t="shared" si="45"/>
        <v>2.8750000000000005E-2</v>
      </c>
      <c r="O104" s="31">
        <f t="shared" si="46"/>
        <v>11.5</v>
      </c>
      <c r="P104" s="31">
        <f t="shared" si="47"/>
        <v>17.409090909090907</v>
      </c>
      <c r="Q104" s="31">
        <f t="shared" si="48"/>
        <v>8.3181818181818183</v>
      </c>
    </row>
    <row r="105" spans="1:17" x14ac:dyDescent="0.2">
      <c r="A105" s="31">
        <f t="shared" si="34"/>
        <v>52</v>
      </c>
      <c r="B105" s="214">
        <f t="shared" si="35"/>
        <v>47.5</v>
      </c>
      <c r="C105" s="215">
        <f t="shared" si="36"/>
        <v>0.3</v>
      </c>
      <c r="D105" s="216">
        <f t="shared" si="37"/>
        <v>875.16087516087532</v>
      </c>
      <c r="E105" s="216">
        <f t="shared" si="38"/>
        <v>166.66666666666669</v>
      </c>
      <c r="F105" s="215">
        <f t="shared" si="39"/>
        <v>2.2999999999999998</v>
      </c>
      <c r="G105" s="216">
        <f t="shared" si="40"/>
        <v>2.2999999999999998</v>
      </c>
      <c r="H105" s="215">
        <f t="shared" si="41"/>
        <v>1.9999999999999998</v>
      </c>
      <c r="I105" s="217">
        <f t="shared" si="49"/>
        <v>2.5000000000000005E-3</v>
      </c>
      <c r="J105" s="217">
        <f t="shared" si="50"/>
        <v>0.23750000000000016</v>
      </c>
      <c r="K105" s="212">
        <f t="shared" si="42"/>
        <v>237.50000000000014</v>
      </c>
      <c r="L105" s="208">
        <f t="shared" si="43"/>
        <v>0.86956521739130432</v>
      </c>
      <c r="M105" s="31">
        <f t="shared" si="44"/>
        <v>8.3033333333333346</v>
      </c>
      <c r="N105" s="31">
        <f t="shared" si="45"/>
        <v>2.5875000000000002E-2</v>
      </c>
      <c r="O105" s="31">
        <f t="shared" si="46"/>
        <v>10.35</v>
      </c>
      <c r="P105" s="31">
        <f t="shared" si="47"/>
        <v>15.668181818181816</v>
      </c>
      <c r="Q105" s="31">
        <f t="shared" si="48"/>
        <v>7.4863636363636363</v>
      </c>
    </row>
    <row r="106" spans="1:17" x14ac:dyDescent="0.2">
      <c r="A106" s="31">
        <f t="shared" ref="A106:A114" si="51">VINMAX</f>
        <v>52</v>
      </c>
      <c r="B106" s="214">
        <f t="shared" ref="B106:B114" si="52">VINMAX*((ROW()-10)/104)</f>
        <v>48</v>
      </c>
      <c r="C106" s="215">
        <f t="shared" ref="C106:C137" si="53">IF(B106&gt;=$H$2,IF($D$2="CC", $G$2, B106/$G$2), 0)</f>
        <v>0.3</v>
      </c>
      <c r="D106" s="216">
        <f t="shared" ref="D106:D114" si="54">$B$2-B106*$J$2/($I$2*0.001)</f>
        <v>875.16087516087532</v>
      </c>
      <c r="E106" s="216">
        <f t="shared" ref="E106:E137" si="55">MIN(D106/(A106-B106),$C$2)</f>
        <v>166.66666666666669</v>
      </c>
      <c r="F106" s="215">
        <f t="shared" ref="F106:F114" si="56">I_Cout_ss+C106</f>
        <v>2.2999999999999998</v>
      </c>
      <c r="G106" s="216">
        <f t="shared" ref="G106:G137" si="57">IF($F$2="YES", F106, E106)</f>
        <v>2.2999999999999998</v>
      </c>
      <c r="H106" s="215">
        <f t="shared" ref="H106:H137" si="58">G106-C106</f>
        <v>1.9999999999999998</v>
      </c>
      <c r="I106" s="217">
        <f t="shared" si="49"/>
        <v>2.5000000000000005E-3</v>
      </c>
      <c r="J106" s="217">
        <f t="shared" si="50"/>
        <v>0.24000000000000016</v>
      </c>
      <c r="K106" s="212">
        <f t="shared" ref="K106:K137" si="59">J106*1000</f>
        <v>240.00000000000017</v>
      </c>
      <c r="L106" s="208">
        <f t="shared" ref="L106:L114" si="60">H106/G106</f>
        <v>0.86956521739130432</v>
      </c>
      <c r="M106" s="31">
        <f t="shared" ref="M106:M114" si="61">1/COUTMAX*(E106/2-C106)*1000</f>
        <v>8.3033333333333346</v>
      </c>
      <c r="N106" s="31">
        <f t="shared" ref="N106:N114" si="62">I106*G106*(A106-B106)</f>
        <v>2.3000000000000003E-2</v>
      </c>
      <c r="O106" s="31">
        <f t="shared" ref="O106:O114" si="63">G106*(A106-B106)</f>
        <v>9.1999999999999993</v>
      </c>
      <c r="P106" s="31">
        <f t="shared" ref="P106:P114" si="64">(A106-B106)*(I_Cout_ss*$Q$2+C106)</f>
        <v>13.927272727272726</v>
      </c>
      <c r="Q106" s="31">
        <f t="shared" ref="Q106:Q114" si="65">(A106-B106)*(I_Cout_ss*$R$2+C106)</f>
        <v>6.6545454545454543</v>
      </c>
    </row>
    <row r="107" spans="1:17" x14ac:dyDescent="0.2">
      <c r="A107" s="31">
        <f t="shared" si="51"/>
        <v>52</v>
      </c>
      <c r="B107" s="214">
        <f t="shared" si="52"/>
        <v>48.5</v>
      </c>
      <c r="C107" s="215">
        <f t="shared" si="53"/>
        <v>0.3</v>
      </c>
      <c r="D107" s="216">
        <f t="shared" si="54"/>
        <v>875.16087516087532</v>
      </c>
      <c r="E107" s="216">
        <f t="shared" si="55"/>
        <v>166.66666666666669</v>
      </c>
      <c r="F107" s="215">
        <f t="shared" si="56"/>
        <v>2.2999999999999998</v>
      </c>
      <c r="G107" s="216">
        <f t="shared" si="57"/>
        <v>2.2999999999999998</v>
      </c>
      <c r="H107" s="215">
        <f t="shared" si="58"/>
        <v>1.9999999999999998</v>
      </c>
      <c r="I107" s="217">
        <f t="shared" ref="I107:I138" si="66">(COUTMAX/1000000)*(B107-B106)/H107</f>
        <v>2.5000000000000005E-3</v>
      </c>
      <c r="J107" s="217">
        <f t="shared" ref="J107:J138" si="67">J106+I107</f>
        <v>0.24250000000000016</v>
      </c>
      <c r="K107" s="212">
        <f t="shared" si="59"/>
        <v>242.50000000000017</v>
      </c>
      <c r="L107" s="208">
        <f t="shared" si="60"/>
        <v>0.86956521739130432</v>
      </c>
      <c r="M107" s="31">
        <f t="shared" si="61"/>
        <v>8.3033333333333346</v>
      </c>
      <c r="N107" s="31">
        <f t="shared" si="62"/>
        <v>2.0125000000000004E-2</v>
      </c>
      <c r="O107" s="31">
        <f t="shared" si="63"/>
        <v>8.0499999999999989</v>
      </c>
      <c r="P107" s="31">
        <f t="shared" si="64"/>
        <v>12.186363636363636</v>
      </c>
      <c r="Q107" s="31">
        <f t="shared" si="65"/>
        <v>5.8227272727272723</v>
      </c>
    </row>
    <row r="108" spans="1:17" x14ac:dyDescent="0.2">
      <c r="A108" s="31">
        <f t="shared" si="51"/>
        <v>52</v>
      </c>
      <c r="B108" s="214">
        <f t="shared" si="52"/>
        <v>49</v>
      </c>
      <c r="C108" s="215">
        <f t="shared" si="53"/>
        <v>0.3</v>
      </c>
      <c r="D108" s="216">
        <f t="shared" si="54"/>
        <v>875.16087516087532</v>
      </c>
      <c r="E108" s="216">
        <f t="shared" si="55"/>
        <v>166.66666666666669</v>
      </c>
      <c r="F108" s="215">
        <f t="shared" si="56"/>
        <v>2.2999999999999998</v>
      </c>
      <c r="G108" s="216">
        <f t="shared" si="57"/>
        <v>2.2999999999999998</v>
      </c>
      <c r="H108" s="215">
        <f t="shared" si="58"/>
        <v>1.9999999999999998</v>
      </c>
      <c r="I108" s="217">
        <f t="shared" si="66"/>
        <v>2.5000000000000005E-3</v>
      </c>
      <c r="J108" s="217">
        <f t="shared" si="67"/>
        <v>0.24500000000000016</v>
      </c>
      <c r="K108" s="212">
        <f t="shared" si="59"/>
        <v>245.00000000000017</v>
      </c>
      <c r="L108" s="208">
        <f t="shared" si="60"/>
        <v>0.86956521739130432</v>
      </c>
      <c r="M108" s="31">
        <f t="shared" si="61"/>
        <v>8.3033333333333346</v>
      </c>
      <c r="N108" s="31">
        <f t="shared" si="62"/>
        <v>1.7250000000000001E-2</v>
      </c>
      <c r="O108" s="31">
        <f t="shared" si="63"/>
        <v>6.8999999999999995</v>
      </c>
      <c r="P108" s="31">
        <f t="shared" si="64"/>
        <v>10.445454545454545</v>
      </c>
      <c r="Q108" s="31">
        <f t="shared" si="65"/>
        <v>4.9909090909090903</v>
      </c>
    </row>
    <row r="109" spans="1:17" x14ac:dyDescent="0.2">
      <c r="A109" s="31">
        <f t="shared" si="51"/>
        <v>52</v>
      </c>
      <c r="B109" s="214">
        <f t="shared" si="52"/>
        <v>49.5</v>
      </c>
      <c r="C109" s="215">
        <f t="shared" si="53"/>
        <v>0.3</v>
      </c>
      <c r="D109" s="216">
        <f t="shared" si="54"/>
        <v>875.16087516087532</v>
      </c>
      <c r="E109" s="216">
        <f t="shared" si="55"/>
        <v>166.66666666666669</v>
      </c>
      <c r="F109" s="215">
        <f t="shared" si="56"/>
        <v>2.2999999999999998</v>
      </c>
      <c r="G109" s="216">
        <f t="shared" si="57"/>
        <v>2.2999999999999998</v>
      </c>
      <c r="H109" s="215">
        <f t="shared" si="58"/>
        <v>1.9999999999999998</v>
      </c>
      <c r="I109" s="217">
        <f t="shared" si="66"/>
        <v>2.5000000000000005E-3</v>
      </c>
      <c r="J109" s="217">
        <f t="shared" si="67"/>
        <v>0.24750000000000016</v>
      </c>
      <c r="K109" s="212">
        <f t="shared" si="59"/>
        <v>247.50000000000017</v>
      </c>
      <c r="L109" s="208">
        <f t="shared" si="60"/>
        <v>0.86956521739130432</v>
      </c>
      <c r="M109" s="31">
        <f t="shared" si="61"/>
        <v>8.3033333333333346</v>
      </c>
      <c r="N109" s="31">
        <f t="shared" si="62"/>
        <v>1.4375000000000002E-2</v>
      </c>
      <c r="O109" s="31">
        <f t="shared" si="63"/>
        <v>5.75</v>
      </c>
      <c r="P109" s="31">
        <f t="shared" si="64"/>
        <v>8.7045454545454533</v>
      </c>
      <c r="Q109" s="31">
        <f t="shared" si="65"/>
        <v>4.1590909090909092</v>
      </c>
    </row>
    <row r="110" spans="1:17" x14ac:dyDescent="0.2">
      <c r="A110" s="31">
        <f t="shared" si="51"/>
        <v>52</v>
      </c>
      <c r="B110" s="214">
        <f t="shared" si="52"/>
        <v>50</v>
      </c>
      <c r="C110" s="215">
        <f t="shared" si="53"/>
        <v>0.3</v>
      </c>
      <c r="D110" s="216">
        <f t="shared" si="54"/>
        <v>875.16087516087532</v>
      </c>
      <c r="E110" s="216">
        <f t="shared" si="55"/>
        <v>166.66666666666669</v>
      </c>
      <c r="F110" s="215">
        <f t="shared" si="56"/>
        <v>2.2999999999999998</v>
      </c>
      <c r="G110" s="216">
        <f t="shared" si="57"/>
        <v>2.2999999999999998</v>
      </c>
      <c r="H110" s="215">
        <f t="shared" si="58"/>
        <v>1.9999999999999998</v>
      </c>
      <c r="I110" s="217">
        <f t="shared" si="66"/>
        <v>2.5000000000000005E-3</v>
      </c>
      <c r="J110" s="217">
        <f t="shared" si="67"/>
        <v>0.25000000000000017</v>
      </c>
      <c r="K110" s="212">
        <f t="shared" si="59"/>
        <v>250.00000000000017</v>
      </c>
      <c r="L110" s="208">
        <f t="shared" si="60"/>
        <v>0.86956521739130432</v>
      </c>
      <c r="M110" s="31">
        <f t="shared" si="61"/>
        <v>8.3033333333333346</v>
      </c>
      <c r="N110" s="31">
        <f t="shared" si="62"/>
        <v>1.1500000000000002E-2</v>
      </c>
      <c r="O110" s="31">
        <f t="shared" si="63"/>
        <v>4.5999999999999996</v>
      </c>
      <c r="P110" s="31">
        <f t="shared" si="64"/>
        <v>6.963636363636363</v>
      </c>
      <c r="Q110" s="31">
        <f t="shared" si="65"/>
        <v>3.3272727272727272</v>
      </c>
    </row>
    <row r="111" spans="1:17" x14ac:dyDescent="0.2">
      <c r="A111" s="31">
        <f t="shared" si="51"/>
        <v>52</v>
      </c>
      <c r="B111" s="214">
        <f t="shared" si="52"/>
        <v>50.5</v>
      </c>
      <c r="C111" s="215">
        <f t="shared" si="53"/>
        <v>0.3</v>
      </c>
      <c r="D111" s="216">
        <f t="shared" si="54"/>
        <v>875.16087516087532</v>
      </c>
      <c r="E111" s="216">
        <f>$C$2</f>
        <v>166.66666666666669</v>
      </c>
      <c r="F111" s="215">
        <f t="shared" si="56"/>
        <v>2.2999999999999998</v>
      </c>
      <c r="G111" s="216">
        <f t="shared" si="57"/>
        <v>2.2999999999999998</v>
      </c>
      <c r="H111" s="215">
        <f t="shared" si="58"/>
        <v>1.9999999999999998</v>
      </c>
      <c r="I111" s="217">
        <f t="shared" si="66"/>
        <v>2.5000000000000005E-3</v>
      </c>
      <c r="J111" s="217">
        <f t="shared" si="67"/>
        <v>0.25250000000000017</v>
      </c>
      <c r="K111" s="212">
        <f t="shared" si="59"/>
        <v>252.50000000000017</v>
      </c>
      <c r="L111" s="208">
        <f t="shared" si="60"/>
        <v>0.86956521739130432</v>
      </c>
      <c r="M111" s="31">
        <f t="shared" si="61"/>
        <v>8.3033333333333346</v>
      </c>
      <c r="N111" s="31">
        <f t="shared" si="62"/>
        <v>8.6250000000000007E-3</v>
      </c>
      <c r="O111" s="31">
        <f t="shared" si="63"/>
        <v>3.4499999999999997</v>
      </c>
      <c r="P111" s="31">
        <f t="shared" si="64"/>
        <v>5.2227272727272727</v>
      </c>
      <c r="Q111" s="31">
        <f t="shared" si="65"/>
        <v>2.4954545454545451</v>
      </c>
    </row>
    <row r="112" spans="1:17" x14ac:dyDescent="0.2">
      <c r="A112" s="31">
        <f t="shared" si="51"/>
        <v>52</v>
      </c>
      <c r="B112" s="214">
        <f t="shared" si="52"/>
        <v>51</v>
      </c>
      <c r="C112" s="215">
        <f t="shared" si="53"/>
        <v>0.3</v>
      </c>
      <c r="D112" s="216">
        <f t="shared" si="54"/>
        <v>875.16087516087532</v>
      </c>
      <c r="E112" s="216">
        <f>$C$2</f>
        <v>166.66666666666669</v>
      </c>
      <c r="F112" s="215">
        <f t="shared" si="56"/>
        <v>2.2999999999999998</v>
      </c>
      <c r="G112" s="216">
        <f t="shared" si="57"/>
        <v>2.2999999999999998</v>
      </c>
      <c r="H112" s="215">
        <f t="shared" si="58"/>
        <v>1.9999999999999998</v>
      </c>
      <c r="I112" s="217">
        <f t="shared" si="66"/>
        <v>2.5000000000000005E-3</v>
      </c>
      <c r="J112" s="217">
        <f t="shared" si="67"/>
        <v>0.25500000000000017</v>
      </c>
      <c r="K112" s="212">
        <f t="shared" si="59"/>
        <v>255.00000000000017</v>
      </c>
      <c r="L112" s="208">
        <f t="shared" si="60"/>
        <v>0.86956521739130432</v>
      </c>
      <c r="M112" s="31">
        <f t="shared" si="61"/>
        <v>8.3033333333333346</v>
      </c>
      <c r="N112" s="31">
        <f t="shared" si="62"/>
        <v>5.7500000000000008E-3</v>
      </c>
      <c r="O112" s="31">
        <f t="shared" si="63"/>
        <v>2.2999999999999998</v>
      </c>
      <c r="P112" s="31">
        <f t="shared" si="64"/>
        <v>3.4818181818181815</v>
      </c>
      <c r="Q112" s="31">
        <f t="shared" si="65"/>
        <v>1.6636363636363636</v>
      </c>
    </row>
    <row r="113" spans="1:17" x14ac:dyDescent="0.2">
      <c r="A113" s="31">
        <f t="shared" si="51"/>
        <v>52</v>
      </c>
      <c r="B113" s="214">
        <f t="shared" si="52"/>
        <v>51.5</v>
      </c>
      <c r="C113" s="215">
        <f t="shared" si="53"/>
        <v>0.3</v>
      </c>
      <c r="D113" s="216">
        <f t="shared" si="54"/>
        <v>875.16087516087532</v>
      </c>
      <c r="E113" s="216">
        <f>$C$2</f>
        <v>166.66666666666669</v>
      </c>
      <c r="F113" s="215">
        <f t="shared" si="56"/>
        <v>2.2999999999999998</v>
      </c>
      <c r="G113" s="216">
        <f t="shared" si="57"/>
        <v>2.2999999999999998</v>
      </c>
      <c r="H113" s="215">
        <f t="shared" si="58"/>
        <v>1.9999999999999998</v>
      </c>
      <c r="I113" s="217">
        <f t="shared" si="66"/>
        <v>2.5000000000000005E-3</v>
      </c>
      <c r="J113" s="217">
        <f t="shared" si="67"/>
        <v>0.25750000000000017</v>
      </c>
      <c r="K113" s="212">
        <f t="shared" si="59"/>
        <v>257.50000000000017</v>
      </c>
      <c r="L113" s="208">
        <f t="shared" si="60"/>
        <v>0.86956521739130432</v>
      </c>
      <c r="M113" s="31">
        <f t="shared" si="61"/>
        <v>8.3033333333333346</v>
      </c>
      <c r="N113" s="31">
        <f t="shared" si="62"/>
        <v>2.8750000000000004E-3</v>
      </c>
      <c r="O113" s="31">
        <f t="shared" si="63"/>
        <v>1.1499999999999999</v>
      </c>
      <c r="P113" s="31">
        <f t="shared" si="64"/>
        <v>1.7409090909090907</v>
      </c>
      <c r="Q113" s="31">
        <f t="shared" si="65"/>
        <v>0.83181818181818179</v>
      </c>
    </row>
    <row r="114" spans="1:17" x14ac:dyDescent="0.2">
      <c r="A114" s="31">
        <f t="shared" si="51"/>
        <v>52</v>
      </c>
      <c r="B114" s="214">
        <f t="shared" si="52"/>
        <v>52</v>
      </c>
      <c r="C114" s="215">
        <f t="shared" si="53"/>
        <v>0.3</v>
      </c>
      <c r="D114" s="216">
        <f t="shared" si="54"/>
        <v>875.16087516087532</v>
      </c>
      <c r="E114" s="216">
        <f>$C$2</f>
        <v>166.66666666666669</v>
      </c>
      <c r="F114" s="215">
        <f t="shared" si="56"/>
        <v>2.2999999999999998</v>
      </c>
      <c r="G114" s="216">
        <f t="shared" si="57"/>
        <v>2.2999999999999998</v>
      </c>
      <c r="H114" s="215">
        <f t="shared" si="58"/>
        <v>1.9999999999999998</v>
      </c>
      <c r="I114" s="217">
        <f t="shared" si="66"/>
        <v>2.5000000000000005E-3</v>
      </c>
      <c r="J114" s="217">
        <f t="shared" si="67"/>
        <v>0.26000000000000018</v>
      </c>
      <c r="K114" s="212">
        <f t="shared" si="59"/>
        <v>260.00000000000017</v>
      </c>
      <c r="L114" s="208">
        <f t="shared" si="60"/>
        <v>0.86956521739130432</v>
      </c>
      <c r="M114" s="31">
        <f t="shared" si="61"/>
        <v>8.3033333333333346</v>
      </c>
      <c r="N114" s="31">
        <f t="shared" si="62"/>
        <v>0</v>
      </c>
      <c r="O114" s="31">
        <f t="shared" si="63"/>
        <v>0</v>
      </c>
      <c r="P114" s="31">
        <f t="shared" si="64"/>
        <v>0</v>
      </c>
      <c r="Q114" s="31">
        <f t="shared" si="65"/>
        <v>0</v>
      </c>
    </row>
    <row r="115" spans="1:17" x14ac:dyDescent="0.2">
      <c r="K115" s="219">
        <f>K114+0.5</f>
        <v>260.50000000000017</v>
      </c>
      <c r="N115" s="31">
        <v>0</v>
      </c>
      <c r="O115" s="31">
        <v>0</v>
      </c>
    </row>
  </sheetData>
  <mergeCells count="1">
    <mergeCell ref="X12:Y12"/>
  </mergeCells>
  <pageMargins left="0.7" right="0.7" top="0.75" bottom="0.75" header="0.51180555555555496" footer="0.51180555555555496"/>
  <pageSetup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70"/>
  <sheetViews>
    <sheetView topLeftCell="A14" zoomScale="85" zoomScaleNormal="85" workbookViewId="0">
      <selection activeCell="F39" sqref="F39"/>
    </sheetView>
  </sheetViews>
  <sheetFormatPr defaultColWidth="8.7109375" defaultRowHeight="12.75" x14ac:dyDescent="0.2"/>
  <cols>
    <col min="1" max="2" width="19.7109375" customWidth="1"/>
    <col min="3" max="3" width="13.140625" customWidth="1"/>
    <col min="4" max="4" width="16" customWidth="1"/>
    <col min="5" max="6" width="17.7109375" customWidth="1"/>
    <col min="7" max="7" width="31.5703125" customWidth="1"/>
    <col min="8" max="8" width="20" customWidth="1"/>
    <col min="13" max="13" width="12.85546875" customWidth="1"/>
    <col min="15" max="15" width="17.28515625" customWidth="1"/>
    <col min="17" max="17" width="13.28515625" customWidth="1"/>
    <col min="18" max="18" width="16.85546875" customWidth="1"/>
    <col min="20" max="20" width="13" customWidth="1"/>
    <col min="21" max="21" width="10.140625" customWidth="1"/>
  </cols>
  <sheetData>
    <row r="1" spans="1:22" x14ac:dyDescent="0.2">
      <c r="A1" s="31"/>
      <c r="B1" s="31"/>
      <c r="C1" s="31"/>
      <c r="D1" s="31"/>
      <c r="E1" s="31"/>
      <c r="F1" s="31"/>
      <c r="G1" s="31"/>
      <c r="H1" s="31"/>
      <c r="I1" s="31"/>
      <c r="J1" s="31"/>
      <c r="K1" s="31"/>
      <c r="L1" s="31"/>
      <c r="M1" s="31"/>
      <c r="N1" s="31"/>
      <c r="O1" s="31"/>
      <c r="P1" s="31"/>
      <c r="Q1" s="31"/>
      <c r="R1" s="31"/>
      <c r="S1" s="31"/>
      <c r="T1" s="31"/>
      <c r="U1" s="31"/>
      <c r="V1" s="31"/>
    </row>
    <row r="2" spans="1:22" x14ac:dyDescent="0.2">
      <c r="A2" s="218"/>
      <c r="B2" s="220"/>
      <c r="C2" s="245" t="s">
        <v>315</v>
      </c>
      <c r="D2" s="245"/>
      <c r="E2" s="245"/>
      <c r="F2" s="216"/>
      <c r="G2" s="216"/>
      <c r="H2" s="31" t="s">
        <v>316</v>
      </c>
      <c r="I2" s="31"/>
      <c r="J2" s="31"/>
      <c r="K2" s="31"/>
      <c r="L2" s="31"/>
      <c r="M2" s="31"/>
      <c r="N2" s="31"/>
      <c r="O2" s="216"/>
      <c r="P2" s="216"/>
      <c r="Q2" s="216"/>
      <c r="R2" s="216"/>
      <c r="S2" s="216"/>
      <c r="T2" s="216"/>
      <c r="U2" s="31"/>
      <c r="V2" s="31"/>
    </row>
    <row r="3" spans="1:22" x14ac:dyDescent="0.2">
      <c r="A3" s="218"/>
      <c r="B3" s="218" t="s">
        <v>317</v>
      </c>
      <c r="C3" s="218" t="s">
        <v>318</v>
      </c>
      <c r="D3" s="218" t="s">
        <v>319</v>
      </c>
      <c r="E3" s="218" t="s">
        <v>320</v>
      </c>
      <c r="F3" s="218" t="s">
        <v>321</v>
      </c>
      <c r="G3" s="31"/>
      <c r="H3" s="31" t="s">
        <v>322</v>
      </c>
      <c r="I3" s="216"/>
      <c r="J3" s="216"/>
      <c r="K3" s="216"/>
      <c r="L3" s="216"/>
      <c r="M3" s="216"/>
      <c r="N3" s="31"/>
      <c r="O3" s="216"/>
      <c r="P3" s="216"/>
      <c r="Q3" s="213"/>
      <c r="R3" s="213"/>
      <c r="S3" s="213"/>
      <c r="T3" s="213"/>
      <c r="U3" s="31"/>
      <c r="V3" s="31"/>
    </row>
    <row r="4" spans="1:22" ht="21.6" customHeight="1" x14ac:dyDescent="0.2">
      <c r="A4" s="218" t="s">
        <v>323</v>
      </c>
      <c r="B4" s="218">
        <f>'Design Calculator'!AN55</f>
        <v>120</v>
      </c>
      <c r="C4" s="221">
        <f>'Design Calculator'!$AN$56</f>
        <v>30</v>
      </c>
      <c r="D4" s="221">
        <f>'Design Calculator'!$AN$57</f>
        <v>12</v>
      </c>
      <c r="E4" s="221">
        <f>IF('Design Calculator'!$AN$58 = "NA", F4, 'Design Calculator'!$AN$58)</f>
        <v>5</v>
      </c>
      <c r="F4" s="221">
        <f>'Design Calculator'!AN59</f>
        <v>2</v>
      </c>
      <c r="G4" s="207"/>
      <c r="H4" s="31" t="s">
        <v>324</v>
      </c>
      <c r="I4" s="216"/>
      <c r="J4" s="216"/>
      <c r="K4" s="216"/>
      <c r="L4" s="213"/>
      <c r="M4" s="213"/>
      <c r="N4" s="31"/>
      <c r="O4" s="216"/>
      <c r="P4" s="216"/>
      <c r="Q4" s="213"/>
      <c r="R4" s="213"/>
      <c r="S4" s="213"/>
      <c r="T4" s="213"/>
      <c r="U4" s="31"/>
      <c r="V4" s="31"/>
    </row>
    <row r="5" spans="1:22" x14ac:dyDescent="0.2">
      <c r="A5" s="31"/>
      <c r="B5" s="31"/>
      <c r="C5" s="216"/>
      <c r="D5" s="213"/>
      <c r="E5" s="213"/>
      <c r="F5" s="213"/>
      <c r="G5" s="213"/>
      <c r="H5" s="31"/>
      <c r="I5" s="216"/>
      <c r="J5" s="216"/>
      <c r="K5" s="216"/>
      <c r="L5" s="213"/>
      <c r="M5" s="213"/>
      <c r="N5" s="246"/>
      <c r="O5" s="246"/>
      <c r="P5" s="246"/>
      <c r="Q5" s="213"/>
      <c r="R5" s="247"/>
      <c r="S5" s="247"/>
      <c r="T5" s="247"/>
      <c r="U5" s="31"/>
      <c r="V5" s="31"/>
    </row>
    <row r="6" spans="1:22" x14ac:dyDescent="0.2">
      <c r="A6" s="31"/>
      <c r="B6" s="31"/>
      <c r="C6" s="216"/>
      <c r="D6" s="213"/>
      <c r="E6" s="213"/>
      <c r="F6" s="213"/>
      <c r="G6" s="213"/>
      <c r="H6" s="31"/>
      <c r="I6" s="216"/>
      <c r="J6" s="216"/>
      <c r="K6" s="216"/>
      <c r="L6" s="213"/>
      <c r="M6" s="213"/>
      <c r="N6" s="31"/>
      <c r="O6" s="31"/>
      <c r="P6" s="31"/>
      <c r="Q6" s="31"/>
      <c r="R6" s="31"/>
      <c r="S6" s="31"/>
      <c r="T6" s="31"/>
      <c r="U6" s="31"/>
      <c r="V6" s="31"/>
    </row>
    <row r="7" spans="1:22" ht="15" x14ac:dyDescent="0.25">
      <c r="A7" s="31"/>
      <c r="B7" s="206" t="s">
        <v>325</v>
      </c>
      <c r="C7" s="31"/>
      <c r="D7" s="31"/>
      <c r="E7" s="31"/>
      <c r="F7" s="31"/>
      <c r="G7" s="223" t="s">
        <v>326</v>
      </c>
      <c r="H7" s="31"/>
      <c r="I7" s="31"/>
      <c r="J7" s="222"/>
      <c r="K7" s="213"/>
      <c r="L7" s="31"/>
      <c r="M7" s="31"/>
      <c r="N7" s="31"/>
      <c r="O7" s="31"/>
      <c r="P7" s="31"/>
      <c r="Q7" s="31"/>
      <c r="R7" s="31"/>
      <c r="S7" s="31"/>
      <c r="T7" s="224"/>
      <c r="U7" s="216"/>
      <c r="V7" s="31"/>
    </row>
    <row r="8" spans="1:22" ht="15" x14ac:dyDescent="0.25">
      <c r="A8" s="31"/>
      <c r="B8" s="31" t="s">
        <v>327</v>
      </c>
      <c r="C8" s="31">
        <f>IF('Design Calculator'!F71="No", 'Design Calculator'!$F$77,'Design Calculator'!F90)</f>
        <v>0.32</v>
      </c>
      <c r="D8" s="31" t="s">
        <v>101</v>
      </c>
      <c r="E8" s="31"/>
      <c r="F8" s="31"/>
      <c r="G8" s="31" t="s">
        <v>327</v>
      </c>
      <c r="H8" s="31">
        <f>Equations!F70</f>
        <v>128.75000000000003</v>
      </c>
      <c r="I8" s="31"/>
      <c r="J8" s="216"/>
      <c r="K8" s="213"/>
      <c r="L8" s="31"/>
      <c r="M8" s="31"/>
      <c r="N8" s="31"/>
      <c r="O8" s="31"/>
      <c r="P8" s="224"/>
      <c r="Q8" s="31"/>
      <c r="R8" s="31"/>
      <c r="S8" s="31"/>
      <c r="T8" s="224"/>
      <c r="U8" s="216"/>
      <c r="V8" s="31"/>
    </row>
    <row r="9" spans="1:22" ht="15" x14ac:dyDescent="0.25">
      <c r="A9" s="31"/>
      <c r="B9" s="31" t="s">
        <v>328</v>
      </c>
      <c r="C9" s="31">
        <f>VINMAX</f>
        <v>52</v>
      </c>
      <c r="D9" s="31" t="s">
        <v>39</v>
      </c>
      <c r="E9" s="31"/>
      <c r="F9" s="31"/>
      <c r="G9" s="31" t="s">
        <v>328</v>
      </c>
      <c r="H9" s="31">
        <f>VINMAX</f>
        <v>52</v>
      </c>
      <c r="I9" s="31"/>
      <c r="J9" s="31"/>
      <c r="K9" s="213"/>
      <c r="L9" s="31"/>
      <c r="M9" s="31"/>
      <c r="N9" s="31"/>
      <c r="O9" s="31"/>
      <c r="P9" s="224"/>
      <c r="Q9" s="31"/>
      <c r="R9" s="31"/>
      <c r="S9" s="31"/>
      <c r="T9" s="224"/>
      <c r="U9" s="31"/>
      <c r="V9" s="31"/>
    </row>
    <row r="10" spans="1:22" ht="15" x14ac:dyDescent="0.25">
      <c r="A10" s="31"/>
      <c r="B10" s="31" t="s">
        <v>329</v>
      </c>
      <c r="C10" s="31">
        <f>IF(C8&lt;10, IF(C8&lt;1, 0.1, 1), IF(C8&lt;100, 10, 100))</f>
        <v>0.1</v>
      </c>
      <c r="D10" s="31" t="s">
        <v>101</v>
      </c>
      <c r="E10" s="31"/>
      <c r="F10" s="31"/>
      <c r="G10" s="31" t="s">
        <v>329</v>
      </c>
      <c r="H10" s="31">
        <f>IF(H8&lt;10, IF(H8&lt;1, 0.1, 1), IF(H8&lt;100, 10, 100))</f>
        <v>100</v>
      </c>
      <c r="I10" s="31"/>
      <c r="J10" s="31"/>
      <c r="K10" s="213"/>
      <c r="L10" s="31"/>
      <c r="M10" s="31"/>
      <c r="N10" s="31"/>
      <c r="O10" s="31"/>
      <c r="P10" s="224"/>
      <c r="Q10" s="31"/>
      <c r="R10" s="31"/>
      <c r="S10" s="31"/>
      <c r="T10" s="224"/>
      <c r="U10" s="31"/>
      <c r="V10" s="31"/>
    </row>
    <row r="11" spans="1:22" ht="15" x14ac:dyDescent="0.25">
      <c r="A11" s="31"/>
      <c r="B11" s="31" t="s">
        <v>330</v>
      </c>
      <c r="C11" s="31">
        <f>IF('Design Calculator'!F58="NA", MIN(SOA!C10,1),SOA!C10)</f>
        <v>0.1</v>
      </c>
      <c r="D11" s="31"/>
      <c r="E11" s="31"/>
      <c r="F11" s="31"/>
      <c r="G11" s="31" t="s">
        <v>330</v>
      </c>
      <c r="H11" s="31">
        <f>IF('Design Calculator'!F58="NA", MIN(SOA!H10,1),SOA!H10)</f>
        <v>100</v>
      </c>
      <c r="I11" s="31"/>
      <c r="J11" s="31"/>
      <c r="K11" s="213"/>
      <c r="L11" s="31"/>
      <c r="M11" s="31"/>
      <c r="N11" s="31"/>
      <c r="O11" s="31"/>
      <c r="P11" s="224"/>
      <c r="Q11" s="31"/>
      <c r="R11" s="31"/>
      <c r="S11" s="31"/>
      <c r="T11" s="31"/>
      <c r="U11" s="31"/>
      <c r="V11" s="31"/>
    </row>
    <row r="12" spans="1:22" x14ac:dyDescent="0.2">
      <c r="A12" s="31"/>
      <c r="B12" s="31" t="s">
        <v>331</v>
      </c>
      <c r="C12" s="31">
        <f>C10*10</f>
        <v>1</v>
      </c>
      <c r="D12" s="31" t="s">
        <v>101</v>
      </c>
      <c r="E12" s="31"/>
      <c r="F12" s="31"/>
      <c r="G12" s="31" t="s">
        <v>332</v>
      </c>
      <c r="H12" s="31">
        <f>H10*10</f>
        <v>1000</v>
      </c>
      <c r="I12" s="31"/>
      <c r="J12" s="31"/>
      <c r="K12" s="213"/>
      <c r="L12" s="31"/>
      <c r="M12" s="31"/>
      <c r="N12" s="31"/>
      <c r="O12" s="31"/>
      <c r="P12" s="31"/>
      <c r="Q12" s="31"/>
      <c r="R12" s="31"/>
      <c r="S12" s="31"/>
      <c r="T12" s="31"/>
      <c r="U12" s="31"/>
      <c r="V12" s="31"/>
    </row>
    <row r="13" spans="1:22" x14ac:dyDescent="0.2">
      <c r="A13" s="31"/>
      <c r="B13" s="31" t="s">
        <v>333</v>
      </c>
      <c r="C13" s="31">
        <f>IF('Design Calculator'!F59="NA", MIN(SOA!C12,10),SOA!C12)</f>
        <v>1</v>
      </c>
      <c r="D13" s="31"/>
      <c r="E13" s="31"/>
      <c r="F13" s="31"/>
      <c r="G13" s="31" t="s">
        <v>333</v>
      </c>
      <c r="H13" s="31">
        <f>IF('Design Calculator'!F59="NA", MIN(SOA!H12,10),SOA!H12)</f>
        <v>1000</v>
      </c>
      <c r="I13" s="31"/>
      <c r="J13" s="31"/>
      <c r="K13" s="213"/>
      <c r="L13" s="31"/>
      <c r="M13" s="31"/>
      <c r="N13" s="31"/>
      <c r="O13" s="31"/>
      <c r="P13" s="31"/>
      <c r="Q13" s="31"/>
      <c r="R13" s="31"/>
      <c r="S13" s="31"/>
      <c r="T13" s="31"/>
      <c r="U13" s="31"/>
      <c r="V13" s="31"/>
    </row>
    <row r="14" spans="1:22" x14ac:dyDescent="0.2">
      <c r="A14" s="31"/>
      <c r="B14" s="31" t="s">
        <v>334</v>
      </c>
      <c r="C14" s="31">
        <f>IF(C11=0.1, B4, IF(C11=1, C4, IF(C11=10, D4, E4)))</f>
        <v>120</v>
      </c>
      <c r="D14" s="31" t="s">
        <v>43</v>
      </c>
      <c r="E14" s="31"/>
      <c r="F14" s="31"/>
      <c r="G14" s="31" t="s">
        <v>334</v>
      </c>
      <c r="H14" s="31">
        <f>IF(H11=0.1, B4, IF(H11=1, C4, IF(H11=10, D4, E4)))</f>
        <v>5</v>
      </c>
      <c r="I14" s="31"/>
      <c r="J14" s="31"/>
      <c r="K14" s="213"/>
      <c r="L14" s="31"/>
      <c r="M14" s="31"/>
      <c r="N14" s="31"/>
      <c r="O14" s="31"/>
      <c r="P14" s="31"/>
      <c r="Q14" s="31"/>
      <c r="R14" s="31"/>
      <c r="S14" s="31"/>
      <c r="T14" s="31"/>
      <c r="U14" s="31"/>
      <c r="V14" s="31"/>
    </row>
    <row r="15" spans="1:22" x14ac:dyDescent="0.2">
      <c r="A15" s="31"/>
      <c r="B15" s="31" t="s">
        <v>335</v>
      </c>
      <c r="C15" s="31">
        <f>IF(C13=1000, F4, IF(C13=1, C4, IF(C13=10, D4, E4)))</f>
        <v>30</v>
      </c>
      <c r="D15" s="31" t="s">
        <v>43</v>
      </c>
      <c r="E15" s="31"/>
      <c r="F15" s="31"/>
      <c r="G15" s="31" t="s">
        <v>335</v>
      </c>
      <c r="H15" s="31">
        <f>IF(H13=1000, F4, IF(H13=1, C4, IF(H13=10, D4, E4)))</f>
        <v>2</v>
      </c>
      <c r="I15" s="31"/>
      <c r="J15" s="31"/>
      <c r="K15" s="213"/>
      <c r="L15" s="31"/>
      <c r="M15" s="31"/>
      <c r="N15" s="31"/>
      <c r="O15" s="31"/>
      <c r="P15" s="31"/>
      <c r="Q15" s="31"/>
      <c r="R15" s="31"/>
      <c r="S15" s="31"/>
      <c r="T15" s="31"/>
      <c r="U15" s="31"/>
      <c r="V15" s="31"/>
    </row>
    <row r="16" spans="1:22" x14ac:dyDescent="0.2">
      <c r="A16" s="31"/>
      <c r="B16" s="31"/>
      <c r="C16" s="31"/>
      <c r="D16" s="31"/>
      <c r="E16" s="31"/>
      <c r="F16" s="31"/>
      <c r="G16" s="31"/>
      <c r="H16" s="31"/>
      <c r="I16" s="31"/>
      <c r="J16" s="31"/>
      <c r="K16" s="213"/>
      <c r="L16" s="31"/>
      <c r="M16" s="31"/>
      <c r="N16" s="31"/>
      <c r="O16" s="31"/>
      <c r="P16" s="31"/>
      <c r="Q16" s="31"/>
      <c r="R16" s="31"/>
      <c r="S16" s="31"/>
      <c r="T16" s="31"/>
      <c r="U16" s="31"/>
      <c r="V16" s="31"/>
    </row>
    <row r="17" spans="1:22" x14ac:dyDescent="0.2">
      <c r="A17" s="31"/>
      <c r="B17" s="31" t="s">
        <v>336</v>
      </c>
      <c r="C17" s="31"/>
      <c r="D17" s="31"/>
      <c r="E17" s="31"/>
      <c r="F17" s="31"/>
      <c r="G17" s="31" t="s">
        <v>336</v>
      </c>
      <c r="H17" s="31"/>
      <c r="I17" s="31"/>
      <c r="J17" s="31"/>
      <c r="K17" s="213"/>
      <c r="L17" s="31"/>
      <c r="M17" s="31"/>
      <c r="N17" s="31"/>
      <c r="O17" s="31"/>
      <c r="P17" s="31"/>
      <c r="Q17" s="31"/>
      <c r="R17" s="31"/>
      <c r="S17" s="31"/>
      <c r="T17" s="31"/>
      <c r="U17" s="31"/>
      <c r="V17" s="31"/>
    </row>
    <row r="18" spans="1:22" x14ac:dyDescent="0.2">
      <c r="A18" s="31"/>
      <c r="B18" s="31" t="s">
        <v>337</v>
      </c>
      <c r="C18" s="31">
        <f>C14/C11^C19</f>
        <v>30</v>
      </c>
      <c r="D18" s="31"/>
      <c r="E18" s="31"/>
      <c r="F18" s="31"/>
      <c r="G18" s="31" t="s">
        <v>337</v>
      </c>
      <c r="H18" s="31">
        <f>H14/H11^H19</f>
        <v>31.250000000000004</v>
      </c>
      <c r="I18" s="31"/>
      <c r="J18" s="31"/>
      <c r="K18" s="31"/>
      <c r="L18" s="31"/>
      <c r="M18" s="31"/>
      <c r="N18" s="31"/>
      <c r="O18" s="31"/>
      <c r="P18" s="31"/>
      <c r="Q18" s="31"/>
      <c r="R18" s="31"/>
      <c r="S18" s="31"/>
      <c r="T18" s="31"/>
      <c r="U18" s="31"/>
      <c r="V18" s="31"/>
    </row>
    <row r="19" spans="1:22" x14ac:dyDescent="0.2">
      <c r="A19" s="31"/>
      <c r="B19" s="31" t="s">
        <v>338</v>
      </c>
      <c r="C19" s="31">
        <f>LOG(C14/C15)/LOG(C11/C13)</f>
        <v>-0.6020599913279624</v>
      </c>
      <c r="D19" s="31"/>
      <c r="E19" s="31"/>
      <c r="F19" s="31"/>
      <c r="G19" s="31" t="s">
        <v>338</v>
      </c>
      <c r="H19" s="31">
        <f>IF(H14=H15,0.000000000001,LOG(H14/H15)/LOG(H11/H13))</f>
        <v>-0.3979400086720376</v>
      </c>
      <c r="I19" s="31" t="s">
        <v>339</v>
      </c>
      <c r="J19" s="31"/>
      <c r="K19" s="213"/>
      <c r="L19" s="31"/>
      <c r="M19" s="31"/>
      <c r="N19" s="31"/>
      <c r="O19" s="31"/>
      <c r="P19" s="31"/>
      <c r="Q19" s="31"/>
      <c r="R19" s="31"/>
      <c r="S19" s="31"/>
      <c r="T19" s="31"/>
      <c r="U19" s="31"/>
      <c r="V19" s="31"/>
    </row>
    <row r="20" spans="1:22" x14ac:dyDescent="0.2">
      <c r="A20" s="31"/>
      <c r="B20" s="31" t="s">
        <v>340</v>
      </c>
      <c r="C20" s="31">
        <f>C18*C8^C19</f>
        <v>59.573162338127858</v>
      </c>
      <c r="D20" s="31" t="s">
        <v>43</v>
      </c>
      <c r="E20" s="31"/>
      <c r="F20" s="31"/>
      <c r="G20" s="31" t="s">
        <v>340</v>
      </c>
      <c r="H20" s="31">
        <f>H18*H8^H19</f>
        <v>4.5216525510667829</v>
      </c>
      <c r="I20" s="31"/>
      <c r="J20" s="31"/>
      <c r="K20" s="213"/>
      <c r="L20" s="31"/>
      <c r="M20" s="31"/>
      <c r="N20" s="31"/>
      <c r="O20" s="31"/>
      <c r="P20" s="31"/>
      <c r="Q20" s="31"/>
      <c r="R20" s="31"/>
      <c r="S20" s="31"/>
      <c r="T20" s="31"/>
      <c r="U20" s="31"/>
      <c r="V20" s="31"/>
    </row>
    <row r="21" spans="1:22" x14ac:dyDescent="0.2">
      <c r="A21" s="31"/>
      <c r="B21" s="31"/>
      <c r="C21" s="31"/>
      <c r="D21" s="31"/>
      <c r="E21" s="31"/>
      <c r="F21" s="31"/>
      <c r="G21" s="31"/>
      <c r="H21" s="31"/>
      <c r="I21" s="31"/>
      <c r="J21" s="31"/>
      <c r="K21" s="213"/>
      <c r="L21" s="31"/>
      <c r="M21" s="31"/>
      <c r="N21" s="216"/>
      <c r="O21" s="31"/>
      <c r="P21" s="31"/>
      <c r="Q21" s="31"/>
      <c r="R21" s="31"/>
      <c r="S21" s="31"/>
      <c r="T21" s="31"/>
      <c r="U21" s="31"/>
      <c r="V21" s="31"/>
    </row>
    <row r="22" spans="1:22" x14ac:dyDescent="0.2">
      <c r="A22" s="31"/>
      <c r="B22" s="225" t="s">
        <v>341</v>
      </c>
      <c r="C22" s="31">
        <f>C20*C9</f>
        <v>3097.8044415826485</v>
      </c>
      <c r="D22" s="31"/>
      <c r="E22" s="31"/>
      <c r="F22" s="31"/>
      <c r="G22" s="225" t="s">
        <v>341</v>
      </c>
      <c r="H22" s="31">
        <f>IF(H8&lt;1, H14, H20)*H9</f>
        <v>235.1259326554727</v>
      </c>
      <c r="I22" s="31"/>
      <c r="J22" s="31"/>
      <c r="K22" s="213"/>
      <c r="L22" s="31"/>
      <c r="M22" s="31"/>
      <c r="N22" s="31"/>
      <c r="O22" s="31"/>
      <c r="P22" s="31"/>
      <c r="Q22" s="31"/>
      <c r="R22" s="31"/>
      <c r="S22" s="31"/>
      <c r="T22" s="31"/>
      <c r="U22" s="31"/>
      <c r="V22" s="31"/>
    </row>
    <row r="23" spans="1:22" x14ac:dyDescent="0.2">
      <c r="A23" s="31"/>
      <c r="B23" s="31"/>
      <c r="C23" s="31"/>
      <c r="D23" s="31"/>
      <c r="E23" s="31"/>
      <c r="F23" s="31"/>
      <c r="G23" s="31"/>
      <c r="H23" s="31"/>
      <c r="I23" s="31"/>
      <c r="J23" s="31"/>
      <c r="K23" s="213"/>
      <c r="L23" s="31"/>
      <c r="M23" s="31"/>
      <c r="N23" s="31"/>
      <c r="O23" s="31"/>
      <c r="P23" s="31"/>
      <c r="Q23" s="31"/>
      <c r="R23" s="31"/>
      <c r="S23" s="31"/>
      <c r="T23" s="31"/>
      <c r="U23" s="31"/>
      <c r="V23" s="31"/>
    </row>
    <row r="24" spans="1:22" x14ac:dyDescent="0.2">
      <c r="A24" s="31"/>
      <c r="B24" s="31"/>
      <c r="C24" s="31"/>
      <c r="D24" s="31"/>
      <c r="E24" s="31"/>
      <c r="F24" s="31"/>
      <c r="G24" s="31" t="s">
        <v>342</v>
      </c>
      <c r="H24" s="31" t="str">
        <f>'Design Calculator'!F79</f>
        <v>No</v>
      </c>
      <c r="I24" s="31"/>
      <c r="J24" s="31"/>
      <c r="K24" s="213"/>
      <c r="L24" s="31"/>
      <c r="M24" s="31"/>
      <c r="N24" s="31"/>
      <c r="O24" s="216"/>
      <c r="P24" s="31"/>
      <c r="Q24" s="31"/>
      <c r="R24" s="31"/>
      <c r="S24" s="31"/>
      <c r="T24" s="31"/>
      <c r="U24" s="31"/>
      <c r="V24" s="31"/>
    </row>
    <row r="25" spans="1:22" x14ac:dyDescent="0.2">
      <c r="A25" s="31"/>
      <c r="B25" s="216" t="s">
        <v>343</v>
      </c>
      <c r="C25" s="31">
        <f>(TJMAX-TJ)/(TJMAX-25)</f>
        <v>0.36988888888888899</v>
      </c>
      <c r="D25" s="213"/>
      <c r="E25" s="213"/>
      <c r="F25" s="213"/>
      <c r="G25" s="31" t="s">
        <v>344</v>
      </c>
      <c r="H25" s="31">
        <f>IF(H24="Yes", TJ,TAMB)</f>
        <v>55</v>
      </c>
      <c r="I25" s="31"/>
      <c r="J25" s="31"/>
      <c r="K25" s="213"/>
      <c r="L25" s="31"/>
      <c r="M25" s="31"/>
      <c r="N25" s="31"/>
      <c r="O25" s="216"/>
      <c r="P25" s="31"/>
      <c r="Q25" s="31"/>
      <c r="R25" s="31"/>
      <c r="S25" s="31"/>
      <c r="T25" s="31"/>
      <c r="U25" s="31"/>
      <c r="V25" s="31"/>
    </row>
    <row r="26" spans="1:22" x14ac:dyDescent="0.2">
      <c r="A26" s="31"/>
      <c r="B26" s="225" t="s">
        <v>345</v>
      </c>
      <c r="C26" s="31">
        <f>IF((C22*C25)&lt;0,0.000000001,C22*C25)</f>
        <v>1145.8434428920712</v>
      </c>
      <c r="D26" s="226" t="s">
        <v>56</v>
      </c>
      <c r="E26" s="213"/>
      <c r="F26" s="213"/>
      <c r="G26" s="31"/>
      <c r="H26" s="31"/>
      <c r="I26" s="31"/>
      <c r="J26" s="31"/>
      <c r="K26" s="213"/>
      <c r="L26" s="31"/>
      <c r="M26" s="31"/>
      <c r="N26" s="31"/>
      <c r="O26" s="31"/>
      <c r="P26" s="31"/>
      <c r="Q26" s="31"/>
      <c r="R26" s="31"/>
      <c r="S26" s="31"/>
      <c r="T26" s="31"/>
      <c r="U26" s="31"/>
      <c r="V26" s="31"/>
    </row>
    <row r="27" spans="1:22" x14ac:dyDescent="0.2">
      <c r="A27" s="31"/>
      <c r="B27" s="216"/>
      <c r="C27" s="216"/>
      <c r="D27" s="213"/>
      <c r="E27" s="213"/>
      <c r="F27" s="213"/>
      <c r="G27" s="216" t="s">
        <v>343</v>
      </c>
      <c r="H27" s="31">
        <f>(TJMAX-H25)/(TJMAX-25)</f>
        <v>0.8</v>
      </c>
      <c r="I27" s="31"/>
      <c r="J27" s="31"/>
      <c r="K27" s="213"/>
      <c r="L27" s="31"/>
      <c r="M27" s="31"/>
      <c r="N27" s="31"/>
      <c r="O27" s="31"/>
      <c r="P27" s="31"/>
      <c r="Q27" s="31"/>
      <c r="R27" s="31"/>
      <c r="S27" s="31"/>
      <c r="T27" s="31"/>
      <c r="U27" s="31"/>
      <c r="V27" s="31"/>
    </row>
    <row r="28" spans="1:22" x14ac:dyDescent="0.2">
      <c r="A28" s="31"/>
      <c r="B28" s="216"/>
      <c r="C28" s="31"/>
      <c r="D28" s="213"/>
      <c r="E28" s="213"/>
      <c r="F28" s="213"/>
      <c r="G28" s="225" t="s">
        <v>345</v>
      </c>
      <c r="H28" s="31">
        <f>IF((H22*H27)&lt;0,0.000000001,H22*H27)</f>
        <v>188.10074612437816</v>
      </c>
      <c r="I28" s="31"/>
      <c r="J28" s="31"/>
      <c r="K28" s="213"/>
      <c r="L28" s="31"/>
      <c r="M28" s="31"/>
      <c r="N28" s="31"/>
      <c r="O28" s="31"/>
      <c r="P28" s="31"/>
      <c r="Q28" s="31"/>
      <c r="R28" s="31"/>
      <c r="S28" s="31"/>
      <c r="T28" s="31"/>
      <c r="U28" s="31"/>
      <c r="V28" s="31"/>
    </row>
    <row r="29" spans="1:22" x14ac:dyDescent="0.2">
      <c r="A29" s="31"/>
      <c r="B29" s="216" t="s">
        <v>346</v>
      </c>
      <c r="C29" s="31"/>
      <c r="D29" s="213"/>
      <c r="E29" s="213"/>
      <c r="F29" s="213"/>
      <c r="G29" s="31"/>
      <c r="H29" s="31"/>
      <c r="I29" s="207"/>
      <c r="J29" s="207"/>
      <c r="K29" s="207"/>
      <c r="L29" s="31"/>
      <c r="M29" s="31"/>
      <c r="N29" s="31"/>
      <c r="O29" s="31"/>
      <c r="P29" s="31"/>
      <c r="Q29" s="31"/>
      <c r="R29" s="31"/>
      <c r="S29" s="31"/>
      <c r="T29" s="31"/>
      <c r="U29" s="31"/>
      <c r="V29" s="31"/>
    </row>
    <row r="30" spans="1:22" x14ac:dyDescent="0.2">
      <c r="A30" s="31"/>
      <c r="B30" s="31"/>
      <c r="C30" s="206" t="s">
        <v>347</v>
      </c>
      <c r="D30" s="227" t="s">
        <v>348</v>
      </c>
      <c r="E30" s="227" t="s">
        <v>349</v>
      </c>
      <c r="F30" s="227" t="s">
        <v>350</v>
      </c>
      <c r="G30" s="213"/>
      <c r="H30" s="31"/>
      <c r="I30" s="207"/>
      <c r="J30" s="207"/>
      <c r="K30" s="207"/>
      <c r="L30" s="31"/>
      <c r="M30" s="31"/>
      <c r="N30" s="31"/>
      <c r="O30" s="31"/>
      <c r="P30" s="31"/>
      <c r="Q30" s="31"/>
      <c r="R30" s="31"/>
      <c r="S30" s="31"/>
      <c r="T30" s="31"/>
      <c r="U30" s="31"/>
      <c r="V30" s="31"/>
    </row>
    <row r="31" spans="1:22" x14ac:dyDescent="0.2">
      <c r="A31" s="31"/>
      <c r="B31" s="216" t="s">
        <v>351</v>
      </c>
      <c r="C31" s="216">
        <v>0.1</v>
      </c>
      <c r="D31" s="216">
        <v>1</v>
      </c>
      <c r="E31" s="213">
        <v>10</v>
      </c>
      <c r="F31" s="216">
        <v>100</v>
      </c>
      <c r="G31" s="223"/>
      <c r="H31" s="31"/>
      <c r="I31" s="31"/>
      <c r="J31" s="31"/>
      <c r="K31" s="31"/>
      <c r="L31" s="31"/>
      <c r="M31" s="31"/>
      <c r="N31" s="31"/>
      <c r="O31" s="31"/>
      <c r="P31" s="31"/>
      <c r="Q31" s="31"/>
      <c r="R31" s="31"/>
      <c r="S31" s="31"/>
      <c r="T31" s="31"/>
      <c r="U31" s="31"/>
      <c r="V31" s="31"/>
    </row>
    <row r="32" spans="1:22" x14ac:dyDescent="0.2">
      <c r="A32" s="31"/>
      <c r="B32" s="216" t="s">
        <v>352</v>
      </c>
      <c r="C32" s="216">
        <v>1</v>
      </c>
      <c r="D32" s="216">
        <v>10</v>
      </c>
      <c r="E32" s="213">
        <v>100</v>
      </c>
      <c r="F32" s="216">
        <v>1000</v>
      </c>
      <c r="G32" s="225"/>
      <c r="H32" s="31"/>
      <c r="I32" s="31"/>
      <c r="J32" s="31"/>
      <c r="K32" s="31"/>
      <c r="L32" s="31"/>
      <c r="M32" s="31"/>
      <c r="N32" s="31"/>
      <c r="O32" s="31"/>
      <c r="P32" s="31"/>
      <c r="Q32" s="31"/>
      <c r="R32" s="31"/>
      <c r="S32" s="31"/>
      <c r="T32" s="31"/>
      <c r="U32" s="31"/>
      <c r="V32" s="31"/>
    </row>
    <row r="33" spans="2:22" x14ac:dyDescent="0.2">
      <c r="B33" s="216" t="s">
        <v>337</v>
      </c>
      <c r="C33" s="216">
        <f>B4/(C31^C34)</f>
        <v>30</v>
      </c>
      <c r="D33" s="216">
        <f>C4/(D31^D34)</f>
        <v>30</v>
      </c>
      <c r="E33" s="216">
        <f>IF('Design Calculator'!F59="NA",D33,D4/(E31^E34))</f>
        <v>28.800000000000004</v>
      </c>
      <c r="F33" s="216">
        <f>IF('Design Calculator'!F59="NA", E33, E4/(F31^F34))</f>
        <v>31.250000000000004</v>
      </c>
      <c r="G33" s="31"/>
      <c r="H33" s="31"/>
      <c r="I33" s="31"/>
      <c r="J33" s="31"/>
      <c r="K33" s="31"/>
      <c r="L33" s="31"/>
      <c r="M33" s="31"/>
      <c r="N33" s="31"/>
      <c r="O33" s="31"/>
      <c r="P33" s="31"/>
      <c r="Q33" s="31"/>
      <c r="R33" s="31"/>
      <c r="S33" s="31"/>
      <c r="T33" s="31"/>
      <c r="U33" s="31"/>
      <c r="V33" s="31"/>
    </row>
    <row r="34" spans="2:22" x14ac:dyDescent="0.2">
      <c r="B34" s="216" t="s">
        <v>338</v>
      </c>
      <c r="C34" s="213">
        <f>LOG(B4/C4)/LOG(C31/C32)</f>
        <v>-0.6020599913279624</v>
      </c>
      <c r="D34" s="213">
        <f>LOG(C4/D4)/LOG(D31/D32)</f>
        <v>-0.3979400086720376</v>
      </c>
      <c r="E34" s="213">
        <f>IF('Design Calculator'!F59="NA", D34, LOG(D4/E4)/LOG(E31/E32))</f>
        <v>-0.38021124171160603</v>
      </c>
      <c r="F34" s="213">
        <f>IF('Design Calculator'!F59="NA",E34,LOG(E4/F4)/LOG(F31/F32))</f>
        <v>-0.3979400086720376</v>
      </c>
      <c r="G34" s="31"/>
      <c r="H34" s="31"/>
      <c r="I34" s="31"/>
      <c r="J34" s="31"/>
      <c r="K34" s="31"/>
      <c r="L34" s="31"/>
      <c r="M34" s="31"/>
      <c r="N34" s="31"/>
      <c r="O34" s="31"/>
      <c r="P34" s="31"/>
      <c r="Q34" s="31"/>
      <c r="R34" s="31"/>
      <c r="S34" s="31"/>
      <c r="T34" s="31"/>
      <c r="U34" s="31"/>
      <c r="V34" s="31"/>
    </row>
    <row r="35" spans="2:22" x14ac:dyDescent="0.2">
      <c r="B35" s="31"/>
      <c r="C35" s="31"/>
      <c r="D35" s="31"/>
      <c r="E35" s="213"/>
      <c r="F35" s="31"/>
      <c r="G35" s="31"/>
      <c r="H35" s="31"/>
      <c r="I35" s="31"/>
      <c r="J35" s="31"/>
      <c r="K35" s="31"/>
      <c r="L35" s="31"/>
      <c r="M35" s="31"/>
      <c r="N35" s="31"/>
      <c r="O35" s="31"/>
      <c r="P35" s="31"/>
      <c r="Q35" s="31"/>
      <c r="R35" s="31"/>
      <c r="S35" s="31"/>
      <c r="T35" s="31"/>
      <c r="U35" s="31"/>
      <c r="V35" s="31"/>
    </row>
    <row r="36" spans="2:22" x14ac:dyDescent="0.2">
      <c r="B36" s="228" t="s">
        <v>353</v>
      </c>
      <c r="D36" s="31"/>
      <c r="E36" s="213"/>
      <c r="F36" s="31"/>
      <c r="G36" s="31"/>
      <c r="H36" s="31"/>
      <c r="I36" s="31"/>
      <c r="J36" s="31"/>
      <c r="K36" s="31"/>
      <c r="L36" s="31"/>
      <c r="M36" s="31"/>
      <c r="N36" s="31"/>
      <c r="O36" s="31"/>
      <c r="P36" s="31"/>
      <c r="Q36" s="31"/>
      <c r="R36" s="31"/>
      <c r="S36" s="31"/>
      <c r="T36" s="31"/>
      <c r="U36" s="31"/>
      <c r="V36" s="31"/>
    </row>
    <row r="37" spans="2:22" ht="14.25" x14ac:dyDescent="0.25">
      <c r="B37" s="229" t="s">
        <v>354</v>
      </c>
      <c r="C37" s="230" t="s">
        <v>355</v>
      </c>
      <c r="D37" s="31"/>
      <c r="E37" s="213"/>
      <c r="F37" s="31"/>
      <c r="G37" s="31"/>
      <c r="H37" s="31"/>
      <c r="I37" s="31"/>
      <c r="J37" s="31"/>
      <c r="K37" s="31"/>
      <c r="L37" s="31"/>
      <c r="M37" s="31"/>
      <c r="N37" s="31"/>
      <c r="O37" s="31"/>
      <c r="P37" s="31"/>
      <c r="Q37" s="31"/>
      <c r="R37" s="31"/>
      <c r="S37" s="31"/>
      <c r="T37" s="31"/>
      <c r="U37" s="31"/>
      <c r="V37" s="31"/>
    </row>
    <row r="38" spans="2:22" x14ac:dyDescent="0.2">
      <c r="B38" s="231" t="s">
        <v>356</v>
      </c>
      <c r="C38" s="232" t="s">
        <v>357</v>
      </c>
      <c r="D38" s="31"/>
      <c r="E38" s="213"/>
      <c r="F38" s="31"/>
      <c r="G38" s="31"/>
      <c r="H38" s="31"/>
      <c r="I38" s="31"/>
      <c r="J38" s="31"/>
      <c r="K38" s="31"/>
      <c r="L38" s="31"/>
      <c r="M38" s="31"/>
      <c r="N38" s="31"/>
      <c r="O38" s="31"/>
      <c r="P38" s="31"/>
      <c r="Q38" s="31"/>
      <c r="R38" s="31"/>
      <c r="S38" s="31"/>
      <c r="T38" s="31"/>
      <c r="U38" s="31"/>
      <c r="V38" s="31"/>
    </row>
    <row r="39" spans="2:22" x14ac:dyDescent="0.2">
      <c r="B39" s="233">
        <v>1</v>
      </c>
      <c r="C39" s="234">
        <f>SOA!$C$26/B39</f>
        <v>1145.8434428920712</v>
      </c>
      <c r="D39" s="31"/>
      <c r="E39" s="213"/>
      <c r="F39" s="31"/>
      <c r="G39" s="31"/>
      <c r="H39" s="31"/>
      <c r="I39" s="31"/>
      <c r="J39" s="31"/>
      <c r="K39" s="31"/>
      <c r="L39" s="31"/>
      <c r="M39" s="31"/>
      <c r="N39" s="31"/>
      <c r="O39" s="31"/>
      <c r="P39" s="31"/>
      <c r="Q39" s="31"/>
      <c r="R39" s="31"/>
      <c r="S39" s="31"/>
      <c r="T39" s="31"/>
      <c r="U39" s="31"/>
      <c r="V39" s="31"/>
    </row>
    <row r="40" spans="2:22" x14ac:dyDescent="0.2">
      <c r="B40" s="233">
        <v>1.2</v>
      </c>
      <c r="C40" s="234">
        <f>SOA!$C$26/B40</f>
        <v>954.8695357433927</v>
      </c>
      <c r="D40" s="31"/>
      <c r="E40" s="213"/>
      <c r="F40" s="31"/>
      <c r="G40" s="31"/>
      <c r="H40" s="31"/>
      <c r="I40" s="31"/>
      <c r="J40" s="31"/>
      <c r="K40" s="31"/>
      <c r="L40" s="31"/>
      <c r="M40" s="31"/>
      <c r="N40" s="31"/>
      <c r="O40" s="31"/>
      <c r="P40" s="31"/>
      <c r="Q40" s="31"/>
      <c r="R40" s="31"/>
      <c r="S40" s="31"/>
      <c r="T40" s="31"/>
      <c r="U40" s="31"/>
      <c r="V40" s="31"/>
    </row>
    <row r="41" spans="2:22" x14ac:dyDescent="0.2">
      <c r="B41" s="233">
        <v>30</v>
      </c>
      <c r="C41" s="234">
        <f>SOA!$C$26/B41</f>
        <v>38.194781429735706</v>
      </c>
      <c r="D41" s="31"/>
      <c r="E41" s="213"/>
      <c r="F41" s="31"/>
      <c r="G41" s="31"/>
      <c r="H41" s="31"/>
      <c r="I41" s="31"/>
      <c r="J41" s="31"/>
      <c r="K41" s="31"/>
      <c r="L41" s="31"/>
      <c r="M41" s="31"/>
      <c r="N41" s="31"/>
      <c r="O41" s="31"/>
      <c r="P41" s="31"/>
      <c r="Q41" s="31"/>
      <c r="R41" s="31"/>
      <c r="S41" s="31"/>
      <c r="T41" s="31"/>
      <c r="U41" s="31"/>
      <c r="V41" s="31"/>
    </row>
    <row r="42" spans="2:22" x14ac:dyDescent="0.2">
      <c r="B42" s="233"/>
      <c r="C42" s="234"/>
      <c r="D42" s="31"/>
      <c r="E42" s="213"/>
      <c r="F42" s="31"/>
      <c r="G42" s="31"/>
      <c r="H42" s="31"/>
      <c r="I42" s="31"/>
      <c r="J42" s="31"/>
      <c r="K42" s="31"/>
      <c r="L42" s="31"/>
      <c r="M42" s="31"/>
      <c r="N42" s="31"/>
      <c r="O42" s="31"/>
      <c r="P42" s="31"/>
      <c r="Q42" s="31"/>
      <c r="R42" s="31"/>
      <c r="S42" s="31"/>
      <c r="T42" s="31"/>
      <c r="U42" s="31"/>
      <c r="V42" s="31"/>
    </row>
    <row r="43" spans="2:22" x14ac:dyDescent="0.2">
      <c r="B43" s="235"/>
      <c r="C43" s="236"/>
      <c r="D43" s="31"/>
      <c r="E43" s="213"/>
      <c r="F43" s="31"/>
      <c r="G43" s="31"/>
      <c r="H43" s="31"/>
      <c r="I43" s="31"/>
      <c r="J43" s="31"/>
      <c r="K43" s="31"/>
      <c r="L43" s="31"/>
      <c r="M43" s="31"/>
      <c r="N43" s="31"/>
      <c r="O43" s="31"/>
      <c r="P43" s="31"/>
      <c r="Q43" s="31"/>
      <c r="R43" s="31"/>
      <c r="S43" s="31"/>
      <c r="T43" s="31"/>
      <c r="U43" s="31"/>
      <c r="V43" s="31"/>
    </row>
    <row r="44" spans="2:22" x14ac:dyDescent="0.2">
      <c r="B44" s="31"/>
      <c r="C44" s="31"/>
      <c r="D44" s="31"/>
      <c r="E44" s="213"/>
      <c r="F44" s="31"/>
      <c r="G44" s="31"/>
      <c r="H44" s="31"/>
      <c r="I44" s="31"/>
      <c r="J44" s="31"/>
      <c r="K44" s="31"/>
      <c r="L44" s="31"/>
      <c r="M44" s="31"/>
      <c r="N44" s="31"/>
      <c r="O44" s="31"/>
      <c r="P44" s="31"/>
      <c r="Q44" s="31"/>
      <c r="R44" s="31"/>
      <c r="S44" s="31"/>
      <c r="T44" s="31"/>
      <c r="U44" s="31"/>
      <c r="V44" s="31"/>
    </row>
    <row r="45" spans="2:22" x14ac:dyDescent="0.2">
      <c r="B45" s="31"/>
      <c r="C45" s="31"/>
      <c r="D45" s="31"/>
      <c r="E45" s="213"/>
      <c r="F45" s="31"/>
      <c r="G45" s="31"/>
      <c r="H45" s="31"/>
      <c r="I45" s="31"/>
      <c r="J45" s="31"/>
      <c r="K45" s="31"/>
      <c r="L45" s="31"/>
      <c r="M45" s="31"/>
      <c r="N45" s="31"/>
      <c r="O45" s="31"/>
      <c r="P45" s="31"/>
      <c r="Q45" s="31"/>
      <c r="R45" s="31"/>
      <c r="S45" s="31"/>
      <c r="T45" s="31"/>
      <c r="U45" s="31"/>
      <c r="V45" s="31"/>
    </row>
    <row r="46" spans="2:22" x14ac:dyDescent="0.2">
      <c r="B46" s="31"/>
      <c r="C46" s="31"/>
      <c r="D46" s="31"/>
      <c r="E46" s="213"/>
      <c r="F46" s="31"/>
      <c r="G46" s="225"/>
      <c r="H46" s="31"/>
      <c r="I46" s="31"/>
      <c r="J46" s="31"/>
      <c r="K46" s="31"/>
      <c r="L46" s="31"/>
      <c r="M46" s="31"/>
      <c r="N46" s="31"/>
      <c r="O46" s="31"/>
      <c r="P46" s="31"/>
      <c r="Q46" s="31"/>
      <c r="R46" s="31"/>
      <c r="S46" s="31"/>
      <c r="T46" s="31"/>
      <c r="U46" s="31"/>
      <c r="V46" s="31"/>
    </row>
    <row r="47" spans="2:22" x14ac:dyDescent="0.2">
      <c r="B47" s="31"/>
      <c r="C47" s="31"/>
      <c r="D47" s="31"/>
      <c r="E47" s="213"/>
      <c r="F47" s="31"/>
      <c r="G47" s="31"/>
      <c r="H47" s="31"/>
      <c r="I47" s="31"/>
      <c r="J47" s="31"/>
      <c r="K47" s="31"/>
      <c r="L47" s="31"/>
      <c r="M47" s="31"/>
      <c r="N47" s="31"/>
      <c r="O47" s="31"/>
      <c r="P47" s="31"/>
      <c r="Q47" s="31"/>
      <c r="R47" s="31"/>
      <c r="S47" s="31"/>
      <c r="T47" s="31"/>
      <c r="U47" s="31"/>
      <c r="V47" s="31"/>
    </row>
    <row r="48" spans="2:22" x14ac:dyDescent="0.2">
      <c r="B48" s="31"/>
      <c r="C48" s="31"/>
      <c r="D48" s="31"/>
      <c r="E48" s="213"/>
      <c r="F48" s="31"/>
      <c r="G48" s="31"/>
      <c r="H48" s="31"/>
      <c r="I48" s="31"/>
      <c r="J48" s="31"/>
      <c r="K48" s="31"/>
      <c r="L48" s="31"/>
      <c r="M48" s="31"/>
      <c r="N48" s="31"/>
      <c r="O48" s="31"/>
      <c r="P48" s="31"/>
      <c r="Q48" s="31"/>
      <c r="R48" s="31"/>
      <c r="S48" s="31"/>
      <c r="T48" s="31"/>
      <c r="U48" s="31"/>
      <c r="V48" s="31"/>
    </row>
    <row r="49" spans="1:22" x14ac:dyDescent="0.2">
      <c r="A49" s="31"/>
      <c r="B49" s="31"/>
      <c r="C49" s="31"/>
      <c r="D49" s="31"/>
      <c r="E49" s="213"/>
      <c r="F49" s="31"/>
      <c r="G49" s="216"/>
      <c r="H49" s="31"/>
      <c r="I49" s="31"/>
      <c r="J49" s="31"/>
      <c r="K49" s="31"/>
      <c r="L49" s="31"/>
      <c r="M49" s="31"/>
      <c r="N49" s="31"/>
      <c r="O49" s="31"/>
      <c r="P49" s="31"/>
      <c r="Q49" s="31"/>
      <c r="R49" s="31"/>
      <c r="S49" s="31"/>
      <c r="T49" s="31"/>
      <c r="U49" s="31"/>
      <c r="V49" s="31"/>
    </row>
    <row r="50" spans="1:22" x14ac:dyDescent="0.2">
      <c r="A50" s="31"/>
      <c r="B50" s="31"/>
      <c r="C50" s="31"/>
      <c r="D50" s="31"/>
      <c r="E50" s="213"/>
      <c r="F50" s="31"/>
      <c r="G50" s="225"/>
      <c r="H50" s="31"/>
      <c r="I50" s="31"/>
      <c r="J50" s="31"/>
      <c r="K50" s="31"/>
      <c r="L50" s="31"/>
      <c r="M50" s="31"/>
      <c r="N50" s="31"/>
      <c r="O50" s="31"/>
      <c r="P50" s="31"/>
      <c r="Q50" s="31"/>
      <c r="R50" s="31"/>
      <c r="S50" s="31"/>
      <c r="T50" s="31"/>
      <c r="U50" s="31"/>
      <c r="V50" s="31"/>
    </row>
    <row r="51" spans="1:22" x14ac:dyDescent="0.2">
      <c r="A51" s="31"/>
      <c r="B51" s="31"/>
      <c r="C51" s="31"/>
      <c r="D51" s="31"/>
      <c r="E51" s="213"/>
      <c r="F51" s="213"/>
      <c r="G51" s="213"/>
      <c r="H51" s="31"/>
      <c r="I51" s="31"/>
      <c r="J51" s="31"/>
      <c r="K51" s="31"/>
      <c r="L51" s="31"/>
      <c r="M51" s="31"/>
      <c r="N51" s="31"/>
      <c r="O51" s="31"/>
      <c r="P51" s="31"/>
      <c r="Q51" s="31"/>
      <c r="R51" s="31"/>
      <c r="S51" s="31"/>
      <c r="T51" s="31"/>
      <c r="U51" s="31"/>
      <c r="V51" s="31"/>
    </row>
    <row r="52" spans="1:22" x14ac:dyDescent="0.2">
      <c r="A52" s="31"/>
      <c r="B52" s="31"/>
      <c r="C52" s="31"/>
      <c r="D52" s="31"/>
      <c r="E52" s="213"/>
      <c r="F52" s="213"/>
      <c r="G52" s="213"/>
      <c r="H52" s="31"/>
      <c r="I52" s="31"/>
      <c r="J52" s="31"/>
      <c r="K52" s="31"/>
      <c r="L52" s="31"/>
      <c r="M52" s="31"/>
      <c r="N52" s="31"/>
      <c r="O52" s="31"/>
      <c r="P52" s="31"/>
      <c r="Q52" s="31"/>
      <c r="R52" s="31"/>
      <c r="S52" s="31"/>
      <c r="T52" s="31"/>
      <c r="U52" s="31"/>
      <c r="V52" s="31"/>
    </row>
    <row r="53" spans="1:22" x14ac:dyDescent="0.2">
      <c r="A53" s="31"/>
      <c r="B53" s="31"/>
      <c r="C53" s="216"/>
      <c r="D53" s="213"/>
      <c r="E53" s="213"/>
      <c r="F53" s="213"/>
      <c r="G53" s="213"/>
      <c r="H53" s="31"/>
      <c r="I53" s="31"/>
      <c r="J53" s="31"/>
      <c r="K53" s="31"/>
      <c r="L53" s="31"/>
      <c r="M53" s="31"/>
      <c r="N53" s="31"/>
      <c r="O53" s="31"/>
      <c r="P53" s="31"/>
      <c r="Q53" s="31"/>
      <c r="R53" s="31"/>
      <c r="S53" s="31"/>
      <c r="T53" s="31"/>
      <c r="U53" s="31"/>
      <c r="V53" s="31"/>
    </row>
    <row r="54" spans="1:22" x14ac:dyDescent="0.2">
      <c r="A54" s="31"/>
      <c r="B54" s="31"/>
      <c r="C54" s="216"/>
      <c r="D54" s="213"/>
      <c r="E54" s="213"/>
      <c r="F54" s="213"/>
      <c r="G54" s="213"/>
      <c r="H54" s="31"/>
      <c r="I54" s="31"/>
      <c r="J54" s="31"/>
      <c r="K54" s="31"/>
      <c r="L54" s="31"/>
      <c r="M54" s="31"/>
      <c r="N54" s="31"/>
      <c r="O54" s="31"/>
      <c r="P54" s="31"/>
      <c r="Q54" s="31"/>
      <c r="R54" s="31"/>
      <c r="S54" s="31"/>
      <c r="T54" s="31"/>
      <c r="U54" s="31"/>
      <c r="V54" s="31"/>
    </row>
    <row r="55" spans="1:22" x14ac:dyDescent="0.2">
      <c r="A55" s="31"/>
      <c r="B55" s="31"/>
      <c r="C55" s="216"/>
      <c r="D55" s="213"/>
      <c r="E55" s="213"/>
      <c r="F55" s="213"/>
      <c r="G55" s="213"/>
      <c r="H55" s="31"/>
      <c r="I55" s="31"/>
      <c r="J55" s="31"/>
      <c r="K55" s="31"/>
      <c r="L55" s="31"/>
      <c r="M55" s="31"/>
      <c r="N55" s="31"/>
      <c r="O55" s="31"/>
      <c r="P55" s="31"/>
      <c r="Q55" s="31"/>
      <c r="R55" s="31"/>
      <c r="S55" s="31"/>
      <c r="T55" s="31"/>
      <c r="U55" s="31"/>
      <c r="V55" s="31"/>
    </row>
    <row r="56" spans="1:22" x14ac:dyDescent="0.2">
      <c r="A56" s="31"/>
      <c r="B56" s="31"/>
      <c r="C56" s="216"/>
      <c r="D56" s="213"/>
      <c r="E56" s="213"/>
      <c r="F56" s="213"/>
      <c r="G56" s="213"/>
      <c r="H56" s="31"/>
      <c r="I56" s="31"/>
      <c r="J56" s="31"/>
      <c r="K56" s="31"/>
      <c r="L56" s="31"/>
      <c r="M56" s="31"/>
      <c r="N56" s="31"/>
      <c r="O56" s="31"/>
      <c r="P56" s="31"/>
      <c r="Q56" s="31"/>
      <c r="R56" s="31"/>
      <c r="S56" s="31"/>
      <c r="T56" s="31"/>
      <c r="U56" s="31"/>
      <c r="V56" s="31"/>
    </row>
    <row r="57" spans="1:22" x14ac:dyDescent="0.2">
      <c r="A57" s="31"/>
      <c r="B57" s="31"/>
      <c r="C57" s="216"/>
      <c r="D57" s="213"/>
      <c r="E57" s="213"/>
      <c r="F57" s="213"/>
      <c r="G57" s="213"/>
      <c r="H57" s="31"/>
      <c r="I57" s="31"/>
      <c r="J57" s="31"/>
      <c r="K57" s="31"/>
      <c r="L57" s="31"/>
      <c r="M57" s="31"/>
      <c r="N57" s="31"/>
      <c r="O57" s="31"/>
      <c r="P57" s="31"/>
      <c r="Q57" s="31"/>
      <c r="R57" s="31"/>
      <c r="S57" s="31"/>
      <c r="T57" s="31"/>
      <c r="U57" s="31"/>
      <c r="V57" s="31"/>
    </row>
    <row r="58" spans="1:22" x14ac:dyDescent="0.2">
      <c r="A58" s="31"/>
      <c r="B58" s="31"/>
      <c r="C58" s="216"/>
      <c r="D58" s="213"/>
      <c r="E58" s="213"/>
      <c r="F58" s="213"/>
      <c r="G58" s="213"/>
      <c r="H58" s="31"/>
      <c r="I58" s="31"/>
      <c r="J58" s="31"/>
      <c r="K58" s="31"/>
      <c r="L58" s="31"/>
      <c r="M58" s="31"/>
      <c r="N58" s="31"/>
      <c r="O58" s="31"/>
      <c r="P58" s="31"/>
      <c r="Q58" s="31"/>
      <c r="R58" s="31"/>
      <c r="S58" s="31"/>
      <c r="T58" s="31"/>
      <c r="U58" s="31"/>
      <c r="V58" s="31"/>
    </row>
    <row r="59" spans="1:22" x14ac:dyDescent="0.2">
      <c r="A59" s="31"/>
      <c r="B59" s="31"/>
      <c r="C59" s="216"/>
      <c r="D59" s="213"/>
      <c r="E59" s="213"/>
      <c r="F59" s="213"/>
      <c r="G59" s="213"/>
      <c r="H59" s="31"/>
      <c r="I59" s="31"/>
      <c r="J59" s="31"/>
      <c r="K59" s="31"/>
      <c r="L59" s="31"/>
      <c r="M59" s="31"/>
      <c r="N59" s="31"/>
      <c r="O59" s="31"/>
      <c r="P59" s="31"/>
      <c r="Q59" s="31"/>
      <c r="R59" s="31"/>
      <c r="S59" s="31"/>
      <c r="T59" s="31"/>
      <c r="U59" s="31"/>
      <c r="V59" s="31"/>
    </row>
    <row r="60" spans="1:22" x14ac:dyDescent="0.2">
      <c r="A60" s="31"/>
      <c r="B60" s="31"/>
      <c r="C60" s="216"/>
      <c r="D60" s="213"/>
      <c r="E60" s="213"/>
      <c r="F60" s="213"/>
      <c r="G60" s="213"/>
      <c r="H60" s="31"/>
      <c r="I60" s="31"/>
      <c r="J60" s="31"/>
      <c r="K60" s="31"/>
      <c r="L60" s="31"/>
      <c r="M60" s="31"/>
      <c r="N60" s="31"/>
      <c r="O60" s="31"/>
      <c r="P60" s="31"/>
      <c r="Q60" s="31"/>
      <c r="R60" s="31"/>
      <c r="S60" s="31"/>
      <c r="T60" s="31"/>
      <c r="U60" s="31"/>
      <c r="V60" s="31"/>
    </row>
    <row r="61" spans="1:22" x14ac:dyDescent="0.2">
      <c r="A61" s="31"/>
      <c r="B61" s="31"/>
      <c r="C61" s="216"/>
      <c r="D61" s="213"/>
      <c r="E61" s="213"/>
      <c r="F61" s="213"/>
      <c r="G61" s="213"/>
      <c r="H61" s="31"/>
      <c r="I61" s="31"/>
      <c r="J61" s="31"/>
      <c r="K61" s="31"/>
      <c r="L61" s="31"/>
      <c r="M61" s="31"/>
      <c r="N61" s="31"/>
      <c r="O61" s="31"/>
      <c r="P61" s="31"/>
      <c r="Q61" s="31"/>
      <c r="R61" s="31"/>
      <c r="S61" s="31"/>
      <c r="T61" s="31"/>
      <c r="U61" s="31"/>
      <c r="V61" s="31"/>
    </row>
    <row r="62" spans="1:22" x14ac:dyDescent="0.2">
      <c r="A62" s="31"/>
      <c r="B62" s="31"/>
      <c r="C62" s="216"/>
      <c r="D62" s="213"/>
      <c r="E62" s="213"/>
      <c r="F62" s="213"/>
      <c r="G62" s="213"/>
      <c r="H62" s="31"/>
      <c r="I62" s="31"/>
      <c r="J62" s="31"/>
      <c r="K62" s="31"/>
      <c r="L62" s="31"/>
      <c r="M62" s="31"/>
      <c r="N62" s="31"/>
      <c r="O62" s="31"/>
      <c r="P62" s="31"/>
      <c r="Q62" s="31"/>
      <c r="R62" s="31"/>
      <c r="S62" s="31"/>
      <c r="T62" s="31"/>
      <c r="U62" s="31"/>
      <c r="V62" s="31"/>
    </row>
    <row r="63" spans="1:22" x14ac:dyDescent="0.2">
      <c r="A63" s="31"/>
      <c r="B63" s="31"/>
      <c r="C63" s="216"/>
      <c r="D63" s="213"/>
      <c r="E63" s="213"/>
      <c r="F63" s="213"/>
      <c r="G63" s="213"/>
      <c r="H63" s="31"/>
      <c r="I63" s="31"/>
      <c r="J63" s="31"/>
      <c r="K63" s="31"/>
      <c r="L63" s="31"/>
      <c r="M63" s="31"/>
      <c r="N63" s="31"/>
      <c r="O63" s="31"/>
      <c r="P63" s="31"/>
      <c r="Q63" s="31"/>
      <c r="R63" s="31"/>
      <c r="S63" s="31"/>
      <c r="T63" s="31"/>
      <c r="U63" s="31"/>
      <c r="V63" s="31"/>
    </row>
    <row r="64" spans="1:22" x14ac:dyDescent="0.2">
      <c r="A64" s="31"/>
      <c r="B64" s="31"/>
      <c r="C64" s="216"/>
      <c r="D64" s="213"/>
      <c r="E64" s="213"/>
      <c r="F64" s="213"/>
      <c r="G64" s="213"/>
      <c r="H64" s="31"/>
      <c r="I64" s="31"/>
      <c r="J64" s="31"/>
      <c r="K64" s="31"/>
      <c r="L64" s="31"/>
      <c r="M64" s="31"/>
      <c r="N64" s="31"/>
      <c r="O64" s="31"/>
      <c r="P64" s="31"/>
      <c r="Q64" s="31"/>
      <c r="R64" s="31"/>
      <c r="S64" s="31"/>
      <c r="T64" s="31"/>
      <c r="U64" s="31"/>
      <c r="V64" s="31"/>
    </row>
    <row r="65" spans="1:7" x14ac:dyDescent="0.2">
      <c r="A65" s="31"/>
      <c r="B65" s="31"/>
      <c r="C65" s="216"/>
      <c r="D65" s="213"/>
      <c r="E65" s="213"/>
      <c r="F65" s="213"/>
      <c r="G65" s="213"/>
    </row>
    <row r="66" spans="1:7" x14ac:dyDescent="0.2">
      <c r="A66" s="31"/>
      <c r="B66" s="31"/>
      <c r="C66" s="216"/>
      <c r="D66" s="213"/>
      <c r="E66" s="213"/>
      <c r="F66" s="213"/>
      <c r="G66" s="213"/>
    </row>
    <row r="67" spans="1:7" x14ac:dyDescent="0.2">
      <c r="A67" s="31"/>
      <c r="B67" s="31"/>
      <c r="C67" s="216"/>
      <c r="D67" s="213"/>
      <c r="E67" s="213"/>
      <c r="F67" s="213"/>
      <c r="G67" s="213"/>
    </row>
    <row r="68" spans="1:7" x14ac:dyDescent="0.2">
      <c r="A68" s="31"/>
      <c r="B68" s="31"/>
      <c r="C68" s="216"/>
      <c r="D68" s="213"/>
      <c r="E68" s="213"/>
      <c r="F68" s="213"/>
      <c r="G68" s="213"/>
    </row>
    <row r="69" spans="1:7" x14ac:dyDescent="0.2">
      <c r="A69" s="31"/>
      <c r="B69" s="31"/>
      <c r="C69" s="216"/>
      <c r="D69" s="213"/>
      <c r="E69" s="213"/>
      <c r="F69" s="213"/>
      <c r="G69" s="213"/>
    </row>
    <row r="70" spans="1:7" x14ac:dyDescent="0.2">
      <c r="A70" s="31"/>
      <c r="B70" s="31"/>
      <c r="C70" s="31"/>
      <c r="D70" s="31"/>
      <c r="E70" s="31"/>
      <c r="F70" s="31"/>
      <c r="G70" s="31"/>
    </row>
  </sheetData>
  <mergeCells count="3">
    <mergeCell ref="C2:E2"/>
    <mergeCell ref="N5:P5"/>
    <mergeCell ref="R5:T5"/>
  </mergeCells>
  <pageMargins left="0.7" right="0.7" top="0.75" bottom="0.75" header="0.51180555555555496" footer="0.51180555555555496"/>
  <pageSetup firstPageNumber="0" orientation="portrait" horizontalDpi="300" verticalDpi="30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5:Y61"/>
  <sheetViews>
    <sheetView topLeftCell="A21" zoomScale="85" zoomScaleNormal="85" workbookViewId="0">
      <selection activeCell="M21" sqref="M21"/>
    </sheetView>
  </sheetViews>
  <sheetFormatPr defaultColWidth="8.7109375" defaultRowHeight="12.75" x14ac:dyDescent="0.2"/>
  <cols>
    <col min="4" max="4" width="37.42578125" customWidth="1"/>
    <col min="5" max="5" width="15.7109375" customWidth="1"/>
    <col min="9" max="9" width="13.28515625" customWidth="1"/>
    <col min="10" max="10" width="11.7109375" customWidth="1"/>
    <col min="11" max="11" width="11.42578125" customWidth="1"/>
    <col min="12" max="12" width="15" customWidth="1"/>
    <col min="13" max="13" width="13.7109375" customWidth="1"/>
  </cols>
  <sheetData>
    <row r="5" spans="3:4" x14ac:dyDescent="0.2">
      <c r="C5" s="31" t="s">
        <v>358</v>
      </c>
      <c r="D5" s="31"/>
    </row>
    <row r="7" spans="3:4" x14ac:dyDescent="0.2">
      <c r="C7" s="31" t="s">
        <v>359</v>
      </c>
      <c r="D7" s="31"/>
    </row>
    <row r="8" spans="3:4" x14ac:dyDescent="0.2">
      <c r="C8" s="31" t="s">
        <v>360</v>
      </c>
      <c r="D8" s="31"/>
    </row>
    <row r="10" spans="3:4" x14ac:dyDescent="0.2">
      <c r="C10" s="31" t="s">
        <v>361</v>
      </c>
      <c r="D10" s="31"/>
    </row>
    <row r="11" spans="3:4" x14ac:dyDescent="0.2">
      <c r="C11" s="31" t="s">
        <v>362</v>
      </c>
      <c r="D11" s="31"/>
    </row>
    <row r="12" spans="3:4" x14ac:dyDescent="0.2">
      <c r="C12" s="31" t="s">
        <v>363</v>
      </c>
      <c r="D12" s="31"/>
    </row>
    <row r="13" spans="3:4" x14ac:dyDescent="0.2">
      <c r="C13" s="31" t="s">
        <v>364</v>
      </c>
      <c r="D13" s="31"/>
    </row>
    <row r="14" spans="3:4" x14ac:dyDescent="0.2">
      <c r="C14" s="31" t="s">
        <v>365</v>
      </c>
      <c r="D14" s="31" t="s">
        <v>366</v>
      </c>
    </row>
    <row r="15" spans="3:4" ht="12" customHeight="1" x14ac:dyDescent="0.2">
      <c r="C15" s="31"/>
      <c r="D15" s="31" t="s">
        <v>367</v>
      </c>
    </row>
    <row r="16" spans="3:4" ht="12" customHeight="1" x14ac:dyDescent="0.2">
      <c r="C16" s="31"/>
      <c r="D16" s="31"/>
    </row>
    <row r="17" spans="3:13" ht="12" customHeight="1" x14ac:dyDescent="0.2">
      <c r="C17" s="31"/>
      <c r="D17" s="31"/>
      <c r="E17" s="31"/>
      <c r="F17" s="31"/>
      <c r="G17" s="31"/>
      <c r="H17" s="31"/>
      <c r="I17" s="31"/>
      <c r="J17" s="31"/>
      <c r="K17" s="31"/>
      <c r="L17" s="31"/>
      <c r="M17" s="31"/>
    </row>
    <row r="18" spans="3:13" ht="12" customHeight="1" x14ac:dyDescent="0.2">
      <c r="C18" s="31"/>
      <c r="D18" s="206" t="s">
        <v>368</v>
      </c>
      <c r="E18" s="31"/>
      <c r="F18" s="31"/>
      <c r="G18" s="31"/>
      <c r="H18" s="31"/>
      <c r="I18" s="31"/>
      <c r="J18" s="31"/>
      <c r="K18" s="31"/>
      <c r="L18" s="31"/>
      <c r="M18" s="31"/>
    </row>
    <row r="19" spans="3:13" x14ac:dyDescent="0.2">
      <c r="C19" s="31"/>
      <c r="D19" s="31" t="s">
        <v>369</v>
      </c>
      <c r="E19" s="31">
        <f>SOA!H25</f>
        <v>55</v>
      </c>
      <c r="F19" s="31"/>
      <c r="G19" s="31"/>
      <c r="H19" s="31"/>
      <c r="I19" s="31"/>
      <c r="J19" s="31"/>
      <c r="K19" s="31"/>
      <c r="L19" s="31"/>
      <c r="M19" s="31"/>
    </row>
    <row r="20" spans="3:13" x14ac:dyDescent="0.2">
      <c r="C20" s="31"/>
      <c r="D20" s="31" t="s">
        <v>370</v>
      </c>
      <c r="E20" s="31">
        <v>1.3</v>
      </c>
      <c r="F20" s="31"/>
      <c r="G20" s="31"/>
      <c r="H20" s="31"/>
      <c r="I20" s="216" t="s">
        <v>346</v>
      </c>
      <c r="J20" s="31"/>
      <c r="K20" s="213"/>
      <c r="L20" s="213"/>
      <c r="M20" s="213"/>
    </row>
    <row r="21" spans="3:13" x14ac:dyDescent="0.2">
      <c r="C21" s="31"/>
      <c r="D21" s="31" t="s">
        <v>371</v>
      </c>
      <c r="E21" s="31">
        <f>1/2*COUTMAX*VINMAX^2*0.000001</f>
        <v>13.52</v>
      </c>
      <c r="F21" s="31"/>
      <c r="G21" s="31"/>
      <c r="H21" s="31"/>
      <c r="I21" s="31"/>
      <c r="J21" s="206" t="s">
        <v>347</v>
      </c>
      <c r="K21" s="227" t="s">
        <v>348</v>
      </c>
      <c r="L21" s="227" t="s">
        <v>349</v>
      </c>
      <c r="M21" s="227" t="s">
        <v>350</v>
      </c>
    </row>
    <row r="22" spans="3:13" x14ac:dyDescent="0.2">
      <c r="C22" s="31"/>
      <c r="D22" s="31" t="s">
        <v>372</v>
      </c>
      <c r="E22" s="31">
        <f>MAX(Equations!F68-E21,0)</f>
        <v>1.8785000000000025</v>
      </c>
      <c r="F22" s="31"/>
      <c r="G22" s="31"/>
      <c r="H22" s="31"/>
      <c r="I22" s="216" t="s">
        <v>351</v>
      </c>
      <c r="J22" s="216">
        <v>0.1</v>
      </c>
      <c r="K22" s="216">
        <v>1</v>
      </c>
      <c r="L22" s="213">
        <v>10</v>
      </c>
      <c r="M22" s="216">
        <v>100</v>
      </c>
    </row>
    <row r="23" spans="3:13" x14ac:dyDescent="0.2">
      <c r="C23" s="31"/>
      <c r="D23" s="31" t="s">
        <v>373</v>
      </c>
      <c r="E23" s="31">
        <f>Equations!F67</f>
        <v>260</v>
      </c>
      <c r="F23" s="31"/>
      <c r="G23" s="31"/>
      <c r="H23" s="31"/>
      <c r="I23" s="216" t="s">
        <v>352</v>
      </c>
      <c r="J23" s="216">
        <v>1</v>
      </c>
      <c r="K23" s="216">
        <v>10</v>
      </c>
      <c r="L23" s="213">
        <v>100</v>
      </c>
      <c r="M23" s="216">
        <v>1000</v>
      </c>
    </row>
    <row r="24" spans="3:13" x14ac:dyDescent="0.2">
      <c r="C24" s="31"/>
      <c r="D24" s="31"/>
      <c r="E24" s="31"/>
      <c r="F24" s="31"/>
      <c r="G24" s="31"/>
      <c r="H24" s="31"/>
      <c r="I24" s="216" t="s">
        <v>337</v>
      </c>
      <c r="J24" s="216">
        <f>SOA!C33</f>
        <v>30</v>
      </c>
      <c r="K24" s="216">
        <f>SOA!D33</f>
        <v>30</v>
      </c>
      <c r="L24" s="216">
        <f>SOA!E33</f>
        <v>28.800000000000004</v>
      </c>
      <c r="M24" s="216">
        <f>SOA!F33</f>
        <v>31.250000000000004</v>
      </c>
    </row>
    <row r="25" spans="3:13" x14ac:dyDescent="0.2">
      <c r="C25" s="31"/>
      <c r="D25" s="31" t="s">
        <v>94</v>
      </c>
      <c r="E25" s="31">
        <f>'Design Calculator'!F68</f>
        <v>0</v>
      </c>
      <c r="F25" s="31"/>
      <c r="G25" s="31"/>
      <c r="H25" s="31"/>
      <c r="I25" s="216" t="s">
        <v>338</v>
      </c>
      <c r="J25" s="213">
        <f>SOA!C34</f>
        <v>-0.6020599913279624</v>
      </c>
      <c r="K25" s="213">
        <f>SOA!D34</f>
        <v>-0.3979400086720376</v>
      </c>
      <c r="L25" s="213">
        <f>SOA!E34</f>
        <v>-0.38021124171160603</v>
      </c>
      <c r="M25" s="213">
        <f>SOA!F34</f>
        <v>-0.3979400086720376</v>
      </c>
    </row>
    <row r="26" spans="3:13" x14ac:dyDescent="0.2">
      <c r="C26" s="31"/>
      <c r="D26" s="31" t="s">
        <v>95</v>
      </c>
      <c r="E26" s="31" t="str">
        <f>'Design Calculator'!F69</f>
        <v>Constant Current</v>
      </c>
      <c r="F26" s="31"/>
      <c r="G26" s="31"/>
      <c r="H26" s="31"/>
      <c r="I26" s="31"/>
      <c r="J26" s="31"/>
      <c r="K26" s="31"/>
      <c r="L26" s="31"/>
      <c r="M26" s="31"/>
    </row>
    <row r="27" spans="3:13" x14ac:dyDescent="0.2">
      <c r="C27" s="31"/>
      <c r="D27" s="31" t="s">
        <v>97</v>
      </c>
      <c r="E27" s="31">
        <f>'Design Calculator'!F70</f>
        <v>0.3</v>
      </c>
      <c r="F27" s="31"/>
      <c r="G27" s="31"/>
      <c r="H27" s="31"/>
      <c r="I27" s="31"/>
      <c r="J27" s="31"/>
      <c r="K27" s="31"/>
      <c r="L27" s="31"/>
      <c r="M27" s="31"/>
    </row>
    <row r="28" spans="3:13" x14ac:dyDescent="0.2">
      <c r="C28" s="31"/>
      <c r="F28" s="31"/>
      <c r="I28" s="31"/>
      <c r="J28" s="31"/>
      <c r="K28" s="222" t="s">
        <v>374</v>
      </c>
      <c r="L28" s="206" t="s">
        <v>314</v>
      </c>
      <c r="M28" s="31"/>
    </row>
    <row r="29" spans="3:13" x14ac:dyDescent="0.2">
      <c r="C29" s="31"/>
      <c r="D29" s="31" t="s">
        <v>375</v>
      </c>
      <c r="E29" s="31">
        <f>'Design Calculator'!F67/VINMAX/3</f>
        <v>5.6100056100056115</v>
      </c>
      <c r="F29" s="31"/>
      <c r="I29" s="31" t="s">
        <v>376</v>
      </c>
      <c r="J29" s="31"/>
      <c r="K29" s="207">
        <f>SUM(E60:X60)</f>
        <v>0.27140030351172184</v>
      </c>
      <c r="L29" s="207">
        <f>IF(K29=0, "NA", K29/AVERAGE(1, E33))</f>
        <v>0.28370879812075256</v>
      </c>
      <c r="M29" s="31"/>
    </row>
    <row r="30" spans="3:13" x14ac:dyDescent="0.2">
      <c r="C30" s="31"/>
      <c r="D30" s="31" t="s">
        <v>377</v>
      </c>
      <c r="E30" s="31">
        <f>dv_dt_recommendations!E29/(0.001*COUTMAX)</f>
        <v>0.56100056100056117</v>
      </c>
      <c r="F30" s="31"/>
      <c r="I30" s="31" t="s">
        <v>378</v>
      </c>
      <c r="J30" s="31"/>
      <c r="K30" s="207">
        <f>SUM(E61:X61)</f>
        <v>9.9999999999999992E-2</v>
      </c>
      <c r="L30" s="207">
        <f>IF(K30=0, "NA", K30*AVERAGE(1,E33))</f>
        <v>9.5661574582614123E-2</v>
      </c>
      <c r="M30" s="31"/>
    </row>
    <row r="31" spans="3:13" x14ac:dyDescent="0.2">
      <c r="C31" s="31"/>
      <c r="D31" s="31" t="s">
        <v>379</v>
      </c>
      <c r="E31" s="31">
        <v>0.1</v>
      </c>
      <c r="F31" s="31"/>
      <c r="G31" s="31"/>
      <c r="H31" s="31"/>
      <c r="I31" s="31"/>
      <c r="J31" s="31"/>
      <c r="K31" s="31"/>
      <c r="L31" s="31"/>
      <c r="M31" s="31"/>
    </row>
    <row r="32" spans="3:13" x14ac:dyDescent="0.2">
      <c r="C32" s="31"/>
      <c r="D32" s="31" t="s">
        <v>380</v>
      </c>
      <c r="E32" s="31">
        <v>20</v>
      </c>
      <c r="F32" s="31"/>
      <c r="G32" s="31"/>
      <c r="H32" s="31"/>
      <c r="I32" s="31"/>
      <c r="J32" s="31"/>
      <c r="K32" s="31"/>
      <c r="L32" s="31"/>
      <c r="M32" s="31"/>
    </row>
    <row r="33" spans="3:24" x14ac:dyDescent="0.2">
      <c r="C33" s="31"/>
      <c r="D33" s="31" t="s">
        <v>381</v>
      </c>
      <c r="E33" s="31">
        <f>(E31/E30)^(1/(E32-1))</f>
        <v>0.91323149165228246</v>
      </c>
      <c r="F33" s="31"/>
      <c r="G33" s="31"/>
      <c r="H33" s="31"/>
      <c r="I33" s="31"/>
      <c r="J33" s="31"/>
      <c r="K33" s="31"/>
      <c r="L33" s="31"/>
      <c r="M33" s="31"/>
    </row>
    <row r="34" spans="3:24" x14ac:dyDescent="0.2">
      <c r="C34" s="31"/>
      <c r="D34" s="31"/>
      <c r="E34" s="31"/>
      <c r="F34" s="31"/>
      <c r="G34" s="31"/>
      <c r="H34" s="31"/>
      <c r="I34" s="31"/>
      <c r="J34" s="31"/>
      <c r="K34" s="31"/>
      <c r="L34" s="31"/>
      <c r="M34" s="31"/>
    </row>
    <row r="35" spans="3:24" x14ac:dyDescent="0.2">
      <c r="D35" s="31" t="s">
        <v>382</v>
      </c>
      <c r="E35" s="31"/>
      <c r="F35" s="31"/>
      <c r="G35" s="31"/>
      <c r="H35" s="31"/>
      <c r="I35" s="31"/>
      <c r="J35" s="31"/>
      <c r="K35" s="31"/>
      <c r="L35" s="31"/>
      <c r="M35" s="31"/>
      <c r="N35" s="31"/>
      <c r="O35" s="31"/>
      <c r="P35" s="31"/>
      <c r="Q35" s="31"/>
      <c r="R35" s="31"/>
      <c r="S35" s="31"/>
      <c r="T35" s="31"/>
      <c r="U35" s="31"/>
      <c r="V35" s="31"/>
      <c r="W35" s="31"/>
      <c r="X35" s="31"/>
    </row>
    <row r="36" spans="3:24" x14ac:dyDescent="0.2">
      <c r="D36" s="31"/>
      <c r="E36" s="31">
        <v>1</v>
      </c>
      <c r="F36" s="31">
        <v>2</v>
      </c>
      <c r="G36" s="31">
        <v>3</v>
      </c>
      <c r="H36" s="31">
        <v>4</v>
      </c>
      <c r="I36" s="31">
        <v>5</v>
      </c>
      <c r="J36" s="31">
        <v>6</v>
      </c>
      <c r="K36" s="31">
        <v>7</v>
      </c>
      <c r="L36" s="31">
        <v>8</v>
      </c>
      <c r="M36" s="31">
        <v>9</v>
      </c>
      <c r="N36" s="31">
        <v>10</v>
      </c>
      <c r="O36" s="31">
        <v>11</v>
      </c>
      <c r="P36" s="31">
        <v>12</v>
      </c>
      <c r="Q36" s="31">
        <v>13</v>
      </c>
      <c r="R36" s="31">
        <v>14</v>
      </c>
      <c r="S36" s="31">
        <v>15</v>
      </c>
      <c r="T36" s="31">
        <v>16</v>
      </c>
      <c r="U36" s="31">
        <v>17</v>
      </c>
      <c r="V36" s="31">
        <v>18</v>
      </c>
      <c r="W36" s="31">
        <v>19</v>
      </c>
      <c r="X36" s="31">
        <v>20</v>
      </c>
    </row>
    <row r="37" spans="3:24" x14ac:dyDescent="0.2">
      <c r="D37" s="237" t="s">
        <v>383</v>
      </c>
      <c r="E37" s="237">
        <f>E30</f>
        <v>0.56100056100056117</v>
      </c>
      <c r="F37" s="237">
        <f t="shared" ref="F37:X37" si="0">E37*$E$33</f>
        <v>0.51232337914030979</v>
      </c>
      <c r="G37" s="237">
        <f t="shared" si="0"/>
        <v>0.46786984374064294</v>
      </c>
      <c r="H37" s="237">
        <f t="shared" si="0"/>
        <v>0.42727347529838766</v>
      </c>
      <c r="I37" s="237">
        <f t="shared" si="0"/>
        <v>0.3901995931902012</v>
      </c>
      <c r="J37" s="237">
        <f t="shared" si="0"/>
        <v>0.35634255653120123</v>
      </c>
      <c r="K37" s="237">
        <f t="shared" si="0"/>
        <v>0.32542324444017667</v>
      </c>
      <c r="L37" s="237">
        <f t="shared" si="0"/>
        <v>0.29718675493842789</v>
      </c>
      <c r="M37" s="237">
        <f t="shared" si="0"/>
        <v>0.27140030351172184</v>
      </c>
      <c r="N37" s="237">
        <f t="shared" si="0"/>
        <v>0.24785130401089192</v>
      </c>
      <c r="O37" s="237">
        <f t="shared" si="0"/>
        <v>0.22634561606983017</v>
      </c>
      <c r="P37" s="237">
        <f t="shared" si="0"/>
        <v>0.20670594459240585</v>
      </c>
      <c r="Q37" s="237">
        <f t="shared" si="0"/>
        <v>0.18877037811351685</v>
      </c>
      <c r="R37" s="237">
        <f t="shared" si="0"/>
        <v>0.17239105398437238</v>
      </c>
      <c r="S37" s="237">
        <f t="shared" si="0"/>
        <v>0.15743293937765754</v>
      </c>
      <c r="T37" s="237">
        <f t="shared" si="0"/>
        <v>0.14377271806306155</v>
      </c>
      <c r="U37" s="237">
        <f t="shared" si="0"/>
        <v>0.13129777377563276</v>
      </c>
      <c r="V37" s="237">
        <f t="shared" si="0"/>
        <v>0.11990526179574504</v>
      </c>
      <c r="W37" s="237">
        <f t="shared" si="0"/>
        <v>0.10950126108668568</v>
      </c>
      <c r="X37" s="237">
        <f t="shared" si="0"/>
        <v>9.9999999999999992E-2</v>
      </c>
    </row>
    <row r="38" spans="3:24" x14ac:dyDescent="0.2">
      <c r="D38" s="31" t="s">
        <v>384</v>
      </c>
      <c r="E38" s="31">
        <f t="shared" ref="E38:X38" si="1">VINMAX/E37</f>
        <v>92.691529411764677</v>
      </c>
      <c r="F38" s="31">
        <f t="shared" si="1"/>
        <v>101.49839362641849</v>
      </c>
      <c r="G38" s="31">
        <f t="shared" si="1"/>
        <v>111.14202100365645</v>
      </c>
      <c r="H38" s="31">
        <f t="shared" si="1"/>
        <v>121.7019145962329</v>
      </c>
      <c r="I38" s="31">
        <f t="shared" si="1"/>
        <v>133.26513124951623</v>
      </c>
      <c r="J38" s="31">
        <f t="shared" si="1"/>
        <v>145.92699930704711</v>
      </c>
      <c r="K38" s="31">
        <f t="shared" si="1"/>
        <v>159.79190450717567</v>
      </c>
      <c r="L38" s="31">
        <f t="shared" si="1"/>
        <v>174.9741505497899</v>
      </c>
      <c r="M38" s="31">
        <f t="shared" si="1"/>
        <v>191.59890142773591</v>
      </c>
      <c r="N38" s="31">
        <f t="shared" si="1"/>
        <v>209.80321329160665</v>
      </c>
      <c r="O38" s="31">
        <f t="shared" si="1"/>
        <v>229.73716435469825</v>
      </c>
      <c r="P38" s="31">
        <f t="shared" si="1"/>
        <v>251.5650921531863</v>
      </c>
      <c r="Q38" s="31">
        <f t="shared" si="1"/>
        <v>275.46694836162197</v>
      </c>
      <c r="R38" s="31">
        <f t="shared" si="1"/>
        <v>301.63978233298531</v>
      </c>
      <c r="S38" s="31">
        <f t="shared" si="1"/>
        <v>330.29936559375261</v>
      </c>
      <c r="T38" s="31">
        <f t="shared" si="1"/>
        <v>361.68197068648152</v>
      </c>
      <c r="U38" s="31">
        <f t="shared" si="1"/>
        <v>396.04631902487409</v>
      </c>
      <c r="V38" s="31">
        <f t="shared" si="1"/>
        <v>433.67571381963552</v>
      </c>
      <c r="W38" s="31">
        <f t="shared" si="1"/>
        <v>474.88037565918694</v>
      </c>
      <c r="X38" s="31">
        <f t="shared" si="1"/>
        <v>520</v>
      </c>
    </row>
    <row r="39" spans="3:24" x14ac:dyDescent="0.2">
      <c r="D39" s="31" t="s">
        <v>385</v>
      </c>
      <c r="E39" s="31">
        <f t="shared" ref="E39:X39" si="2">E37*COUTMAX/1000</f>
        <v>5.6100056100056115</v>
      </c>
      <c r="F39" s="31">
        <f t="shared" si="2"/>
        <v>5.1232337914030976</v>
      </c>
      <c r="G39" s="31">
        <f t="shared" si="2"/>
        <v>4.67869843740643</v>
      </c>
      <c r="H39" s="31">
        <f t="shared" si="2"/>
        <v>4.2727347529838759</v>
      </c>
      <c r="I39" s="31">
        <f t="shared" si="2"/>
        <v>3.9019959319020123</v>
      </c>
      <c r="J39" s="31">
        <f t="shared" si="2"/>
        <v>3.5634255653120124</v>
      </c>
      <c r="K39" s="31">
        <f t="shared" si="2"/>
        <v>3.254232444401767</v>
      </c>
      <c r="L39" s="31">
        <f t="shared" si="2"/>
        <v>2.971867549384279</v>
      </c>
      <c r="M39" s="31">
        <f t="shared" si="2"/>
        <v>2.7140030351172184</v>
      </c>
      <c r="N39" s="31">
        <f t="shared" si="2"/>
        <v>2.4785130401089193</v>
      </c>
      <c r="O39" s="31">
        <f t="shared" si="2"/>
        <v>2.2634561606983015</v>
      </c>
      <c r="P39" s="31">
        <f t="shared" si="2"/>
        <v>2.0670594459240581</v>
      </c>
      <c r="Q39" s="31">
        <f t="shared" si="2"/>
        <v>1.8877037811351687</v>
      </c>
      <c r="R39" s="31">
        <f t="shared" si="2"/>
        <v>1.7239105398437238</v>
      </c>
      <c r="S39" s="31">
        <f t="shared" si="2"/>
        <v>1.5743293937765754</v>
      </c>
      <c r="T39" s="31">
        <f t="shared" si="2"/>
        <v>1.4377271806306156</v>
      </c>
      <c r="U39" s="31">
        <f t="shared" si="2"/>
        <v>1.3129777377563276</v>
      </c>
      <c r="V39" s="31">
        <f t="shared" si="2"/>
        <v>1.1990526179574503</v>
      </c>
      <c r="W39" s="31">
        <f t="shared" si="2"/>
        <v>1.0950126108668568</v>
      </c>
      <c r="X39" s="31">
        <f t="shared" si="2"/>
        <v>0.99999999999999989</v>
      </c>
    </row>
    <row r="40" spans="3:24" x14ac:dyDescent="0.2">
      <c r="D40" s="31" t="s">
        <v>386</v>
      </c>
      <c r="E40" s="31">
        <f t="shared" ref="E40:X40" si="3">$E$21+$E$22*E38/$E$23</f>
        <v>14.1896963</v>
      </c>
      <c r="F40" s="31">
        <f t="shared" si="3"/>
        <v>14.253325893950874</v>
      </c>
      <c r="G40" s="31">
        <f t="shared" si="3"/>
        <v>14.323001101751419</v>
      </c>
      <c r="H40" s="31">
        <f t="shared" si="3"/>
        <v>14.399296332957784</v>
      </c>
      <c r="I40" s="31">
        <f t="shared" si="3"/>
        <v>14.482840573277755</v>
      </c>
      <c r="J40" s="31">
        <f t="shared" si="3"/>
        <v>14.574322569993416</v>
      </c>
      <c r="K40" s="31">
        <f t="shared" si="3"/>
        <v>14.674496510064346</v>
      </c>
      <c r="L40" s="31">
        <f t="shared" si="3"/>
        <v>14.784188237722233</v>
      </c>
      <c r="M40" s="31">
        <f t="shared" si="3"/>
        <v>14.904302062815393</v>
      </c>
      <c r="N40" s="31">
        <f t="shared" si="3"/>
        <v>15.035828216031859</v>
      </c>
      <c r="O40" s="31">
        <f t="shared" si="3"/>
        <v>15.179851012462697</v>
      </c>
      <c r="P40" s="31">
        <f t="shared" si="3"/>
        <v>15.337557790806773</v>
      </c>
      <c r="Q40" s="31">
        <f t="shared" si="3"/>
        <v>15.510248701912721</v>
      </c>
      <c r="R40" s="31">
        <f t="shared" si="3"/>
        <v>15.699347427355821</v>
      </c>
      <c r="S40" s="31">
        <f t="shared" si="3"/>
        <v>15.906412916414865</v>
      </c>
      <c r="T40" s="31">
        <f t="shared" si="3"/>
        <v>16.133152238209831</v>
      </c>
      <c r="U40" s="31">
        <f t="shared" si="3"/>
        <v>16.38143465495472</v>
      </c>
      <c r="V40" s="31">
        <f t="shared" si="3"/>
        <v>16.65330703234687</v>
      </c>
      <c r="W40" s="31">
        <f t="shared" si="3"/>
        <v>16.951010714137631</v>
      </c>
      <c r="X40" s="31">
        <f t="shared" si="3"/>
        <v>17.277000000000005</v>
      </c>
    </row>
    <row r="41" spans="3:24" x14ac:dyDescent="0.2">
      <c r="D41" s="31" t="s">
        <v>387</v>
      </c>
      <c r="E41" s="31">
        <f t="shared" ref="E41:X41" si="4">(E39+IF($E$26="Resistive",0,IF($E$25=0,$E$27,0)))*VINMAX</f>
        <v>307.32029172029178</v>
      </c>
      <c r="F41" s="31">
        <f t="shared" si="4"/>
        <v>282.00815715296108</v>
      </c>
      <c r="G41" s="31">
        <f t="shared" si="4"/>
        <v>258.89231874513433</v>
      </c>
      <c r="H41" s="31">
        <f t="shared" si="4"/>
        <v>237.78220715516153</v>
      </c>
      <c r="I41" s="31">
        <f t="shared" si="4"/>
        <v>218.50378845890467</v>
      </c>
      <c r="J41" s="31">
        <f t="shared" si="4"/>
        <v>200.89812939622465</v>
      </c>
      <c r="K41" s="31">
        <f t="shared" si="4"/>
        <v>184.82008710889187</v>
      </c>
      <c r="L41" s="31">
        <f t="shared" si="4"/>
        <v>170.13711256798251</v>
      </c>
      <c r="M41" s="31">
        <f t="shared" si="4"/>
        <v>156.72815782609536</v>
      </c>
      <c r="N41" s="31">
        <f t="shared" si="4"/>
        <v>144.48267808566379</v>
      </c>
      <c r="O41" s="31">
        <f t="shared" si="4"/>
        <v>133.29972035631167</v>
      </c>
      <c r="P41" s="31">
        <f t="shared" si="4"/>
        <v>123.08709118805101</v>
      </c>
      <c r="Q41" s="31">
        <f t="shared" si="4"/>
        <v>113.76059661902876</v>
      </c>
      <c r="R41" s="31">
        <f t="shared" si="4"/>
        <v>105.24334807187364</v>
      </c>
      <c r="S41" s="31">
        <f t="shared" si="4"/>
        <v>97.465128476381921</v>
      </c>
      <c r="T41" s="31">
        <f t="shared" si="4"/>
        <v>90.361813392792016</v>
      </c>
      <c r="U41" s="31">
        <f t="shared" si="4"/>
        <v>83.874842363329037</v>
      </c>
      <c r="V41" s="31">
        <f t="shared" si="4"/>
        <v>77.950736133787416</v>
      </c>
      <c r="W41" s="31">
        <f t="shared" si="4"/>
        <v>72.540655765076551</v>
      </c>
      <c r="X41" s="31">
        <f t="shared" si="4"/>
        <v>67.599999999999994</v>
      </c>
    </row>
    <row r="42" spans="3:24" x14ac:dyDescent="0.2">
      <c r="D42" s="31" t="s">
        <v>388</v>
      </c>
      <c r="E42" s="31">
        <f t="shared" ref="E42:X42" si="5">(E39+IF($E$26="Resistive", $E$25/$E$27,$E$27)) *(VINMAX-$E$25)</f>
        <v>307.32029172029178</v>
      </c>
      <c r="F42" s="31">
        <f t="shared" si="5"/>
        <v>282.00815715296108</v>
      </c>
      <c r="G42" s="31">
        <f t="shared" si="5"/>
        <v>258.89231874513433</v>
      </c>
      <c r="H42" s="31">
        <f t="shared" si="5"/>
        <v>237.78220715516153</v>
      </c>
      <c r="I42" s="31">
        <f t="shared" si="5"/>
        <v>218.50378845890467</v>
      </c>
      <c r="J42" s="31">
        <f t="shared" si="5"/>
        <v>200.89812939622465</v>
      </c>
      <c r="K42" s="31">
        <f t="shared" si="5"/>
        <v>184.82008710889187</v>
      </c>
      <c r="L42" s="31">
        <f t="shared" si="5"/>
        <v>170.13711256798251</v>
      </c>
      <c r="M42" s="31">
        <f t="shared" si="5"/>
        <v>156.72815782609536</v>
      </c>
      <c r="N42" s="31">
        <f t="shared" si="5"/>
        <v>144.48267808566379</v>
      </c>
      <c r="O42" s="31">
        <f t="shared" si="5"/>
        <v>133.29972035631167</v>
      </c>
      <c r="P42" s="31">
        <f t="shared" si="5"/>
        <v>123.08709118805101</v>
      </c>
      <c r="Q42" s="31">
        <f t="shared" si="5"/>
        <v>113.76059661902876</v>
      </c>
      <c r="R42" s="31">
        <f t="shared" si="5"/>
        <v>105.24334807187364</v>
      </c>
      <c r="S42" s="31">
        <f t="shared" si="5"/>
        <v>97.465128476381921</v>
      </c>
      <c r="T42" s="31">
        <f t="shared" si="5"/>
        <v>90.361813392792016</v>
      </c>
      <c r="U42" s="31">
        <f t="shared" si="5"/>
        <v>83.874842363329037</v>
      </c>
      <c r="V42" s="31">
        <f t="shared" si="5"/>
        <v>77.950736133787416</v>
      </c>
      <c r="W42" s="31">
        <f t="shared" si="5"/>
        <v>72.540655765076551</v>
      </c>
      <c r="X42" s="31">
        <f t="shared" si="5"/>
        <v>67.599999999999994</v>
      </c>
    </row>
    <row r="43" spans="3:24" x14ac:dyDescent="0.2">
      <c r="D43" s="31" t="s">
        <v>389</v>
      </c>
      <c r="E43" s="31">
        <f t="shared" ref="E43:X43" si="6">IF($E$26="Resistive", -$E$27*E39/2 + VINMAX/2, -1)</f>
        <v>-1</v>
      </c>
      <c r="F43" s="31">
        <f t="shared" si="6"/>
        <v>-1</v>
      </c>
      <c r="G43" s="31">
        <f t="shared" si="6"/>
        <v>-1</v>
      </c>
      <c r="H43" s="31">
        <f t="shared" si="6"/>
        <v>-1</v>
      </c>
      <c r="I43" s="31">
        <f t="shared" si="6"/>
        <v>-1</v>
      </c>
      <c r="J43" s="31">
        <f t="shared" si="6"/>
        <v>-1</v>
      </c>
      <c r="K43" s="31">
        <f t="shared" si="6"/>
        <v>-1</v>
      </c>
      <c r="L43" s="31">
        <f t="shared" si="6"/>
        <v>-1</v>
      </c>
      <c r="M43" s="31">
        <f t="shared" si="6"/>
        <v>-1</v>
      </c>
      <c r="N43" s="31">
        <f t="shared" si="6"/>
        <v>-1</v>
      </c>
      <c r="O43" s="31">
        <f t="shared" si="6"/>
        <v>-1</v>
      </c>
      <c r="P43" s="31">
        <f t="shared" si="6"/>
        <v>-1</v>
      </c>
      <c r="Q43" s="31">
        <f t="shared" si="6"/>
        <v>-1</v>
      </c>
      <c r="R43" s="31">
        <f t="shared" si="6"/>
        <v>-1</v>
      </c>
      <c r="S43" s="31">
        <f t="shared" si="6"/>
        <v>-1</v>
      </c>
      <c r="T43" s="31">
        <f t="shared" si="6"/>
        <v>-1</v>
      </c>
      <c r="U43" s="31">
        <f t="shared" si="6"/>
        <v>-1</v>
      </c>
      <c r="V43" s="31">
        <f t="shared" si="6"/>
        <v>-1</v>
      </c>
      <c r="W43" s="31">
        <f t="shared" si="6"/>
        <v>-1</v>
      </c>
      <c r="X43" s="31">
        <f t="shared" si="6"/>
        <v>-1</v>
      </c>
    </row>
    <row r="44" spans="3:24" x14ac:dyDescent="0.2">
      <c r="D44" s="31" t="s">
        <v>390</v>
      </c>
      <c r="E44" s="31">
        <f t="shared" ref="E44:X44" si="7">IF(AND(E43&lt;VINMAX, E43&gt;$E$25), (VINMAX-E43)*(E39+E43/$E$27), 0)</f>
        <v>0</v>
      </c>
      <c r="F44" s="31">
        <f t="shared" si="7"/>
        <v>0</v>
      </c>
      <c r="G44" s="31">
        <f t="shared" si="7"/>
        <v>0</v>
      </c>
      <c r="H44" s="31">
        <f t="shared" si="7"/>
        <v>0</v>
      </c>
      <c r="I44" s="31">
        <f t="shared" si="7"/>
        <v>0</v>
      </c>
      <c r="J44" s="31">
        <f t="shared" si="7"/>
        <v>0</v>
      </c>
      <c r="K44" s="31">
        <f t="shared" si="7"/>
        <v>0</v>
      </c>
      <c r="L44" s="31">
        <f t="shared" si="7"/>
        <v>0</v>
      </c>
      <c r="M44" s="31">
        <f t="shared" si="7"/>
        <v>0</v>
      </c>
      <c r="N44" s="31">
        <f t="shared" si="7"/>
        <v>0</v>
      </c>
      <c r="O44" s="31">
        <f t="shared" si="7"/>
        <v>0</v>
      </c>
      <c r="P44" s="31">
        <f t="shared" si="7"/>
        <v>0</v>
      </c>
      <c r="Q44" s="31">
        <f t="shared" si="7"/>
        <v>0</v>
      </c>
      <c r="R44" s="31">
        <f t="shared" si="7"/>
        <v>0</v>
      </c>
      <c r="S44" s="31">
        <f t="shared" si="7"/>
        <v>0</v>
      </c>
      <c r="T44" s="31">
        <f t="shared" si="7"/>
        <v>0</v>
      </c>
      <c r="U44" s="31">
        <f t="shared" si="7"/>
        <v>0</v>
      </c>
      <c r="V44" s="31">
        <f t="shared" si="7"/>
        <v>0</v>
      </c>
      <c r="W44" s="31">
        <f t="shared" si="7"/>
        <v>0</v>
      </c>
      <c r="X44" s="31">
        <f t="shared" si="7"/>
        <v>0</v>
      </c>
    </row>
    <row r="46" spans="3:24" x14ac:dyDescent="0.2">
      <c r="D46" s="31" t="s">
        <v>391</v>
      </c>
      <c r="E46" s="31">
        <f t="shared" ref="E46:X46" si="8">MAX(E41,E42,E44)</f>
        <v>307.32029172029178</v>
      </c>
      <c r="F46" s="31">
        <f t="shared" si="8"/>
        <v>282.00815715296108</v>
      </c>
      <c r="G46" s="31">
        <f t="shared" si="8"/>
        <v>258.89231874513433</v>
      </c>
      <c r="H46" s="31">
        <f t="shared" si="8"/>
        <v>237.78220715516153</v>
      </c>
      <c r="I46" s="31">
        <f t="shared" si="8"/>
        <v>218.50378845890467</v>
      </c>
      <c r="J46" s="31">
        <f t="shared" si="8"/>
        <v>200.89812939622465</v>
      </c>
      <c r="K46" s="31">
        <f t="shared" si="8"/>
        <v>184.82008710889187</v>
      </c>
      <c r="L46" s="31">
        <f t="shared" si="8"/>
        <v>170.13711256798251</v>
      </c>
      <c r="M46" s="31">
        <f t="shared" si="8"/>
        <v>156.72815782609536</v>
      </c>
      <c r="N46" s="31">
        <f t="shared" si="8"/>
        <v>144.48267808566379</v>
      </c>
      <c r="O46" s="31">
        <f t="shared" si="8"/>
        <v>133.29972035631167</v>
      </c>
      <c r="P46" s="31">
        <f t="shared" si="8"/>
        <v>123.08709118805101</v>
      </c>
      <c r="Q46" s="31">
        <f t="shared" si="8"/>
        <v>113.76059661902876</v>
      </c>
      <c r="R46" s="31">
        <f t="shared" si="8"/>
        <v>105.24334807187364</v>
      </c>
      <c r="S46" s="31">
        <f t="shared" si="8"/>
        <v>97.465128476381921</v>
      </c>
      <c r="T46" s="31">
        <f t="shared" si="8"/>
        <v>90.361813392792016</v>
      </c>
      <c r="U46" s="31">
        <f t="shared" si="8"/>
        <v>83.874842363329037</v>
      </c>
      <c r="V46" s="31">
        <f t="shared" si="8"/>
        <v>77.950736133787416</v>
      </c>
      <c r="W46" s="31">
        <f t="shared" si="8"/>
        <v>72.540655765076551</v>
      </c>
      <c r="X46" s="31">
        <f t="shared" si="8"/>
        <v>67.599999999999994</v>
      </c>
    </row>
    <row r="47" spans="3:24" x14ac:dyDescent="0.2">
      <c r="D47" s="31" t="s">
        <v>392</v>
      </c>
      <c r="E47" s="31">
        <f t="shared" ref="E47:X47" si="9">E40/E46*1000</f>
        <v>46.172337728075512</v>
      </c>
      <c r="F47" s="31">
        <f t="shared" si="9"/>
        <v>50.542246855008088</v>
      </c>
      <c r="G47" s="31">
        <f t="shared" si="9"/>
        <v>55.324164004462602</v>
      </c>
      <c r="H47" s="31">
        <f t="shared" si="9"/>
        <v>60.556660253227946</v>
      </c>
      <c r="I47" s="31">
        <f t="shared" si="9"/>
        <v>66.281873991405106</v>
      </c>
      <c r="J47" s="31">
        <f t="shared" si="9"/>
        <v>72.545835114517004</v>
      </c>
      <c r="K47" s="31">
        <f t="shared" si="9"/>
        <v>79.398818275734612</v>
      </c>
      <c r="L47" s="31">
        <f t="shared" si="9"/>
        <v>86.895727890144158</v>
      </c>
      <c r="M47" s="31">
        <f t="shared" si="9"/>
        <v>95.096517878766363</v>
      </c>
      <c r="N47" s="31">
        <f t="shared" si="9"/>
        <v>104.0666494783348</v>
      </c>
      <c r="O47" s="31">
        <f t="shared" si="9"/>
        <v>113.87759082979906</v>
      </c>
      <c r="P47" s="31">
        <f t="shared" si="9"/>
        <v>124.60736250054228</v>
      </c>
      <c r="Q47" s="31">
        <f t="shared" si="9"/>
        <v>136.34113359878702</v>
      </c>
      <c r="R47" s="31">
        <f t="shared" si="9"/>
        <v>149.17187370962674</v>
      </c>
      <c r="S47" s="31">
        <f t="shared" si="9"/>
        <v>163.20106652575092</v>
      </c>
      <c r="T47" s="31">
        <f t="shared" si="9"/>
        <v>178.53949176607318</v>
      </c>
      <c r="U47" s="31">
        <f t="shared" si="9"/>
        <v>195.30808277401729</v>
      </c>
      <c r="V47" s="31">
        <f t="shared" si="9"/>
        <v>213.6388680636021</v>
      </c>
      <c r="W47" s="31">
        <f t="shared" si="9"/>
        <v>233.67600603217048</v>
      </c>
      <c r="X47" s="31">
        <f t="shared" si="9"/>
        <v>255.57692307692315</v>
      </c>
    </row>
    <row r="49" spans="4:25" x14ac:dyDescent="0.2">
      <c r="D49" s="31" t="s">
        <v>337</v>
      </c>
      <c r="E49" s="31">
        <f t="shared" ref="E49:X49" si="10">IF(E47&lt;$J$23,$J$24,IF(E47&lt;$K$23,$K$24,IF(E47&lt;$L$23,$L$24,$M$24)))</f>
        <v>28.800000000000004</v>
      </c>
      <c r="F49" s="31">
        <f t="shared" si="10"/>
        <v>28.800000000000004</v>
      </c>
      <c r="G49" s="31">
        <f t="shared" si="10"/>
        <v>28.800000000000004</v>
      </c>
      <c r="H49" s="31">
        <f t="shared" si="10"/>
        <v>28.800000000000004</v>
      </c>
      <c r="I49" s="31">
        <f t="shared" si="10"/>
        <v>28.800000000000004</v>
      </c>
      <c r="J49" s="31">
        <f t="shared" si="10"/>
        <v>28.800000000000004</v>
      </c>
      <c r="K49" s="31">
        <f t="shared" si="10"/>
        <v>28.800000000000004</v>
      </c>
      <c r="L49" s="31">
        <f t="shared" si="10"/>
        <v>28.800000000000004</v>
      </c>
      <c r="M49" s="31">
        <f t="shared" si="10"/>
        <v>28.800000000000004</v>
      </c>
      <c r="N49" s="31">
        <f t="shared" si="10"/>
        <v>31.250000000000004</v>
      </c>
      <c r="O49" s="31">
        <f t="shared" si="10"/>
        <v>31.250000000000004</v>
      </c>
      <c r="P49" s="31">
        <f t="shared" si="10"/>
        <v>31.250000000000004</v>
      </c>
      <c r="Q49" s="31">
        <f t="shared" si="10"/>
        <v>31.250000000000004</v>
      </c>
      <c r="R49" s="31">
        <f t="shared" si="10"/>
        <v>31.250000000000004</v>
      </c>
      <c r="S49" s="31">
        <f t="shared" si="10"/>
        <v>31.250000000000004</v>
      </c>
      <c r="T49" s="31">
        <f t="shared" si="10"/>
        <v>31.250000000000004</v>
      </c>
      <c r="U49" s="31">
        <f t="shared" si="10"/>
        <v>31.250000000000004</v>
      </c>
      <c r="V49" s="31">
        <f t="shared" si="10"/>
        <v>31.250000000000004</v>
      </c>
      <c r="W49" s="31">
        <f t="shared" si="10"/>
        <v>31.250000000000004</v>
      </c>
      <c r="X49" s="31">
        <f t="shared" si="10"/>
        <v>31.250000000000004</v>
      </c>
    </row>
    <row r="50" spans="4:25" x14ac:dyDescent="0.2">
      <c r="D50" s="31" t="s">
        <v>338</v>
      </c>
      <c r="E50" s="31">
        <f t="shared" ref="E50:X50" si="11">IF(E47&lt;$J$23,$J$25,IF(E47&lt;$K$23,$K$25,IF(E47&lt;$L$23,$L$25,$M$25)))</f>
        <v>-0.38021124171160603</v>
      </c>
      <c r="F50" s="31">
        <f t="shared" si="11"/>
        <v>-0.38021124171160603</v>
      </c>
      <c r="G50" s="31">
        <f t="shared" si="11"/>
        <v>-0.38021124171160603</v>
      </c>
      <c r="H50" s="31">
        <f t="shared" si="11"/>
        <v>-0.38021124171160603</v>
      </c>
      <c r="I50" s="31">
        <f t="shared" si="11"/>
        <v>-0.38021124171160603</v>
      </c>
      <c r="J50" s="31">
        <f t="shared" si="11"/>
        <v>-0.38021124171160603</v>
      </c>
      <c r="K50" s="31">
        <f t="shared" si="11"/>
        <v>-0.38021124171160603</v>
      </c>
      <c r="L50" s="31">
        <f t="shared" si="11"/>
        <v>-0.38021124171160603</v>
      </c>
      <c r="M50" s="31">
        <f t="shared" si="11"/>
        <v>-0.38021124171160603</v>
      </c>
      <c r="N50" s="31">
        <f t="shared" si="11"/>
        <v>-0.3979400086720376</v>
      </c>
      <c r="O50" s="31">
        <f t="shared" si="11"/>
        <v>-0.3979400086720376</v>
      </c>
      <c r="P50" s="31">
        <f t="shared" si="11"/>
        <v>-0.3979400086720376</v>
      </c>
      <c r="Q50" s="31">
        <f t="shared" si="11"/>
        <v>-0.3979400086720376</v>
      </c>
      <c r="R50" s="31">
        <f t="shared" si="11"/>
        <v>-0.3979400086720376</v>
      </c>
      <c r="S50" s="31">
        <f t="shared" si="11"/>
        <v>-0.3979400086720376</v>
      </c>
      <c r="T50" s="31">
        <f t="shared" si="11"/>
        <v>-0.3979400086720376</v>
      </c>
      <c r="U50" s="31">
        <f t="shared" si="11"/>
        <v>-0.3979400086720376</v>
      </c>
      <c r="V50" s="31">
        <f t="shared" si="11"/>
        <v>-0.3979400086720376</v>
      </c>
      <c r="W50" s="31">
        <f t="shared" si="11"/>
        <v>-0.3979400086720376</v>
      </c>
      <c r="X50" s="31">
        <f t="shared" si="11"/>
        <v>-0.3979400086720376</v>
      </c>
    </row>
    <row r="52" spans="4:25" x14ac:dyDescent="0.2">
      <c r="D52" s="31" t="s">
        <v>393</v>
      </c>
      <c r="E52" s="31">
        <f t="shared" ref="E52:X52" si="12">E49*E47^E50*VINMAX</f>
        <v>348.80213642188085</v>
      </c>
      <c r="F52" s="31">
        <f t="shared" si="12"/>
        <v>337.01344061985412</v>
      </c>
      <c r="G52" s="31">
        <f t="shared" si="12"/>
        <v>325.62670020326573</v>
      </c>
      <c r="H52" s="31">
        <f t="shared" si="12"/>
        <v>314.62833830434226</v>
      </c>
      <c r="I52" s="31">
        <f t="shared" si="12"/>
        <v>304.00523405488923</v>
      </c>
      <c r="J52" s="31">
        <f t="shared" si="12"/>
        <v>293.74470602113911</v>
      </c>
      <c r="K52" s="31">
        <f t="shared" si="12"/>
        <v>283.83449609392375</v>
      </c>
      <c r="L52" s="31">
        <f t="shared" si="12"/>
        <v>274.26275382204238</v>
      </c>
      <c r="M52" s="31">
        <f t="shared" si="12"/>
        <v>265.01802118094065</v>
      </c>
      <c r="N52" s="31">
        <f t="shared" si="12"/>
        <v>255.90830527184772</v>
      </c>
      <c r="O52" s="31">
        <f t="shared" si="12"/>
        <v>246.8961410501893</v>
      </c>
      <c r="P52" s="31">
        <f t="shared" si="12"/>
        <v>238.20599413278217</v>
      </c>
      <c r="Q52" s="31">
        <f t="shared" si="12"/>
        <v>229.82640193575975</v>
      </c>
      <c r="R52" s="31">
        <f t="shared" si="12"/>
        <v>221.74629060497074</v>
      </c>
      <c r="S52" s="31">
        <f t="shared" si="12"/>
        <v>213.954959763761</v>
      </c>
      <c r="T52" s="31">
        <f t="shared" si="12"/>
        <v>206.44206793911846</v>
      </c>
      <c r="U52" s="31">
        <f t="shared" si="12"/>
        <v>199.19761870197419</v>
      </c>
      <c r="V52" s="31">
        <f t="shared" si="12"/>
        <v>192.21194756123086</v>
      </c>
      <c r="W52" s="31">
        <f t="shared" si="12"/>
        <v>185.4757096527193</v>
      </c>
      <c r="X52" s="31">
        <f t="shared" si="12"/>
        <v>178.97986826313962</v>
      </c>
      <c r="Y52" s="31"/>
    </row>
    <row r="53" spans="4:25" x14ac:dyDescent="0.2">
      <c r="D53" s="31" t="s">
        <v>394</v>
      </c>
      <c r="E53" s="31">
        <f t="shared" ref="E53:X53" si="13">E52*(TJMAX-$E$19)/(TJMAX - 25)</f>
        <v>279.04170913750465</v>
      </c>
      <c r="F53" s="31">
        <f t="shared" si="13"/>
        <v>269.61075249588333</v>
      </c>
      <c r="G53" s="31">
        <f t="shared" si="13"/>
        <v>260.50136016261257</v>
      </c>
      <c r="H53" s="31">
        <f t="shared" si="13"/>
        <v>251.70267064347382</v>
      </c>
      <c r="I53" s="31">
        <f t="shared" si="13"/>
        <v>243.20418724391138</v>
      </c>
      <c r="J53" s="31">
        <f t="shared" si="13"/>
        <v>234.9957648169113</v>
      </c>
      <c r="K53" s="31">
        <f t="shared" si="13"/>
        <v>227.06759687513897</v>
      </c>
      <c r="L53" s="31">
        <f t="shared" si="13"/>
        <v>219.41020305763391</v>
      </c>
      <c r="M53" s="31">
        <f t="shared" si="13"/>
        <v>212.01441694475253</v>
      </c>
      <c r="N53" s="31">
        <f t="shared" si="13"/>
        <v>204.72664421747817</v>
      </c>
      <c r="O53" s="31">
        <f t="shared" si="13"/>
        <v>197.51691284015143</v>
      </c>
      <c r="P53" s="31">
        <f t="shared" si="13"/>
        <v>190.56479530622573</v>
      </c>
      <c r="Q53" s="31">
        <f t="shared" si="13"/>
        <v>183.8611215486078</v>
      </c>
      <c r="R53" s="31">
        <f t="shared" si="13"/>
        <v>177.39703248397657</v>
      </c>
      <c r="S53" s="31">
        <f t="shared" si="13"/>
        <v>171.1639678110088</v>
      </c>
      <c r="T53" s="31">
        <f t="shared" si="13"/>
        <v>165.15365435129479</v>
      </c>
      <c r="U53" s="31">
        <f t="shared" si="13"/>
        <v>159.35809496157935</v>
      </c>
      <c r="V53" s="31">
        <f t="shared" si="13"/>
        <v>153.76955804898469</v>
      </c>
      <c r="W53" s="31">
        <f t="shared" si="13"/>
        <v>148.38056772217544</v>
      </c>
      <c r="X53" s="31">
        <f t="shared" si="13"/>
        <v>143.18389461051171</v>
      </c>
      <c r="Y53" s="31"/>
    </row>
    <row r="54" spans="4:25" x14ac:dyDescent="0.2">
      <c r="D54" s="31" t="s">
        <v>395</v>
      </c>
      <c r="E54" s="31">
        <f t="shared" ref="E54:X54" si="14">E53/E46</f>
        <v>0.90798335370407324</v>
      </c>
      <c r="F54" s="31">
        <f t="shared" si="14"/>
        <v>0.95603884376169512</v>
      </c>
      <c r="G54" s="31">
        <f t="shared" si="14"/>
        <v>1.0062150991009595</v>
      </c>
      <c r="H54" s="31">
        <f t="shared" si="14"/>
        <v>1.0585429147742274</v>
      </c>
      <c r="I54" s="31">
        <f t="shared" si="14"/>
        <v>1.1130433433635969</v>
      </c>
      <c r="J54" s="31">
        <f t="shared" si="14"/>
        <v>1.1697259975648506</v>
      </c>
      <c r="K54" s="31">
        <f t="shared" si="14"/>
        <v>1.2285872192093266</v>
      </c>
      <c r="L54" s="31">
        <f t="shared" si="14"/>
        <v>1.2896081269156552</v>
      </c>
      <c r="M54" s="31">
        <f t="shared" si="14"/>
        <v>1.3527525614127518</v>
      </c>
      <c r="N54" s="31">
        <f t="shared" si="14"/>
        <v>1.4169632438297948</v>
      </c>
      <c r="O54" s="31">
        <f t="shared" si="14"/>
        <v>1.4817503916151249</v>
      </c>
      <c r="P54" s="31">
        <f t="shared" si="14"/>
        <v>1.5482110550088723</v>
      </c>
      <c r="Q54" s="31">
        <f t="shared" si="14"/>
        <v>1.6162109466104304</v>
      </c>
      <c r="R54" s="31">
        <f t="shared" si="14"/>
        <v>1.6855890251878642</v>
      </c>
      <c r="S54" s="31">
        <f t="shared" si="14"/>
        <v>1.7561559758522849</v>
      </c>
      <c r="T54" s="31">
        <f t="shared" si="14"/>
        <v>1.8276930060421825</v>
      </c>
      <c r="U54" s="31">
        <f t="shared" si="14"/>
        <v>1.8999510517262372</v>
      </c>
      <c r="V54" s="31">
        <f t="shared" si="14"/>
        <v>1.9726504928070068</v>
      </c>
      <c r="W54" s="31">
        <f t="shared" si="14"/>
        <v>2.045481477348468</v>
      </c>
      <c r="X54" s="31">
        <f t="shared" si="14"/>
        <v>2.1181049498596409</v>
      </c>
      <c r="Y54" s="31"/>
    </row>
    <row r="56" spans="4:25" x14ac:dyDescent="0.2">
      <c r="D56" s="31" t="s">
        <v>396</v>
      </c>
      <c r="E56" s="31" t="str">
        <f t="shared" ref="E56:X56" si="15">IF(E54&gt;$E$20, "Y", "N")</f>
        <v>N</v>
      </c>
      <c r="F56" s="31" t="str">
        <f t="shared" si="15"/>
        <v>N</v>
      </c>
      <c r="G56" s="31" t="str">
        <f t="shared" si="15"/>
        <v>N</v>
      </c>
      <c r="H56" s="31" t="str">
        <f t="shared" si="15"/>
        <v>N</v>
      </c>
      <c r="I56" s="31" t="str">
        <f t="shared" si="15"/>
        <v>N</v>
      </c>
      <c r="J56" s="31" t="str">
        <f t="shared" si="15"/>
        <v>N</v>
      </c>
      <c r="K56" s="31" t="str">
        <f t="shared" si="15"/>
        <v>N</v>
      </c>
      <c r="L56" s="31" t="str">
        <f t="shared" si="15"/>
        <v>N</v>
      </c>
      <c r="M56" s="31" t="str">
        <f t="shared" si="15"/>
        <v>Y</v>
      </c>
      <c r="N56" s="31" t="str">
        <f t="shared" si="15"/>
        <v>Y</v>
      </c>
      <c r="O56" s="31" t="str">
        <f t="shared" si="15"/>
        <v>Y</v>
      </c>
      <c r="P56" s="31" t="str">
        <f t="shared" si="15"/>
        <v>Y</v>
      </c>
      <c r="Q56" s="31" t="str">
        <f t="shared" si="15"/>
        <v>Y</v>
      </c>
      <c r="R56" s="31" t="str">
        <f t="shared" si="15"/>
        <v>Y</v>
      </c>
      <c r="S56" s="31" t="str">
        <f t="shared" si="15"/>
        <v>Y</v>
      </c>
      <c r="T56" s="31" t="str">
        <f t="shared" si="15"/>
        <v>Y</v>
      </c>
      <c r="U56" s="31" t="str">
        <f t="shared" si="15"/>
        <v>Y</v>
      </c>
      <c r="V56" s="31" t="str">
        <f t="shared" si="15"/>
        <v>Y</v>
      </c>
      <c r="W56" s="31" t="str">
        <f t="shared" si="15"/>
        <v>Y</v>
      </c>
      <c r="X56" s="31" t="str">
        <f t="shared" si="15"/>
        <v>Y</v>
      </c>
      <c r="Y56" s="31" t="s">
        <v>397</v>
      </c>
    </row>
    <row r="57" spans="4:25" x14ac:dyDescent="0.2">
      <c r="D57" s="31" t="s">
        <v>398</v>
      </c>
      <c r="E57" s="31">
        <f>IF(E56="Y", 1, 0)</f>
        <v>0</v>
      </c>
      <c r="F57" s="31">
        <f t="shared" ref="F57:X57" si="16">IF(AND(F56="Y", E56="N"),  1, 0)</f>
        <v>0</v>
      </c>
      <c r="G57" s="31">
        <f t="shared" si="16"/>
        <v>0</v>
      </c>
      <c r="H57" s="31">
        <f t="shared" si="16"/>
        <v>0</v>
      </c>
      <c r="I57" s="31">
        <f t="shared" si="16"/>
        <v>0</v>
      </c>
      <c r="J57" s="31">
        <f t="shared" si="16"/>
        <v>0</v>
      </c>
      <c r="K57" s="31">
        <f t="shared" si="16"/>
        <v>0</v>
      </c>
      <c r="L57" s="31">
        <f t="shared" si="16"/>
        <v>0</v>
      </c>
      <c r="M57" s="31">
        <f t="shared" si="16"/>
        <v>1</v>
      </c>
      <c r="N57" s="31">
        <f t="shared" si="16"/>
        <v>0</v>
      </c>
      <c r="O57" s="31">
        <f t="shared" si="16"/>
        <v>0</v>
      </c>
      <c r="P57" s="31">
        <f t="shared" si="16"/>
        <v>0</v>
      </c>
      <c r="Q57" s="31">
        <f t="shared" si="16"/>
        <v>0</v>
      </c>
      <c r="R57" s="31">
        <f t="shared" si="16"/>
        <v>0</v>
      </c>
      <c r="S57" s="31">
        <f t="shared" si="16"/>
        <v>0</v>
      </c>
      <c r="T57" s="31">
        <f t="shared" si="16"/>
        <v>0</v>
      </c>
      <c r="U57" s="31">
        <f t="shared" si="16"/>
        <v>0</v>
      </c>
      <c r="V57" s="31">
        <f t="shared" si="16"/>
        <v>0</v>
      </c>
      <c r="W57" s="31">
        <f t="shared" si="16"/>
        <v>0</v>
      </c>
      <c r="X57" s="31">
        <f t="shared" si="16"/>
        <v>0</v>
      </c>
      <c r="Y57" s="31"/>
    </row>
    <row r="58" spans="4:25" x14ac:dyDescent="0.2">
      <c r="D58" s="31" t="s">
        <v>399</v>
      </c>
      <c r="E58" s="31">
        <v>0</v>
      </c>
      <c r="F58" s="31">
        <f t="shared" ref="F58:X58" si="17">IF(AND(F56="Y", G56="N"),  1, 0)</f>
        <v>0</v>
      </c>
      <c r="G58" s="31">
        <f t="shared" si="17"/>
        <v>0</v>
      </c>
      <c r="H58" s="31">
        <f t="shared" si="17"/>
        <v>0</v>
      </c>
      <c r="I58" s="31">
        <f t="shared" si="17"/>
        <v>0</v>
      </c>
      <c r="J58" s="31">
        <f t="shared" si="17"/>
        <v>0</v>
      </c>
      <c r="K58" s="31">
        <f t="shared" si="17"/>
        <v>0</v>
      </c>
      <c r="L58" s="31">
        <f t="shared" si="17"/>
        <v>0</v>
      </c>
      <c r="M58" s="31">
        <f t="shared" si="17"/>
        <v>0</v>
      </c>
      <c r="N58" s="31">
        <f t="shared" si="17"/>
        <v>0</v>
      </c>
      <c r="O58" s="31">
        <f t="shared" si="17"/>
        <v>0</v>
      </c>
      <c r="P58" s="31">
        <f t="shared" si="17"/>
        <v>0</v>
      </c>
      <c r="Q58" s="31">
        <f t="shared" si="17"/>
        <v>0</v>
      </c>
      <c r="R58" s="31">
        <f t="shared" si="17"/>
        <v>0</v>
      </c>
      <c r="S58" s="31">
        <f t="shared" si="17"/>
        <v>0</v>
      </c>
      <c r="T58" s="31">
        <f t="shared" si="17"/>
        <v>0</v>
      </c>
      <c r="U58" s="31">
        <f t="shared" si="17"/>
        <v>0</v>
      </c>
      <c r="V58" s="31">
        <f t="shared" si="17"/>
        <v>0</v>
      </c>
      <c r="W58" s="31">
        <f t="shared" si="17"/>
        <v>0</v>
      </c>
      <c r="X58" s="31">
        <f t="shared" si="17"/>
        <v>1</v>
      </c>
      <c r="Y58" s="31"/>
    </row>
    <row r="60" spans="4:25" x14ac:dyDescent="0.2">
      <c r="D60" s="31" t="s">
        <v>400</v>
      </c>
      <c r="E60" s="31">
        <f t="shared" ref="E60:X60" si="18">E57*E37</f>
        <v>0</v>
      </c>
      <c r="F60" s="31">
        <f t="shared" si="18"/>
        <v>0</v>
      </c>
      <c r="G60" s="31">
        <f t="shared" si="18"/>
        <v>0</v>
      </c>
      <c r="H60" s="31">
        <f t="shared" si="18"/>
        <v>0</v>
      </c>
      <c r="I60" s="31">
        <f t="shared" si="18"/>
        <v>0</v>
      </c>
      <c r="J60" s="31">
        <f t="shared" si="18"/>
        <v>0</v>
      </c>
      <c r="K60" s="31">
        <f t="shared" si="18"/>
        <v>0</v>
      </c>
      <c r="L60" s="31">
        <f t="shared" si="18"/>
        <v>0</v>
      </c>
      <c r="M60" s="31">
        <f t="shared" si="18"/>
        <v>0.27140030351172184</v>
      </c>
      <c r="N60" s="31">
        <f t="shared" si="18"/>
        <v>0</v>
      </c>
      <c r="O60" s="31">
        <f t="shared" si="18"/>
        <v>0</v>
      </c>
      <c r="P60" s="31">
        <f t="shared" si="18"/>
        <v>0</v>
      </c>
      <c r="Q60" s="31">
        <f t="shared" si="18"/>
        <v>0</v>
      </c>
      <c r="R60" s="31">
        <f t="shared" si="18"/>
        <v>0</v>
      </c>
      <c r="S60" s="31">
        <f t="shared" si="18"/>
        <v>0</v>
      </c>
      <c r="T60" s="31">
        <f t="shared" si="18"/>
        <v>0</v>
      </c>
      <c r="U60" s="31">
        <f t="shared" si="18"/>
        <v>0</v>
      </c>
      <c r="V60" s="31">
        <f t="shared" si="18"/>
        <v>0</v>
      </c>
      <c r="W60" s="31">
        <f t="shared" si="18"/>
        <v>0</v>
      </c>
      <c r="X60" s="31">
        <f t="shared" si="18"/>
        <v>0</v>
      </c>
      <c r="Y60" s="31"/>
    </row>
    <row r="61" spans="4:25" x14ac:dyDescent="0.2">
      <c r="D61" s="31" t="s">
        <v>401</v>
      </c>
      <c r="E61" s="31">
        <f t="shared" ref="E61:X61" si="19">E37*E58</f>
        <v>0</v>
      </c>
      <c r="F61" s="31">
        <f t="shared" si="19"/>
        <v>0</v>
      </c>
      <c r="G61" s="31">
        <f t="shared" si="19"/>
        <v>0</v>
      </c>
      <c r="H61" s="31">
        <f t="shared" si="19"/>
        <v>0</v>
      </c>
      <c r="I61" s="31">
        <f t="shared" si="19"/>
        <v>0</v>
      </c>
      <c r="J61" s="31">
        <f t="shared" si="19"/>
        <v>0</v>
      </c>
      <c r="K61" s="31">
        <f t="shared" si="19"/>
        <v>0</v>
      </c>
      <c r="L61" s="31">
        <f t="shared" si="19"/>
        <v>0</v>
      </c>
      <c r="M61" s="31">
        <f t="shared" si="19"/>
        <v>0</v>
      </c>
      <c r="N61" s="31">
        <f t="shared" si="19"/>
        <v>0</v>
      </c>
      <c r="O61" s="31">
        <f t="shared" si="19"/>
        <v>0</v>
      </c>
      <c r="P61" s="31">
        <f t="shared" si="19"/>
        <v>0</v>
      </c>
      <c r="Q61" s="31">
        <f t="shared" si="19"/>
        <v>0</v>
      </c>
      <c r="R61" s="31">
        <f t="shared" si="19"/>
        <v>0</v>
      </c>
      <c r="S61" s="31">
        <f t="shared" si="19"/>
        <v>0</v>
      </c>
      <c r="T61" s="31">
        <f t="shared" si="19"/>
        <v>0</v>
      </c>
      <c r="U61" s="31">
        <f t="shared" si="19"/>
        <v>0</v>
      </c>
      <c r="V61" s="31">
        <f t="shared" si="19"/>
        <v>0</v>
      </c>
      <c r="W61" s="31">
        <f t="shared" si="19"/>
        <v>0</v>
      </c>
      <c r="X61" s="31">
        <f t="shared" si="19"/>
        <v>9.9999999999999992E-2</v>
      </c>
      <c r="Y61" s="31"/>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5383</TotalTime>
  <Application>Microsoft Excel</Application>
  <DocSecurity>0</DocSecurity>
  <ScaleCrop>false</ScaleCrop>
  <HeadingPairs>
    <vt:vector size="4" baseType="variant">
      <vt:variant>
        <vt:lpstr>Worksheets</vt:lpstr>
      </vt:variant>
      <vt:variant>
        <vt:i4>7</vt:i4>
      </vt:variant>
      <vt:variant>
        <vt:lpstr>Named Ranges</vt:lpstr>
      </vt:variant>
      <vt:variant>
        <vt:i4>29</vt:i4>
      </vt:variant>
    </vt:vector>
  </HeadingPairs>
  <TitlesOfParts>
    <vt:vector size="36" baseType="lpstr">
      <vt:lpstr>Instructions</vt:lpstr>
      <vt:lpstr>Design Calculator</vt:lpstr>
      <vt:lpstr>Device Parmaters</vt:lpstr>
      <vt:lpstr>Equations</vt:lpstr>
      <vt:lpstr>Start_up</vt:lpstr>
      <vt:lpstr>SOA</vt:lpstr>
      <vt:lpstr>dv_dt_recommendations</vt:lpstr>
      <vt:lpstr>CLMAX</vt:lpstr>
      <vt:lpstr>CLMAX_Threshold</vt:lpstr>
      <vt:lpstr>CLMIN</vt:lpstr>
      <vt:lpstr>CLMIN_Threshold</vt:lpstr>
      <vt:lpstr>CLNOM</vt:lpstr>
      <vt:lpstr>CLNOM_Threshold</vt:lpstr>
      <vt:lpstr>COUTMAX</vt:lpstr>
      <vt:lpstr>FETPDISS</vt:lpstr>
      <vt:lpstr>I_Cout_ss</vt:lpstr>
      <vt:lpstr>IOUTMAX</vt:lpstr>
      <vt:lpstr>NUMFETS</vt:lpstr>
      <vt:lpstr>'Design Calculator'!Print_Area</vt:lpstr>
      <vt:lpstr>RDIV1</vt:lpstr>
      <vt:lpstr>RDIV2</vt:lpstr>
      <vt:lpstr>RDSON</vt:lpstr>
      <vt:lpstr>RPWR</vt:lpstr>
      <vt:lpstr>Rs</vt:lpstr>
      <vt:lpstr>RsEFF</vt:lpstr>
      <vt:lpstr>RsMAX</vt:lpstr>
      <vt:lpstr>ss_rate</vt:lpstr>
      <vt:lpstr>TAMB</vt:lpstr>
      <vt:lpstr>Tfault</vt:lpstr>
      <vt:lpstr>ThetaJA</vt:lpstr>
      <vt:lpstr>TJ</vt:lpstr>
      <vt:lpstr>TJMAX</vt:lpstr>
      <vt:lpstr>VINMAX</vt:lpstr>
      <vt:lpstr>VINMIN</vt:lpstr>
      <vt:lpstr>VINNOM</vt:lpstr>
      <vt:lpstr>yesno</vt:lpstr>
    </vt:vector>
  </TitlesOfParts>
  <Company>NSC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TPS249x/8x Design Calculator</dc:title>
  <dc:subject/>
  <dc:creator>Timothy Hegarty</dc:creator>
  <dc:description/>
  <cp:lastModifiedBy>BISE Federico</cp:lastModifiedBy>
  <cp:revision>5</cp:revision>
  <cp:lastPrinted>2013-08-26T22:42:43Z</cp:lastPrinted>
  <dcterms:created xsi:type="dcterms:W3CDTF">2009-04-21T16:00:33Z</dcterms:created>
  <dcterms:modified xsi:type="dcterms:W3CDTF">2024-03-27T21:41:37Z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NSC</vt:lpwstr>
  </property>
  <property fmtid="{D5CDD505-2E9C-101B-9397-08002B2CF9AE}" pid="4" name="ContentTypeId">
    <vt:lpwstr>0x010100CF72F43736E84F41BD4B3E7ABAD1B9F8</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ies>
</file>