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drawings/drawing5.xml" ContentType="application/vnd.openxmlformats-officedocument.drawing+xml"/>
  <Override PartName="/xl/embeddings/oleObject2.bin" ContentType="application/vnd.openxmlformats-officedocument.oleObject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0" activeTab="13"/>
  </bookViews>
  <sheets>
    <sheet name=" HOJAS DE BALANCE" sheetId="1" r:id="rId1"/>
    <sheet name="CALENDARIO DE REINVERSIONES" sheetId="9" r:id="rId2"/>
    <sheet name="CALENDARIO INGRESOS X VENTA " sheetId="10" r:id="rId3"/>
    <sheet name="COSTOS DE PRODUCCIÓN " sheetId="3" r:id="rId4"/>
    <sheet name="PUNTO DE EQUILIBRIO" sheetId="13" r:id="rId5"/>
    <sheet name="IMPUESTO DE PRIMERA CATEGORÍA" sheetId="15" r:id="rId6"/>
    <sheet name="DEPRECIACIÓN" sheetId="14" r:id="rId7"/>
    <sheet name=" DEMANDA" sheetId="2" r:id="rId8"/>
    <sheet name="CURVA DE LA DEMANDA" sheetId="18" r:id="rId9"/>
    <sheet name="CICLO DE VIDA DEL PRODUCTO" sheetId="17" r:id="rId10"/>
    <sheet name="CAPITAL DE TRABAJO" sheetId="19" r:id="rId11"/>
    <sheet name="INVERSIÓN INICIAL PREVIA" sheetId="20" r:id="rId12"/>
    <sheet name="VALOR DE DESECHO" sheetId="23" r:id="rId13"/>
    <sheet name="COSTO DE CAPITAL" sheetId="8" r:id="rId14"/>
    <sheet name="FLUJO DE CAJA" sheetId="7" r:id="rId15"/>
  </sheets>
  <calcPr calcId="152511"/>
  <fileRecoveryPr repairLoad="1"/>
</workbook>
</file>

<file path=xl/calcChain.xml><?xml version="1.0" encoding="utf-8"?>
<calcChain xmlns="http://schemas.openxmlformats.org/spreadsheetml/2006/main">
  <c r="C21" i="7" l="1"/>
  <c r="C20" i="7"/>
  <c r="C19" i="7"/>
  <c r="C18" i="7"/>
  <c r="H16" i="7"/>
  <c r="G16" i="7"/>
  <c r="F16" i="7"/>
  <c r="E16" i="7"/>
  <c r="D16" i="7"/>
  <c r="C16" i="7"/>
  <c r="H15" i="7"/>
  <c r="G15" i="7"/>
  <c r="F15" i="7"/>
  <c r="E15" i="7"/>
  <c r="D15" i="7"/>
  <c r="H14" i="7"/>
  <c r="G14" i="7"/>
  <c r="F14" i="7"/>
  <c r="E14" i="7"/>
  <c r="D14" i="7"/>
  <c r="H13" i="7"/>
  <c r="G13" i="7"/>
  <c r="F13" i="7"/>
  <c r="E13" i="7"/>
  <c r="D13" i="7"/>
  <c r="H12" i="7"/>
  <c r="G12" i="7"/>
  <c r="F12" i="7"/>
  <c r="E12" i="7"/>
  <c r="D12" i="7"/>
  <c r="C12" i="7"/>
  <c r="H11" i="7"/>
  <c r="G11" i="7"/>
  <c r="F11" i="7"/>
  <c r="E11" i="7"/>
  <c r="D11" i="7"/>
  <c r="H10" i="7"/>
  <c r="G10" i="7"/>
  <c r="F10" i="7"/>
  <c r="E10" i="7"/>
  <c r="D10" i="7"/>
  <c r="C10" i="7"/>
  <c r="H9" i="7"/>
  <c r="G9" i="7"/>
  <c r="F9" i="7"/>
  <c r="E9" i="7"/>
  <c r="D9" i="7"/>
  <c r="H8" i="7"/>
  <c r="G8" i="7"/>
  <c r="F8" i="7"/>
  <c r="E8" i="7"/>
  <c r="D8" i="7"/>
  <c r="C8" i="7"/>
  <c r="H7" i="7"/>
  <c r="G7" i="7"/>
  <c r="F7" i="7"/>
  <c r="E7" i="7"/>
  <c r="D7" i="7"/>
  <c r="G21" i="8"/>
  <c r="E21" i="8"/>
  <c r="G20" i="8"/>
  <c r="E20" i="8"/>
  <c r="G19" i="8"/>
  <c r="E19" i="8"/>
  <c r="G18" i="8"/>
  <c r="E18" i="8"/>
  <c r="G17" i="8"/>
  <c r="E17" i="8"/>
  <c r="G16" i="8"/>
  <c r="E16" i="8"/>
  <c r="G15" i="8"/>
  <c r="E15" i="8"/>
  <c r="G14" i="8"/>
  <c r="E14" i="8"/>
  <c r="G13" i="8"/>
  <c r="E13" i="8"/>
  <c r="G12" i="8"/>
  <c r="E12" i="8"/>
  <c r="G11" i="8"/>
  <c r="E11" i="8"/>
  <c r="F7" i="8"/>
  <c r="E7" i="8"/>
  <c r="F5" i="8"/>
  <c r="E5" i="8"/>
  <c r="D5" i="8"/>
  <c r="C5" i="8"/>
  <c r="C9" i="23"/>
  <c r="C8" i="23"/>
  <c r="C7" i="23"/>
  <c r="C6" i="23"/>
  <c r="C5" i="23"/>
  <c r="C4" i="23"/>
  <c r="C9" i="20"/>
  <c r="C8" i="20"/>
  <c r="C7" i="20"/>
  <c r="C6" i="20"/>
  <c r="C5" i="20"/>
  <c r="C4" i="20"/>
  <c r="J10" i="19"/>
  <c r="I10" i="19"/>
  <c r="H10" i="19"/>
  <c r="G10" i="19"/>
  <c r="F10" i="19"/>
  <c r="J9" i="19"/>
  <c r="I9" i="19"/>
  <c r="H9" i="19"/>
  <c r="G9" i="19"/>
  <c r="F9" i="19"/>
  <c r="C9" i="19"/>
  <c r="J8" i="19"/>
  <c r="I8" i="19"/>
  <c r="H8" i="19"/>
  <c r="G8" i="19"/>
  <c r="F8" i="19"/>
  <c r="C10" i="17"/>
  <c r="C9" i="17"/>
  <c r="C8" i="17"/>
  <c r="C7" i="17"/>
  <c r="C6" i="17"/>
  <c r="D8" i="18"/>
  <c r="D7" i="18"/>
  <c r="C7" i="18"/>
  <c r="D6" i="18"/>
  <c r="C6" i="18"/>
  <c r="D5" i="18"/>
  <c r="C5" i="18"/>
  <c r="D4" i="18"/>
  <c r="C4" i="18"/>
  <c r="D3" i="18"/>
  <c r="C3" i="18"/>
  <c r="AB17" i="2"/>
  <c r="AA17" i="2"/>
  <c r="V17" i="2"/>
  <c r="U17" i="2"/>
  <c r="P17" i="2"/>
  <c r="O17" i="2"/>
  <c r="K17" i="2"/>
  <c r="J17" i="2"/>
  <c r="E17" i="2"/>
  <c r="D17" i="2"/>
  <c r="AB16" i="2"/>
  <c r="AA16" i="2"/>
  <c r="Z16" i="2"/>
  <c r="V16" i="2"/>
  <c r="U16" i="2"/>
  <c r="T16" i="2"/>
  <c r="P16" i="2"/>
  <c r="O16" i="2"/>
  <c r="K16" i="2"/>
  <c r="J16" i="2"/>
  <c r="I16" i="2"/>
  <c r="E16" i="2"/>
  <c r="AB15" i="2"/>
  <c r="AA15" i="2"/>
  <c r="Z15" i="2"/>
  <c r="V15" i="2"/>
  <c r="U15" i="2"/>
  <c r="T15" i="2"/>
  <c r="P15" i="2"/>
  <c r="O15" i="2"/>
  <c r="K15" i="2"/>
  <c r="J15" i="2"/>
  <c r="I15" i="2"/>
  <c r="E15" i="2"/>
  <c r="AB14" i="2"/>
  <c r="AA14" i="2"/>
  <c r="Z14" i="2"/>
  <c r="V14" i="2"/>
  <c r="U14" i="2"/>
  <c r="T14" i="2"/>
  <c r="P14" i="2"/>
  <c r="O14" i="2"/>
  <c r="K14" i="2"/>
  <c r="J14" i="2"/>
  <c r="I14" i="2"/>
  <c r="E14" i="2"/>
  <c r="AB13" i="2"/>
  <c r="AA13" i="2"/>
  <c r="Z13" i="2"/>
  <c r="V13" i="2"/>
  <c r="U13" i="2"/>
  <c r="T13" i="2"/>
  <c r="P13" i="2"/>
  <c r="O13" i="2"/>
  <c r="K13" i="2"/>
  <c r="J13" i="2"/>
  <c r="I13" i="2"/>
  <c r="E13" i="2"/>
  <c r="AB12" i="2"/>
  <c r="AA12" i="2"/>
  <c r="Z12" i="2"/>
  <c r="V12" i="2"/>
  <c r="U12" i="2"/>
  <c r="T12" i="2"/>
  <c r="P12" i="2"/>
  <c r="O12" i="2"/>
  <c r="K12" i="2"/>
  <c r="J12" i="2"/>
  <c r="I12" i="2"/>
  <c r="E12" i="2"/>
  <c r="AB11" i="2"/>
  <c r="AA11" i="2"/>
  <c r="Z11" i="2"/>
  <c r="V11" i="2"/>
  <c r="U11" i="2"/>
  <c r="T11" i="2"/>
  <c r="P11" i="2"/>
  <c r="O11" i="2"/>
  <c r="K11" i="2"/>
  <c r="J11" i="2"/>
  <c r="I11" i="2"/>
  <c r="E11" i="2"/>
  <c r="AB10" i="2"/>
  <c r="AA10" i="2"/>
  <c r="Z10" i="2"/>
  <c r="V10" i="2"/>
  <c r="U10" i="2"/>
  <c r="T10" i="2"/>
  <c r="P10" i="2"/>
  <c r="O10" i="2"/>
  <c r="K10" i="2"/>
  <c r="J10" i="2"/>
  <c r="I10" i="2"/>
  <c r="E10" i="2"/>
  <c r="AB9" i="2"/>
  <c r="AA9" i="2"/>
  <c r="Z9" i="2"/>
  <c r="V9" i="2"/>
  <c r="U9" i="2"/>
  <c r="T9" i="2"/>
  <c r="P9" i="2"/>
  <c r="O9" i="2"/>
  <c r="K9" i="2"/>
  <c r="J9" i="2"/>
  <c r="I9" i="2"/>
  <c r="E9" i="2"/>
  <c r="AB8" i="2"/>
  <c r="AA8" i="2"/>
  <c r="Z8" i="2"/>
  <c r="V8" i="2"/>
  <c r="U8" i="2"/>
  <c r="T8" i="2"/>
  <c r="P8" i="2"/>
  <c r="O8" i="2"/>
  <c r="K8" i="2"/>
  <c r="J8" i="2"/>
  <c r="I8" i="2"/>
  <c r="E8" i="2"/>
  <c r="AB7" i="2"/>
  <c r="AA7" i="2"/>
  <c r="Z7" i="2"/>
  <c r="V7" i="2"/>
  <c r="U7" i="2"/>
  <c r="T7" i="2"/>
  <c r="P7" i="2"/>
  <c r="O7" i="2"/>
  <c r="K7" i="2"/>
  <c r="J7" i="2"/>
  <c r="I7" i="2"/>
  <c r="E7" i="2"/>
  <c r="AB6" i="2"/>
  <c r="AA6" i="2"/>
  <c r="Z6" i="2"/>
  <c r="V6" i="2"/>
  <c r="U6" i="2"/>
  <c r="T6" i="2"/>
  <c r="P6" i="2"/>
  <c r="O6" i="2"/>
  <c r="K6" i="2"/>
  <c r="J6" i="2"/>
  <c r="I6" i="2"/>
  <c r="E6" i="2"/>
  <c r="AB5" i="2"/>
  <c r="AA5" i="2"/>
  <c r="Z5" i="2"/>
  <c r="V5" i="2"/>
  <c r="U5" i="2"/>
  <c r="T5" i="2"/>
  <c r="P5" i="2"/>
  <c r="O5" i="2"/>
  <c r="K5" i="2"/>
  <c r="J5" i="2"/>
  <c r="I5" i="2"/>
  <c r="E5" i="2"/>
  <c r="E72" i="14"/>
  <c r="H71" i="14"/>
  <c r="G71" i="14"/>
  <c r="F71" i="14"/>
  <c r="E71" i="14"/>
  <c r="D71" i="14"/>
  <c r="F67" i="14"/>
  <c r="I66" i="14"/>
  <c r="H66" i="14"/>
  <c r="F66" i="14"/>
  <c r="I65" i="14"/>
  <c r="H65" i="14"/>
  <c r="F65" i="14"/>
  <c r="I64" i="14"/>
  <c r="H64" i="14"/>
  <c r="F64" i="14"/>
  <c r="I63" i="14"/>
  <c r="H63" i="14"/>
  <c r="F63" i="14"/>
  <c r="I62" i="14"/>
  <c r="H62" i="14"/>
  <c r="F62" i="14"/>
  <c r="I61" i="14"/>
  <c r="H61" i="14"/>
  <c r="G61" i="14"/>
  <c r="F61" i="14"/>
  <c r="I60" i="14"/>
  <c r="F56" i="14"/>
  <c r="I55" i="14"/>
  <c r="H55" i="14"/>
  <c r="F55" i="14"/>
  <c r="I54" i="14"/>
  <c r="H54" i="14"/>
  <c r="F54" i="14"/>
  <c r="I53" i="14"/>
  <c r="H53" i="14"/>
  <c r="F53" i="14"/>
  <c r="I52" i="14"/>
  <c r="H52" i="14"/>
  <c r="F52" i="14"/>
  <c r="I51" i="14"/>
  <c r="H51" i="14"/>
  <c r="F51" i="14"/>
  <c r="I50" i="14"/>
  <c r="H50" i="14"/>
  <c r="F50" i="14"/>
  <c r="I49" i="14"/>
  <c r="H49" i="14"/>
  <c r="F49" i="14"/>
  <c r="I48" i="14"/>
  <c r="H48" i="14"/>
  <c r="F48" i="14"/>
  <c r="I47" i="14"/>
  <c r="H47" i="14"/>
  <c r="F47" i="14"/>
  <c r="I46" i="14"/>
  <c r="H46" i="14"/>
  <c r="G46" i="14"/>
  <c r="F46" i="14"/>
  <c r="I45" i="14"/>
  <c r="F41" i="14"/>
  <c r="I40" i="14"/>
  <c r="H40" i="14"/>
  <c r="F40" i="14"/>
  <c r="I39" i="14"/>
  <c r="H39" i="14"/>
  <c r="F39" i="14"/>
  <c r="I38" i="14"/>
  <c r="H38" i="14"/>
  <c r="F38" i="14"/>
  <c r="I37" i="14"/>
  <c r="H37" i="14"/>
  <c r="F37" i="14"/>
  <c r="I36" i="14"/>
  <c r="H36" i="14"/>
  <c r="F36" i="14"/>
  <c r="I35" i="14"/>
  <c r="H35" i="14"/>
  <c r="G35" i="14"/>
  <c r="F35" i="14"/>
  <c r="I34" i="14"/>
  <c r="F30" i="14"/>
  <c r="I29" i="14"/>
  <c r="H29" i="14"/>
  <c r="F29" i="14"/>
  <c r="I28" i="14"/>
  <c r="H28" i="14"/>
  <c r="F28" i="14"/>
  <c r="I27" i="14"/>
  <c r="H27" i="14"/>
  <c r="F27" i="14"/>
  <c r="I26" i="14"/>
  <c r="H26" i="14"/>
  <c r="F26" i="14"/>
  <c r="I25" i="14"/>
  <c r="H25" i="14"/>
  <c r="F25" i="14"/>
  <c r="I24" i="14"/>
  <c r="H24" i="14"/>
  <c r="F24" i="14"/>
  <c r="I23" i="14"/>
  <c r="H23" i="14"/>
  <c r="F23" i="14"/>
  <c r="I22" i="14"/>
  <c r="H22" i="14"/>
  <c r="F22" i="14"/>
  <c r="I21" i="14"/>
  <c r="H21" i="14"/>
  <c r="F21" i="14"/>
  <c r="I20" i="14"/>
  <c r="H20" i="14"/>
  <c r="G20" i="14"/>
  <c r="F20" i="14"/>
  <c r="I19" i="14"/>
  <c r="F15" i="14"/>
  <c r="I14" i="14"/>
  <c r="H14" i="14"/>
  <c r="F14" i="14"/>
  <c r="I13" i="14"/>
  <c r="H13" i="14"/>
  <c r="G13" i="14"/>
  <c r="F13" i="14"/>
  <c r="I12" i="14"/>
  <c r="I8" i="14"/>
  <c r="H8" i="14"/>
  <c r="G8" i="14"/>
  <c r="F8" i="14"/>
  <c r="E8" i="14"/>
  <c r="D8" i="14"/>
  <c r="I7" i="14"/>
  <c r="H7" i="14"/>
  <c r="G7" i="14"/>
  <c r="F7" i="14"/>
  <c r="E7" i="14"/>
  <c r="D7" i="14"/>
  <c r="I6" i="14"/>
  <c r="H6" i="14"/>
  <c r="G6" i="14"/>
  <c r="F6" i="14"/>
  <c r="E6" i="14"/>
  <c r="D6" i="14"/>
  <c r="I5" i="14"/>
  <c r="H5" i="14"/>
  <c r="G5" i="14"/>
  <c r="F5" i="14"/>
  <c r="E5" i="14"/>
  <c r="D5" i="14"/>
  <c r="I4" i="14"/>
  <c r="H4" i="14"/>
  <c r="G4" i="14"/>
  <c r="F4" i="14"/>
  <c r="E4" i="14"/>
  <c r="D4" i="14"/>
  <c r="G13" i="15"/>
  <c r="F13" i="15"/>
  <c r="E13" i="15"/>
  <c r="D13" i="15"/>
  <c r="C13" i="15"/>
  <c r="G8" i="15"/>
  <c r="F8" i="15"/>
  <c r="E8" i="15"/>
  <c r="D8" i="15"/>
  <c r="C8" i="15"/>
  <c r="G6" i="15"/>
  <c r="F6" i="15"/>
  <c r="E6" i="15"/>
  <c r="D6" i="15"/>
  <c r="C6" i="15"/>
  <c r="G5" i="15"/>
  <c r="F5" i="15"/>
  <c r="E5" i="15"/>
  <c r="D5" i="15"/>
  <c r="C5" i="15"/>
  <c r="G4" i="15"/>
  <c r="F4" i="15"/>
  <c r="E4" i="15"/>
  <c r="D4" i="15"/>
  <c r="C4" i="15"/>
  <c r="H20" i="13"/>
  <c r="G20" i="13"/>
  <c r="D20" i="13"/>
  <c r="C20" i="13"/>
  <c r="B20" i="13"/>
  <c r="H19" i="13"/>
  <c r="G19" i="13"/>
  <c r="D19" i="13"/>
  <c r="C19" i="13"/>
  <c r="B19" i="13"/>
  <c r="H18" i="13"/>
  <c r="G18" i="13"/>
  <c r="D18" i="13"/>
  <c r="C18" i="13"/>
  <c r="B18" i="13"/>
  <c r="H17" i="13"/>
  <c r="G17" i="13"/>
  <c r="D17" i="13"/>
  <c r="C17" i="13"/>
  <c r="B17" i="13"/>
  <c r="H16" i="13"/>
  <c r="G16" i="13"/>
  <c r="D16" i="13"/>
  <c r="C16" i="13"/>
  <c r="B16" i="13"/>
  <c r="H15" i="13"/>
  <c r="F15" i="13"/>
  <c r="E15" i="13"/>
  <c r="G10" i="13"/>
  <c r="F10" i="13"/>
  <c r="E10" i="13"/>
  <c r="D10" i="13"/>
  <c r="C10" i="13"/>
  <c r="G9" i="13"/>
  <c r="F9" i="13"/>
  <c r="E9" i="13"/>
  <c r="D9" i="13"/>
  <c r="C9" i="13"/>
  <c r="G8" i="13"/>
  <c r="F8" i="13"/>
  <c r="E8" i="13"/>
  <c r="D8" i="13"/>
  <c r="C8" i="13"/>
  <c r="H7" i="13"/>
  <c r="C7" i="13"/>
  <c r="H5" i="13"/>
  <c r="G4" i="13"/>
  <c r="F4" i="13"/>
  <c r="E4" i="13"/>
  <c r="D4" i="13"/>
  <c r="C4" i="13"/>
  <c r="G3" i="13"/>
  <c r="F3" i="13"/>
  <c r="E3" i="13"/>
  <c r="D3" i="13"/>
  <c r="C3" i="13"/>
  <c r="G2" i="13"/>
  <c r="F2" i="13"/>
  <c r="E2" i="13"/>
  <c r="D2" i="13"/>
  <c r="C2" i="13"/>
  <c r="E59" i="3"/>
  <c r="E58" i="3"/>
  <c r="E56" i="3"/>
  <c r="E52" i="3"/>
  <c r="E51" i="3"/>
  <c r="O46" i="3"/>
  <c r="F45" i="3"/>
  <c r="O44" i="3"/>
  <c r="F44" i="3"/>
  <c r="O43" i="3"/>
  <c r="F43" i="3"/>
  <c r="O42" i="3"/>
  <c r="F42" i="3"/>
  <c r="O41" i="3"/>
  <c r="O40" i="3"/>
  <c r="O39" i="3"/>
  <c r="O38" i="3"/>
  <c r="F38" i="3"/>
  <c r="O37" i="3"/>
  <c r="F37" i="3"/>
  <c r="O36" i="3"/>
  <c r="O35" i="3"/>
  <c r="O34" i="3"/>
  <c r="O33" i="3"/>
  <c r="F33" i="3"/>
  <c r="O32" i="3"/>
  <c r="F32" i="3"/>
  <c r="O31" i="3"/>
  <c r="I31" i="3"/>
  <c r="F31" i="3"/>
  <c r="O30" i="3"/>
  <c r="I30" i="3"/>
  <c r="F30" i="3"/>
  <c r="O29" i="3"/>
  <c r="F29" i="3"/>
  <c r="O28" i="3"/>
  <c r="I28" i="3"/>
  <c r="F28" i="3"/>
  <c r="O27" i="3"/>
  <c r="F27" i="3"/>
  <c r="O26" i="3"/>
  <c r="L26" i="3"/>
  <c r="F26" i="3"/>
  <c r="O25" i="3"/>
  <c r="L25" i="3"/>
  <c r="F25" i="3"/>
  <c r="O24" i="3"/>
  <c r="F24" i="3"/>
  <c r="F23" i="3"/>
  <c r="O22" i="3"/>
  <c r="F21" i="3"/>
  <c r="S20" i="3"/>
  <c r="R20" i="3"/>
  <c r="Q20" i="3"/>
  <c r="P20" i="3"/>
  <c r="O20" i="3"/>
  <c r="F20" i="3"/>
  <c r="S19" i="3"/>
  <c r="R19" i="3"/>
  <c r="Q19" i="3"/>
  <c r="P19" i="3"/>
  <c r="O19" i="3"/>
  <c r="L19" i="3"/>
  <c r="F19" i="3"/>
  <c r="F18" i="3"/>
  <c r="S17" i="3"/>
  <c r="R17" i="3"/>
  <c r="Q17" i="3"/>
  <c r="P17" i="3"/>
  <c r="O17" i="3"/>
  <c r="F17" i="3"/>
  <c r="S16" i="3"/>
  <c r="R16" i="3"/>
  <c r="Q16" i="3"/>
  <c r="P16" i="3"/>
  <c r="O16" i="3"/>
  <c r="F16" i="3"/>
  <c r="S15" i="3"/>
  <c r="R15" i="3"/>
  <c r="Q15" i="3"/>
  <c r="P15" i="3"/>
  <c r="O15" i="3"/>
  <c r="L15" i="3"/>
  <c r="F15" i="3"/>
  <c r="S14" i="3"/>
  <c r="R14" i="3"/>
  <c r="Q14" i="3"/>
  <c r="P14" i="3"/>
  <c r="F14" i="3"/>
  <c r="S13" i="3"/>
  <c r="R13" i="3"/>
  <c r="Q13" i="3"/>
  <c r="P13" i="3"/>
  <c r="F13" i="3"/>
  <c r="S12" i="3"/>
  <c r="R12" i="3"/>
  <c r="Q12" i="3"/>
  <c r="P12" i="3"/>
  <c r="F12" i="3"/>
  <c r="S11" i="3"/>
  <c r="R11" i="3"/>
  <c r="Q11" i="3"/>
  <c r="P11" i="3"/>
  <c r="L11" i="3"/>
  <c r="F11" i="3"/>
  <c r="S10" i="3"/>
  <c r="R10" i="3"/>
  <c r="Q10" i="3"/>
  <c r="P10" i="3"/>
  <c r="L10" i="3"/>
  <c r="S9" i="3"/>
  <c r="R9" i="3"/>
  <c r="Q9" i="3"/>
  <c r="P9" i="3"/>
  <c r="S8" i="3"/>
  <c r="R8" i="3"/>
  <c r="Q8" i="3"/>
  <c r="P8" i="3"/>
  <c r="S7" i="3"/>
  <c r="R7" i="3"/>
  <c r="Q7" i="3"/>
  <c r="P7" i="3"/>
  <c r="S6" i="3"/>
  <c r="R6" i="3"/>
  <c r="Q6" i="3"/>
  <c r="P6" i="3"/>
  <c r="E5" i="3"/>
  <c r="H7" i="10"/>
  <c r="G7" i="10"/>
  <c r="F7" i="10"/>
  <c r="E7" i="10"/>
  <c r="D7" i="10"/>
  <c r="C7" i="10"/>
  <c r="C6" i="10"/>
  <c r="B6" i="10"/>
  <c r="C5" i="10"/>
  <c r="B5" i="10"/>
  <c r="D4" i="10"/>
  <c r="B4" i="10"/>
  <c r="G8" i="9"/>
  <c r="F8" i="9"/>
  <c r="E8" i="9"/>
  <c r="D8" i="9"/>
  <c r="C8" i="9"/>
  <c r="C7" i="9"/>
  <c r="C6" i="9"/>
  <c r="C5" i="9"/>
  <c r="D4" i="9"/>
  <c r="K65" i="1"/>
  <c r="N54" i="1"/>
  <c r="N53" i="1"/>
  <c r="N52" i="1"/>
  <c r="N51" i="1"/>
  <c r="N50" i="1"/>
  <c r="N49" i="1"/>
  <c r="N48" i="1"/>
  <c r="N47" i="1"/>
  <c r="N46" i="1"/>
  <c r="N45" i="1"/>
  <c r="N44" i="1"/>
  <c r="N43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M23" i="1"/>
  <c r="M22" i="1"/>
  <c r="M21" i="1"/>
  <c r="M20" i="1"/>
  <c r="H13" i="1"/>
  <c r="G13" i="1"/>
  <c r="P12" i="1"/>
  <c r="O12" i="1"/>
  <c r="H12" i="1"/>
  <c r="P11" i="1"/>
  <c r="H11" i="1"/>
  <c r="P10" i="1"/>
  <c r="H10" i="1"/>
  <c r="P9" i="1"/>
  <c r="H9" i="1"/>
  <c r="P8" i="1"/>
  <c r="H8" i="1"/>
  <c r="P7" i="1"/>
  <c r="H7" i="1"/>
  <c r="P6" i="1"/>
  <c r="H6" i="1"/>
</calcChain>
</file>

<file path=xl/sharedStrings.xml><?xml version="1.0" encoding="utf-8"?>
<sst xmlns="http://schemas.openxmlformats.org/spreadsheetml/2006/main" count="632" uniqueCount="331">
  <si>
    <t>RECURSOS PRESUPUESTADOS</t>
  </si>
  <si>
    <t>Balance de maquinarias</t>
  </si>
  <si>
    <t>Máquina</t>
  </si>
  <si>
    <t>Cantidad</t>
  </si>
  <si>
    <t>Vida útil [años]</t>
  </si>
  <si>
    <t>Valor de desecho final proyecto</t>
  </si>
  <si>
    <t>Total</t>
  </si>
  <si>
    <t>Calendario de ingresos por venta de maquinaria</t>
  </si>
  <si>
    <t xml:space="preserve">Calendario de reinversiones en maquinaria </t>
  </si>
  <si>
    <t>Costo unitario [CLP]</t>
  </si>
  <si>
    <t>Costo total [CLP]</t>
  </si>
  <si>
    <t>Balance de personal</t>
  </si>
  <si>
    <t>Cargo</t>
  </si>
  <si>
    <t>Número de puestos</t>
  </si>
  <si>
    <t>Balance de Materias Primas</t>
  </si>
  <si>
    <t>Insumo</t>
  </si>
  <si>
    <t>Unidad de Medida</t>
  </si>
  <si>
    <t>Cantidad Requerida</t>
  </si>
  <si>
    <t>Costo Unitario (CLP)</t>
  </si>
  <si>
    <t>Costo Total(CLP)</t>
  </si>
  <si>
    <t>TOTALES</t>
  </si>
  <si>
    <t>Total Ingreso</t>
  </si>
  <si>
    <t>COSTOS</t>
  </si>
  <si>
    <t>Producto</t>
  </si>
  <si>
    <t>Costo Unitario(CLP)</t>
  </si>
  <si>
    <t>MATERIA PRIMA DIRECTA</t>
  </si>
  <si>
    <t>MANO DE OBRA DIRECTA</t>
  </si>
  <si>
    <t>COSTOS INDIRECTOS DE FABRICACIÓN</t>
  </si>
  <si>
    <t>MATERIA PRIMA INDIRECTA</t>
  </si>
  <si>
    <t>MANO DE OBRA INDIRECTA</t>
  </si>
  <si>
    <t>Sueldo Pagado X Hora</t>
  </si>
  <si>
    <t>No. de Personas</t>
  </si>
  <si>
    <t>Sueldo Total Pagado</t>
  </si>
  <si>
    <t>Num.de Horas Necesarias</t>
  </si>
  <si>
    <t>COSTOS TOTALES</t>
  </si>
  <si>
    <t>GASTOS</t>
  </si>
  <si>
    <t>ESTIMACIÓN DE COSTOS APROXIMADA PARA  EMPANADA NORMAL DE PINO EXPLOTANDO LA CAPACIDAD DE LOS HORNOS AL MAXIMO EN UN DÍA</t>
  </si>
  <si>
    <t>Numero de Hornos Disponibles</t>
  </si>
  <si>
    <t>Fecha</t>
  </si>
  <si>
    <t>Totales</t>
  </si>
  <si>
    <t>GASTOS DE ADMINISTRACIÓN</t>
  </si>
  <si>
    <t>GASTOS DE VENTA</t>
  </si>
  <si>
    <t>GASTOS FINANCIEROS</t>
  </si>
  <si>
    <t>COSTOS FIJOS Y VARIABLES</t>
  </si>
  <si>
    <t>GASTOS TOTALES</t>
  </si>
  <si>
    <t>Concepto/Año</t>
  </si>
  <si>
    <t xml:space="preserve">COSTOS FIJOS </t>
  </si>
  <si>
    <t>Tipo de Gasto</t>
  </si>
  <si>
    <t>Luz</t>
  </si>
  <si>
    <t>Agua</t>
  </si>
  <si>
    <t>Energía/ Luz</t>
  </si>
  <si>
    <t>SUBTOTAL MANO DE OBRA DIRECTA</t>
  </si>
  <si>
    <t>SUBTOTAL MATERIA PRIMA INDIRECTA</t>
  </si>
  <si>
    <t>SUBTOTAL MATERIA PRIMA DIRECTA</t>
  </si>
  <si>
    <t>SUBTOTAL MANO DE OBRA INDIRECTA</t>
  </si>
  <si>
    <t xml:space="preserve">SUBTOTAL GASTOS DE ADMINISTRACIÓN </t>
  </si>
  <si>
    <t>SUBTOTAL GASTOS DE VENTA</t>
  </si>
  <si>
    <t>SUBTOTAL GASTOS FINANCIEROS</t>
  </si>
  <si>
    <t>Concepto</t>
  </si>
  <si>
    <t>Ingreso Total</t>
  </si>
  <si>
    <t>Numero de Empanadas por Horno ( c/lote al max.)</t>
  </si>
  <si>
    <t>Tiempo de Producción Díario (hrs./lote)</t>
  </si>
  <si>
    <t>Total de Empanadas a Diarias Producir x Lote con 2 hornos</t>
  </si>
  <si>
    <t>Cebolla</t>
  </si>
  <si>
    <t>Huevo</t>
  </si>
  <si>
    <t>Aceite</t>
  </si>
  <si>
    <t>Manteca</t>
  </si>
  <si>
    <t>Aceitunas</t>
  </si>
  <si>
    <t>Sal</t>
  </si>
  <si>
    <t>Colorante</t>
  </si>
  <si>
    <t>Gramos</t>
  </si>
  <si>
    <t>Kilogramos</t>
  </si>
  <si>
    <t>Aliño</t>
  </si>
  <si>
    <t>Merquén</t>
  </si>
  <si>
    <t>Caja</t>
  </si>
  <si>
    <t xml:space="preserve">Harina </t>
  </si>
  <si>
    <t>Contador de Planta</t>
  </si>
  <si>
    <t>Gas</t>
  </si>
  <si>
    <t>Remuneración Mensual [CLP]</t>
  </si>
  <si>
    <t>Caja de Empaque Diseño Especial</t>
  </si>
  <si>
    <t>Pieza</t>
  </si>
  <si>
    <t>Unitario x Mes</t>
  </si>
  <si>
    <t>Sartenes</t>
  </si>
  <si>
    <t>Refrigerador</t>
  </si>
  <si>
    <t>Cuchillos</t>
  </si>
  <si>
    <t>Congelador</t>
  </si>
  <si>
    <t xml:space="preserve">No. de Personas </t>
  </si>
  <si>
    <t>Repartidor</t>
  </si>
  <si>
    <t>Total Pagado Diario</t>
  </si>
  <si>
    <t>Costo Mensual(CLP)</t>
  </si>
  <si>
    <t>Balance de  Insumos Generales</t>
  </si>
  <si>
    <t xml:space="preserve"> </t>
  </si>
  <si>
    <t>Tabla para Cortar</t>
  </si>
  <si>
    <t>Costo Mensual de Referencia</t>
  </si>
  <si>
    <t>Litros</t>
  </si>
  <si>
    <t xml:space="preserve">COSTO TOTAL DE PRODUCCIÓN </t>
  </si>
  <si>
    <t>Costo Unitario</t>
  </si>
  <si>
    <t>Bencina</t>
  </si>
  <si>
    <t>Estimacion Aproximada Mensual</t>
  </si>
  <si>
    <t>Carne Sobrecostilla</t>
  </si>
  <si>
    <t xml:space="preserve">Margen de  Utilidad </t>
  </si>
  <si>
    <t>Tomate</t>
  </si>
  <si>
    <t>Ají</t>
  </si>
  <si>
    <t>Cilantro</t>
  </si>
  <si>
    <t>Vasos para Salsa</t>
  </si>
  <si>
    <t>Ajo</t>
  </si>
  <si>
    <t>Vinagre Blanco</t>
  </si>
  <si>
    <t>EMPANADA DE PINO</t>
  </si>
  <si>
    <t>Costos Estimados para Producir 870 empanadas con salsa pebre incluida</t>
  </si>
  <si>
    <t>Cocineros</t>
  </si>
  <si>
    <t>Volumen de producción: 870 empanadas de pino</t>
  </si>
  <si>
    <t>Publicidad  y Promociones</t>
  </si>
  <si>
    <t>Telefono e Internet</t>
  </si>
  <si>
    <t>RECURSOS DISPONIBLES</t>
  </si>
  <si>
    <t>Batidora Semi-industrial</t>
  </si>
  <si>
    <t>Pinceles</t>
  </si>
  <si>
    <t>Tablas de Cortar</t>
  </si>
  <si>
    <t>Cantidad de Empanadas a Vender</t>
  </si>
  <si>
    <t>ITEM</t>
  </si>
  <si>
    <t>VALOR RESIDUAL</t>
  </si>
  <si>
    <t>PERIODOS</t>
  </si>
  <si>
    <t>VALOR NETO EN LIBROS</t>
  </si>
  <si>
    <t>DEPRECIACIÓN ACUMULADA</t>
  </si>
  <si>
    <t>CALCULO DE DEPRECIACIÓN MÉTODO LINEA RECTA</t>
  </si>
  <si>
    <t>VIDA UTIL (años)</t>
  </si>
  <si>
    <t>Balance de maquinarias y equipo</t>
  </si>
  <si>
    <t>Kit Herméticos</t>
  </si>
  <si>
    <t>Se asume un 10 % en aumento de la demanda respecto 2016</t>
  </si>
  <si>
    <t>Se asume un 15 % en aumento de la demanda respecto 2017</t>
  </si>
  <si>
    <t>Se asume un 20% en aumento de la demanda respecto 2018</t>
  </si>
  <si>
    <t>INGREDIENTES EMPANADA DE PINO</t>
  </si>
  <si>
    <t>SALSA PEBRE</t>
  </si>
  <si>
    <t>SUBTOTAL MATERIALES DIRECTOS PARA EMPANADA DE PINO</t>
  </si>
  <si>
    <t>SUBTOTAL MATERIAL DIRECTO PARA SALSA PEBRE</t>
  </si>
  <si>
    <t>SUBTOTAL MATERIALES DIRECTOS E INDIRECTOS EMPANADA DE PINO</t>
  </si>
  <si>
    <t>SUBTOTAL MATERIALES DIRECTOS E INDIRECTOS SALSA PEBRE</t>
  </si>
  <si>
    <t>Manojo</t>
  </si>
  <si>
    <t>Limón</t>
  </si>
  <si>
    <t>Aceite de Oliva</t>
  </si>
  <si>
    <t>Vaso</t>
  </si>
  <si>
    <t>Precio de Venta</t>
  </si>
  <si>
    <t>Ganancia x Empanada</t>
  </si>
  <si>
    <t>TOTAL VENDIDO</t>
  </si>
  <si>
    <t xml:space="preserve">Total Pagado </t>
  </si>
  <si>
    <t>COSTO TOTAL DE PRODUCCIÓN</t>
  </si>
  <si>
    <t>SUBTOTAL COSTOS FIJOS</t>
  </si>
  <si>
    <t xml:space="preserve">COSTOS VARIABLES </t>
  </si>
  <si>
    <t>Costo Variable Unitario</t>
  </si>
  <si>
    <t>Aceite de Girasol</t>
  </si>
  <si>
    <t>Impuestos</t>
  </si>
  <si>
    <t>Depreciación</t>
  </si>
  <si>
    <t>TOTAL COSTOS VARIABLES MENSUALES</t>
  </si>
  <si>
    <t>Mantenimiento del Local e Instalaciones</t>
  </si>
  <si>
    <t>Mantenimiento y Limpieza del Local e Instalaciones</t>
  </si>
  <si>
    <t>Papeleria y Utiles para la venta</t>
  </si>
  <si>
    <t>Papeleria y utiles</t>
  </si>
  <si>
    <t xml:space="preserve">SUBTOTAL COSTOS VARIABLES </t>
  </si>
  <si>
    <t>Egresos</t>
  </si>
  <si>
    <t>Utilidad Bruta</t>
  </si>
  <si>
    <t>Depreciación Mensual</t>
  </si>
  <si>
    <t>SALSA PEBRE 9 LITROS</t>
  </si>
  <si>
    <t>Precio por Empanada Previsto</t>
  </si>
  <si>
    <t>Demanda Redondeada</t>
  </si>
  <si>
    <t>DEPRECIACIÓN ANUAL</t>
  </si>
  <si>
    <t>DEPRECIACIÓN DE SARTENES</t>
  </si>
  <si>
    <t>Importe Depreciable</t>
  </si>
  <si>
    <t>VALOR UNITARIO</t>
  </si>
  <si>
    <t xml:space="preserve">IMPORTE DEPRECIABLE </t>
  </si>
  <si>
    <t>DEPRECIACIÓN MENSUAL</t>
  </si>
  <si>
    <t>DEPRECIACIÓN DE REFRIGERADORES</t>
  </si>
  <si>
    <t>DEPRECIACIÓN DE BATIDORA SEMI-INDUSTRIAL</t>
  </si>
  <si>
    <t>DEPRECIACIÓN DE CONGELADORES</t>
  </si>
  <si>
    <t>Depreciación Mensual Total</t>
  </si>
  <si>
    <t>Año 2015</t>
  </si>
  <si>
    <t>Año 2016</t>
  </si>
  <si>
    <t>Año 2017</t>
  </si>
  <si>
    <t>Año 2018</t>
  </si>
  <si>
    <t>Año 2019</t>
  </si>
  <si>
    <t>Depreciación Anual Total</t>
  </si>
  <si>
    <t>Depreciación 2015</t>
  </si>
  <si>
    <t>Depreciación 2016</t>
  </si>
  <si>
    <t>Depreciación 2017</t>
  </si>
  <si>
    <t>Depreciación 2018</t>
  </si>
  <si>
    <t>Depreciación 2019</t>
  </si>
  <si>
    <t>Depreciación 2020</t>
  </si>
  <si>
    <t>Depreciación 2021</t>
  </si>
  <si>
    <t>Depreciación 2022</t>
  </si>
  <si>
    <t>Depreciación 2023</t>
  </si>
  <si>
    <t>Depreciación 2024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</si>
  <si>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</si>
  <si>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</si>
  <si>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</si>
  <si>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</si>
  <si>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</si>
  <si>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</si>
  <si>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</si>
  <si>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</si>
  <si>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</si>
  <si>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</si>
  <si>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</si>
  <si>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</si>
  <si>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CONCEPTO</t>
  </si>
  <si>
    <t xml:space="preserve">Numero de ITEMS </t>
  </si>
  <si>
    <t>Ingresos</t>
  </si>
  <si>
    <t>AÑOS</t>
  </si>
  <si>
    <t>Impuesto de Primera Categoría  Anual</t>
  </si>
  <si>
    <t>Tasa IPC</t>
  </si>
  <si>
    <t>Total a Pagar IPC</t>
  </si>
  <si>
    <t>Volumen en Ventas</t>
  </si>
  <si>
    <t>Tiempo(Año)</t>
  </si>
  <si>
    <t>EMPANDAS COLORITAS</t>
  </si>
  <si>
    <t>Costo al Mes Real Aproximado</t>
  </si>
  <si>
    <t>Periodo</t>
  </si>
  <si>
    <t>Cantidad Demandada</t>
  </si>
  <si>
    <t>TOTAL</t>
  </si>
  <si>
    <t>Precio de Venta Unitario</t>
  </si>
  <si>
    <t>Unidades Vendidas (UV)</t>
  </si>
  <si>
    <t>Costos Fijos Totales (CFT)</t>
  </si>
  <si>
    <t>Costos Variables Totales (CVT)</t>
  </si>
  <si>
    <t>UNIDADES FÍSICAS</t>
  </si>
  <si>
    <t>UNIDADES MONETARIAS</t>
  </si>
  <si>
    <t>Cantidad de Equilibrio= CFT/(PVU-CVU)</t>
  </si>
  <si>
    <t>Precio de Venta Unitario (PVU)</t>
  </si>
  <si>
    <t>AÑO 2015</t>
  </si>
  <si>
    <t>AÑO 2016</t>
  </si>
  <si>
    <t>AÑO 2017</t>
  </si>
  <si>
    <t>AÑO 2018</t>
  </si>
  <si>
    <t>AÑO 2019</t>
  </si>
  <si>
    <t>Valor Monetario de Equilibrio</t>
  </si>
  <si>
    <t>UNIDADES FÍSICAS CON REDONDEO</t>
  </si>
  <si>
    <t>Cantidad Unidades Físicas</t>
  </si>
  <si>
    <t>Costo Fijo Total Promedio</t>
  </si>
  <si>
    <t xml:space="preserve">Costo Variable Unitario </t>
  </si>
  <si>
    <t>Mantenimiento y Accondicionamiento del Local</t>
  </si>
  <si>
    <t xml:space="preserve"> Gas Necesario</t>
  </si>
  <si>
    <t>Materia Prima</t>
  </si>
  <si>
    <t xml:space="preserve"> Requerimientos de Maquinaria y Equipo</t>
  </si>
  <si>
    <t>INVERSIÓN INICIAL TOTAL</t>
  </si>
  <si>
    <t>BALANCE DE INVERSIONES INICIALES PREVIAS NECESARIAS</t>
  </si>
  <si>
    <t>Capital de Trabajo</t>
  </si>
  <si>
    <t>Tiempo de Ciclo Productivo</t>
  </si>
  <si>
    <t>20 minutos</t>
  </si>
  <si>
    <t xml:space="preserve">Tiempo de Entrega de Pedido </t>
  </si>
  <si>
    <t>10 minutos</t>
  </si>
  <si>
    <t xml:space="preserve">Numero de Días de Desfase </t>
  </si>
  <si>
    <t>Costo Total de Producción</t>
  </si>
  <si>
    <t>Días de Trabajo al Año</t>
  </si>
  <si>
    <t>CAPITAL DE TRABAJO MÉTODO PERIODO DE DESFASE</t>
  </si>
  <si>
    <t>Capital de Trabajo Anual</t>
  </si>
  <si>
    <t>Capital de Trabajo Mensual</t>
  </si>
  <si>
    <t>PERIODO</t>
  </si>
  <si>
    <t>Valor de desecho final vida útil X C/Item</t>
  </si>
  <si>
    <t xml:space="preserve"> Kit Herméticos</t>
  </si>
  <si>
    <t>VALOR DE DESECHO AL FINAL DEL PROYECTO</t>
  </si>
  <si>
    <t>TOTAL VALOR DE DESECHO FINAL</t>
  </si>
  <si>
    <t xml:space="preserve"> Demanda de Empanadas 2015</t>
  </si>
  <si>
    <t>Demanda de Empanadas 2016</t>
  </si>
  <si>
    <t xml:space="preserve"> Demanda de Empanadas 2017</t>
  </si>
  <si>
    <t xml:space="preserve"> Demanda de Empandas 2018</t>
  </si>
  <si>
    <t>Demanda de Empandas 2019</t>
  </si>
  <si>
    <t>CFT 5 AÑOS</t>
  </si>
  <si>
    <t>CF PROMEDIO</t>
  </si>
  <si>
    <t>Costos Variables Totales</t>
  </si>
  <si>
    <t>Costos Totales</t>
  </si>
  <si>
    <t>FLUJOS DE CAJA (CASH FLOW 2014-2019)</t>
  </si>
  <si>
    <t>Ingresos x ventas</t>
  </si>
  <si>
    <t xml:space="preserve">Egresos </t>
  </si>
  <si>
    <t>Gastos no Desembolsables</t>
  </si>
  <si>
    <t>Utilidad Antes de Impuestos</t>
  </si>
  <si>
    <t>Flujo de caja =</t>
  </si>
  <si>
    <t>Año 2014</t>
  </si>
  <si>
    <t>Impuesto de Primera Categoría</t>
  </si>
  <si>
    <t>Utilidad después de impuestos</t>
  </si>
  <si>
    <t xml:space="preserve">Ajustes por gastos no desembolsables </t>
  </si>
  <si>
    <t xml:space="preserve">Egresos no afectos a impuestos </t>
  </si>
  <si>
    <t xml:space="preserve">Beneficios no afectos a impuestos </t>
  </si>
  <si>
    <t>VAN</t>
  </si>
  <si>
    <t>TIR</t>
  </si>
  <si>
    <t>TASA DE DESCUENTO</t>
  </si>
  <si>
    <t>http://www.rankia.cl/foros/bancos-cl/temas/1804024-ranking-mejores-depositos-plazo</t>
  </si>
  <si>
    <t>TASA INTERÉS DEPÓSITOS/Tasa Libre de riesgo</t>
  </si>
  <si>
    <t>TASA DE RETORNO DEL MERCADO/ IPSA</t>
  </si>
  <si>
    <t>IPSA</t>
  </si>
  <si>
    <t>http://finance.yahoo.com/echarts?s=%5EIPSA+Interactive#%7B%22range%22%3A%2210y%22%2C%22scale%22%3A%22linear%22%7D</t>
  </si>
  <si>
    <t>http://www.bloomberg.com/quote/IPSA:IND</t>
  </si>
  <si>
    <t>TASA LIBRE DE RIESGO</t>
  </si>
  <si>
    <t>RETORNO DE LA INDUSTRIA</t>
  </si>
  <si>
    <t>http://www.bolsadesantiago.com/Theme/preciosacciones.aspx</t>
  </si>
  <si>
    <t xml:space="preserve"> Depósito a plazo Fijo Banco Estado: ofrece la posibilidad de depósitos a plazo en línea. </t>
  </si>
  <si>
    <t>PERIODO/MES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</si>
  <si>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</si>
  <si>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</si>
  <si>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</si>
  <si>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</si>
  <si>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</si>
  <si>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</si>
  <si>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</si>
  <si>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</si>
  <si>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</si>
  <si>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</si>
  <si>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</si>
  <si>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BETA</t>
  </si>
  <si>
    <t>IANSA</t>
  </si>
  <si>
    <t>http://www.morningstar.com/invest/stocks/338208-iansa-empresas-iansa-sa.html</t>
  </si>
  <si>
    <t>IPSA SANTIAGO CHILE</t>
  </si>
  <si>
    <t>PRECIOS ACCIONES IANSA(STOCK PRICE)</t>
  </si>
  <si>
    <t>DICIEMBRE (2013)</t>
  </si>
  <si>
    <t>COVARIANZA RETORNO DE LA INDUSTRIA</t>
  </si>
  <si>
    <t>VARIANZA RETORNO DE LA INDUSTRIA</t>
  </si>
  <si>
    <t xml:space="preserve"> 3,00%</t>
  </si>
  <si>
    <t>Deposito a plazo 360 días Banco Estado: tasa de interés del periodo</t>
  </si>
  <si>
    <t>Rf + B</t>
  </si>
  <si>
    <t>Rm-Rf</t>
  </si>
  <si>
    <t>http://www.rankia.cl/blog/analisis-ipsa/1593344-empresas-ipsa</t>
  </si>
  <si>
    <t>CONSULTA EXTERNA</t>
  </si>
  <si>
    <t>Incremento Anual de Costos Fijos por Cinco %</t>
  </si>
  <si>
    <t>COSTO TOTAL DE PRODUCIÓN</t>
  </si>
  <si>
    <t xml:space="preserve">EGRESOS AFECTOS </t>
  </si>
  <si>
    <t>AFECTO A IMPUESTO</t>
  </si>
  <si>
    <t>REINVERSIONES</t>
  </si>
  <si>
    <t>NO AFECTO A IMPUESTOS</t>
  </si>
  <si>
    <t>VAN COMPROBADO</t>
  </si>
  <si>
    <t>El inversionista aspira como mínimo al 14.8% anual.</t>
  </si>
  <si>
    <t>El proyecto en sí le está retornando el 206.48 % y la tasa de interés que rinde está muy encima de las expectativas del inversionista.</t>
  </si>
  <si>
    <t>El VAN es positivo o mayor que 1 lo que quiere decir que el inversionista obtendrá 14.8% de rentabilidad y adicionalmente en pesos de hoy se gana 12,441,374.54.</t>
  </si>
  <si>
    <t xml:space="preserve">SENSIBILIDAD </t>
  </si>
  <si>
    <t>Se asume un 8 % en aumento de la demanda respecto 2015</t>
  </si>
  <si>
    <t>Si mi demanda disminuye.</t>
  </si>
  <si>
    <t>Si mi precio aumenta por encima de los 1500.</t>
  </si>
  <si>
    <t>Si mis costos fijos aumentan en mas del 5% anual.</t>
  </si>
  <si>
    <t>Si mis egresos sujetos a impuestos aumentan.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</si>
</sst>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  <numFmt numFmtId="165" formatCode="0.000%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FFFFFF"/>
      <name val="Perpetua"/>
      <family val="1"/>
    </font>
    <font>
      <b/>
      <sz val="12"/>
      <color rgb="FF000000"/>
      <name val="Perpetua"/>
      <family val="1"/>
    </font>
    <font>
      <sz val="12"/>
      <color rgb="FF000000"/>
      <name val="Perpetua"/>
      <family val="1"/>
    </font>
    <font>
      <b/>
      <i/>
      <sz val="12"/>
      <color rgb="FF000000"/>
      <name val="Perpetua"/>
      <family val="1"/>
    </font>
    <font>
      <b/>
      <sz val="16"/>
      <color rgb="FFFFFFFF"/>
      <name val="Perpetua"/>
      <family val="1"/>
    </font>
    <font>
      <b/>
      <sz val="14"/>
      <color rgb="FFFFFFFF"/>
      <name val="Perpetua"/>
      <family val="1"/>
    </font>
    <font>
      <sz val="16"/>
      <color rgb="FF000000"/>
      <name val="Perpetua"/>
      <family val="1"/>
    </font>
    <font>
      <sz val="18"/>
      <color rgb="FF000000"/>
      <name val="Perpetua"/>
      <family val="1"/>
    </font>
    <font>
      <sz val="12"/>
      <name val="Perpetua"/>
      <family val="1"/>
    </font>
    <font>
      <b/>
      <i/>
      <sz val="11"/>
      <color theme="1"/>
      <name val="Calibri"/>
      <family val="2"/>
      <scheme val="minor"/>
    </font>
    <font>
      <b/>
      <sz val="16"/>
      <color rgb="FF000000"/>
      <name val="Perpetua"/>
      <family val="1"/>
    </font>
    <font>
      <b/>
      <sz val="16"/>
      <color rgb="FF000000"/>
      <name val="Times New Roman"/>
      <family val="1"/>
    </font>
    <font>
      <b/>
      <sz val="11"/>
      <color rgb="FF000000"/>
      <name val="Perpetua"/>
      <family val="1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0"/>
      <name val="Perpetua"/>
      <family val="1"/>
    </font>
    <font>
      <b/>
      <sz val="14"/>
      <color rgb="FF000000"/>
      <name val="Perpetua"/>
      <family val="1"/>
    </font>
    <font>
      <sz val="11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color theme="1"/>
      <name val="Arial Narrow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8"/>
      <name val="Perpetua"/>
      <family val="1"/>
    </font>
    <font>
      <b/>
      <sz val="18"/>
      <color rgb="FF000000"/>
      <name val="Perpetua"/>
      <family val="1"/>
    </font>
    <font>
      <b/>
      <sz val="18"/>
      <name val="Perpetua"/>
      <family val="1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Arial"/>
      <family val="2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rgb="FFD34817"/>
        <bgColor indexed="64"/>
      </patternFill>
    </fill>
    <fill>
      <patternFill patternType="solid">
        <fgColor rgb="FFEFCFCC"/>
        <bgColor indexed="64"/>
      </patternFill>
    </fill>
    <fill>
      <patternFill patternType="solid">
        <fgColor rgb="FFF7E9E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0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29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 readingOrder="1"/>
    </xf>
    <xf numFmtId="0" fontId="5" fillId="4" borderId="2" xfId="0" applyFont="1" applyFill="1" applyBorder="1" applyAlignment="1">
      <alignment horizontal="left" vertical="center" wrapText="1" readingOrder="1"/>
    </xf>
    <xf numFmtId="0" fontId="5" fillId="5" borderId="2" xfId="0" applyFont="1" applyFill="1" applyBorder="1" applyAlignment="1">
      <alignment horizontal="left" vertical="center" wrapText="1" readingOrder="1"/>
    </xf>
    <xf numFmtId="3" fontId="5" fillId="5" borderId="2" xfId="0" applyNumberFormat="1" applyFont="1" applyFill="1" applyBorder="1" applyAlignment="1">
      <alignment horizontal="left" vertical="center" wrapText="1" readingOrder="1"/>
    </xf>
    <xf numFmtId="0" fontId="5" fillId="5" borderId="2" xfId="0" applyFont="1" applyFill="1" applyBorder="1" applyAlignment="1">
      <alignment horizontal="center" vertical="center" wrapText="1" readingOrder="1"/>
    </xf>
    <xf numFmtId="0" fontId="5" fillId="4" borderId="2" xfId="0" applyFont="1" applyFill="1" applyBorder="1" applyAlignment="1">
      <alignment horizontal="center" vertical="center" wrapText="1" readingOrder="1"/>
    </xf>
    <xf numFmtId="0" fontId="4" fillId="5" borderId="2" xfId="0" applyFont="1" applyFill="1" applyBorder="1" applyAlignment="1">
      <alignment horizontal="center" vertical="center" wrapText="1" readingOrder="1"/>
    </xf>
    <xf numFmtId="0" fontId="1" fillId="15" borderId="2" xfId="0" applyFont="1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6" borderId="2" xfId="0" applyFill="1" applyBorder="1" applyAlignment="1">
      <alignment vertical="center"/>
    </xf>
    <xf numFmtId="0" fontId="13" fillId="4" borderId="2" xfId="0" applyFont="1" applyFill="1" applyBorder="1" applyAlignment="1">
      <alignment horizontal="center" vertical="center" wrapText="1" readingOrder="1"/>
    </xf>
    <xf numFmtId="0" fontId="14" fillId="4" borderId="2" xfId="0" applyFont="1" applyFill="1" applyBorder="1" applyAlignment="1">
      <alignment horizontal="center" vertical="center" wrapText="1" readingOrder="1"/>
    </xf>
    <xf numFmtId="0" fontId="15" fillId="4" borderId="2" xfId="0" applyFont="1" applyFill="1" applyBorder="1" applyAlignment="1">
      <alignment horizontal="center" vertical="center" wrapText="1" readingOrder="1"/>
    </xf>
    <xf numFmtId="0" fontId="1" fillId="12" borderId="2" xfId="0" applyFont="1" applyFill="1" applyBorder="1" applyAlignment="1">
      <alignment horizontal="center" vertical="center"/>
    </xf>
    <xf numFmtId="0" fontId="17" fillId="15" borderId="2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5" fillId="5" borderId="2" xfId="0" applyFont="1" applyFill="1" applyBorder="1" applyAlignment="1">
      <alignment horizontal="center" vertical="center" wrapText="1" readingOrder="1"/>
    </xf>
    <xf numFmtId="0" fontId="1" fillId="14" borderId="2" xfId="0" applyFont="1" applyFill="1" applyBorder="1" applyAlignment="1">
      <alignment horizontal="center" vertical="center"/>
    </xf>
    <xf numFmtId="0" fontId="0" fillId="0" borderId="0" xfId="0"/>
    <xf numFmtId="0" fontId="1" fillId="11" borderId="3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left" vertical="center" wrapText="1" indent="1" readingOrder="1"/>
    </xf>
    <xf numFmtId="0" fontId="1" fillId="9" borderId="2" xfId="0" applyFont="1" applyFill="1" applyBorder="1"/>
    <xf numFmtId="164" fontId="12" fillId="8" borderId="2" xfId="0" applyNumberFormat="1" applyFont="1" applyFill="1" applyBorder="1"/>
    <xf numFmtId="0" fontId="0" fillId="0" borderId="0" xfId="0"/>
    <xf numFmtId="0" fontId="0" fillId="9" borderId="2" xfId="0" applyFill="1" applyBorder="1" applyAlignment="1">
      <alignment horizontal="center" vertical="center"/>
    </xf>
    <xf numFmtId="0" fontId="4" fillId="4" borderId="2" xfId="0" applyFont="1" applyFill="1" applyBorder="1" applyAlignment="1">
      <alignment vertical="center" wrapText="1" readingOrder="1"/>
    </xf>
    <xf numFmtId="164" fontId="1" fillId="9" borderId="2" xfId="1" applyNumberFormat="1" applyFill="1" applyBorder="1" applyAlignment="1">
      <alignment vertical="center" wrapText="1" readingOrder="1"/>
    </xf>
    <xf numFmtId="0" fontId="0" fillId="20" borderId="0" xfId="0" applyFill="1"/>
    <xf numFmtId="0" fontId="4" fillId="20" borderId="2" xfId="0" applyFont="1" applyFill="1" applyBorder="1" applyAlignment="1">
      <alignment horizontal="left" vertical="center" wrapText="1" indent="1" readingOrder="1"/>
    </xf>
    <xf numFmtId="0" fontId="5" fillId="20" borderId="2" xfId="0" applyFont="1" applyFill="1" applyBorder="1" applyAlignment="1">
      <alignment horizontal="left" vertical="center" wrapText="1" indent="1" readingOrder="1"/>
    </xf>
    <xf numFmtId="164" fontId="5" fillId="20" borderId="2" xfId="0" applyNumberFormat="1" applyFont="1" applyFill="1" applyBorder="1" applyAlignment="1">
      <alignment horizontal="left" vertical="center" wrapText="1" indent="1" readingOrder="1"/>
    </xf>
    <xf numFmtId="0" fontId="0" fillId="21" borderId="0" xfId="0" applyFill="1"/>
    <xf numFmtId="0" fontId="4" fillId="21" borderId="2" xfId="0" applyFont="1" applyFill="1" applyBorder="1" applyAlignment="1">
      <alignment horizontal="left" vertical="center" wrapText="1" indent="1" readingOrder="1"/>
    </xf>
    <xf numFmtId="0" fontId="5" fillId="21" borderId="2" xfId="0" applyFont="1" applyFill="1" applyBorder="1" applyAlignment="1">
      <alignment horizontal="left" vertical="center" wrapText="1" indent="1" readingOrder="1"/>
    </xf>
    <xf numFmtId="164" fontId="5" fillId="21" borderId="2" xfId="0" applyNumberFormat="1" applyFont="1" applyFill="1" applyBorder="1" applyAlignment="1">
      <alignment horizontal="left" vertical="center" wrapText="1" indent="1" readingOrder="1"/>
    </xf>
    <xf numFmtId="164" fontId="21" fillId="5" borderId="2" xfId="0" applyNumberFormat="1" applyFont="1" applyFill="1" applyBorder="1" applyAlignment="1">
      <alignment horizontal="left" vertical="center" wrapText="1" indent="1"/>
    </xf>
    <xf numFmtId="164" fontId="21" fillId="4" borderId="2" xfId="0" applyNumberFormat="1" applyFont="1" applyFill="1" applyBorder="1" applyAlignment="1">
      <alignment horizontal="left" vertical="center" wrapText="1" indent="1"/>
    </xf>
    <xf numFmtId="0" fontId="22" fillId="5" borderId="2" xfId="0" applyFont="1" applyFill="1" applyBorder="1" applyAlignment="1">
      <alignment horizontal="left" vertical="center" wrapText="1" indent="1" readingOrder="1"/>
    </xf>
    <xf numFmtId="0" fontId="22" fillId="4" borderId="2" xfId="0" applyFont="1" applyFill="1" applyBorder="1" applyAlignment="1">
      <alignment horizontal="left" vertical="center" wrapText="1" indent="1" readingOrder="1"/>
    </xf>
    <xf numFmtId="164" fontId="4" fillId="5" borderId="2" xfId="0" applyNumberFormat="1" applyFont="1" applyFill="1" applyBorder="1" applyAlignment="1">
      <alignment horizontal="left" vertical="center" wrapText="1" indent="1" readingOrder="1"/>
    </xf>
    <xf numFmtId="0" fontId="0" fillId="19" borderId="2" xfId="0" applyFill="1" applyBorder="1"/>
    <xf numFmtId="0" fontId="23" fillId="0" borderId="0" xfId="0" applyFont="1"/>
    <xf numFmtId="0" fontId="0" fillId="21" borderId="2" xfId="0" applyFill="1" applyBorder="1" applyAlignment="1">
      <alignment horizontal="left" vertical="top"/>
    </xf>
    <xf numFmtId="0" fontId="0" fillId="21" borderId="2" xfId="0" applyNumberFormat="1" applyFill="1" applyBorder="1" applyAlignment="1">
      <alignment horizontal="left" vertical="top"/>
    </xf>
    <xf numFmtId="164" fontId="0" fillId="21" borderId="2" xfId="0" applyNumberFormat="1" applyFill="1" applyBorder="1" applyAlignment="1">
      <alignment horizontal="left" vertical="top"/>
    </xf>
    <xf numFmtId="0" fontId="0" fillId="21" borderId="2" xfId="0" applyFill="1" applyBorder="1"/>
    <xf numFmtId="164" fontId="4" fillId="10" borderId="2" xfId="0" applyNumberFormat="1" applyFont="1" applyFill="1" applyBorder="1" applyAlignment="1">
      <alignment horizontal="left" vertical="center" wrapText="1" indent="1" readingOrder="1"/>
    </xf>
    <xf numFmtId="0" fontId="0" fillId="10" borderId="2" xfId="0" applyFill="1" applyBorder="1" applyAlignment="1">
      <alignment horizontal="left" vertical="top"/>
    </xf>
    <xf numFmtId="0" fontId="0" fillId="21" borderId="2" xfId="0" applyFill="1" applyBorder="1" applyAlignment="1">
      <alignment horizontal="left"/>
    </xf>
    <xf numFmtId="164" fontId="1" fillId="7" borderId="2" xfId="1" applyNumberFormat="1" applyFill="1" applyBorder="1" applyAlignment="1">
      <alignment horizontal="left" vertical="center" wrapText="1" readingOrder="1"/>
    </xf>
    <xf numFmtId="164" fontId="0" fillId="21" borderId="2" xfId="0" applyNumberFormat="1" applyFill="1" applyBorder="1" applyAlignment="1">
      <alignment horizontal="left"/>
    </xf>
    <xf numFmtId="0" fontId="0" fillId="19" borderId="2" xfId="0" applyFill="1" applyBorder="1" applyAlignment="1">
      <alignment horizontal="left" vertical="top"/>
    </xf>
    <xf numFmtId="0" fontId="0" fillId="19" borderId="2" xfId="0" applyNumberFormat="1" applyFill="1" applyBorder="1" applyAlignment="1">
      <alignment horizontal="left" vertical="top"/>
    </xf>
    <xf numFmtId="0" fontId="0" fillId="19" borderId="2" xfId="0" applyFill="1" applyBorder="1" applyAlignment="1">
      <alignment horizontal="left"/>
    </xf>
    <xf numFmtId="0" fontId="1" fillId="17" borderId="2" xfId="0" applyFont="1" applyFill="1" applyBorder="1"/>
    <xf numFmtId="0" fontId="1" fillId="10" borderId="2" xfId="0" applyFont="1" applyFill="1" applyBorder="1"/>
    <xf numFmtId="0" fontId="1" fillId="23" borderId="2" xfId="0" applyFont="1" applyFill="1" applyBorder="1"/>
    <xf numFmtId="165" fontId="0" fillId="17" borderId="2" xfId="0" applyNumberFormat="1" applyFill="1" applyBorder="1"/>
    <xf numFmtId="3" fontId="1" fillId="4" borderId="2" xfId="1" applyNumberFormat="1" applyFill="1" applyBorder="1" applyAlignment="1">
      <alignment horizontal="left" vertical="center" wrapText="1" readingOrder="1"/>
    </xf>
    <xf numFmtId="0" fontId="5" fillId="23" borderId="2" xfId="0" applyFont="1" applyFill="1" applyBorder="1" applyAlignment="1">
      <alignment horizontal="center" vertical="center" wrapText="1" readingOrder="1"/>
    </xf>
    <xf numFmtId="0" fontId="5" fillId="22" borderId="2" xfId="0" applyFont="1" applyFill="1" applyBorder="1" applyAlignment="1">
      <alignment horizontal="center" vertical="center" wrapText="1" readingOrder="1"/>
    </xf>
    <xf numFmtId="0" fontId="11" fillId="9" borderId="2" xfId="0" applyFont="1" applyFill="1" applyBorder="1" applyAlignment="1">
      <alignment horizontal="center" vertical="center" wrapText="1" readingOrder="1"/>
    </xf>
    <xf numFmtId="164" fontId="25" fillId="5" borderId="2" xfId="0" applyNumberFormat="1" applyFont="1" applyFill="1" applyBorder="1" applyAlignment="1">
      <alignment horizontal="left" vertical="center" wrapText="1" indent="1"/>
    </xf>
    <xf numFmtId="164" fontId="25" fillId="23" borderId="2" xfId="0" applyNumberFormat="1" applyFont="1" applyFill="1" applyBorder="1" applyAlignment="1">
      <alignment horizontal="left" vertical="center" wrapText="1" indent="1"/>
    </xf>
    <xf numFmtId="164" fontId="25" fillId="22" borderId="2" xfId="0" applyNumberFormat="1" applyFont="1" applyFill="1" applyBorder="1" applyAlignment="1">
      <alignment horizontal="left" vertical="center" wrapText="1" indent="1"/>
    </xf>
    <xf numFmtId="164" fontId="24" fillId="9" borderId="2" xfId="0" applyNumberFormat="1" applyFont="1" applyFill="1" applyBorder="1" applyAlignment="1">
      <alignment horizontal="left" vertical="center" wrapText="1" indent="1" readingOrder="1"/>
    </xf>
    <xf numFmtId="44" fontId="0" fillId="19" borderId="2" xfId="0" applyNumberFormat="1" applyFill="1" applyBorder="1" applyAlignment="1">
      <alignment horizontal="left" vertical="top"/>
    </xf>
    <xf numFmtId="44" fontId="17" fillId="8" borderId="2" xfId="0" applyNumberFormat="1" applyFont="1" applyFill="1" applyBorder="1" applyAlignment="1">
      <alignment vertical="center"/>
    </xf>
    <xf numFmtId="44" fontId="0" fillId="19" borderId="2" xfId="0" applyNumberFormat="1" applyFill="1" applyBorder="1" applyAlignment="1">
      <alignment horizontal="left"/>
    </xf>
    <xf numFmtId="44" fontId="12" fillId="8" borderId="2" xfId="0" applyNumberFormat="1" applyFont="1" applyFill="1" applyBorder="1"/>
    <xf numFmtId="44" fontId="0" fillId="19" borderId="2" xfId="0" applyNumberFormat="1" applyFill="1" applyBorder="1"/>
    <xf numFmtId="44" fontId="1" fillId="12" borderId="2" xfId="1" applyNumberFormat="1" applyFill="1" applyBorder="1"/>
    <xf numFmtId="44" fontId="1" fillId="7" borderId="2" xfId="0" applyNumberFormat="1" applyFont="1" applyFill="1" applyBorder="1"/>
    <xf numFmtId="44" fontId="1" fillId="9" borderId="2" xfId="0" applyNumberFormat="1" applyFont="1" applyFill="1" applyBorder="1"/>
    <xf numFmtId="44" fontId="0" fillId="23" borderId="2" xfId="0" applyNumberFormat="1" applyFill="1" applyBorder="1"/>
    <xf numFmtId="44" fontId="5" fillId="5" borderId="2" xfId="0" applyNumberFormat="1" applyFont="1" applyFill="1" applyBorder="1" applyAlignment="1">
      <alignment horizontal="left" vertical="center" wrapText="1" readingOrder="1"/>
    </xf>
    <xf numFmtId="44" fontId="5" fillId="4" borderId="2" xfId="0" applyNumberFormat="1" applyFont="1" applyFill="1" applyBorder="1" applyAlignment="1">
      <alignment horizontal="left" vertical="center" wrapText="1" readingOrder="1"/>
    </xf>
    <xf numFmtId="44" fontId="0" fillId="0" borderId="0" xfId="0" applyNumberFormat="1"/>
    <xf numFmtId="44" fontId="4" fillId="4" borderId="2" xfId="0" applyNumberFormat="1" applyFont="1" applyFill="1" applyBorder="1" applyAlignment="1">
      <alignment vertical="center" wrapText="1" readingOrder="1"/>
    </xf>
    <xf numFmtId="164" fontId="5" fillId="5" borderId="2" xfId="0" applyNumberFormat="1" applyFont="1" applyFill="1" applyBorder="1" applyAlignment="1">
      <alignment horizontal="center" vertical="center" wrapText="1" readingOrder="1"/>
    </xf>
    <xf numFmtId="0" fontId="1" fillId="18" borderId="2" xfId="0" applyFont="1" applyFill="1" applyBorder="1" applyAlignment="1">
      <alignment horizontal="center"/>
    </xf>
    <xf numFmtId="0" fontId="1" fillId="0" borderId="0" xfId="0" applyFont="1"/>
    <xf numFmtId="44" fontId="1" fillId="0" borderId="0" xfId="0" applyNumberFormat="1" applyFont="1"/>
    <xf numFmtId="0" fontId="0" fillId="0" borderId="0" xfId="0" applyAlignment="1">
      <alignment horizontal="left"/>
    </xf>
    <xf numFmtId="44" fontId="0" fillId="0" borderId="0" xfId="0" applyNumberFormat="1" applyAlignment="1">
      <alignment horizontal="left"/>
    </xf>
    <xf numFmtId="9" fontId="0" fillId="0" borderId="0" xfId="0" applyNumberFormat="1"/>
    <xf numFmtId="0" fontId="0" fillId="0" borderId="0" xfId="0" applyAlignment="1"/>
    <xf numFmtId="0" fontId="12" fillId="12" borderId="2" xfId="0" applyFont="1" applyFill="1" applyBorder="1" applyAlignment="1">
      <alignment horizontal="center"/>
    </xf>
    <xf numFmtId="0" fontId="12" fillId="8" borderId="2" xfId="0" applyFont="1" applyFill="1" applyBorder="1" applyAlignment="1"/>
    <xf numFmtId="0" fontId="10" fillId="21" borderId="2" xfId="0" applyFont="1" applyFill="1" applyBorder="1" applyAlignment="1">
      <alignment horizontal="left" vertical="center" wrapText="1" readingOrder="1"/>
    </xf>
    <xf numFmtId="0" fontId="0" fillId="0" borderId="0" xfId="0" applyBorder="1" applyAlignment="1">
      <alignment horizontal="center"/>
    </xf>
    <xf numFmtId="17" fontId="10" fillId="21" borderId="2" xfId="0" applyNumberFormat="1" applyFont="1" applyFill="1" applyBorder="1" applyAlignment="1">
      <alignment horizontal="left" vertical="center" wrapText="1" readingOrder="1"/>
    </xf>
    <xf numFmtId="44" fontId="26" fillId="21" borderId="2" xfId="0" applyNumberFormat="1" applyFont="1" applyFill="1" applyBorder="1" applyAlignment="1">
      <alignment horizontal="center" vertical="center" wrapText="1" readingOrder="1"/>
    </xf>
    <xf numFmtId="0" fontId="10" fillId="21" borderId="2" xfId="0" applyNumberFormat="1" applyFont="1" applyFill="1" applyBorder="1" applyAlignment="1">
      <alignment horizontal="left" vertical="center" wrapText="1" readingOrder="1"/>
    </xf>
    <xf numFmtId="0" fontId="10" fillId="9" borderId="2" xfId="0" applyNumberFormat="1" applyFont="1" applyFill="1" applyBorder="1" applyAlignment="1">
      <alignment horizontal="left" vertical="center" wrapText="1" readingOrder="1"/>
    </xf>
    <xf numFmtId="1" fontId="10" fillId="21" borderId="2" xfId="0" applyNumberFormat="1" applyFont="1" applyFill="1" applyBorder="1" applyAlignment="1">
      <alignment horizontal="left" vertical="center" wrapText="1" readingOrder="1"/>
    </xf>
    <xf numFmtId="17" fontId="27" fillId="10" borderId="2" xfId="0" applyNumberFormat="1" applyFont="1" applyFill="1" applyBorder="1" applyAlignment="1">
      <alignment vertical="center" wrapText="1" readingOrder="1"/>
    </xf>
    <xf numFmtId="0" fontId="27" fillId="10" borderId="2" xfId="0" applyNumberFormat="1" applyFont="1" applyFill="1" applyBorder="1" applyAlignment="1">
      <alignment vertical="center" wrapText="1" readingOrder="1"/>
    </xf>
    <xf numFmtId="44" fontId="28" fillId="10" borderId="2" xfId="0" applyNumberFormat="1" applyFont="1" applyFill="1" applyBorder="1" applyAlignment="1">
      <alignment horizontal="center" vertical="center" wrapText="1" readingOrder="1"/>
    </xf>
    <xf numFmtId="1" fontId="27" fillId="10" borderId="2" xfId="0" applyNumberFormat="1" applyFont="1" applyFill="1" applyBorder="1" applyAlignment="1">
      <alignment vertical="center" wrapText="1" readingOrder="1"/>
    </xf>
    <xf numFmtId="0" fontId="27" fillId="10" borderId="2" xfId="0" applyNumberFormat="1" applyFont="1" applyFill="1" applyBorder="1" applyAlignment="1">
      <alignment horizontal="left" vertical="center" wrapText="1" readingOrder="1"/>
    </xf>
    <xf numFmtId="1" fontId="0" fillId="0" borderId="0" xfId="0" applyNumberFormat="1"/>
    <xf numFmtId="44" fontId="1" fillId="10" borderId="2" xfId="0" applyNumberFormat="1" applyFont="1" applyFill="1" applyBorder="1"/>
    <xf numFmtId="0" fontId="23" fillId="19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vertical="center"/>
    </xf>
    <xf numFmtId="0" fontId="1" fillId="9" borderId="2" xfId="0" applyFont="1" applyFill="1" applyBorder="1" applyAlignment="1">
      <alignment horizontal="center" vertical="center"/>
    </xf>
    <xf numFmtId="0" fontId="0" fillId="8" borderId="2" xfId="0" quotePrefix="1" applyFill="1" applyBorder="1" applyAlignment="1">
      <alignment horizontal="left" vertical="center"/>
    </xf>
    <xf numFmtId="0" fontId="0" fillId="8" borderId="2" xfId="0" quotePrefix="1" applyNumberFormat="1" applyFill="1" applyBorder="1" applyAlignment="1">
      <alignment horizontal="left" vertical="center"/>
    </xf>
    <xf numFmtId="164" fontId="0" fillId="8" borderId="2" xfId="0" applyNumberFormat="1" applyFill="1" applyBorder="1" applyAlignment="1">
      <alignment horizontal="left" vertical="center"/>
    </xf>
    <xf numFmtId="0" fontId="0" fillId="8" borderId="2" xfId="0" applyNumberFormat="1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164" fontId="0" fillId="9" borderId="2" xfId="0" applyNumberForma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1" fillId="12" borderId="2" xfId="0" applyNumberFormat="1" applyFont="1" applyFill="1" applyBorder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4" fontId="0" fillId="20" borderId="2" xfId="0" applyNumberFormat="1" applyFill="1" applyBorder="1" applyAlignment="1">
      <alignment horizontal="left" vertical="center"/>
    </xf>
    <xf numFmtId="0" fontId="0" fillId="9" borderId="2" xfId="0" applyNumberFormat="1" applyFill="1" applyBorder="1" applyAlignment="1">
      <alignment horizontal="left" vertical="center"/>
    </xf>
    <xf numFmtId="0" fontId="1" fillId="17" borderId="7" xfId="0" applyFont="1" applyFill="1" applyBorder="1" applyAlignment="1">
      <alignment vertical="center"/>
    </xf>
    <xf numFmtId="164" fontId="1" fillId="17" borderId="7" xfId="0" applyNumberFormat="1" applyFont="1" applyFill="1" applyBorder="1" applyAlignment="1">
      <alignment horizontal="left" vertical="center"/>
    </xf>
    <xf numFmtId="0" fontId="1" fillId="0" borderId="0" xfId="0" applyFont="1" applyAlignment="1"/>
    <xf numFmtId="0" fontId="1" fillId="7" borderId="2" xfId="0" applyFont="1" applyFill="1" applyBorder="1" applyAlignment="1">
      <alignment horizontal="center"/>
    </xf>
    <xf numFmtId="164" fontId="0" fillId="19" borderId="2" xfId="0" applyNumberFormat="1" applyFill="1" applyBorder="1" applyAlignment="1">
      <alignment horizontal="left"/>
    </xf>
    <xf numFmtId="164" fontId="0" fillId="10" borderId="2" xfId="0" applyNumberFormat="1" applyFill="1" applyBorder="1" applyAlignment="1">
      <alignment horizontal="left"/>
    </xf>
    <xf numFmtId="164" fontId="0" fillId="0" borderId="0" xfId="0" applyNumberFormat="1" applyAlignment="1">
      <alignment horizontal="left"/>
    </xf>
    <xf numFmtId="164" fontId="1" fillId="18" borderId="2" xfId="0" applyNumberFormat="1" applyFont="1" applyFill="1" applyBorder="1" applyAlignment="1">
      <alignment horizontal="left"/>
    </xf>
    <xf numFmtId="0" fontId="1" fillId="21" borderId="2" xfId="0" applyFont="1" applyFill="1" applyBorder="1" applyAlignment="1">
      <alignment horizontal="center"/>
    </xf>
    <xf numFmtId="164" fontId="1" fillId="7" borderId="2" xfId="0" applyNumberFormat="1" applyFont="1" applyFill="1" applyBorder="1" applyAlignment="1">
      <alignment horizontal="left"/>
    </xf>
    <xf numFmtId="0" fontId="1" fillId="13" borderId="2" xfId="0" applyFont="1" applyFill="1" applyBorder="1"/>
    <xf numFmtId="164" fontId="1" fillId="13" borderId="2" xfId="0" applyNumberFormat="1" applyFont="1" applyFill="1" applyBorder="1" applyAlignment="1">
      <alignment horizontal="left"/>
    </xf>
    <xf numFmtId="10" fontId="0" fillId="21" borderId="2" xfId="0" applyNumberFormat="1" applyFill="1" applyBorder="1" applyAlignment="1">
      <alignment horizontal="left"/>
    </xf>
    <xf numFmtId="0" fontId="0" fillId="18" borderId="2" xfId="0" applyFill="1" applyBorder="1"/>
    <xf numFmtId="164" fontId="0" fillId="9" borderId="2" xfId="0" applyNumberFormat="1" applyFill="1" applyBorder="1" applyAlignment="1">
      <alignment horizontal="left"/>
    </xf>
    <xf numFmtId="0" fontId="0" fillId="9" borderId="2" xfId="0" applyNumberFormat="1" applyFill="1" applyBorder="1" applyAlignment="1">
      <alignment horizontal="left"/>
    </xf>
    <xf numFmtId="0" fontId="1" fillId="13" borderId="2" xfId="0" applyFont="1" applyFill="1" applyBorder="1" applyAlignment="1">
      <alignment horizontal="center"/>
    </xf>
    <xf numFmtId="164" fontId="0" fillId="0" borderId="0" xfId="0" applyNumberFormat="1"/>
    <xf numFmtId="164" fontId="12" fillId="8" borderId="2" xfId="0" applyNumberFormat="1" applyFont="1" applyFill="1" applyBorder="1" applyAlignment="1">
      <alignment horizontal="left"/>
    </xf>
    <xf numFmtId="164" fontId="0" fillId="19" borderId="2" xfId="0" applyNumberFormat="1" applyFill="1" applyBorder="1" applyAlignment="1">
      <alignment horizontal="left" vertical="top"/>
    </xf>
    <xf numFmtId="164" fontId="1" fillId="8" borderId="2" xfId="0" applyNumberFormat="1" applyFont="1" applyFill="1" applyBorder="1" applyAlignment="1">
      <alignment horizontal="left" vertical="center"/>
    </xf>
    <xf numFmtId="164" fontId="0" fillId="17" borderId="2" xfId="0" applyNumberFormat="1" applyFill="1" applyBorder="1" applyAlignment="1">
      <alignment horizontal="left"/>
    </xf>
    <xf numFmtId="0" fontId="0" fillId="10" borderId="2" xfId="0" applyFill="1" applyBorder="1" applyAlignment="1">
      <alignment horizontal="center"/>
    </xf>
    <xf numFmtId="0" fontId="0" fillId="10" borderId="2" xfId="0" applyFill="1" applyBorder="1"/>
    <xf numFmtId="0" fontId="0" fillId="9" borderId="2" xfId="0" applyFill="1" applyBorder="1"/>
    <xf numFmtId="1" fontId="0" fillId="9" borderId="2" xfId="0" applyNumberFormat="1" applyFill="1" applyBorder="1"/>
    <xf numFmtId="0" fontId="1" fillId="27" borderId="2" xfId="0" applyFont="1" applyFill="1" applyBorder="1"/>
    <xf numFmtId="0" fontId="1" fillId="13" borderId="6" xfId="0" applyFont="1" applyFill="1" applyBorder="1" applyAlignment="1">
      <alignment horizontal="center"/>
    </xf>
    <xf numFmtId="1" fontId="0" fillId="21" borderId="2" xfId="0" applyNumberFormat="1" applyFill="1" applyBorder="1" applyAlignment="1">
      <alignment horizontal="left"/>
    </xf>
    <xf numFmtId="0" fontId="1" fillId="19" borderId="2" xfId="0" applyFont="1" applyFill="1" applyBorder="1" applyAlignment="1">
      <alignment horizontal="center"/>
    </xf>
    <xf numFmtId="0" fontId="0" fillId="28" borderId="2" xfId="0" applyFill="1" applyBorder="1" applyAlignment="1">
      <alignment horizontal="left"/>
    </xf>
    <xf numFmtId="164" fontId="0" fillId="28" borderId="2" xfId="0" applyNumberFormat="1" applyFill="1" applyBorder="1" applyAlignment="1">
      <alignment horizontal="left"/>
    </xf>
    <xf numFmtId="0" fontId="0" fillId="26" borderId="2" xfId="0" applyFill="1" applyBorder="1"/>
    <xf numFmtId="164" fontId="0" fillId="26" borderId="2" xfId="0" applyNumberFormat="1" applyFill="1" applyBorder="1"/>
    <xf numFmtId="0" fontId="0" fillId="29" borderId="2" xfId="0" applyFill="1" applyBorder="1"/>
    <xf numFmtId="164" fontId="0" fillId="29" borderId="2" xfId="0" applyNumberFormat="1" applyFill="1" applyBorder="1"/>
    <xf numFmtId="0" fontId="0" fillId="26" borderId="9" xfId="0" applyFill="1" applyBorder="1"/>
    <xf numFmtId="0" fontId="1" fillId="13" borderId="0" xfId="0" applyFont="1" applyFill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2" xfId="0" applyFont="1" applyFill="1" applyBorder="1"/>
    <xf numFmtId="44" fontId="0" fillId="8" borderId="2" xfId="0" applyNumberFormat="1" applyFill="1" applyBorder="1"/>
    <xf numFmtId="44" fontId="0" fillId="10" borderId="2" xfId="0" applyNumberFormat="1" applyFill="1" applyBorder="1"/>
    <xf numFmtId="0" fontId="4" fillId="19" borderId="2" xfId="0" applyFont="1" applyFill="1" applyBorder="1" applyAlignment="1">
      <alignment horizontal="left" vertical="center" wrapText="1" indent="1" readingOrder="1"/>
    </xf>
    <xf numFmtId="0" fontId="0" fillId="10" borderId="0" xfId="0" applyFill="1" applyAlignment="1">
      <alignment horizontal="center"/>
    </xf>
    <xf numFmtId="164" fontId="1" fillId="19" borderId="2" xfId="0" applyNumberFormat="1" applyFont="1" applyFill="1" applyBorder="1" applyAlignment="1">
      <alignment horizontal="left"/>
    </xf>
    <xf numFmtId="164" fontId="0" fillId="8" borderId="2" xfId="0" applyNumberFormat="1" applyFill="1" applyBorder="1"/>
    <xf numFmtId="0" fontId="0" fillId="0" borderId="0" xfId="0"/>
    <xf numFmtId="164" fontId="0" fillId="19" borderId="2" xfId="0" applyNumberFormat="1" applyFill="1" applyBorder="1" applyAlignment="1">
      <alignment horizontal="left"/>
    </xf>
    <xf numFmtId="0" fontId="0" fillId="9" borderId="2" xfId="0" applyFill="1" applyBorder="1" applyAlignment="1">
      <alignment horizontal="left"/>
    </xf>
    <xf numFmtId="0" fontId="1" fillId="7" borderId="2" xfId="1" applyFill="1" applyBorder="1"/>
    <xf numFmtId="0" fontId="1" fillId="31" borderId="2" xfId="0" applyFont="1" applyFill="1" applyBorder="1" applyAlignment="1">
      <alignment horizontal="center"/>
    </xf>
    <xf numFmtId="164" fontId="33" fillId="7" borderId="2" xfId="1" applyNumberFormat="1" applyFont="1" applyFill="1" applyBorder="1" applyAlignment="1">
      <alignment horizontal="left"/>
    </xf>
    <xf numFmtId="164" fontId="0" fillId="7" borderId="2" xfId="0" applyNumberFormat="1" applyFill="1" applyBorder="1" applyAlignment="1">
      <alignment horizontal="left"/>
    </xf>
    <xf numFmtId="8" fontId="35" fillId="30" borderId="2" xfId="3" applyNumberFormat="1" applyFont="1" applyFill="1" applyBorder="1" applyAlignment="1">
      <alignment horizontal="left"/>
    </xf>
    <xf numFmtId="164" fontId="6" fillId="9" borderId="2" xfId="0" applyNumberFormat="1" applyFont="1" applyFill="1" applyBorder="1" applyAlignment="1">
      <alignment vertical="center" wrapText="1" readingOrder="1"/>
    </xf>
    <xf numFmtId="0" fontId="0" fillId="7" borderId="2" xfId="0" applyFill="1" applyBorder="1"/>
    <xf numFmtId="164" fontId="36" fillId="7" borderId="2" xfId="1" applyNumberFormat="1" applyFont="1" applyFill="1" applyBorder="1" applyAlignment="1">
      <alignment horizontal="left"/>
    </xf>
    <xf numFmtId="164" fontId="1" fillId="31" borderId="2" xfId="0" applyNumberFormat="1" applyFont="1" applyFill="1" applyBorder="1"/>
    <xf numFmtId="164" fontId="1" fillId="10" borderId="2" xfId="0" applyNumberFormat="1" applyFont="1" applyFill="1" applyBorder="1"/>
    <xf numFmtId="164" fontId="1" fillId="19" borderId="2" xfId="0" applyNumberFormat="1" applyFont="1" applyFill="1" applyBorder="1"/>
    <xf numFmtId="164" fontId="1" fillId="10" borderId="2" xfId="0" applyNumberFormat="1" applyFont="1" applyFill="1" applyBorder="1" applyAlignment="1">
      <alignment horizontal="left"/>
    </xf>
    <xf numFmtId="0" fontId="32" fillId="0" borderId="0" xfId="4"/>
    <xf numFmtId="0" fontId="1" fillId="31" borderId="0" xfId="0" applyFont="1" applyFill="1"/>
    <xf numFmtId="0" fontId="0" fillId="20" borderId="2" xfId="0" applyFill="1" applyBorder="1"/>
    <xf numFmtId="0" fontId="17" fillId="10" borderId="2" xfId="0" applyFont="1" applyFill="1" applyBorder="1" applyAlignment="1">
      <alignment horizontal="center"/>
    </xf>
    <xf numFmtId="0" fontId="0" fillId="20" borderId="2" xfId="0" applyFill="1" applyBorder="1" applyAlignment="1">
      <alignment horizontal="center"/>
    </xf>
    <xf numFmtId="0" fontId="39" fillId="31" borderId="2" xfId="0" applyFont="1" applyFill="1" applyBorder="1" applyAlignment="1">
      <alignment horizontal="center"/>
    </xf>
    <xf numFmtId="2" fontId="0" fillId="20" borderId="2" xfId="0" applyNumberFormat="1" applyFill="1" applyBorder="1" applyAlignment="1">
      <alignment horizontal="center"/>
    </xf>
    <xf numFmtId="0" fontId="0" fillId="21" borderId="0" xfId="0" applyFill="1" applyAlignment="1">
      <alignment horizontal="center"/>
    </xf>
    <xf numFmtId="0" fontId="0" fillId="20" borderId="9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7" fillId="12" borderId="2" xfId="0" applyFont="1" applyFill="1" applyBorder="1" applyAlignment="1">
      <alignment horizontal="center"/>
    </xf>
    <xf numFmtId="0" fontId="34" fillId="25" borderId="6" xfId="0" applyFont="1" applyFill="1" applyBorder="1" applyAlignment="1">
      <alignment horizontal="center"/>
    </xf>
    <xf numFmtId="0" fontId="38" fillId="25" borderId="0" xfId="0" applyFont="1" applyFill="1" applyAlignment="1">
      <alignment horizontal="center"/>
    </xf>
    <xf numFmtId="0" fontId="17" fillId="24" borderId="3" xfId="0" applyFont="1" applyFill="1" applyBorder="1" applyAlignment="1">
      <alignment horizontal="center"/>
    </xf>
    <xf numFmtId="0" fontId="0" fillId="10" borderId="2" xfId="0" applyFill="1" applyBorder="1" applyAlignment="1">
      <alignment horizontal="left"/>
    </xf>
    <xf numFmtId="10" fontId="37" fillId="9" borderId="2" xfId="0" applyNumberFormat="1" applyFont="1" applyFill="1" applyBorder="1" applyAlignment="1">
      <alignment horizontal="left" vertical="center" wrapText="1" indent="1"/>
    </xf>
    <xf numFmtId="0" fontId="0" fillId="7" borderId="0" xfId="0" applyNumberFormat="1" applyFill="1" applyAlignment="1">
      <alignment horizontal="left"/>
    </xf>
    <xf numFmtId="0" fontId="0" fillId="7" borderId="0" xfId="0" applyFill="1" applyAlignment="1">
      <alignment horizontal="left"/>
    </xf>
    <xf numFmtId="0" fontId="34" fillId="31" borderId="0" xfId="0" applyFont="1" applyFill="1" applyAlignment="1">
      <alignment horizontal="left"/>
    </xf>
    <xf numFmtId="10" fontId="31" fillId="30" borderId="0" xfId="0" applyNumberFormat="1" applyFont="1" applyFill="1" applyAlignment="1">
      <alignment horizontal="center"/>
    </xf>
    <xf numFmtId="10" fontId="1" fillId="31" borderId="2" xfId="0" applyNumberFormat="1" applyFont="1" applyFill="1" applyBorder="1" applyAlignment="1">
      <alignment horizontal="left"/>
    </xf>
    <xf numFmtId="0" fontId="0" fillId="13" borderId="2" xfId="0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10" fontId="1" fillId="19" borderId="2" xfId="0" applyNumberFormat="1" applyFont="1" applyFill="1" applyBorder="1" applyAlignment="1">
      <alignment horizontal="left"/>
    </xf>
    <xf numFmtId="8" fontId="0" fillId="0" borderId="0" xfId="0" applyNumberFormat="1"/>
    <xf numFmtId="8" fontId="0" fillId="18" borderId="2" xfId="0" applyNumberFormat="1" applyFill="1" applyBorder="1"/>
    <xf numFmtId="0" fontId="35" fillId="20" borderId="2" xfId="0" applyFont="1" applyFill="1" applyBorder="1"/>
    <xf numFmtId="0" fontId="6" fillId="9" borderId="3" xfId="0" applyFont="1" applyFill="1" applyBorder="1" applyAlignment="1">
      <alignment horizontal="center" vertical="center" wrapText="1" readingOrder="1"/>
    </xf>
    <xf numFmtId="0" fontId="6" fillId="9" borderId="4" xfId="0" applyFont="1" applyFill="1" applyBorder="1" applyAlignment="1">
      <alignment horizontal="center" vertical="center" wrapText="1" readingOrder="1"/>
    </xf>
    <xf numFmtId="0" fontId="6" fillId="9" borderId="5" xfId="0" applyFont="1" applyFill="1" applyBorder="1" applyAlignment="1">
      <alignment horizontal="center" vertical="center" wrapText="1" readingOrder="1"/>
    </xf>
    <xf numFmtId="0" fontId="4" fillId="10" borderId="2" xfId="0" applyFont="1" applyFill="1" applyBorder="1" applyAlignment="1">
      <alignment horizontal="center" vertical="center" wrapText="1" readingOrder="1"/>
    </xf>
    <xf numFmtId="0" fontId="7" fillId="3" borderId="2" xfId="0" applyFont="1" applyFill="1" applyBorder="1" applyAlignment="1">
      <alignment horizontal="center" vertical="center" wrapText="1" readingOrder="1"/>
    </xf>
    <xf numFmtId="0" fontId="5" fillId="4" borderId="2" xfId="0" applyFont="1" applyFill="1" applyBorder="1" applyAlignment="1">
      <alignment horizontal="center" vertical="center" wrapText="1" readingOrder="1"/>
    </xf>
    <xf numFmtId="0" fontId="9" fillId="4" borderId="2" xfId="0" applyFont="1" applyFill="1" applyBorder="1" applyAlignment="1">
      <alignment horizontal="center" vertical="center" wrapText="1" readingOrder="1"/>
    </xf>
    <xf numFmtId="0" fontId="4" fillId="7" borderId="2" xfId="0" applyFont="1" applyFill="1" applyBorder="1" applyAlignment="1">
      <alignment horizontal="center" vertical="center" wrapText="1" readingOrder="1"/>
    </xf>
    <xf numFmtId="0" fontId="5" fillId="7" borderId="2" xfId="0" applyFont="1" applyFill="1" applyBorder="1" applyAlignment="1">
      <alignment horizontal="center" vertical="center" wrapText="1" readingOrder="1"/>
    </xf>
    <xf numFmtId="0" fontId="0" fillId="0" borderId="0" xfId="0"/>
    <xf numFmtId="0" fontId="3" fillId="3" borderId="2" xfId="0" applyFont="1" applyFill="1" applyBorder="1" applyAlignment="1">
      <alignment horizontal="center" vertical="center" wrapText="1" readingOrder="1"/>
    </xf>
    <xf numFmtId="0" fontId="2" fillId="2" borderId="0" xfId="2" applyAlignment="1">
      <alignment horizontal="center" vertical="center"/>
    </xf>
    <xf numFmtId="0" fontId="2" fillId="13" borderId="0" xfId="2" applyFill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 readingOrder="1"/>
    </xf>
    <xf numFmtId="0" fontId="20" fillId="7" borderId="2" xfId="0" applyFont="1" applyFill="1" applyBorder="1" applyAlignment="1">
      <alignment horizontal="center" vertical="center" wrapText="1" readingOrder="1"/>
    </xf>
    <xf numFmtId="0" fontId="19" fillId="3" borderId="2" xfId="0" applyFont="1" applyFill="1" applyBorder="1" applyAlignment="1">
      <alignment horizontal="center" vertical="center" wrapText="1" readingOrder="1"/>
    </xf>
    <xf numFmtId="0" fontId="0" fillId="19" borderId="2" xfId="0" applyFill="1" applyBorder="1" applyAlignment="1">
      <alignment horizontal="center"/>
    </xf>
    <xf numFmtId="164" fontId="0" fillId="19" borderId="2" xfId="0" applyNumberFormat="1" applyFill="1" applyBorder="1" applyAlignment="1">
      <alignment horizontal="center"/>
    </xf>
    <xf numFmtId="164" fontId="0" fillId="19" borderId="2" xfId="0" applyNumberFormat="1" applyFill="1" applyBorder="1" applyAlignment="1">
      <alignment horizontal="left"/>
    </xf>
    <xf numFmtId="0" fontId="1" fillId="6" borderId="2" xfId="0" applyFont="1" applyFill="1" applyBorder="1" applyAlignment="1">
      <alignment horizontal="center" vertical="center"/>
    </xf>
    <xf numFmtId="0" fontId="29" fillId="10" borderId="2" xfId="0" applyFont="1" applyFill="1" applyBorder="1" applyAlignment="1">
      <alignment horizontal="center" vertical="center"/>
    </xf>
    <xf numFmtId="0" fontId="16" fillId="6" borderId="3" xfId="0" applyFont="1" applyFill="1" applyBorder="1" applyAlignment="1">
      <alignment horizontal="center" vertical="center"/>
    </xf>
    <xf numFmtId="0" fontId="16" fillId="6" borderId="4" xfId="0" applyFont="1" applyFill="1" applyBorder="1" applyAlignment="1">
      <alignment horizontal="center" vertical="center"/>
    </xf>
    <xf numFmtId="0" fontId="16" fillId="6" borderId="5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/>
    </xf>
    <xf numFmtId="0" fontId="1" fillId="14" borderId="2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/>
    </xf>
    <xf numFmtId="0" fontId="12" fillId="8" borderId="4" xfId="0" applyFont="1" applyFill="1" applyBorder="1" applyAlignment="1">
      <alignment horizontal="center"/>
    </xf>
    <xf numFmtId="0" fontId="12" fillId="8" borderId="2" xfId="0" applyFont="1" applyFill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1" fillId="6" borderId="2" xfId="0" applyFont="1" applyFill="1" applyBorder="1" applyAlignment="1">
      <alignment horizontal="center" vertical="top"/>
    </xf>
    <xf numFmtId="164" fontId="1" fillId="12" borderId="2" xfId="1" applyNumberFormat="1" applyFill="1" applyBorder="1" applyAlignment="1">
      <alignment horizontal="left"/>
    </xf>
    <xf numFmtId="0" fontId="0" fillId="9" borderId="2" xfId="0" applyFill="1" applyBorder="1" applyAlignment="1">
      <alignment horizontal="left"/>
    </xf>
    <xf numFmtId="164" fontId="12" fillId="8" borderId="2" xfId="0" applyNumberFormat="1" applyFont="1" applyFill="1" applyBorder="1" applyAlignment="1">
      <alignment horizontal="left"/>
    </xf>
    <xf numFmtId="0" fontId="0" fillId="9" borderId="2" xfId="0" applyFill="1" applyBorder="1" applyAlignment="1">
      <alignment horizontal="center"/>
    </xf>
    <xf numFmtId="0" fontId="16" fillId="6" borderId="2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left"/>
    </xf>
    <xf numFmtId="0" fontId="0" fillId="16" borderId="2" xfId="0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0" fillId="12" borderId="3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 wrapText="1"/>
    </xf>
    <xf numFmtId="0" fontId="12" fillId="8" borderId="5" xfId="0" applyFont="1" applyFill="1" applyBorder="1" applyAlignment="1">
      <alignment horizontal="center"/>
    </xf>
    <xf numFmtId="0" fontId="1" fillId="24" borderId="8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2" fillId="12" borderId="3" xfId="0" applyFont="1" applyFill="1" applyBorder="1" applyAlignment="1">
      <alignment horizontal="center"/>
    </xf>
    <xf numFmtId="0" fontId="12" fillId="12" borderId="4" xfId="0" applyFont="1" applyFill="1" applyBorder="1" applyAlignment="1">
      <alignment horizontal="center"/>
    </xf>
    <xf numFmtId="0" fontId="12" fillId="12" borderId="5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8" fillId="8" borderId="2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34" fillId="18" borderId="8" xfId="0" applyFont="1" applyFill="1" applyBorder="1" applyAlignment="1">
      <alignment horizontal="center"/>
    </xf>
    <xf numFmtId="0" fontId="17" fillId="13" borderId="2" xfId="0" applyFont="1" applyFill="1" applyBorder="1" applyAlignment="1">
      <alignment horizontal="center" vertical="center"/>
    </xf>
    <xf numFmtId="0" fontId="23" fillId="19" borderId="2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21" borderId="2" xfId="0" applyFont="1" applyFill="1" applyBorder="1" applyAlignment="1">
      <alignment horizontal="center" vertical="center"/>
    </xf>
    <xf numFmtId="17" fontId="27" fillId="10" borderId="3" xfId="0" applyNumberFormat="1" applyFont="1" applyFill="1" applyBorder="1" applyAlignment="1">
      <alignment horizontal="center" vertical="center" wrapText="1" readingOrder="1"/>
    </xf>
    <xf numFmtId="17" fontId="27" fillId="10" borderId="5" xfId="0" applyNumberFormat="1" applyFont="1" applyFill="1" applyBorder="1" applyAlignment="1">
      <alignment horizontal="center" vertical="center" wrapText="1" readingOrder="1"/>
    </xf>
    <xf numFmtId="0" fontId="0" fillId="0" borderId="8" xfId="0" applyBorder="1" applyAlignment="1">
      <alignment horizontal="center"/>
    </xf>
    <xf numFmtId="0" fontId="8" fillId="3" borderId="2" xfId="0" applyFont="1" applyFill="1" applyBorder="1" applyAlignment="1">
      <alignment horizontal="center" vertical="center" wrapText="1" readingOrder="1"/>
    </xf>
    <xf numFmtId="0" fontId="1" fillId="27" borderId="2" xfId="0" applyFont="1" applyFill="1" applyBorder="1" applyAlignment="1">
      <alignment horizontal="center"/>
    </xf>
    <xf numFmtId="0" fontId="1" fillId="25" borderId="2" xfId="0" applyFont="1" applyFill="1" applyBorder="1" applyAlignment="1">
      <alignment horizontal="center"/>
    </xf>
    <xf numFmtId="0" fontId="0" fillId="30" borderId="2" xfId="0" applyFill="1" applyBorder="1" applyAlignment="1">
      <alignment horizontal="center"/>
    </xf>
    <xf numFmtId="0" fontId="16" fillId="18" borderId="2" xfId="0" applyFont="1" applyFill="1" applyBorder="1" applyAlignment="1">
      <alignment horizontal="center"/>
    </xf>
    <xf numFmtId="0" fontId="34" fillId="10" borderId="0" xfId="0" applyFont="1" applyFill="1" applyAlignment="1">
      <alignment horizontal="center"/>
    </xf>
  </cellXfs>
  <cellStyles count="5">
    <cellStyle name="Énfasis3" xfId="2" builtinId="37"/>
    <cellStyle name="Hipervínculo" xfId="4" builtinId="8"/>
    <cellStyle name="Normal" xfId="0" builtinId="0"/>
    <cellStyle name="Texto de advertencia" xfId="3" builtinId="11"/>
    <cellStyle name="Total" xfId="1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'PUNTO DE EQUILIBRIO'!$D$14</c:f>
              <c:strCache>
                <c:ptCount val="1"/>
                <c:pt idx="0">
                  <c:v>Ingreso 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'PUNTO DE EQUILIBRIO'!$C$15:$C$20</c:f>
              <c:numCache>
                <c:formatCode>General</c:formatCode>
                <c:ptCount val="6"/>
                <c:pt idx="0">
                  <c:v>0</c:v>
                </c:pt>
                <c:pt idx="1">
                  <c:v>4795</c:v>
                </c:pt>
                <c:pt idx="2">
                  <c:v>5181</c:v>
                </c:pt>
                <c:pt idx="3">
                  <c:v>5602</c:v>
                </c:pt>
                <c:pt idx="4">
                  <c:v>6062</c:v>
                </c:pt>
                <c:pt idx="5">
                  <c:v>6567</c:v>
                </c:pt>
              </c:numCache>
            </c:numRef>
          </c:xVal>
          <c:yVal>
            <c:numRef>
              <c:f>'PUNTO DE EQUILIBRIO'!$D$15:$D$20</c:f>
              <c:numCache>
                <c:formatCode>"$"#,##0.00</c:formatCode>
                <c:ptCount val="6"/>
                <c:pt idx="0" formatCode="General">
                  <c:v>0</c:v>
                </c:pt>
                <c:pt idx="1">
                  <c:v>13950000</c:v>
                </c:pt>
                <c:pt idx="2">
                  <c:v>14814900</c:v>
                </c:pt>
                <c:pt idx="3">
                  <c:v>16020179.999999996</c:v>
                </c:pt>
                <c:pt idx="4">
                  <c:v>18104625</c:v>
                </c:pt>
                <c:pt idx="5">
                  <c:v>21345800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'PUNTO DE EQUILIBRIO'!$E$14</c:f>
              <c:strCache>
                <c:ptCount val="1"/>
                <c:pt idx="0">
                  <c:v>Costo Fijo Total Promedio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'PUNTO DE EQUILIBRIO'!$C$15:$C$20</c:f>
              <c:numCache>
                <c:formatCode>General</c:formatCode>
                <c:ptCount val="6"/>
                <c:pt idx="0">
                  <c:v>0</c:v>
                </c:pt>
                <c:pt idx="1">
                  <c:v>4795</c:v>
                </c:pt>
                <c:pt idx="2">
                  <c:v>5181</c:v>
                </c:pt>
                <c:pt idx="3">
                  <c:v>5602</c:v>
                </c:pt>
                <c:pt idx="4">
                  <c:v>6062</c:v>
                </c:pt>
                <c:pt idx="5">
                  <c:v>6567</c:v>
                </c:pt>
              </c:numCache>
            </c:numRef>
          </c:xVal>
          <c:yVal>
            <c:numRef>
              <c:f>'PUNTO DE EQUILIBRIO'!$E$15:$E$20</c:f>
              <c:numCache>
                <c:formatCode>"$"#,##0.00</c:formatCode>
                <c:ptCount val="6"/>
                <c:pt idx="0">
                  <c:v>4717106.8550203722</c:v>
                </c:pt>
                <c:pt idx="1">
                  <c:v>4717106.8550203722</c:v>
                </c:pt>
                <c:pt idx="2">
                  <c:v>4717106.8550203722</c:v>
                </c:pt>
                <c:pt idx="3">
                  <c:v>4717106.8550203722</c:v>
                </c:pt>
                <c:pt idx="4">
                  <c:v>4717106.8550203722</c:v>
                </c:pt>
                <c:pt idx="5">
                  <c:v>4717106.8550203722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'PUNTO DE EQUILIBRIO'!$G$14</c:f>
              <c:strCache>
                <c:ptCount val="1"/>
                <c:pt idx="0">
                  <c:v>Costos Variables Totales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'PUNTO DE EQUILIBRIO'!$C$15:$C$20</c:f>
              <c:numCache>
                <c:formatCode>General</c:formatCode>
                <c:ptCount val="6"/>
                <c:pt idx="0">
                  <c:v>0</c:v>
                </c:pt>
                <c:pt idx="1">
                  <c:v>4795</c:v>
                </c:pt>
                <c:pt idx="2">
                  <c:v>5181</c:v>
                </c:pt>
                <c:pt idx="3">
                  <c:v>5602</c:v>
                </c:pt>
                <c:pt idx="4">
                  <c:v>6062</c:v>
                </c:pt>
                <c:pt idx="5">
                  <c:v>6567</c:v>
                </c:pt>
              </c:numCache>
            </c:numRef>
          </c:xVal>
          <c:yVal>
            <c:numRef>
              <c:f>'PUNTO DE EQUILIBRIO'!$G$15:$G$20</c:f>
              <c:numCache>
                <c:formatCode>"$"#,##0.00</c:formatCode>
                <c:ptCount val="6"/>
                <c:pt idx="0" formatCode="General">
                  <c:v>0</c:v>
                </c:pt>
                <c:pt idx="1">
                  <c:v>5672156.3724137926</c:v>
                </c:pt>
                <c:pt idx="2">
                  <c:v>5956374.1003218386</c:v>
                </c:pt>
                <c:pt idx="3">
                  <c:v>6552011.5103540216</c:v>
                </c:pt>
                <c:pt idx="4">
                  <c:v>7534819.3359999992</c:v>
                </c:pt>
                <c:pt idx="5">
                  <c:v>9042515.0943448264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'PUNTO DE EQUILIBRIO'!$H$14</c:f>
              <c:strCache>
                <c:ptCount val="1"/>
                <c:pt idx="0">
                  <c:v>Costos Totales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'PUNTO DE EQUILIBRIO'!$C$15:$C$20</c:f>
              <c:numCache>
                <c:formatCode>General</c:formatCode>
                <c:ptCount val="6"/>
                <c:pt idx="0">
                  <c:v>0</c:v>
                </c:pt>
                <c:pt idx="1">
                  <c:v>4795</c:v>
                </c:pt>
                <c:pt idx="2">
                  <c:v>5181</c:v>
                </c:pt>
                <c:pt idx="3">
                  <c:v>5602</c:v>
                </c:pt>
                <c:pt idx="4">
                  <c:v>6062</c:v>
                </c:pt>
                <c:pt idx="5">
                  <c:v>6567</c:v>
                </c:pt>
              </c:numCache>
            </c:numRef>
          </c:xVal>
          <c:yVal>
            <c:numRef>
              <c:f>'PUNTO DE EQUILIBRIO'!$H$15:$H$20</c:f>
              <c:numCache>
                <c:formatCode>"$"#,##0.00</c:formatCode>
                <c:ptCount val="6"/>
                <c:pt idx="0">
                  <c:v>4717106.8550203722</c:v>
                </c:pt>
                <c:pt idx="1">
                  <c:v>10389263.227434166</c:v>
                </c:pt>
                <c:pt idx="2">
                  <c:v>10673480.955342211</c:v>
                </c:pt>
                <c:pt idx="3">
                  <c:v>11269118.365374394</c:v>
                </c:pt>
                <c:pt idx="4">
                  <c:v>12251926.191020371</c:v>
                </c:pt>
                <c:pt idx="5">
                  <c:v>13759621.949365199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66400"/>
        <c:axId val="215866792"/>
      </c:scatterChart>
      <c:valAx>
        <c:axId val="21586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>
                    <a:solidFill>
                      <a:schemeClr val="bg1"/>
                    </a:solidFill>
                  </a:rPr>
                  <a:t>Unidades Físicas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5866792"/>
        <c:crosses val="autoZero"/>
        <c:crossBetween val="midCat"/>
      </c:valAx>
      <c:valAx>
        <c:axId val="21586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>
                    <a:solidFill>
                      <a:schemeClr val="bg1"/>
                    </a:solidFill>
                  </a:rPr>
                  <a:t>Unidades Monetarias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586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CURVA DE LA DEMANDA</a:t>
            </a:r>
            <a:r>
              <a:rPr lang="es-MX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DEMANDA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'CURVA DE LA DEMANDA'!$D$3:$D$7</c:f>
              <c:numCache>
                <c:formatCode>General</c:formatCode>
                <c:ptCount val="5"/>
                <c:pt idx="0">
                  <c:v>9300</c:v>
                </c:pt>
                <c:pt idx="1">
                  <c:v>10044</c:v>
                </c:pt>
                <c:pt idx="2" formatCode="0">
                  <c:v>11048.399999999998</c:v>
                </c:pt>
                <c:pt idx="3">
                  <c:v>12705</c:v>
                </c:pt>
                <c:pt idx="4">
                  <c:v>15247</c:v>
                </c:pt>
              </c:numCache>
            </c:numRef>
          </c:xVal>
          <c:yVal>
            <c:numRef>
              <c:f>'CURVA DE LA DEMANDA'!$C$3:$C$7</c:f>
              <c:numCache>
                <c:formatCode>General</c:formatCode>
                <c:ptCount val="5"/>
                <c:pt idx="0">
                  <c:v>1500</c:v>
                </c:pt>
                <c:pt idx="1">
                  <c:v>1475</c:v>
                </c:pt>
                <c:pt idx="2">
                  <c:v>1450</c:v>
                </c:pt>
                <c:pt idx="3">
                  <c:v>1425</c:v>
                </c:pt>
                <c:pt idx="4">
                  <c:v>1400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67576"/>
        <c:axId val="215867968"/>
      </c:scatterChart>
      <c:valAx>
        <c:axId val="215867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CANTIDAD DEMANDADA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5867968"/>
        <c:crosses val="autoZero"/>
        <c:crossBetween val="midCat"/>
      </c:valAx>
      <c:valAx>
        <c:axId val="21586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PRECIO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5867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9965536916581078"/>
          <c:y val="0.17374999999999999"/>
          <c:w val="0.4679453902254313"/>
          <c:h val="0.70959135316418775"/>
        </c:manualLayout>
      </c:layout>
      <c:scatterChart>
        <c:scatterStyle val="smoothMarker"/>
        <c:varyColors val="0"/>
        <c:ser>
          <c:idx val="0"/>
          <c:order val="0"/>
          <c:tx>
            <c:v>CICLO DE VIDA DE LAS EMPANADAS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C000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1"/>
              <c:layout>
                <c:manualLayout>
                  <c:x val="-1.3175230566534963E-2"/>
                  <c:y val="3.7037037037037035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"/>
                  <c:y val="1.8518518518518517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'CICLO DE VIDA DEL PRODUCTO'!$D$5:$D$10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'CICLO DE VIDA DEL PRODUCTO'!$C$5:$C$10</c:f>
              <c:numCache>
                <c:formatCode>"$"#,##0.00</c:formatCode>
                <c:ptCount val="6"/>
                <c:pt idx="0">
                  <c:v>0</c:v>
                </c:pt>
                <c:pt idx="1">
                  <c:v>13950000</c:v>
                </c:pt>
                <c:pt idx="2">
                  <c:v>14814900</c:v>
                </c:pt>
                <c:pt idx="3">
                  <c:v>16020180</c:v>
                </c:pt>
                <c:pt idx="4">
                  <c:v>18104625</c:v>
                </c:pt>
                <c:pt idx="5">
                  <c:v>21345800</c:v>
                </c:pt>
              </c:numCache>
            </c:numRef>
          </c:yVal>
          <c:smooth val="1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215868752"/>
        <c:axId val="215869144"/>
      </c:scatterChart>
      <c:valAx>
        <c:axId val="21586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5869144"/>
        <c:crosses val="autoZero"/>
        <c:crossBetween val="midCat"/>
      </c:valAx>
      <c:valAx>
        <c:axId val="21586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586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BETA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'COSTO DE CAPITAL'!$G$11:$G$21</c:f>
              <c:numCache>
                <c:formatCode>General</c:formatCode>
                <c:ptCount val="11"/>
                <c:pt idx="0">
                  <c:v>3.2430790164555967E-2</c:v>
                </c:pt>
                <c:pt idx="1">
                  <c:v>-2.3478785665743684E-2</c:v>
                </c:pt>
                <c:pt idx="2">
                  <c:v>-1.3278687294045244E-2</c:v>
                </c:pt>
                <c:pt idx="3">
                  <c:v>3.1271287905373368E-2</c:v>
                </c:pt>
                <c:pt idx="4">
                  <c:v>-7.4824613685686714E-5</c:v>
                </c:pt>
                <c:pt idx="5">
                  <c:v>-7.1929730186663932E-3</c:v>
                </c:pt>
                <c:pt idx="6">
                  <c:v>-1.4911858892379115E-3</c:v>
                </c:pt>
                <c:pt idx="7">
                  <c:v>3.6281131055248661E-2</c:v>
                </c:pt>
                <c:pt idx="8">
                  <c:v>1.4488233016392016E-2</c:v>
                </c:pt>
                <c:pt idx="9">
                  <c:v>8.1255215284016913E-2</c:v>
                </c:pt>
                <c:pt idx="10">
                  <c:v>-7.0226184651234536E-2</c:v>
                </c:pt>
              </c:numCache>
            </c:numRef>
          </c:xVal>
          <c:yVal>
            <c:numRef>
              <c:f>'COSTO DE CAPITAL'!$E$11:$E$21</c:f>
              <c:numCache>
                <c:formatCode>General</c:formatCode>
                <c:ptCount val="11"/>
                <c:pt idx="0">
                  <c:v>-1.2195121951219523E-2</c:v>
                </c:pt>
                <c:pt idx="1">
                  <c:v>-1.2048192771084376E-2</c:v>
                </c:pt>
                <c:pt idx="2">
                  <c:v>4.7979797979798011E-2</c:v>
                </c:pt>
                <c:pt idx="3">
                  <c:v>2.5316455696202667E-3</c:v>
                </c:pt>
                <c:pt idx="4">
                  <c:v>-4.5362903225806273E-3</c:v>
                </c:pt>
                <c:pt idx="5">
                  <c:v>-5.1171688187470088E-2</c:v>
                </c:pt>
                <c:pt idx="6">
                  <c:v>-6.2331838565022446E-2</c:v>
                </c:pt>
                <c:pt idx="7">
                  <c:v>0.15663900414937748</c:v>
                </c:pt>
                <c:pt idx="8">
                  <c:v>-8.1904761904761814E-2</c:v>
                </c:pt>
                <c:pt idx="9">
                  <c:v>0.28283445326817347</c:v>
                </c:pt>
                <c:pt idx="10">
                  <c:v>-6.5639269406392642E-2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857160"/>
        <c:axId val="216857552"/>
      </c:scatterChart>
      <c:valAx>
        <c:axId val="216857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RETORNO</a:t>
                </a:r>
                <a:r>
                  <a:rPr lang="es-MX" baseline="0"/>
                  <a:t> DE LA INDUSTRIA</a:t>
                </a:r>
                <a:endParaRPr lang="es-MX"/>
              </a:p>
            </c:rich>
          </c:tx>
          <c:layout>
            <c:manualLayout>
              <c:xMode val="edge"/>
              <c:yMode val="edge"/>
              <c:x val="0.23867945043910405"/>
              <c:y val="0.91285227256729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6857552"/>
        <c:crosses val="autoZero"/>
        <c:crossBetween val="midCat"/>
      </c:valAx>
      <c:valAx>
        <c:axId val="21685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RETORNO DEL MERCADO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6857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3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20</xdr:row>
      <xdr:rowOff>166686</xdr:rowOff>
    </xdr:from>
    <xdr:to>
      <xdr:col>5</xdr:col>
      <xdr:colOff>1762125</xdr:colOff>
      <xdr:row>39</xdr:row>
      <xdr:rowOff>171449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419100</xdr:colOff>
      <xdr:row>32</xdr:row>
      <xdr:rowOff>28576</xdr:rowOff>
    </xdr:from>
    <xdr:to>
      <xdr:col>4</xdr:col>
      <xdr:colOff>619125</xdr:colOff>
      <xdr:row>33</xdr:row>
      <xdr:rowOff>9526</xdr:rowOff>
    </xdr:to>
    <xdr:sp macro="" textlink="">
      <xdr:nvSpPr>
        <xdr:cNvPr id="3" name="Multiplicar 2"/>
        <xdr:cNvSpPr/>
      </xdr:nvSpPr>
      <xdr:spPr>
        <a:xfrm>
          <a:off x="5886450" y="6124576"/>
          <a:ext cx="200025" cy="171450"/>
        </a:xfrm>
        <a:prstGeom prst="mathMultiply">
          <a:avLst/>
        </a:prstGeom>
        <a:solidFill>
          <a:srgbClr val="FFFF00"/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619125</xdr:colOff>
      <xdr:row>24</xdr:row>
      <xdr:rowOff>123825</xdr:rowOff>
    </xdr:from>
    <xdr:to>
      <xdr:col>4</xdr:col>
      <xdr:colOff>1447800</xdr:colOff>
      <xdr:row>26</xdr:row>
      <xdr:rowOff>57150</xdr:rowOff>
    </xdr:to>
    <xdr:sp macro="" textlink="">
      <xdr:nvSpPr>
        <xdr:cNvPr id="4" name="CuadroTexto 3"/>
        <xdr:cNvSpPr txBox="1"/>
      </xdr:nvSpPr>
      <xdr:spPr>
        <a:xfrm>
          <a:off x="5172075" y="4695825"/>
          <a:ext cx="1743075" cy="314325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lang="es-MX" sz="1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Punto de Equilibrio</a:t>
          </a:r>
        </a:p>
      </xdr:txBody>
    </xdr:sp>
    <xdr:clientData/>
  </xdr:twoCellAnchor>
  <xdr:twoCellAnchor>
    <xdr:from>
      <xdr:col>4</xdr:col>
      <xdr:colOff>485778</xdr:colOff>
      <xdr:row>26</xdr:row>
      <xdr:rowOff>19053</xdr:rowOff>
    </xdr:from>
    <xdr:to>
      <xdr:col>4</xdr:col>
      <xdr:colOff>523459</xdr:colOff>
      <xdr:row>32</xdr:row>
      <xdr:rowOff>136429</xdr:rowOff>
    </xdr:to>
    <xdr:cxnSp macro="">
      <xdr:nvCxnSpPr>
        <xdr:cNvPr id="6" name="Conector recto de flecha 5"/>
        <xdr:cNvCxnSpPr/>
      </xdr:nvCxnSpPr>
      <xdr:spPr>
        <a:xfrm flipH="1" flipV="1">
          <a:off x="5953128" y="4972053"/>
          <a:ext cx="37681" cy="1260376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9</xdr:row>
      <xdr:rowOff>23812</xdr:rowOff>
    </xdr:from>
    <xdr:to>
      <xdr:col>5</xdr:col>
      <xdr:colOff>228600</xdr:colOff>
      <xdr:row>23</xdr:row>
      <xdr:rowOff>100012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10</xdr:row>
      <xdr:rowOff>185737</xdr:rowOff>
    </xdr:from>
    <xdr:to>
      <xdr:col>5</xdr:col>
      <xdr:colOff>742950</xdr:colOff>
      <xdr:row>25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9</xdr:row>
          <xdr:rowOff>142875</xdr:rowOff>
        </xdr:from>
        <xdr:to>
          <xdr:col>2</xdr:col>
          <xdr:colOff>180975</xdr:colOff>
          <xdr:row>14</xdr:row>
          <xdr:rowOff>104775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269502</xdr:colOff>
          <xdr:row>9</xdr:row>
          <xdr:rowOff>52667</xdr:rowOff>
        </xdr:from>
        <xdr:to>
          <xdr:col>1</xdr:col>
          <xdr:colOff>3222252</xdr:colOff>
          <xdr:row>12</xdr:row>
          <xdr:rowOff>133349</xdr:rowOff>
        </xdr:to>
        <xdr:sp macro="" textlink="">
          <xdr:nvSpPr>
            <xdr:cNvPr id="22531" name="Object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1638861</xdr:colOff>
      <xdr:row>15</xdr:row>
      <xdr:rowOff>95811</xdr:rowOff>
    </xdr:from>
    <xdr:to>
      <xdr:col>1</xdr:col>
      <xdr:colOff>2529729</xdr:colOff>
      <xdr:row>21</xdr:row>
      <xdr:rowOff>6911</xdr:rowOff>
    </xdr:to>
    <xdr:pic>
      <xdr:nvPicPr>
        <xdr:cNvPr id="6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861" y="3087782"/>
          <a:ext cx="2571750" cy="1054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1541368</xdr:colOff>
      <xdr:row>7</xdr:row>
      <xdr:rowOff>156884</xdr:rowOff>
    </xdr:from>
    <xdr:to>
      <xdr:col>1</xdr:col>
      <xdr:colOff>3608293</xdr:colOff>
      <xdr:row>9</xdr:row>
      <xdr:rowOff>11207</xdr:rowOff>
    </xdr:to>
    <xdr:sp macro="" textlink="">
      <xdr:nvSpPr>
        <xdr:cNvPr id="7" name="Rounded Rectangular Callout 9"/>
        <xdr:cNvSpPr/>
      </xdr:nvSpPr>
      <xdr:spPr>
        <a:xfrm>
          <a:off x="3222250" y="1501590"/>
          <a:ext cx="2066925" cy="313764"/>
        </a:xfrm>
        <a:prstGeom prst="wedgeRoundRectCallout">
          <a:avLst>
            <a:gd name="adj1" fmla="val -35399"/>
            <a:gd name="adj2" fmla="val 89275"/>
            <a:gd name="adj3" fmla="val 16667"/>
          </a:avLst>
        </a:prstGeom>
        <a:noFill/>
        <a:ln w="190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s-CL" sz="1400">
              <a:solidFill>
                <a:schemeClr val="tx1"/>
              </a:solidFill>
            </a:rPr>
            <a:t>Índice (ej: IPSA)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2812677</xdr:colOff>
      <xdr:row>14</xdr:row>
      <xdr:rowOff>11766</xdr:rowOff>
    </xdr:from>
    <xdr:to>
      <xdr:col>1</xdr:col>
      <xdr:colOff>4174752</xdr:colOff>
      <xdr:row>18</xdr:row>
      <xdr:rowOff>11766</xdr:rowOff>
    </xdr:to>
    <xdr:sp macro="" textlink="">
      <xdr:nvSpPr>
        <xdr:cNvPr id="8" name="Rounded Rectangular Callout 10"/>
        <xdr:cNvSpPr/>
      </xdr:nvSpPr>
      <xdr:spPr>
        <a:xfrm>
          <a:off x="4493559" y="2813237"/>
          <a:ext cx="1362075" cy="762000"/>
        </a:xfrm>
        <a:prstGeom prst="wedgeRoundRectCallout">
          <a:avLst>
            <a:gd name="adj1" fmla="val -40854"/>
            <a:gd name="adj2" fmla="val -97738"/>
            <a:gd name="adj3" fmla="val 16667"/>
          </a:avLst>
        </a:prstGeom>
        <a:noFill/>
        <a:ln w="190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s-CL" sz="1400">
              <a:solidFill>
                <a:schemeClr val="tx1"/>
              </a:solidFill>
            </a:rPr>
            <a:t>Tasas de instrumentos del banco central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4560794</xdr:colOff>
      <xdr:row>7</xdr:row>
      <xdr:rowOff>45941</xdr:rowOff>
    </xdr:from>
    <xdr:to>
      <xdr:col>1</xdr:col>
      <xdr:colOff>8023413</xdr:colOff>
      <xdr:row>21</xdr:row>
      <xdr:rowOff>168087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.bin"/><Relationship Id="rId3" Type="http://schemas.openxmlformats.org/officeDocument/2006/relationships/hyperlink" Target="http://www.morningstar.com/invest/stocks/338208-iansa-empresas-iansa-sa.html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http://www.bloomberg.com/quote/IPSA:IND" TargetMode="External"/><Relationship Id="rId1" Type="http://schemas.openxmlformats.org/officeDocument/2006/relationships/hyperlink" Target="http://www.rankia.cl/foros/bancos-cl/temas/1804024-ranking-mejores-depositos-plazo" TargetMode="External"/><Relationship Id="rId6" Type="http://schemas.openxmlformats.org/officeDocument/2006/relationships/drawing" Target="../drawings/drawing5.xml"/><Relationship Id="rId5" Type="http://schemas.openxmlformats.org/officeDocument/2006/relationships/printerSettings" Target="../printerSettings/printerSettings11.bin"/><Relationship Id="rId4" Type="http://schemas.openxmlformats.org/officeDocument/2006/relationships/hyperlink" Target="http://www.rankia.cl/blog/analisis-ipsa/1593344-empresas-ipsa" TargetMode="External"/><Relationship Id="rId9" Type="http://schemas.openxmlformats.org/officeDocument/2006/relationships/image" Target="../media/image2.emf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Q67"/>
  <sheetViews>
    <sheetView topLeftCell="D3" zoomScale="90" zoomScaleNormal="90" workbookViewId="0">
      <selection activeCell="G13" sqref="G13"/>
    </sheetView>
  </sheetViews>
  <sheetFormatPr baseColWidth="10" defaultColWidth="9.140625" defaultRowHeight="15" x14ac:dyDescent="0.25"/>
  <cols>
    <col min="1" max="1" width="12.140625" style="23" bestFit="1" customWidth="1"/>
    <col min="2" max="2" width="29.140625" style="23" customWidth="1"/>
    <col min="3" max="3" width="16.42578125" style="23" bestFit="1" customWidth="1"/>
    <col min="4" max="4" width="21.42578125" style="23" bestFit="1" customWidth="1"/>
    <col min="5" max="5" width="9.5703125" style="23" bestFit="1" customWidth="1"/>
    <col min="6" max="6" width="14" style="23" bestFit="1" customWidth="1"/>
    <col min="7" max="7" width="13.5703125" style="23" bestFit="1" customWidth="1"/>
    <col min="8" max="8" width="13.5703125" style="23" customWidth="1"/>
    <col min="9" max="9" width="4.7109375" customWidth="1"/>
    <col min="10" max="10" width="34" bestFit="1" customWidth="1"/>
    <col min="11" max="11" width="17.5703125" bestFit="1" customWidth="1"/>
    <col min="12" max="12" width="15" bestFit="1" customWidth="1"/>
    <col min="13" max="13" width="16.140625" bestFit="1" customWidth="1"/>
    <col min="14" max="14" width="17.5703125" bestFit="1" customWidth="1"/>
    <col min="15" max="15" width="14" bestFit="1" customWidth="1"/>
    <col min="16" max="16" width="12.7109375" style="23" bestFit="1" customWidth="1"/>
  </cols>
  <sheetData>
    <row r="2" spans="1:69" x14ac:dyDescent="0.25">
      <c r="B2" s="227" t="s">
        <v>113</v>
      </c>
      <c r="C2" s="227"/>
      <c r="D2" s="227"/>
      <c r="E2" s="227"/>
      <c r="F2" s="227"/>
      <c r="G2" s="227"/>
      <c r="H2" s="227"/>
      <c r="J2" s="226" t="s">
        <v>0</v>
      </c>
      <c r="K2" s="226"/>
      <c r="L2" s="226"/>
      <c r="M2" s="226"/>
      <c r="N2" s="226"/>
      <c r="O2" s="226"/>
      <c r="P2" s="226"/>
      <c r="Q2" s="1"/>
      <c r="R2" s="1"/>
    </row>
    <row r="4" spans="1:69" ht="24.75" x14ac:dyDescent="0.25">
      <c r="B4" s="225" t="s">
        <v>125</v>
      </c>
      <c r="C4" s="225"/>
      <c r="D4" s="225"/>
      <c r="E4" s="225"/>
      <c r="F4" s="225"/>
      <c r="G4" s="225"/>
      <c r="H4" s="225"/>
      <c r="J4" s="225" t="s">
        <v>1</v>
      </c>
      <c r="K4" s="225"/>
      <c r="L4" s="225"/>
      <c r="M4" s="225"/>
      <c r="N4" s="225"/>
      <c r="O4" s="225"/>
      <c r="P4" s="225"/>
    </row>
    <row r="5" spans="1:69" ht="66.75" customHeight="1" x14ac:dyDescent="0.25">
      <c r="B5" s="3" t="s">
        <v>2</v>
      </c>
      <c r="C5" s="3" t="s">
        <v>3</v>
      </c>
      <c r="D5" s="3" t="s">
        <v>9</v>
      </c>
      <c r="E5" s="3" t="s">
        <v>4</v>
      </c>
      <c r="F5" s="3" t="s">
        <v>251</v>
      </c>
      <c r="G5" s="3" t="s">
        <v>5</v>
      </c>
      <c r="H5" s="3" t="s">
        <v>10</v>
      </c>
      <c r="J5" s="3" t="s">
        <v>2</v>
      </c>
      <c r="K5" s="3" t="s">
        <v>3</v>
      </c>
      <c r="L5" s="3" t="s">
        <v>9</v>
      </c>
      <c r="M5" s="3" t="s">
        <v>4</v>
      </c>
      <c r="N5" s="3" t="s">
        <v>251</v>
      </c>
      <c r="O5" s="3" t="s">
        <v>5</v>
      </c>
      <c r="P5" s="3" t="s">
        <v>10</v>
      </c>
    </row>
    <row r="6" spans="1:69" s="34" customFormat="1" ht="16.5" x14ac:dyDescent="0.25">
      <c r="A6" s="23"/>
      <c r="B6" s="35" t="s">
        <v>82</v>
      </c>
      <c r="C6" s="36">
        <v>12</v>
      </c>
      <c r="D6" s="37">
        <v>2500</v>
      </c>
      <c r="E6" s="36">
        <v>2</v>
      </c>
      <c r="F6" s="37">
        <v>300</v>
      </c>
      <c r="G6" s="37">
        <v>13200</v>
      </c>
      <c r="H6" s="37">
        <f t="shared" ref="H6:H12" si="0">C6*D6</f>
        <v>30000</v>
      </c>
      <c r="I6" s="23"/>
      <c r="J6" s="35" t="s">
        <v>82</v>
      </c>
      <c r="K6" s="36">
        <v>3</v>
      </c>
      <c r="L6" s="37">
        <v>2500</v>
      </c>
      <c r="M6" s="36">
        <v>2</v>
      </c>
      <c r="N6" s="37">
        <v>300</v>
      </c>
      <c r="O6" s="37">
        <v>3300</v>
      </c>
      <c r="P6" s="37">
        <f t="shared" ref="P6:P11" si="1">K6*L6</f>
        <v>7500</v>
      </c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</row>
    <row r="7" spans="1:69" s="38" customFormat="1" ht="21" customHeight="1" x14ac:dyDescent="0.25">
      <c r="A7" s="23"/>
      <c r="B7" s="39" t="s">
        <v>83</v>
      </c>
      <c r="C7" s="40">
        <v>3</v>
      </c>
      <c r="D7" s="41">
        <v>250000</v>
      </c>
      <c r="E7" s="40">
        <v>10</v>
      </c>
      <c r="F7" s="41">
        <v>125000</v>
      </c>
      <c r="G7" s="41">
        <v>187500</v>
      </c>
      <c r="H7" s="41">
        <f t="shared" si="0"/>
        <v>750000</v>
      </c>
      <c r="I7" s="23"/>
      <c r="J7" s="39" t="s">
        <v>83</v>
      </c>
      <c r="K7" s="40">
        <v>1</v>
      </c>
      <c r="L7" s="41">
        <v>250000</v>
      </c>
      <c r="M7" s="40">
        <v>10</v>
      </c>
      <c r="N7" s="41">
        <v>125000</v>
      </c>
      <c r="O7" s="41">
        <v>62500</v>
      </c>
      <c r="P7" s="41">
        <f t="shared" si="1"/>
        <v>250000</v>
      </c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</row>
    <row r="8" spans="1:69" s="20" customFormat="1" ht="21" customHeight="1" x14ac:dyDescent="0.25">
      <c r="A8" s="23"/>
      <c r="B8" s="35" t="s">
        <v>92</v>
      </c>
      <c r="C8" s="36">
        <v>8</v>
      </c>
      <c r="D8" s="37">
        <v>2500</v>
      </c>
      <c r="E8" s="36">
        <v>1</v>
      </c>
      <c r="F8" s="37">
        <v>300</v>
      </c>
      <c r="G8" s="37">
        <v>0</v>
      </c>
      <c r="H8" s="37">
        <f t="shared" si="0"/>
        <v>20000</v>
      </c>
      <c r="I8" s="23"/>
      <c r="J8" s="35" t="s">
        <v>92</v>
      </c>
      <c r="K8" s="36">
        <v>3</v>
      </c>
      <c r="L8" s="37">
        <v>2500</v>
      </c>
      <c r="M8" s="36">
        <v>1</v>
      </c>
      <c r="N8" s="37">
        <v>300</v>
      </c>
      <c r="O8" s="37">
        <v>0</v>
      </c>
      <c r="P8" s="37">
        <f t="shared" si="1"/>
        <v>7500</v>
      </c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</row>
    <row r="9" spans="1:69" s="38" customFormat="1" ht="19.5" customHeight="1" x14ac:dyDescent="0.25">
      <c r="A9" s="23"/>
      <c r="B9" s="39" t="s">
        <v>84</v>
      </c>
      <c r="C9" s="40">
        <v>10</v>
      </c>
      <c r="D9" s="41">
        <v>1000</v>
      </c>
      <c r="E9" s="40">
        <v>1</v>
      </c>
      <c r="F9" s="41">
        <v>200</v>
      </c>
      <c r="G9" s="41">
        <v>0</v>
      </c>
      <c r="H9" s="41">
        <f t="shared" si="0"/>
        <v>10000</v>
      </c>
      <c r="I9" s="23"/>
      <c r="J9" s="39" t="s">
        <v>84</v>
      </c>
      <c r="K9" s="40">
        <v>2</v>
      </c>
      <c r="L9" s="41">
        <v>1000</v>
      </c>
      <c r="M9" s="40">
        <v>1</v>
      </c>
      <c r="N9" s="41">
        <v>200</v>
      </c>
      <c r="O9" s="41">
        <v>0</v>
      </c>
      <c r="P9" s="41">
        <f t="shared" si="1"/>
        <v>2000</v>
      </c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</row>
    <row r="10" spans="1:69" s="23" customFormat="1" ht="24" customHeight="1" x14ac:dyDescent="0.25">
      <c r="B10" s="35" t="s">
        <v>114</v>
      </c>
      <c r="C10" s="36">
        <v>1</v>
      </c>
      <c r="D10" s="37">
        <v>300000</v>
      </c>
      <c r="E10" s="36">
        <v>6</v>
      </c>
      <c r="F10" s="37">
        <v>50000</v>
      </c>
      <c r="G10" s="37">
        <v>4166.66</v>
      </c>
      <c r="H10" s="37">
        <f t="shared" si="0"/>
        <v>300000</v>
      </c>
      <c r="J10" s="35" t="s">
        <v>85</v>
      </c>
      <c r="K10" s="36">
        <v>1</v>
      </c>
      <c r="L10" s="37">
        <v>150000</v>
      </c>
      <c r="M10" s="36">
        <v>10</v>
      </c>
      <c r="N10" s="37">
        <v>75000</v>
      </c>
      <c r="O10" s="37">
        <v>37500</v>
      </c>
      <c r="P10" s="37">
        <f t="shared" si="1"/>
        <v>150000</v>
      </c>
    </row>
    <row r="11" spans="1:69" s="38" customFormat="1" ht="16.5" x14ac:dyDescent="0.25">
      <c r="A11" s="23"/>
      <c r="B11" s="39" t="s">
        <v>115</v>
      </c>
      <c r="C11" s="40">
        <v>4</v>
      </c>
      <c r="D11" s="41">
        <v>1000</v>
      </c>
      <c r="E11" s="40">
        <v>1</v>
      </c>
      <c r="F11" s="41">
        <v>0</v>
      </c>
      <c r="G11" s="41">
        <v>0</v>
      </c>
      <c r="H11" s="41">
        <f t="shared" si="0"/>
        <v>4000</v>
      </c>
      <c r="I11" s="23"/>
      <c r="J11" s="39" t="s">
        <v>126</v>
      </c>
      <c r="K11" s="40">
        <v>6</v>
      </c>
      <c r="L11" s="41">
        <v>2400</v>
      </c>
      <c r="M11" s="40">
        <v>6</v>
      </c>
      <c r="N11" s="41">
        <v>400</v>
      </c>
      <c r="O11" s="41">
        <v>2000</v>
      </c>
      <c r="P11" s="37">
        <f t="shared" si="1"/>
        <v>14400</v>
      </c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</row>
    <row r="12" spans="1:69" s="23" customFormat="1" ht="19.5" customHeight="1" x14ac:dyDescent="0.25">
      <c r="B12" s="35" t="s">
        <v>85</v>
      </c>
      <c r="C12" s="36">
        <v>3</v>
      </c>
      <c r="D12" s="37">
        <v>150000</v>
      </c>
      <c r="E12" s="36">
        <v>10</v>
      </c>
      <c r="F12" s="37">
        <v>75000</v>
      </c>
      <c r="G12" s="37">
        <v>112500</v>
      </c>
      <c r="H12" s="37">
        <f t="shared" si="0"/>
        <v>450000</v>
      </c>
      <c r="J12" s="215" t="s">
        <v>6</v>
      </c>
      <c r="K12" s="216"/>
      <c r="L12" s="216"/>
      <c r="M12" s="216"/>
      <c r="N12" s="217"/>
      <c r="O12" s="179">
        <f>SUM(O6:O11)</f>
        <v>105300</v>
      </c>
      <c r="P12" s="33">
        <f>SUM(P6:P11)</f>
        <v>431400</v>
      </c>
    </row>
    <row r="13" spans="1:69" s="20" customFormat="1" ht="17.25" customHeight="1" x14ac:dyDescent="0.25">
      <c r="A13" s="23"/>
      <c r="B13" s="215" t="s">
        <v>6</v>
      </c>
      <c r="C13" s="216"/>
      <c r="D13" s="216"/>
      <c r="E13" s="216"/>
      <c r="F13" s="217"/>
      <c r="G13" s="179">
        <f>SUM(G6:G12)</f>
        <v>317366.66000000003</v>
      </c>
      <c r="H13" s="33">
        <f>SUM(H6:H12)</f>
        <v>1564000</v>
      </c>
      <c r="P13" s="23"/>
    </row>
    <row r="14" spans="1:69" s="20" customFormat="1" x14ac:dyDescent="0.25">
      <c r="A14" s="23"/>
      <c r="D14" s="224"/>
      <c r="E14" s="224"/>
      <c r="P14" s="23"/>
    </row>
    <row r="15" spans="1:69" x14ac:dyDescent="0.25">
      <c r="D15" s="30"/>
      <c r="E15" s="30"/>
    </row>
    <row r="16" spans="1:69" x14ac:dyDescent="0.25">
      <c r="D16" s="30"/>
      <c r="E16" s="30"/>
    </row>
    <row r="17" spans="2:16" ht="21.75" x14ac:dyDescent="0.25">
      <c r="C17" s="93"/>
      <c r="D17" s="30"/>
      <c r="E17" s="30"/>
      <c r="J17" s="219" t="s">
        <v>11</v>
      </c>
      <c r="K17" s="219"/>
      <c r="L17" s="219"/>
      <c r="M17" s="219"/>
    </row>
    <row r="18" spans="2:16" s="2" customFormat="1" ht="16.5" x14ac:dyDescent="0.25">
      <c r="C18" s="224"/>
      <c r="D18" s="30"/>
      <c r="E18" s="30"/>
      <c r="J18" s="228" t="s">
        <v>12</v>
      </c>
      <c r="K18" s="228" t="s">
        <v>13</v>
      </c>
      <c r="L18" s="228" t="s">
        <v>78</v>
      </c>
      <c r="M18" s="228"/>
    </row>
    <row r="19" spans="2:16" ht="16.5" x14ac:dyDescent="0.25">
      <c r="C19" s="224"/>
      <c r="D19" s="30"/>
      <c r="E19" s="30"/>
      <c r="J19" s="228"/>
      <c r="K19" s="228"/>
      <c r="L19" s="4" t="s">
        <v>81</v>
      </c>
      <c r="M19" s="4" t="s">
        <v>6</v>
      </c>
    </row>
    <row r="20" spans="2:16" ht="16.5" x14ac:dyDescent="0.25">
      <c r="D20" s="30"/>
      <c r="E20" s="30"/>
      <c r="J20" s="21" t="s">
        <v>109</v>
      </c>
      <c r="K20" s="5">
        <v>2</v>
      </c>
      <c r="L20" s="6">
        <v>120000</v>
      </c>
      <c r="M20" s="6">
        <f>K20*L20</f>
        <v>240000</v>
      </c>
    </row>
    <row r="21" spans="2:16" ht="16.5" x14ac:dyDescent="0.25">
      <c r="D21" s="30"/>
      <c r="E21" s="30"/>
      <c r="J21" s="21" t="s">
        <v>87</v>
      </c>
      <c r="K21" s="5">
        <v>1</v>
      </c>
      <c r="L21" s="6">
        <v>80000</v>
      </c>
      <c r="M21" s="6">
        <f>K21*L21</f>
        <v>80000</v>
      </c>
    </row>
    <row r="22" spans="2:16" ht="16.5" x14ac:dyDescent="0.25">
      <c r="D22" s="30"/>
      <c r="E22" s="30"/>
      <c r="J22" s="21" t="s">
        <v>76</v>
      </c>
      <c r="K22" s="5">
        <v>1</v>
      </c>
      <c r="L22" s="6">
        <v>21328</v>
      </c>
      <c r="M22" s="6">
        <f>K22*L22</f>
        <v>21328</v>
      </c>
    </row>
    <row r="23" spans="2:16" s="20" customFormat="1" ht="16.5" x14ac:dyDescent="0.25">
      <c r="C23" s="93"/>
      <c r="D23" s="30"/>
      <c r="E23" s="30"/>
      <c r="F23" s="23"/>
      <c r="G23" s="23"/>
      <c r="H23" s="23"/>
      <c r="J23" s="220" t="s">
        <v>6</v>
      </c>
      <c r="K23" s="220"/>
      <c r="L23" s="220"/>
      <c r="M23" s="65">
        <f>SUM(M20:M22)</f>
        <v>341328</v>
      </c>
      <c r="P23" s="23"/>
    </row>
    <row r="25" spans="2:16" ht="24.75" x14ac:dyDescent="0.25">
      <c r="B25" s="224"/>
      <c r="C25" s="224"/>
      <c r="D25" s="224"/>
      <c r="E25" s="224"/>
      <c r="F25" s="224"/>
      <c r="J25" s="225" t="s">
        <v>14</v>
      </c>
      <c r="K25" s="225"/>
      <c r="L25" s="225"/>
      <c r="M25" s="225"/>
      <c r="N25" s="225"/>
    </row>
    <row r="26" spans="2:16" ht="21.75" x14ac:dyDescent="0.25">
      <c r="B26" s="224"/>
      <c r="C26" s="224"/>
      <c r="D26" s="224"/>
      <c r="E26" s="224"/>
      <c r="F26" s="224"/>
      <c r="J26" s="221" t="s">
        <v>110</v>
      </c>
      <c r="K26" s="221"/>
      <c r="L26" s="221"/>
      <c r="M26" s="221"/>
      <c r="N26" s="221"/>
    </row>
    <row r="27" spans="2:16" ht="33" x14ac:dyDescent="0.25">
      <c r="J27" s="9" t="s">
        <v>15</v>
      </c>
      <c r="K27" s="9" t="s">
        <v>16</v>
      </c>
      <c r="L27" s="9" t="s">
        <v>17</v>
      </c>
      <c r="M27" s="9" t="s">
        <v>18</v>
      </c>
      <c r="N27" s="9" t="s">
        <v>19</v>
      </c>
    </row>
    <row r="28" spans="2:16" s="23" customFormat="1" ht="16.5" x14ac:dyDescent="0.25">
      <c r="J28" s="222" t="s">
        <v>130</v>
      </c>
      <c r="K28" s="222"/>
      <c r="L28" s="222"/>
      <c r="M28" s="222"/>
      <c r="N28" s="222"/>
    </row>
    <row r="29" spans="2:16" x14ac:dyDescent="0.25">
      <c r="J29" s="49" t="s">
        <v>75</v>
      </c>
      <c r="K29" s="49" t="s">
        <v>71</v>
      </c>
      <c r="L29" s="49">
        <v>64</v>
      </c>
      <c r="M29" s="50">
        <v>270</v>
      </c>
      <c r="N29" s="51">
        <f>M29*L29</f>
        <v>17280</v>
      </c>
    </row>
    <row r="30" spans="2:16" x14ac:dyDescent="0.25">
      <c r="J30" s="49" t="s">
        <v>63</v>
      </c>
      <c r="K30" s="49" t="s">
        <v>71</v>
      </c>
      <c r="L30" s="49">
        <v>64</v>
      </c>
      <c r="M30" s="50">
        <v>400</v>
      </c>
      <c r="N30" s="51">
        <f t="shared" ref="N30:N37" si="2">M30*L30</f>
        <v>25600</v>
      </c>
    </row>
    <row r="31" spans="2:16" ht="12.75" customHeight="1" x14ac:dyDescent="0.25">
      <c r="J31" s="49" t="s">
        <v>64</v>
      </c>
      <c r="K31" s="52" t="s">
        <v>71</v>
      </c>
      <c r="L31" s="49">
        <v>15.6</v>
      </c>
      <c r="M31" s="50">
        <v>1044</v>
      </c>
      <c r="N31" s="51">
        <f>M31*L31</f>
        <v>16286.4</v>
      </c>
    </row>
    <row r="32" spans="2:16" x14ac:dyDescent="0.25">
      <c r="J32" s="49" t="s">
        <v>99</v>
      </c>
      <c r="K32" s="49" t="s">
        <v>71</v>
      </c>
      <c r="L32" s="49">
        <v>32</v>
      </c>
      <c r="M32" s="50">
        <v>3590</v>
      </c>
      <c r="N32" s="51">
        <f t="shared" si="2"/>
        <v>114880</v>
      </c>
    </row>
    <row r="33" spans="10:14" ht="14.25" customHeight="1" x14ac:dyDescent="0.25">
      <c r="J33" s="49" t="s">
        <v>65</v>
      </c>
      <c r="K33" s="49" t="s">
        <v>94</v>
      </c>
      <c r="L33" s="49">
        <v>2.88</v>
      </c>
      <c r="M33" s="50">
        <v>1500</v>
      </c>
      <c r="N33" s="51">
        <f t="shared" si="2"/>
        <v>4320</v>
      </c>
    </row>
    <row r="34" spans="10:14" ht="15" customHeight="1" x14ac:dyDescent="0.25">
      <c r="J34" s="49" t="s">
        <v>66</v>
      </c>
      <c r="K34" s="49" t="s">
        <v>71</v>
      </c>
      <c r="L34" s="49">
        <v>16</v>
      </c>
      <c r="M34" s="50">
        <v>850</v>
      </c>
      <c r="N34" s="51">
        <f t="shared" si="2"/>
        <v>13600</v>
      </c>
    </row>
    <row r="35" spans="10:14" ht="15.75" customHeight="1" x14ac:dyDescent="0.25">
      <c r="J35" s="49" t="s">
        <v>67</v>
      </c>
      <c r="K35" s="49" t="s">
        <v>71</v>
      </c>
      <c r="L35" s="49">
        <v>20</v>
      </c>
      <c r="M35" s="50">
        <v>1800</v>
      </c>
      <c r="N35" s="51">
        <f t="shared" si="2"/>
        <v>36000</v>
      </c>
    </row>
    <row r="36" spans="10:14" ht="15" customHeight="1" x14ac:dyDescent="0.25">
      <c r="J36" s="49" t="s">
        <v>72</v>
      </c>
      <c r="K36" s="49" t="s">
        <v>70</v>
      </c>
      <c r="L36" s="49">
        <v>240</v>
      </c>
      <c r="M36" s="50">
        <v>5.9</v>
      </c>
      <c r="N36" s="51">
        <f t="shared" si="2"/>
        <v>1416</v>
      </c>
    </row>
    <row r="37" spans="10:14" ht="15" customHeight="1" x14ac:dyDescent="0.25">
      <c r="J37" s="49" t="s">
        <v>73</v>
      </c>
      <c r="K37" s="49" t="s">
        <v>70</v>
      </c>
      <c r="L37" s="49">
        <v>240</v>
      </c>
      <c r="M37" s="50">
        <v>12</v>
      </c>
      <c r="N37" s="51">
        <f t="shared" si="2"/>
        <v>2880</v>
      </c>
    </row>
    <row r="38" spans="10:14" ht="13.5" customHeight="1" x14ac:dyDescent="0.25">
      <c r="J38" s="49" t="s">
        <v>68</v>
      </c>
      <c r="K38" s="49" t="s">
        <v>71</v>
      </c>
      <c r="L38" s="49">
        <v>1.6</v>
      </c>
      <c r="M38" s="50">
        <v>170</v>
      </c>
      <c r="N38" s="51">
        <f>M38*L38</f>
        <v>272</v>
      </c>
    </row>
    <row r="39" spans="10:14" x14ac:dyDescent="0.25">
      <c r="J39" s="52" t="s">
        <v>79</v>
      </c>
      <c r="K39" s="52" t="s">
        <v>80</v>
      </c>
      <c r="L39" s="49">
        <v>150</v>
      </c>
      <c r="M39" s="49">
        <v>100</v>
      </c>
      <c r="N39" s="51">
        <f>M39*L39</f>
        <v>15000</v>
      </c>
    </row>
    <row r="40" spans="10:14" x14ac:dyDescent="0.25">
      <c r="J40" s="49" t="s">
        <v>69</v>
      </c>
      <c r="K40" s="49" t="s">
        <v>74</v>
      </c>
      <c r="L40" s="49">
        <v>16</v>
      </c>
      <c r="M40" s="49">
        <v>1390</v>
      </c>
      <c r="N40" s="51">
        <f>M40*L40</f>
        <v>22240</v>
      </c>
    </row>
    <row r="41" spans="10:14" ht="16.5" x14ac:dyDescent="0.25">
      <c r="J41" s="218" t="s">
        <v>134</v>
      </c>
      <c r="K41" s="218"/>
      <c r="L41" s="218"/>
      <c r="M41" s="218"/>
      <c r="N41" s="53">
        <f>SUM(N29:N40)</f>
        <v>269774.40000000002</v>
      </c>
    </row>
    <row r="42" spans="10:14" ht="16.5" x14ac:dyDescent="0.25">
      <c r="J42" s="223" t="s">
        <v>131</v>
      </c>
      <c r="K42" s="223"/>
      <c r="L42" s="223"/>
      <c r="M42" s="223"/>
      <c r="N42" s="223"/>
    </row>
    <row r="43" spans="10:14" x14ac:dyDescent="0.25">
      <c r="J43" s="49" t="s">
        <v>68</v>
      </c>
      <c r="K43" s="49" t="s">
        <v>71</v>
      </c>
      <c r="L43" s="49">
        <v>0.27</v>
      </c>
      <c r="M43" s="50">
        <v>170</v>
      </c>
      <c r="N43" s="51">
        <f>M43*L43</f>
        <v>45.900000000000006</v>
      </c>
    </row>
    <row r="44" spans="10:14" x14ac:dyDescent="0.25">
      <c r="J44" s="49" t="s">
        <v>137</v>
      </c>
      <c r="K44" s="49" t="s">
        <v>71</v>
      </c>
      <c r="L44" s="49">
        <v>0.5</v>
      </c>
      <c r="M44" s="50">
        <v>1657</v>
      </c>
      <c r="N44" s="51">
        <f t="shared" ref="N44:N50" si="3">M44*L44</f>
        <v>828.5</v>
      </c>
    </row>
    <row r="45" spans="10:14" s="23" customFormat="1" x14ac:dyDescent="0.25">
      <c r="J45" s="49" t="s">
        <v>106</v>
      </c>
      <c r="K45" s="49" t="s">
        <v>94</v>
      </c>
      <c r="L45" s="49">
        <v>0.36</v>
      </c>
      <c r="M45" s="50">
        <v>798</v>
      </c>
      <c r="N45" s="51">
        <f t="shared" si="3"/>
        <v>287.27999999999997</v>
      </c>
    </row>
    <row r="46" spans="10:14" s="23" customFormat="1" x14ac:dyDescent="0.25">
      <c r="J46" s="49" t="s">
        <v>63</v>
      </c>
      <c r="K46" s="49" t="s">
        <v>71</v>
      </c>
      <c r="L46" s="49">
        <v>3</v>
      </c>
      <c r="M46" s="50">
        <v>270</v>
      </c>
      <c r="N46" s="51">
        <f t="shared" si="3"/>
        <v>810</v>
      </c>
    </row>
    <row r="47" spans="10:14" s="23" customFormat="1" x14ac:dyDescent="0.25">
      <c r="J47" s="49" t="s">
        <v>101</v>
      </c>
      <c r="K47" s="49" t="s">
        <v>71</v>
      </c>
      <c r="L47" s="49">
        <v>2.5</v>
      </c>
      <c r="M47" s="50">
        <v>900</v>
      </c>
      <c r="N47" s="51">
        <f t="shared" si="3"/>
        <v>2250</v>
      </c>
    </row>
    <row r="48" spans="10:14" s="23" customFormat="1" x14ac:dyDescent="0.25">
      <c r="J48" s="49" t="s">
        <v>102</v>
      </c>
      <c r="K48" s="49" t="s">
        <v>71</v>
      </c>
      <c r="L48" s="49">
        <v>0.4</v>
      </c>
      <c r="M48" s="50">
        <v>2500</v>
      </c>
      <c r="N48" s="51">
        <f t="shared" si="3"/>
        <v>1000</v>
      </c>
    </row>
    <row r="49" spans="2:14" s="23" customFormat="1" x14ac:dyDescent="0.25">
      <c r="J49" s="49" t="s">
        <v>103</v>
      </c>
      <c r="K49" s="49" t="s">
        <v>136</v>
      </c>
      <c r="L49" s="49">
        <v>3</v>
      </c>
      <c r="M49" s="50">
        <v>300</v>
      </c>
      <c r="N49" s="51">
        <f t="shared" si="3"/>
        <v>900</v>
      </c>
    </row>
    <row r="50" spans="2:14" x14ac:dyDescent="0.25">
      <c r="J50" s="49" t="s">
        <v>138</v>
      </c>
      <c r="K50" s="49" t="s">
        <v>94</v>
      </c>
      <c r="L50" s="49">
        <v>0.25</v>
      </c>
      <c r="M50" s="50">
        <v>6000</v>
      </c>
      <c r="N50" s="51">
        <f t="shared" si="3"/>
        <v>1500</v>
      </c>
    </row>
    <row r="51" spans="2:14" s="23" customFormat="1" x14ac:dyDescent="0.25">
      <c r="J51" s="52" t="s">
        <v>105</v>
      </c>
      <c r="K51" s="52" t="s">
        <v>71</v>
      </c>
      <c r="L51" s="55">
        <v>0.25</v>
      </c>
      <c r="M51" s="55">
        <v>1000</v>
      </c>
      <c r="N51" s="51">
        <f>M51*L51</f>
        <v>250</v>
      </c>
    </row>
    <row r="52" spans="2:14" s="23" customFormat="1" x14ac:dyDescent="0.25">
      <c r="J52" s="52" t="s">
        <v>104</v>
      </c>
      <c r="K52" s="55" t="s">
        <v>139</v>
      </c>
      <c r="L52" s="55">
        <v>150</v>
      </c>
      <c r="M52" s="55">
        <v>36.5</v>
      </c>
      <c r="N52" s="57">
        <f>M52*L52</f>
        <v>5475</v>
      </c>
    </row>
    <row r="53" spans="2:14" ht="15.75" customHeight="1" x14ac:dyDescent="0.25">
      <c r="J53" s="218" t="s">
        <v>135</v>
      </c>
      <c r="K53" s="218"/>
      <c r="L53" s="218"/>
      <c r="M53" s="218"/>
      <c r="N53" s="53">
        <f>SUM(N43:N52)</f>
        <v>13346.68</v>
      </c>
    </row>
    <row r="54" spans="2:14" ht="19.5" x14ac:dyDescent="0.25">
      <c r="J54" s="229" t="s">
        <v>6</v>
      </c>
      <c r="K54" s="229"/>
      <c r="L54" s="229"/>
      <c r="M54" s="229"/>
      <c r="N54" s="56">
        <f>N51+N41</f>
        <v>270024.40000000002</v>
      </c>
    </row>
    <row r="56" spans="2:14" x14ac:dyDescent="0.25">
      <c r="N56" t="s">
        <v>91</v>
      </c>
    </row>
    <row r="57" spans="2:14" ht="21.75" customHeight="1" x14ac:dyDescent="0.25">
      <c r="J57" s="219" t="s">
        <v>90</v>
      </c>
      <c r="K57" s="219"/>
      <c r="L57" s="20"/>
    </row>
    <row r="58" spans="2:14" ht="15" customHeight="1" x14ac:dyDescent="0.25">
      <c r="J58" s="218" t="s">
        <v>47</v>
      </c>
      <c r="K58" s="218" t="s">
        <v>89</v>
      </c>
      <c r="L58" s="20"/>
    </row>
    <row r="59" spans="2:14" ht="15" customHeight="1" x14ac:dyDescent="0.25">
      <c r="J59" s="218"/>
      <c r="K59" s="218"/>
      <c r="L59" s="20"/>
    </row>
    <row r="60" spans="2:14" ht="16.5" x14ac:dyDescent="0.25">
      <c r="J60" s="21" t="s">
        <v>50</v>
      </c>
      <c r="K60" s="82">
        <v>12000</v>
      </c>
      <c r="L60" s="20"/>
    </row>
    <row r="61" spans="2:14" ht="16.5" x14ac:dyDescent="0.25">
      <c r="J61" s="8" t="s">
        <v>49</v>
      </c>
      <c r="K61" s="83">
        <v>1333.3333299999999</v>
      </c>
      <c r="L61" s="20"/>
    </row>
    <row r="62" spans="2:14" ht="16.5" x14ac:dyDescent="0.25">
      <c r="B62" s="224"/>
      <c r="C62" s="224"/>
      <c r="D62" s="224"/>
      <c r="E62" s="224"/>
      <c r="J62" s="21" t="s">
        <v>112</v>
      </c>
      <c r="K62" s="82">
        <v>26000</v>
      </c>
      <c r="L62" s="20"/>
    </row>
    <row r="63" spans="2:14" ht="16.5" x14ac:dyDescent="0.25">
      <c r="J63" s="8" t="s">
        <v>77</v>
      </c>
      <c r="K63" s="83">
        <v>47000</v>
      </c>
      <c r="L63" s="20"/>
    </row>
    <row r="64" spans="2:14" ht="33" x14ac:dyDescent="0.25">
      <c r="J64" s="21" t="s">
        <v>153</v>
      </c>
      <c r="K64" s="86">
        <v>20000</v>
      </c>
      <c r="L64" s="20"/>
    </row>
    <row r="65" spans="2:11" ht="16.5" x14ac:dyDescent="0.25">
      <c r="B65" s="224"/>
      <c r="C65" s="224"/>
      <c r="J65" s="32" t="s">
        <v>6</v>
      </c>
      <c r="K65" s="85">
        <f>SUM(K60:K64)</f>
        <v>106333.33332999999</v>
      </c>
    </row>
    <row r="66" spans="2:11" x14ac:dyDescent="0.25">
      <c r="B66" s="224"/>
      <c r="C66" s="224"/>
    </row>
    <row r="67" spans="2:11" x14ac:dyDescent="0.25">
      <c r="B67" s="224"/>
      <c r="C67" s="224"/>
    </row>
  </sheetData>
  <mergeCells count="29">
    <mergeCell ref="B62:E62"/>
    <mergeCell ref="B65:C65"/>
    <mergeCell ref="B66:B67"/>
    <mergeCell ref="C66:C67"/>
    <mergeCell ref="C18:C19"/>
    <mergeCell ref="J4:P4"/>
    <mergeCell ref="J2:P2"/>
    <mergeCell ref="B2:H2"/>
    <mergeCell ref="B4:H4"/>
    <mergeCell ref="J17:M17"/>
    <mergeCell ref="J25:N25"/>
    <mergeCell ref="J18:J19"/>
    <mergeCell ref="K18:K19"/>
    <mergeCell ref="L18:M18"/>
    <mergeCell ref="J54:M54"/>
    <mergeCell ref="J58:J59"/>
    <mergeCell ref="D14:E14"/>
    <mergeCell ref="B25:F25"/>
    <mergeCell ref="J12:N12"/>
    <mergeCell ref="B13:F13"/>
    <mergeCell ref="K58:K59"/>
    <mergeCell ref="J57:K57"/>
    <mergeCell ref="J23:L23"/>
    <mergeCell ref="J26:N26"/>
    <mergeCell ref="J28:N28"/>
    <mergeCell ref="J42:N42"/>
    <mergeCell ref="J41:M41"/>
    <mergeCell ref="J53:M53"/>
    <mergeCell ref="B26:F26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10"/>
  <sheetViews>
    <sheetView workbookViewId="0">
      <selection activeCell="H12" sqref="H12"/>
    </sheetView>
  </sheetViews>
  <sheetFormatPr baseColWidth="10" defaultRowHeight="15" x14ac:dyDescent="0.25"/>
  <cols>
    <col min="3" max="3" width="18.5703125" bestFit="1" customWidth="1"/>
    <col min="4" max="4" width="12.7109375" bestFit="1" customWidth="1"/>
  </cols>
  <sheetData>
    <row r="3" spans="3:4" x14ac:dyDescent="0.25">
      <c r="C3" s="288" t="s">
        <v>210</v>
      </c>
      <c r="D3" s="288"/>
    </row>
    <row r="4" spans="3:4" x14ac:dyDescent="0.25">
      <c r="C4" s="138" t="s">
        <v>208</v>
      </c>
      <c r="D4" s="138" t="s">
        <v>209</v>
      </c>
    </row>
    <row r="5" spans="3:4" x14ac:dyDescent="0.25">
      <c r="C5" s="139">
        <v>0</v>
      </c>
      <c r="D5" s="140">
        <v>0</v>
      </c>
    </row>
    <row r="6" spans="3:4" x14ac:dyDescent="0.25">
      <c r="C6" s="139">
        <f>' DEMANDA'!E17</f>
        <v>13950000</v>
      </c>
      <c r="D6" s="140">
        <v>1</v>
      </c>
    </row>
    <row r="7" spans="3:4" x14ac:dyDescent="0.25">
      <c r="C7" s="139">
        <f>' DEMANDA'!K17</f>
        <v>14814900</v>
      </c>
      <c r="D7" s="140">
        <v>2</v>
      </c>
    </row>
    <row r="8" spans="3:4" x14ac:dyDescent="0.25">
      <c r="C8" s="139">
        <f>' DEMANDA'!P17</f>
        <v>16020180</v>
      </c>
      <c r="D8" s="140">
        <v>3</v>
      </c>
    </row>
    <row r="9" spans="3:4" x14ac:dyDescent="0.25">
      <c r="C9" s="139">
        <f>' DEMANDA'!V17</f>
        <v>18104625</v>
      </c>
      <c r="D9" s="140">
        <v>4</v>
      </c>
    </row>
    <row r="10" spans="3:4" x14ac:dyDescent="0.25">
      <c r="C10" s="139">
        <f>' DEMANDA'!AB17</f>
        <v>21345800</v>
      </c>
      <c r="D10" s="140">
        <v>5</v>
      </c>
    </row>
  </sheetData>
  <mergeCells count="1">
    <mergeCell ref="C3:D3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6:J10"/>
  <sheetViews>
    <sheetView workbookViewId="0">
      <selection activeCell="D13" sqref="D13"/>
    </sheetView>
  </sheetViews>
  <sheetFormatPr baseColWidth="10" defaultRowHeight="15" x14ac:dyDescent="0.25"/>
  <cols>
    <col min="2" max="2" width="33.7109375" bestFit="1" customWidth="1"/>
    <col min="5" max="5" width="25.28515625" bestFit="1" customWidth="1"/>
    <col min="6" max="11" width="14.140625" bestFit="1" customWidth="1"/>
  </cols>
  <sheetData>
    <row r="6" spans="2:10" x14ac:dyDescent="0.25">
      <c r="B6" s="52" t="s">
        <v>240</v>
      </c>
      <c r="C6" s="52" t="s">
        <v>241</v>
      </c>
      <c r="E6" s="289" t="s">
        <v>247</v>
      </c>
      <c r="F6" s="289"/>
      <c r="G6" s="289"/>
      <c r="H6" s="289"/>
      <c r="I6" s="289"/>
      <c r="J6" s="289"/>
    </row>
    <row r="7" spans="2:10" x14ac:dyDescent="0.25">
      <c r="B7" s="52" t="s">
        <v>242</v>
      </c>
      <c r="C7" s="52" t="s">
        <v>243</v>
      </c>
      <c r="E7" s="141" t="s">
        <v>250</v>
      </c>
      <c r="F7" s="141" t="s">
        <v>173</v>
      </c>
      <c r="G7" s="141" t="s">
        <v>174</v>
      </c>
      <c r="H7" s="141" t="s">
        <v>175</v>
      </c>
      <c r="I7" s="141" t="s">
        <v>176</v>
      </c>
      <c r="J7" s="141" t="s">
        <v>177</v>
      </c>
    </row>
    <row r="8" spans="2:10" x14ac:dyDescent="0.25">
      <c r="B8" s="52" t="s">
        <v>244</v>
      </c>
      <c r="C8" s="52">
        <v>15</v>
      </c>
      <c r="E8" s="163" t="s">
        <v>245</v>
      </c>
      <c r="F8" s="170">
        <f>'COSTOS DE PRODUCCIÓN '!O20</f>
        <v>10437855.860427586</v>
      </c>
      <c r="G8" s="170">
        <f>'COSTOS DE PRODUCCIÓN '!P20</f>
        <v>11129913.344621379</v>
      </c>
      <c r="H8" s="170">
        <f>'COSTOS DE PRODUCCIÓN '!Q20</f>
        <v>11992705.455962792</v>
      </c>
      <c r="I8" s="170">
        <f>'COSTOS DE PRODUCCIÓN '!R20</f>
        <v>13265790.365674037</v>
      </c>
      <c r="J8" s="170">
        <f>'COSTOS DE PRODUCCIÓN '!S20</f>
        <v>15092024.417624403</v>
      </c>
    </row>
    <row r="9" spans="2:10" x14ac:dyDescent="0.25">
      <c r="B9" s="52" t="s">
        <v>246</v>
      </c>
      <c r="C9" s="52">
        <f>8*12</f>
        <v>96</v>
      </c>
      <c r="E9" s="164" t="s">
        <v>248</v>
      </c>
      <c r="F9" s="165">
        <f>(F8/$C$9)*$C$8</f>
        <v>1630914.9781918102</v>
      </c>
      <c r="G9" s="165">
        <f>(G8/$C$9)*$C$8</f>
        <v>1739048.9600970903</v>
      </c>
      <c r="H9" s="165">
        <f>(H8/$C$9)*$C$8</f>
        <v>1873860.2274941863</v>
      </c>
      <c r="I9" s="165">
        <f>(I8/$C$9)*$C$8</f>
        <v>2072779.7446365682</v>
      </c>
      <c r="J9" s="165">
        <f>(J8/$C$9)*$C$8</f>
        <v>2358128.8152538133</v>
      </c>
    </row>
    <row r="10" spans="2:10" x14ac:dyDescent="0.25">
      <c r="E10" s="62" t="s">
        <v>249</v>
      </c>
      <c r="F10" s="166">
        <f>F9/12</f>
        <v>135909.58151598417</v>
      </c>
      <c r="G10" s="166">
        <f>G9/12</f>
        <v>144920.74667475754</v>
      </c>
      <c r="H10" s="166">
        <f>H9/12</f>
        <v>156155.01895784886</v>
      </c>
      <c r="I10" s="166">
        <f>I9/12</f>
        <v>172731.6453863807</v>
      </c>
      <c r="J10" s="166">
        <f>J9/12</f>
        <v>196510.73460448443</v>
      </c>
    </row>
  </sheetData>
  <mergeCells count="1">
    <mergeCell ref="E6:J6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1265" r:id="rId4">
          <objectPr defaultSize="0" r:id="rId5">
            <anchor moveWithCells="1">
              <from>
                <xdr:col>1</xdr:col>
                <xdr:colOff>371475</xdr:colOff>
                <xdr:row>9</xdr:row>
                <xdr:rowOff>142875</xdr:rowOff>
              </from>
              <to>
                <xdr:col>2</xdr:col>
                <xdr:colOff>180975</xdr:colOff>
                <xdr:row>14</xdr:row>
                <xdr:rowOff>104775</xdr:rowOff>
              </to>
            </anchor>
          </objectPr>
        </oleObject>
      </mc:Choice>
      <mc:Fallback>
        <oleObject progId="Equation.3" shapeId="11265" r:id="rId4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9"/>
  <sheetViews>
    <sheetView workbookViewId="0">
      <selection activeCell="E20" sqref="E20"/>
    </sheetView>
  </sheetViews>
  <sheetFormatPr baseColWidth="10" defaultRowHeight="15" x14ac:dyDescent="0.25"/>
  <cols>
    <col min="2" max="2" width="55.5703125" bestFit="1" customWidth="1"/>
    <col min="3" max="3" width="12.7109375" bestFit="1" customWidth="1"/>
  </cols>
  <sheetData>
    <row r="3" spans="2:3" x14ac:dyDescent="0.25">
      <c r="B3" s="275" t="s">
        <v>238</v>
      </c>
      <c r="C3" s="275"/>
    </row>
    <row r="4" spans="2:3" x14ac:dyDescent="0.25">
      <c r="B4" s="157" t="s">
        <v>236</v>
      </c>
      <c r="C4" s="158">
        <f>' HOJAS DE BALANCE'!P12</f>
        <v>431400</v>
      </c>
    </row>
    <row r="5" spans="2:3" x14ac:dyDescent="0.25">
      <c r="B5" s="157" t="s">
        <v>235</v>
      </c>
      <c r="C5" s="158">
        <f>' HOJAS DE BALANCE'!N54</f>
        <v>270024.40000000002</v>
      </c>
    </row>
    <row r="6" spans="2:3" x14ac:dyDescent="0.25">
      <c r="B6" s="157" t="s">
        <v>234</v>
      </c>
      <c r="C6" s="158">
        <f>' HOJAS DE BALANCE'!K63</f>
        <v>47000</v>
      </c>
    </row>
    <row r="7" spans="2:3" x14ac:dyDescent="0.25">
      <c r="B7" s="157" t="s">
        <v>233</v>
      </c>
      <c r="C7" s="158">
        <f>' HOJAS DE BALANCE'!K64</f>
        <v>20000</v>
      </c>
    </row>
    <row r="8" spans="2:3" x14ac:dyDescent="0.25">
      <c r="B8" s="161" t="s">
        <v>239</v>
      </c>
      <c r="C8" s="158">
        <f>'CAPITAL DE TRABAJO'!F10</f>
        <v>135909.58151598417</v>
      </c>
    </row>
    <row r="9" spans="2:3" x14ac:dyDescent="0.25">
      <c r="B9" s="159" t="s">
        <v>237</v>
      </c>
      <c r="C9" s="160">
        <f>SUM(C4:C8)</f>
        <v>904333.98151598417</v>
      </c>
    </row>
  </sheetData>
  <mergeCells count="1">
    <mergeCell ref="B3:C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9"/>
  <sheetViews>
    <sheetView workbookViewId="0">
      <selection activeCell="F15" sqref="F15"/>
    </sheetView>
  </sheetViews>
  <sheetFormatPr baseColWidth="10" defaultRowHeight="15" x14ac:dyDescent="0.25"/>
  <cols>
    <col min="2" max="2" width="41.5703125" customWidth="1"/>
    <col min="3" max="3" width="14" customWidth="1"/>
  </cols>
  <sheetData>
    <row r="3" spans="2:3" x14ac:dyDescent="0.25">
      <c r="B3" s="162" t="s">
        <v>253</v>
      </c>
      <c r="C3" s="168" t="s">
        <v>177</v>
      </c>
    </row>
    <row r="4" spans="2:3" ht="16.5" x14ac:dyDescent="0.25">
      <c r="B4" s="39" t="s">
        <v>82</v>
      </c>
      <c r="C4" s="57">
        <f>' HOJAS DE BALANCE'!O6+' HOJAS DE BALANCE'!G6</f>
        <v>16500</v>
      </c>
    </row>
    <row r="5" spans="2:3" ht="16.5" x14ac:dyDescent="0.25">
      <c r="B5" s="39" t="s">
        <v>83</v>
      </c>
      <c r="C5" s="57">
        <f>DEPRECIACIÓN!I29</f>
        <v>250000</v>
      </c>
    </row>
    <row r="6" spans="2:3" ht="16.5" x14ac:dyDescent="0.25">
      <c r="B6" s="39" t="s">
        <v>114</v>
      </c>
      <c r="C6" s="57">
        <f>DEPRECIACIÓN!I40</f>
        <v>4166.6599999999744</v>
      </c>
    </row>
    <row r="7" spans="2:3" ht="16.5" x14ac:dyDescent="0.25">
      <c r="B7" s="39" t="s">
        <v>85</v>
      </c>
      <c r="C7" s="57">
        <f>DEPRECIACIÓN!I55</f>
        <v>150000</v>
      </c>
    </row>
    <row r="8" spans="2:3" ht="16.5" x14ac:dyDescent="0.25">
      <c r="B8" s="39" t="s">
        <v>252</v>
      </c>
      <c r="C8" s="57">
        <f>DEPRECIACIÓN!I66</f>
        <v>2000.0000000000018</v>
      </c>
    </row>
    <row r="9" spans="2:3" ht="16.5" x14ac:dyDescent="0.25">
      <c r="B9" s="167" t="s">
        <v>254</v>
      </c>
      <c r="C9" s="169">
        <f>SUM(C4:C8)</f>
        <v>422666.66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I31"/>
  <sheetViews>
    <sheetView tabSelected="1" zoomScale="85" zoomScaleNormal="85" workbookViewId="0">
      <selection activeCell="C29" sqref="C29"/>
    </sheetView>
  </sheetViews>
  <sheetFormatPr baseColWidth="10" defaultRowHeight="15" x14ac:dyDescent="0.25"/>
  <cols>
    <col min="1" max="1" width="25.140625" bestFit="1" customWidth="1"/>
    <col min="2" max="2" width="122.28515625" customWidth="1"/>
    <col min="3" max="3" width="40.85546875" bestFit="1" customWidth="1"/>
    <col min="4" max="4" width="54.7109375" style="171" customWidth="1"/>
    <col min="5" max="5" width="37.85546875" bestFit="1" customWidth="1"/>
    <col min="6" max="6" width="35.42578125" style="171" bestFit="1" customWidth="1"/>
    <col min="7" max="7" width="41" bestFit="1" customWidth="1"/>
  </cols>
  <sheetData>
    <row r="3" spans="2:9" x14ac:dyDescent="0.25">
      <c r="C3" s="93"/>
      <c r="D3" s="93"/>
      <c r="E3" s="93"/>
      <c r="F3" s="93"/>
      <c r="G3" s="93"/>
      <c r="H3" s="93"/>
      <c r="I3" s="93"/>
    </row>
    <row r="4" spans="2:9" ht="18.75" x14ac:dyDescent="0.3">
      <c r="B4" s="154" t="s">
        <v>280</v>
      </c>
      <c r="C4" s="196" t="s">
        <v>301</v>
      </c>
      <c r="D4" s="199" t="s">
        <v>278</v>
      </c>
      <c r="E4" s="200" t="s">
        <v>307</v>
      </c>
      <c r="F4" s="204" t="s">
        <v>311</v>
      </c>
    </row>
    <row r="5" spans="2:9" x14ac:dyDescent="0.25">
      <c r="B5" s="201" t="s">
        <v>309</v>
      </c>
      <c r="C5" s="173">
        <f>E5/E7</f>
        <v>1.9897465683830771</v>
      </c>
      <c r="D5" s="193">
        <f>F5*F7</f>
        <v>-14.807418280078881</v>
      </c>
      <c r="E5" s="173">
        <f>COVAR(E11:E21,G11:G21)</f>
        <v>2.7657414494757938E-3</v>
      </c>
      <c r="F5" s="202">
        <f>3+1.989746568</f>
        <v>4.9897465680000002</v>
      </c>
    </row>
    <row r="6" spans="2:9" ht="18.75" x14ac:dyDescent="0.3">
      <c r="B6" s="93" t="s">
        <v>288</v>
      </c>
      <c r="D6" s="205">
        <v>0.14799999999999999</v>
      </c>
      <c r="E6" s="200" t="s">
        <v>308</v>
      </c>
      <c r="F6" s="204" t="s">
        <v>312</v>
      </c>
    </row>
    <row r="7" spans="2:9" x14ac:dyDescent="0.25">
      <c r="B7" s="88" t="s">
        <v>310</v>
      </c>
      <c r="E7" s="55">
        <f>VARP(G11:G21)</f>
        <v>1.3899968435293303E-3</v>
      </c>
      <c r="F7" s="203">
        <f>G11-3</f>
        <v>-2.9675692098354443</v>
      </c>
    </row>
    <row r="9" spans="2:9" ht="21" x14ac:dyDescent="0.35">
      <c r="C9" s="187" t="s">
        <v>289</v>
      </c>
      <c r="D9" s="191" t="s">
        <v>305</v>
      </c>
      <c r="E9" s="189" t="s">
        <v>286</v>
      </c>
      <c r="F9" s="191" t="s">
        <v>304</v>
      </c>
      <c r="G9" s="189" t="s">
        <v>281</v>
      </c>
    </row>
    <row r="10" spans="2:9" ht="18.75" x14ac:dyDescent="0.3">
      <c r="C10" s="188" t="s">
        <v>300</v>
      </c>
      <c r="D10" s="197">
        <v>2014</v>
      </c>
      <c r="E10" s="197">
        <v>2014</v>
      </c>
      <c r="F10" s="198">
        <v>2014</v>
      </c>
      <c r="G10" s="197">
        <v>2014</v>
      </c>
    </row>
    <row r="11" spans="2:9" x14ac:dyDescent="0.25">
      <c r="C11" s="188" t="s">
        <v>299</v>
      </c>
      <c r="D11" s="190">
        <v>20.25</v>
      </c>
      <c r="E11" s="188">
        <f>D11/D12-1</f>
        <v>-1.2195121951219523E-2</v>
      </c>
      <c r="F11" s="190">
        <v>3975.86</v>
      </c>
      <c r="G11" s="188">
        <f t="shared" ref="G11:G21" si="0">F11/F12-1</f>
        <v>3.2430790164555967E-2</v>
      </c>
    </row>
    <row r="12" spans="2:9" x14ac:dyDescent="0.25">
      <c r="C12" s="188" t="s">
        <v>298</v>
      </c>
      <c r="D12" s="194">
        <v>20.5</v>
      </c>
      <c r="E12" s="188">
        <f t="shared" ref="E12:E21" si="1">D12/D13-1</f>
        <v>-1.2048192771084376E-2</v>
      </c>
      <c r="F12" s="190">
        <v>3850.97</v>
      </c>
      <c r="G12" s="188">
        <f t="shared" si="0"/>
        <v>-2.3478785665743684E-2</v>
      </c>
    </row>
    <row r="13" spans="2:9" x14ac:dyDescent="0.25">
      <c r="C13" s="188" t="s">
        <v>297</v>
      </c>
      <c r="D13" s="190">
        <v>20.75</v>
      </c>
      <c r="E13" s="188">
        <f t="shared" si="1"/>
        <v>4.7979797979798011E-2</v>
      </c>
      <c r="F13" s="190">
        <v>3943.56</v>
      </c>
      <c r="G13" s="188">
        <f t="shared" si="0"/>
        <v>-1.3278687294045244E-2</v>
      </c>
    </row>
    <row r="14" spans="2:9" x14ac:dyDescent="0.25">
      <c r="C14" s="188" t="s">
        <v>296</v>
      </c>
      <c r="D14" s="190">
        <v>19.8</v>
      </c>
      <c r="E14" s="188">
        <f t="shared" si="1"/>
        <v>2.5316455696202667E-3</v>
      </c>
      <c r="F14" s="190">
        <v>3996.63</v>
      </c>
      <c r="G14" s="188">
        <f t="shared" si="0"/>
        <v>3.1271287905373368E-2</v>
      </c>
    </row>
    <row r="15" spans="2:9" x14ac:dyDescent="0.25">
      <c r="C15" s="188" t="s">
        <v>295</v>
      </c>
      <c r="D15" s="190">
        <v>19.75</v>
      </c>
      <c r="E15" s="188">
        <f t="shared" si="1"/>
        <v>-4.5362903225806273E-3</v>
      </c>
      <c r="F15" s="190">
        <v>3875.44</v>
      </c>
      <c r="G15" s="188">
        <f t="shared" si="0"/>
        <v>-7.4824613685686714E-5</v>
      </c>
    </row>
    <row r="16" spans="2:9" x14ac:dyDescent="0.25">
      <c r="C16" s="188" t="s">
        <v>294</v>
      </c>
      <c r="D16" s="190">
        <v>19.84</v>
      </c>
      <c r="E16" s="188">
        <f t="shared" si="1"/>
        <v>-5.1171688187470088E-2</v>
      </c>
      <c r="F16" s="190">
        <v>3875.73</v>
      </c>
      <c r="G16" s="188">
        <f t="shared" si="0"/>
        <v>-7.1929730186663932E-3</v>
      </c>
    </row>
    <row r="17" spans="1:7" x14ac:dyDescent="0.25">
      <c r="C17" s="188" t="s">
        <v>293</v>
      </c>
      <c r="D17" s="190">
        <v>20.91</v>
      </c>
      <c r="E17" s="188">
        <f t="shared" si="1"/>
        <v>-6.2331838565022446E-2</v>
      </c>
      <c r="F17" s="190">
        <v>3903.81</v>
      </c>
      <c r="G17" s="188">
        <f t="shared" si="0"/>
        <v>-1.4911858892379115E-3</v>
      </c>
    </row>
    <row r="18" spans="1:7" x14ac:dyDescent="0.25">
      <c r="C18" s="188" t="s">
        <v>292</v>
      </c>
      <c r="D18" s="190">
        <v>22.3</v>
      </c>
      <c r="E18" s="188">
        <f t="shared" si="1"/>
        <v>0.15663900414937748</v>
      </c>
      <c r="F18" s="190">
        <v>3909.64</v>
      </c>
      <c r="G18" s="188">
        <f t="shared" si="0"/>
        <v>3.6281131055248661E-2</v>
      </c>
    </row>
    <row r="19" spans="1:7" x14ac:dyDescent="0.25">
      <c r="C19" s="188" t="s">
        <v>291</v>
      </c>
      <c r="D19" s="190">
        <v>19.28</v>
      </c>
      <c r="E19" s="188">
        <f t="shared" si="1"/>
        <v>-8.1904761904761814E-2</v>
      </c>
      <c r="F19" s="190">
        <v>3772.76</v>
      </c>
      <c r="G19" s="188">
        <f t="shared" si="0"/>
        <v>1.4488233016392016E-2</v>
      </c>
    </row>
    <row r="20" spans="1:7" x14ac:dyDescent="0.25">
      <c r="C20" s="188" t="s">
        <v>290</v>
      </c>
      <c r="D20" s="192">
        <v>21</v>
      </c>
      <c r="E20" s="188">
        <f t="shared" si="1"/>
        <v>0.28283445326817347</v>
      </c>
      <c r="F20" s="190">
        <v>3718.88</v>
      </c>
      <c r="G20" s="188">
        <f t="shared" si="0"/>
        <v>8.1255215284016913E-2</v>
      </c>
    </row>
    <row r="21" spans="1:7" x14ac:dyDescent="0.25">
      <c r="C21" s="188" t="s">
        <v>306</v>
      </c>
      <c r="D21" s="190">
        <v>16.37</v>
      </c>
      <c r="E21" s="188">
        <f t="shared" si="1"/>
        <v>-6.5639269406392642E-2</v>
      </c>
      <c r="F21" s="190">
        <v>3439.41</v>
      </c>
      <c r="G21" s="188">
        <f t="shared" si="0"/>
        <v>-7.0226184651234536E-2</v>
      </c>
    </row>
    <row r="22" spans="1:7" x14ac:dyDescent="0.25">
      <c r="C22" s="214"/>
      <c r="D22" s="190">
        <v>17.52</v>
      </c>
      <c r="E22" s="190"/>
      <c r="F22" s="190">
        <v>3699.19</v>
      </c>
      <c r="G22" s="188"/>
    </row>
    <row r="25" spans="1:7" x14ac:dyDescent="0.25">
      <c r="A25" s="207" t="s">
        <v>285</v>
      </c>
      <c r="B25" s="186" t="s">
        <v>279</v>
      </c>
    </row>
    <row r="26" spans="1:7" x14ac:dyDescent="0.25">
      <c r="A26" s="208" t="s">
        <v>282</v>
      </c>
      <c r="B26" s="171" t="s">
        <v>283</v>
      </c>
    </row>
    <row r="27" spans="1:7" x14ac:dyDescent="0.25">
      <c r="A27" s="195"/>
      <c r="B27" s="186" t="s">
        <v>284</v>
      </c>
    </row>
    <row r="28" spans="1:7" x14ac:dyDescent="0.25">
      <c r="A28" s="209" t="s">
        <v>286</v>
      </c>
      <c r="B28" s="171" t="s">
        <v>287</v>
      </c>
    </row>
    <row r="29" spans="1:7" x14ac:dyDescent="0.25">
      <c r="A29" s="210" t="s">
        <v>302</v>
      </c>
      <c r="B29" s="186" t="s">
        <v>303</v>
      </c>
    </row>
    <row r="30" spans="1:7" x14ac:dyDescent="0.25">
      <c r="A30" s="195"/>
    </row>
    <row r="31" spans="1:7" x14ac:dyDescent="0.25">
      <c r="A31" s="147" t="s">
        <v>314</v>
      </c>
      <c r="B31" s="186" t="s">
        <v>313</v>
      </c>
    </row>
  </sheetData>
  <hyperlinks>
    <hyperlink ref="B25" r:id="rId1"/>
    <hyperlink ref="B27" r:id="rId2"/>
    <hyperlink ref="B29" r:id="rId3"/>
    <hyperlink ref="B31" r:id="rId4"/>
  </hyperlinks>
  <pageMargins left="0.7" right="0.7" top="0.75" bottom="0.75" header="0.3" footer="0.3"/>
  <pageSetup orientation="portrait" r:id="rId5"/>
  <drawing r:id="rId6"/>
  <legacyDrawing r:id="rId7"/>
  <oleObjects>
    <mc:AlternateContent xmlns:mc="http://schemas.openxmlformats.org/markup-compatibility/2006">
      <mc:Choice Requires="x14">
        <oleObject progId="Equation.3" shapeId="22531" r:id="rId8">
          <objectPr defaultSize="0" r:id="rId9">
            <anchor moveWithCells="1">
              <from>
                <xdr:col>0</xdr:col>
                <xdr:colOff>266700</xdr:colOff>
                <xdr:row>9</xdr:row>
                <xdr:rowOff>57150</xdr:rowOff>
              </from>
              <to>
                <xdr:col>1</xdr:col>
                <xdr:colOff>3219450</xdr:colOff>
                <xdr:row>12</xdr:row>
                <xdr:rowOff>133350</xdr:rowOff>
              </to>
            </anchor>
          </objectPr>
        </oleObject>
      </mc:Choice>
      <mc:Fallback>
        <oleObject progId="Equation.3" shapeId="22531" r:id="rId8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23"/>
  <sheetViews>
    <sheetView workbookViewId="0">
      <selection activeCell="G12" sqref="G12"/>
    </sheetView>
  </sheetViews>
  <sheetFormatPr baseColWidth="10" defaultRowHeight="15" x14ac:dyDescent="0.25"/>
  <cols>
    <col min="2" max="2" width="35.5703125" bestFit="1" customWidth="1"/>
    <col min="3" max="8" width="13.7109375" bestFit="1" customWidth="1"/>
    <col min="11" max="11" width="13.7109375" bestFit="1" customWidth="1"/>
  </cols>
  <sheetData>
    <row r="4" spans="2:14" ht="21" x14ac:dyDescent="0.35">
      <c r="B4" s="290" t="s">
        <v>264</v>
      </c>
      <c r="C4" s="290"/>
      <c r="D4" s="290"/>
      <c r="E4" s="290"/>
      <c r="F4" s="290"/>
      <c r="G4" s="290"/>
      <c r="H4" s="290"/>
      <c r="K4" s="291" t="s">
        <v>325</v>
      </c>
      <c r="L4" s="291"/>
      <c r="M4" s="291"/>
      <c r="N4" s="291"/>
    </row>
    <row r="5" spans="2:14" s="171" customFormat="1" x14ac:dyDescent="0.25">
      <c r="B5" s="87"/>
      <c r="C5" s="87">
        <v>0</v>
      </c>
      <c r="D5" s="87">
        <v>1</v>
      </c>
      <c r="E5" s="87">
        <v>2</v>
      </c>
      <c r="F5" s="87">
        <v>3</v>
      </c>
      <c r="G5" s="87">
        <v>4</v>
      </c>
      <c r="H5" s="87">
        <v>5</v>
      </c>
      <c r="K5" s="171" t="s">
        <v>330</v>
      </c>
    </row>
    <row r="6" spans="2:14" x14ac:dyDescent="0.25">
      <c r="B6" s="175" t="s">
        <v>250</v>
      </c>
      <c r="C6" s="175" t="s">
        <v>270</v>
      </c>
      <c r="D6" s="175" t="s">
        <v>173</v>
      </c>
      <c r="E6" s="175" t="s">
        <v>174</v>
      </c>
      <c r="F6" s="175" t="s">
        <v>175</v>
      </c>
      <c r="G6" s="175" t="s">
        <v>176</v>
      </c>
      <c r="H6" s="175" t="s">
        <v>177</v>
      </c>
      <c r="K6" t="s">
        <v>329</v>
      </c>
    </row>
    <row r="7" spans="2:14" x14ac:dyDescent="0.25">
      <c r="B7" s="52" t="s">
        <v>265</v>
      </c>
      <c r="C7" s="57">
        <v>0</v>
      </c>
      <c r="D7" s="57">
        <f>'IMPUESTO DE PRIMERA CATEGORÍA'!C4</f>
        <v>13950000</v>
      </c>
      <c r="E7" s="57">
        <f>'IMPUESTO DE PRIMERA CATEGORÍA'!D4</f>
        <v>14814900</v>
      </c>
      <c r="F7" s="57">
        <f>'IMPUESTO DE PRIMERA CATEGORÍA'!E4</f>
        <v>16020180</v>
      </c>
      <c r="G7" s="57">
        <f>'IMPUESTO DE PRIMERA CATEGORÍA'!F4</f>
        <v>16020180</v>
      </c>
      <c r="H7" s="57">
        <f>'IMPUESTO DE PRIMERA CATEGORÍA'!G4</f>
        <v>21345800</v>
      </c>
      <c r="K7" t="s">
        <v>328</v>
      </c>
    </row>
    <row r="8" spans="2:14" x14ac:dyDescent="0.25">
      <c r="B8" s="52" t="s">
        <v>266</v>
      </c>
      <c r="C8" s="178">
        <f>'INVERSIÓN INICIAL PREVIA'!C9</f>
        <v>904333.98151598417</v>
      </c>
      <c r="D8" s="57">
        <f>'IMPUESTO DE PRIMERA CATEGORÍA'!C5</f>
        <v>9940543.6765976995</v>
      </c>
      <c r="E8" s="57">
        <f>'IMPUESTO DE PRIMERA CATEGORÍA'!D5</f>
        <v>10438180.769714942</v>
      </c>
      <c r="F8" s="57">
        <f>'IMPUESTO DE PRIMERA CATEGORÍA'!E5</f>
        <v>11257908.51321678</v>
      </c>
      <c r="G8" s="57">
        <f>'IMPUESTO DE PRIMERA CATEGORÍA'!F5</f>
        <v>12476011.189005896</v>
      </c>
      <c r="H8" s="57">
        <f>'IMPUESTO DE PRIMERA CATEGORÍA'!G5</f>
        <v>14230766.540001016</v>
      </c>
      <c r="K8" s="171" t="s">
        <v>327</v>
      </c>
    </row>
    <row r="9" spans="2:14" x14ac:dyDescent="0.25">
      <c r="B9" s="52" t="s">
        <v>267</v>
      </c>
      <c r="C9" s="57">
        <v>0</v>
      </c>
      <c r="D9" s="57">
        <f>DEPRECIACIÓN!D71</f>
        <v>187872.22333333333</v>
      </c>
      <c r="E9" s="57">
        <f>DEPRECIACIÓN!E71</f>
        <v>187872.22333333333</v>
      </c>
      <c r="F9" s="57">
        <f>DEPRECIACIÓN!F71</f>
        <v>171372.22333333333</v>
      </c>
      <c r="G9" s="57">
        <f>DEPRECIACIÓN!G71</f>
        <v>171372.22333333333</v>
      </c>
      <c r="H9" s="57">
        <f>DEPRECIACIÓN!H71</f>
        <v>171372.22333333333</v>
      </c>
      <c r="L9" s="171"/>
      <c r="M9" s="171"/>
      <c r="N9" s="171"/>
    </row>
    <row r="10" spans="2:14" x14ac:dyDescent="0.25">
      <c r="B10" s="149" t="s">
        <v>268</v>
      </c>
      <c r="C10" s="139">
        <f t="shared" ref="C10:H10" si="0">C7-C8-C9</f>
        <v>-904333.98151598417</v>
      </c>
      <c r="D10" s="139">
        <f t="shared" si="0"/>
        <v>3821584.1000689673</v>
      </c>
      <c r="E10" s="139">
        <f t="shared" si="0"/>
        <v>4188847.0069517246</v>
      </c>
      <c r="F10" s="139">
        <f t="shared" si="0"/>
        <v>4590899.2634498859</v>
      </c>
      <c r="G10" s="139">
        <f t="shared" si="0"/>
        <v>3372796.5876607704</v>
      </c>
      <c r="H10" s="139">
        <f t="shared" si="0"/>
        <v>6943661.2366656503</v>
      </c>
      <c r="K10" s="171"/>
      <c r="L10" s="171"/>
      <c r="M10" s="171"/>
      <c r="N10" s="171"/>
    </row>
    <row r="11" spans="2:14" s="171" customFormat="1" x14ac:dyDescent="0.25">
      <c r="B11" s="52" t="s">
        <v>271</v>
      </c>
      <c r="C11" s="57">
        <v>0</v>
      </c>
      <c r="D11" s="57">
        <f>'IMPUESTO DE PRIMERA CATEGORÍA'!C8</f>
        <v>801891.2646804601</v>
      </c>
      <c r="E11" s="57">
        <f>'IMPUESTO DE PRIMERA CATEGORÍA'!D8</f>
        <v>875343.84605701163</v>
      </c>
      <c r="F11" s="57">
        <f>'IMPUESTO DE PRIMERA CATEGORÍA'!E8</f>
        <v>952454.29735664395</v>
      </c>
      <c r="G11" s="57">
        <f>'IMPUESTO DE PRIMERA CATEGORÍA'!F8</f>
        <v>708833.76219882071</v>
      </c>
      <c r="H11" s="57">
        <f>'IMPUESTO DE PRIMERA CATEGORÍA'!G8</f>
        <v>1423006.6919997968</v>
      </c>
    </row>
    <row r="12" spans="2:14" s="171" customFormat="1" x14ac:dyDescent="0.25">
      <c r="B12" s="149" t="s">
        <v>272</v>
      </c>
      <c r="C12" s="139">
        <f t="shared" ref="C12:H12" si="1">C10-C11</f>
        <v>-904333.98151598417</v>
      </c>
      <c r="D12" s="139">
        <f t="shared" si="1"/>
        <v>3019692.8353885072</v>
      </c>
      <c r="E12" s="139">
        <f t="shared" si="1"/>
        <v>3313503.1608947129</v>
      </c>
      <c r="F12" s="139">
        <f t="shared" si="1"/>
        <v>3638444.9660932422</v>
      </c>
      <c r="G12" s="139">
        <f t="shared" si="1"/>
        <v>2663962.8254619497</v>
      </c>
      <c r="H12" s="139">
        <f t="shared" si="1"/>
        <v>5520654.5446658535</v>
      </c>
    </row>
    <row r="13" spans="2:14" x14ac:dyDescent="0.25">
      <c r="B13" s="52" t="s">
        <v>273</v>
      </c>
      <c r="C13" s="57">
        <v>0</v>
      </c>
      <c r="D13" s="57">
        <f>DEPRECIACIÓN!D71</f>
        <v>187872.22333333333</v>
      </c>
      <c r="E13" s="57">
        <f>DEPRECIACIÓN!E71</f>
        <v>187872.22333333333</v>
      </c>
      <c r="F13" s="57">
        <f>DEPRECIACIÓN!F71</f>
        <v>171372.22333333333</v>
      </c>
      <c r="G13" s="57">
        <f>DEPRECIACIÓN!G71</f>
        <v>171372.22333333333</v>
      </c>
      <c r="H13" s="57">
        <f>DEPRECIACIÓN!H71</f>
        <v>171372.22333333333</v>
      </c>
    </row>
    <row r="14" spans="2:14" x14ac:dyDescent="0.25">
      <c r="B14" s="52" t="s">
        <v>274</v>
      </c>
      <c r="C14" s="57">
        <v>0</v>
      </c>
      <c r="D14" s="57">
        <f>'IMPUESTO DE PRIMERA CATEGORÍA'!C13</f>
        <v>43500</v>
      </c>
      <c r="E14" s="57">
        <f>'IMPUESTO DE PRIMERA CATEGORÍA'!D13</f>
        <v>81000</v>
      </c>
      <c r="F14" s="57">
        <f>'IMPUESTO DE PRIMERA CATEGORÍA'!E13</f>
        <v>43500</v>
      </c>
      <c r="G14" s="57">
        <f>'IMPUESTO DE PRIMERA CATEGORÍA'!F13</f>
        <v>81000</v>
      </c>
      <c r="H14" s="57">
        <f>'IMPUESTO DE PRIMERA CATEGORÍA'!G13</f>
        <v>43500</v>
      </c>
    </row>
    <row r="15" spans="2:14" x14ac:dyDescent="0.25">
      <c r="B15" s="52" t="s">
        <v>275</v>
      </c>
      <c r="C15" s="57">
        <v>0</v>
      </c>
      <c r="D15" s="57">
        <f>'CALENDARIO INGRESOS X VENTA '!C7</f>
        <v>5700</v>
      </c>
      <c r="E15" s="57">
        <f>'CALENDARIO INGRESOS X VENTA '!D7</f>
        <v>10200</v>
      </c>
      <c r="F15" s="57">
        <f>'CALENDARIO INGRESOS X VENTA '!E7</f>
        <v>5700</v>
      </c>
      <c r="G15" s="57">
        <f>'CALENDARIO INGRESOS X VENTA '!F7</f>
        <v>10200</v>
      </c>
      <c r="H15" s="57">
        <f>'CALENDARIO INGRESOS X VENTA '!G7+' HOJAS DE BALANCE'!G13+' HOJAS DE BALANCE'!O12+'INVERSIÓN INICIAL PREVIA'!C8</f>
        <v>564276.24151598418</v>
      </c>
    </row>
    <row r="16" spans="2:14" x14ac:dyDescent="0.25">
      <c r="B16" s="174" t="s">
        <v>269</v>
      </c>
      <c r="C16" s="176">
        <f t="shared" ref="C16:H16" si="2">C12+C13-C14+C15</f>
        <v>-904333.98151598417</v>
      </c>
      <c r="D16" s="181">
        <f t="shared" si="2"/>
        <v>3169765.0587218404</v>
      </c>
      <c r="E16" s="181">
        <f t="shared" si="2"/>
        <v>3430575.3842280461</v>
      </c>
      <c r="F16" s="181">
        <f t="shared" si="2"/>
        <v>3772017.1894265753</v>
      </c>
      <c r="G16" s="181">
        <f t="shared" si="2"/>
        <v>2764535.0487952828</v>
      </c>
      <c r="H16" s="181">
        <f t="shared" si="2"/>
        <v>6212803.0095151709</v>
      </c>
    </row>
    <row r="18" spans="2:4" x14ac:dyDescent="0.25">
      <c r="B18" s="182" t="s">
        <v>278</v>
      </c>
      <c r="C18" s="206">
        <f>'COSTO DE CAPITAL'!D6</f>
        <v>0.14799999999999999</v>
      </c>
      <c r="D18" t="s">
        <v>322</v>
      </c>
    </row>
    <row r="19" spans="2:4" x14ac:dyDescent="0.25">
      <c r="B19" s="183" t="s">
        <v>276</v>
      </c>
      <c r="C19" s="185">
        <f>C16+NPV(C18,D16:H16)</f>
        <v>11660524.184711488</v>
      </c>
      <c r="D19" t="s">
        <v>324</v>
      </c>
    </row>
    <row r="20" spans="2:4" x14ac:dyDescent="0.25">
      <c r="B20" s="184" t="s">
        <v>277</v>
      </c>
      <c r="C20" s="211">
        <f>IRR(C16:H16)</f>
        <v>3.5797169621570237</v>
      </c>
      <c r="D20" t="s">
        <v>323</v>
      </c>
    </row>
    <row r="21" spans="2:4" x14ac:dyDescent="0.25">
      <c r="B21" s="138" t="s">
        <v>321</v>
      </c>
      <c r="C21" s="213">
        <f>C16+NPV(C20,D16:H16)</f>
        <v>0</v>
      </c>
    </row>
    <row r="23" spans="2:4" x14ac:dyDescent="0.25">
      <c r="C23" s="212"/>
    </row>
  </sheetData>
  <mergeCells count="2">
    <mergeCell ref="B4:H4"/>
    <mergeCell ref="K4:N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workbookViewId="0">
      <selection activeCell="F13" sqref="F13"/>
    </sheetView>
  </sheetViews>
  <sheetFormatPr baseColWidth="10" defaultRowHeight="15" x14ac:dyDescent="0.25"/>
  <cols>
    <col min="1" max="1" width="4.28515625" customWidth="1"/>
    <col min="2" max="2" width="11.28515625" bestFit="1" customWidth="1"/>
    <col min="3" max="3" width="12.5703125" bestFit="1" customWidth="1"/>
    <col min="4" max="4" width="12.7109375" bestFit="1" customWidth="1"/>
    <col min="5" max="5" width="12.5703125" bestFit="1" customWidth="1"/>
    <col min="6" max="6" width="12.7109375" bestFit="1" customWidth="1"/>
    <col min="7" max="7" width="12.5703125" bestFit="1" customWidth="1"/>
  </cols>
  <sheetData>
    <row r="2" spans="2:7" ht="25.5" customHeight="1" x14ac:dyDescent="0.25">
      <c r="B2" s="225" t="s">
        <v>8</v>
      </c>
      <c r="C2" s="225"/>
      <c r="D2" s="225"/>
      <c r="E2" s="225"/>
      <c r="F2" s="225"/>
      <c r="G2" s="225"/>
    </row>
    <row r="3" spans="2:7" ht="16.5" x14ac:dyDescent="0.25">
      <c r="B3" s="3" t="s">
        <v>2</v>
      </c>
      <c r="C3" s="3">
        <v>2015</v>
      </c>
      <c r="D3" s="3">
        <v>2016</v>
      </c>
      <c r="E3" s="3">
        <v>2017</v>
      </c>
      <c r="F3" s="3">
        <v>2018</v>
      </c>
      <c r="G3" s="3">
        <v>2019</v>
      </c>
    </row>
    <row r="4" spans="2:7" x14ac:dyDescent="0.25">
      <c r="B4" s="44" t="s">
        <v>82</v>
      </c>
      <c r="C4" s="42">
        <v>0</v>
      </c>
      <c r="D4" s="42">
        <f>(' HOJAS DE BALANCE'!D6*(' HOJAS DE BALANCE'!C6+' HOJAS DE BALANCE'!K6))</f>
        <v>37500</v>
      </c>
      <c r="E4" s="42">
        <v>0</v>
      </c>
      <c r="F4" s="42">
        <v>37500</v>
      </c>
      <c r="G4" s="42">
        <v>0</v>
      </c>
    </row>
    <row r="5" spans="2:7" ht="30" x14ac:dyDescent="0.25">
      <c r="B5" s="45" t="s">
        <v>116</v>
      </c>
      <c r="C5" s="43">
        <f>(' HOJAS DE BALANCE'!D8*(' HOJAS DE BALANCE'!C8+' HOJAS DE BALANCE'!K8))</f>
        <v>27500</v>
      </c>
      <c r="D5" s="43">
        <v>27500</v>
      </c>
      <c r="E5" s="43">
        <v>27500</v>
      </c>
      <c r="F5" s="43">
        <v>27500</v>
      </c>
      <c r="G5" s="43">
        <v>27500</v>
      </c>
    </row>
    <row r="6" spans="2:7" x14ac:dyDescent="0.25">
      <c r="B6" s="44" t="s">
        <v>84</v>
      </c>
      <c r="C6" s="42">
        <f>(' HOJAS DE BALANCE'!D9*(' HOJAS DE BALANCE'!C9+' HOJAS DE BALANCE'!K9))</f>
        <v>12000</v>
      </c>
      <c r="D6" s="42">
        <v>12000</v>
      </c>
      <c r="E6" s="42">
        <v>12000</v>
      </c>
      <c r="F6" s="42">
        <v>12000</v>
      </c>
      <c r="G6" s="42">
        <v>12000</v>
      </c>
    </row>
    <row r="7" spans="2:7" x14ac:dyDescent="0.25">
      <c r="B7" s="45" t="s">
        <v>115</v>
      </c>
      <c r="C7" s="43">
        <f>' HOJAS DE BALANCE'!D11*' HOJAS DE BALANCE'!C11</f>
        <v>4000</v>
      </c>
      <c r="D7" s="43">
        <v>4000</v>
      </c>
      <c r="E7" s="43">
        <v>4000</v>
      </c>
      <c r="F7" s="43">
        <v>4000</v>
      </c>
      <c r="G7" s="43">
        <v>4000</v>
      </c>
    </row>
    <row r="8" spans="2:7" ht="33" x14ac:dyDescent="0.25">
      <c r="B8" s="27" t="s">
        <v>20</v>
      </c>
      <c r="C8" s="46">
        <f>SUM(C4:C7)</f>
        <v>43500</v>
      </c>
      <c r="D8" s="46">
        <f>SUM(D4:D7)</f>
        <v>81000</v>
      </c>
      <c r="E8" s="46">
        <f>SUM(E4:E7)</f>
        <v>43500</v>
      </c>
      <c r="F8" s="46">
        <f>SUM(F4:F7)</f>
        <v>81000</v>
      </c>
      <c r="G8" s="46">
        <f>SUM(G4:G7)</f>
        <v>43500</v>
      </c>
    </row>
  </sheetData>
  <mergeCells count="1">
    <mergeCell ref="B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"/>
  <sheetViews>
    <sheetView workbookViewId="0">
      <selection activeCell="J14" sqref="J14"/>
    </sheetView>
  </sheetViews>
  <sheetFormatPr baseColWidth="10" defaultRowHeight="15" x14ac:dyDescent="0.25"/>
  <cols>
    <col min="1" max="1" width="5.7109375" customWidth="1"/>
    <col min="2" max="2" width="21.7109375" bestFit="1" customWidth="1"/>
    <col min="3" max="3" width="11.5703125" bestFit="1" customWidth="1"/>
    <col min="4" max="4" width="12.5703125" bestFit="1" customWidth="1"/>
    <col min="5" max="5" width="11.5703125" bestFit="1" customWidth="1"/>
    <col min="6" max="6" width="12.5703125" bestFit="1" customWidth="1"/>
    <col min="7" max="7" width="11.5703125" bestFit="1" customWidth="1"/>
  </cols>
  <sheetData>
    <row r="2" spans="2:9" ht="25.5" customHeight="1" x14ac:dyDescent="0.25">
      <c r="B2" s="230" t="s">
        <v>7</v>
      </c>
      <c r="C2" s="230"/>
      <c r="D2" s="230"/>
      <c r="E2" s="230"/>
      <c r="F2" s="230"/>
      <c r="G2" s="230"/>
    </row>
    <row r="3" spans="2:9" ht="16.5" x14ac:dyDescent="0.25">
      <c r="B3" s="3" t="s">
        <v>2</v>
      </c>
      <c r="C3" s="3">
        <v>2015</v>
      </c>
      <c r="D3" s="3">
        <v>2016</v>
      </c>
      <c r="E3" s="3">
        <v>2017</v>
      </c>
      <c r="F3" s="3">
        <v>2018</v>
      </c>
      <c r="G3" s="3">
        <v>2019</v>
      </c>
    </row>
    <row r="4" spans="2:9" ht="17.25" customHeight="1" x14ac:dyDescent="0.25">
      <c r="B4" s="7" t="str">
        <f>' HOJAS DE BALANCE'!B6</f>
        <v>Sartenes</v>
      </c>
      <c r="C4" s="69">
        <v>0</v>
      </c>
      <c r="D4" s="69">
        <f>(' HOJAS DE BALANCE'!F6*(' HOJAS DE BALANCE'!C6+' HOJAS DE BALANCE'!K6))</f>
        <v>4500</v>
      </c>
      <c r="E4" s="69">
        <v>0</v>
      </c>
      <c r="F4" s="69">
        <v>4500</v>
      </c>
      <c r="G4" s="69">
        <v>0</v>
      </c>
    </row>
    <row r="5" spans="2:9" ht="16.5" customHeight="1" x14ac:dyDescent="0.25">
      <c r="B5" s="66" t="str">
        <f>' HOJAS DE BALANCE'!B8</f>
        <v>Tabla para Cortar</v>
      </c>
      <c r="C5" s="70">
        <f>(' HOJAS DE BALANCE'!F8*(' HOJAS DE BALANCE'!C8+' HOJAS DE BALANCE'!K8))</f>
        <v>3300</v>
      </c>
      <c r="D5" s="70">
        <v>3300</v>
      </c>
      <c r="E5" s="70">
        <v>3300</v>
      </c>
      <c r="F5" s="70">
        <v>3300</v>
      </c>
      <c r="G5" s="70">
        <v>3300</v>
      </c>
    </row>
    <row r="6" spans="2:9" ht="15.75" customHeight="1" x14ac:dyDescent="0.25">
      <c r="B6" s="67" t="str">
        <f>' HOJAS DE BALANCE'!B9</f>
        <v>Cuchillos</v>
      </c>
      <c r="C6" s="71">
        <f>(' HOJAS DE BALANCE'!F9*(' HOJAS DE BALANCE'!C9+' HOJAS DE BALANCE'!K9))</f>
        <v>2400</v>
      </c>
      <c r="D6" s="71">
        <v>2400</v>
      </c>
      <c r="E6" s="71">
        <v>2400</v>
      </c>
      <c r="F6" s="71">
        <v>2400</v>
      </c>
      <c r="G6" s="71">
        <v>2400</v>
      </c>
      <c r="H6" s="231" t="s">
        <v>142</v>
      </c>
      <c r="I6" s="231"/>
    </row>
    <row r="7" spans="2:9" ht="16.5" x14ac:dyDescent="0.25">
      <c r="B7" s="68" t="s">
        <v>21</v>
      </c>
      <c r="C7" s="72">
        <f>SUM(C4:C6)</f>
        <v>5700</v>
      </c>
      <c r="D7" s="72">
        <f>SUM(D4:D6)</f>
        <v>10200</v>
      </c>
      <c r="E7" s="72">
        <f>SUM(E4:E6)</f>
        <v>5700</v>
      </c>
      <c r="F7" s="72">
        <f>SUM(F4:F6)</f>
        <v>10200</v>
      </c>
      <c r="G7" s="72">
        <f>SUM(G4:G6)</f>
        <v>5700</v>
      </c>
      <c r="H7" s="232">
        <f>SUM(C7:G7)</f>
        <v>37500</v>
      </c>
      <c r="I7" s="232"/>
    </row>
  </sheetData>
  <mergeCells count="3">
    <mergeCell ref="B2:G2"/>
    <mergeCell ref="H6:I6"/>
    <mergeCell ref="H7:I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63"/>
  <sheetViews>
    <sheetView topLeftCell="K1" zoomScaleNormal="100" workbookViewId="0">
      <selection activeCell="O20" sqref="O20:S20"/>
    </sheetView>
  </sheetViews>
  <sheetFormatPr baseColWidth="10" defaultRowHeight="15" x14ac:dyDescent="0.25"/>
  <cols>
    <col min="1" max="1" width="10.28515625" bestFit="1" customWidth="1"/>
    <col min="2" max="2" width="37.28515625" bestFit="1" customWidth="1"/>
    <col min="3" max="3" width="24" bestFit="1" customWidth="1"/>
    <col min="4" max="4" width="15.42578125" bestFit="1" customWidth="1"/>
    <col min="5" max="5" width="53" bestFit="1" customWidth="1"/>
    <col min="6" max="6" width="19" bestFit="1" customWidth="1"/>
    <col min="8" max="8" width="42" bestFit="1" customWidth="1"/>
    <col min="9" max="9" width="24" bestFit="1" customWidth="1"/>
    <col min="10" max="10" width="21.85546875" bestFit="1" customWidth="1"/>
    <col min="11" max="11" width="20.28515625" bestFit="1" customWidth="1"/>
    <col min="12" max="12" width="18.140625" bestFit="1" customWidth="1"/>
    <col min="14" max="14" width="43.140625" bestFit="1" customWidth="1"/>
    <col min="15" max="19" width="15" bestFit="1" customWidth="1"/>
    <col min="20" max="20" width="15.85546875" customWidth="1"/>
    <col min="21" max="21" width="23.85546875" bestFit="1" customWidth="1"/>
    <col min="22" max="22" width="15.28515625" bestFit="1" customWidth="1"/>
    <col min="23" max="23" width="20.28515625" bestFit="1" customWidth="1"/>
    <col min="24" max="24" width="19" bestFit="1" customWidth="1"/>
  </cols>
  <sheetData>
    <row r="1" spans="2:24" x14ac:dyDescent="0.25">
      <c r="N1" t="s">
        <v>315</v>
      </c>
      <c r="O1" s="92">
        <v>0.05</v>
      </c>
    </row>
    <row r="2" spans="2:24" x14ac:dyDescent="0.25">
      <c r="B2" s="256" t="s">
        <v>36</v>
      </c>
      <c r="C2" s="257"/>
      <c r="D2" s="257"/>
      <c r="E2" s="257"/>
      <c r="F2" s="257"/>
      <c r="G2" s="257"/>
      <c r="H2" s="257"/>
      <c r="I2" s="257"/>
      <c r="J2" s="257"/>
      <c r="K2" s="257"/>
      <c r="L2" s="258"/>
      <c r="N2" s="235" t="s">
        <v>43</v>
      </c>
      <c r="O2" s="235"/>
      <c r="P2" s="235"/>
      <c r="Q2" s="235"/>
      <c r="R2" s="235"/>
      <c r="S2" s="235"/>
    </row>
    <row r="3" spans="2:24" x14ac:dyDescent="0.25">
      <c r="B3" s="261" t="s">
        <v>37</v>
      </c>
      <c r="C3" s="255" t="s">
        <v>60</v>
      </c>
      <c r="D3" s="255"/>
      <c r="E3" s="255" t="s">
        <v>62</v>
      </c>
      <c r="F3" s="255" t="s">
        <v>61</v>
      </c>
      <c r="G3" s="255"/>
      <c r="H3" s="255"/>
      <c r="I3" s="224"/>
      <c r="J3" s="224"/>
      <c r="K3" s="224"/>
      <c r="L3" s="18"/>
      <c r="N3" s="235"/>
      <c r="O3" s="235"/>
      <c r="P3" s="235"/>
      <c r="Q3" s="235"/>
      <c r="R3" s="235"/>
      <c r="S3" s="235"/>
    </row>
    <row r="4" spans="2:24" ht="15.75" x14ac:dyDescent="0.25">
      <c r="B4" s="261"/>
      <c r="C4" s="255"/>
      <c r="D4" s="255"/>
      <c r="E4" s="255"/>
      <c r="F4" s="255"/>
      <c r="G4" s="255"/>
      <c r="H4" s="255"/>
      <c r="I4" s="224"/>
      <c r="J4" s="224"/>
      <c r="K4" s="224"/>
      <c r="L4" s="18"/>
      <c r="N4" s="17" t="s">
        <v>45</v>
      </c>
      <c r="O4" s="17">
        <v>2015</v>
      </c>
      <c r="P4" s="17">
        <v>2016</v>
      </c>
      <c r="Q4" s="17">
        <v>2017</v>
      </c>
      <c r="R4" s="17">
        <v>2018</v>
      </c>
      <c r="S4" s="17">
        <v>2019</v>
      </c>
    </row>
    <row r="5" spans="2:24" ht="14.25" customHeight="1" x14ac:dyDescent="0.25">
      <c r="B5" s="11">
        <v>2</v>
      </c>
      <c r="C5" s="254">
        <v>90</v>
      </c>
      <c r="D5" s="254"/>
      <c r="E5" s="12">
        <f>C5*B5</f>
        <v>180</v>
      </c>
      <c r="F5" s="254">
        <v>2</v>
      </c>
      <c r="G5" s="254"/>
      <c r="H5" s="254"/>
      <c r="I5" s="18"/>
      <c r="J5" s="224"/>
      <c r="K5" s="224"/>
      <c r="L5" s="18"/>
      <c r="N5" s="252" t="s">
        <v>46</v>
      </c>
      <c r="O5" s="252"/>
      <c r="P5" s="252"/>
      <c r="Q5" s="252"/>
      <c r="R5" s="252"/>
      <c r="S5" s="252"/>
    </row>
    <row r="6" spans="2:24" x14ac:dyDescent="0.25">
      <c r="B6" s="259" t="s">
        <v>22</v>
      </c>
      <c r="C6" s="259"/>
      <c r="D6" s="259"/>
      <c r="E6" s="259"/>
      <c r="F6" s="259"/>
      <c r="H6" s="259" t="s">
        <v>35</v>
      </c>
      <c r="I6" s="259"/>
      <c r="J6" s="259"/>
      <c r="K6" s="259"/>
      <c r="L6" s="259"/>
      <c r="N6" s="58" t="s">
        <v>76</v>
      </c>
      <c r="O6" s="129">
        <v>255936</v>
      </c>
      <c r="P6" s="129">
        <f>O6*$O$1+O6</f>
        <v>268732.79999999999</v>
      </c>
      <c r="Q6" s="129">
        <f>P6*$O$1+P6</f>
        <v>282169.44</v>
      </c>
      <c r="R6" s="129">
        <f>Q6*$O$1+Q6</f>
        <v>296277.91200000001</v>
      </c>
      <c r="S6" s="129">
        <f>R6*$O$1+R6</f>
        <v>311091.8076</v>
      </c>
      <c r="T6" s="224"/>
      <c r="U6" s="224"/>
      <c r="V6" s="224"/>
      <c r="W6" s="224"/>
      <c r="X6" s="224"/>
    </row>
    <row r="7" spans="2:24" x14ac:dyDescent="0.25">
      <c r="B7" s="260" t="s">
        <v>108</v>
      </c>
      <c r="C7" s="260"/>
      <c r="D7" s="260"/>
      <c r="E7" s="260"/>
      <c r="F7" s="260"/>
      <c r="H7" s="260" t="s">
        <v>98</v>
      </c>
      <c r="I7" s="260"/>
      <c r="J7" s="260"/>
      <c r="K7" s="260"/>
      <c r="L7" s="260"/>
      <c r="N7" s="58" t="s">
        <v>87</v>
      </c>
      <c r="O7" s="129">
        <v>960000</v>
      </c>
      <c r="P7" s="172">
        <f t="shared" ref="P7:S16" si="0">O7*$O$1+O7</f>
        <v>1008000</v>
      </c>
      <c r="Q7" s="172">
        <f t="shared" si="0"/>
        <v>1058400</v>
      </c>
      <c r="R7" s="172">
        <f t="shared" si="0"/>
        <v>1111320</v>
      </c>
      <c r="S7" s="172">
        <f t="shared" si="0"/>
        <v>1166886</v>
      </c>
      <c r="T7" s="224"/>
      <c r="U7" s="224"/>
      <c r="V7" s="224"/>
      <c r="W7" s="224"/>
      <c r="X7" s="224"/>
    </row>
    <row r="8" spans="2:24" x14ac:dyDescent="0.25">
      <c r="B8" s="253" t="s">
        <v>25</v>
      </c>
      <c r="C8" s="253"/>
      <c r="D8" s="253"/>
      <c r="E8" s="253"/>
      <c r="F8" s="253"/>
      <c r="H8" s="253" t="s">
        <v>40</v>
      </c>
      <c r="I8" s="253"/>
      <c r="J8" s="253"/>
      <c r="K8" s="253"/>
      <c r="L8" s="253"/>
      <c r="N8" s="58" t="s">
        <v>111</v>
      </c>
      <c r="O8" s="129">
        <v>540000</v>
      </c>
      <c r="P8" s="172">
        <f t="shared" si="0"/>
        <v>567000</v>
      </c>
      <c r="Q8" s="172">
        <f t="shared" si="0"/>
        <v>595350</v>
      </c>
      <c r="R8" s="172">
        <f t="shared" si="0"/>
        <v>625117.5</v>
      </c>
      <c r="S8" s="172">
        <f t="shared" si="0"/>
        <v>656373.375</v>
      </c>
      <c r="T8" s="224"/>
      <c r="U8" s="224"/>
      <c r="V8" s="224"/>
      <c r="W8" s="224"/>
      <c r="X8" s="224"/>
    </row>
    <row r="9" spans="2:24" x14ac:dyDescent="0.25">
      <c r="B9" s="10" t="s">
        <v>23</v>
      </c>
      <c r="C9" s="10" t="s">
        <v>16</v>
      </c>
      <c r="D9" s="10" t="s">
        <v>3</v>
      </c>
      <c r="E9" s="10" t="s">
        <v>24</v>
      </c>
      <c r="F9" s="10" t="s">
        <v>19</v>
      </c>
      <c r="H9" s="10" t="s">
        <v>23</v>
      </c>
      <c r="I9" s="10" t="s">
        <v>33</v>
      </c>
      <c r="J9" s="10" t="s">
        <v>86</v>
      </c>
      <c r="K9" s="10" t="s">
        <v>30</v>
      </c>
      <c r="L9" s="10" t="s">
        <v>143</v>
      </c>
      <c r="N9" s="58" t="s">
        <v>112</v>
      </c>
      <c r="O9" s="129">
        <v>312000</v>
      </c>
      <c r="P9" s="172">
        <f t="shared" si="0"/>
        <v>327600</v>
      </c>
      <c r="Q9" s="172">
        <f t="shared" si="0"/>
        <v>343980</v>
      </c>
      <c r="R9" s="172">
        <f t="shared" si="0"/>
        <v>361179</v>
      </c>
      <c r="S9" s="172">
        <f t="shared" si="0"/>
        <v>379237.95</v>
      </c>
    </row>
    <row r="10" spans="2:24" s="20" customFormat="1" x14ac:dyDescent="0.25">
      <c r="B10" s="234" t="s">
        <v>107</v>
      </c>
      <c r="C10" s="234"/>
      <c r="D10" s="234"/>
      <c r="E10" s="234"/>
      <c r="F10" s="234"/>
      <c r="H10" s="58" t="s">
        <v>76</v>
      </c>
      <c r="I10" s="58">
        <v>16</v>
      </c>
      <c r="J10" s="58">
        <v>1</v>
      </c>
      <c r="K10" s="58">
        <v>1333</v>
      </c>
      <c r="L10" s="73">
        <f>K10*I10</f>
        <v>21328</v>
      </c>
      <c r="N10" s="58" t="s">
        <v>152</v>
      </c>
      <c r="O10" s="129">
        <v>240000</v>
      </c>
      <c r="P10" s="172">
        <f t="shared" si="0"/>
        <v>252000</v>
      </c>
      <c r="Q10" s="172">
        <f t="shared" si="0"/>
        <v>264600</v>
      </c>
      <c r="R10" s="172">
        <f t="shared" si="0"/>
        <v>277830</v>
      </c>
      <c r="S10" s="172">
        <f t="shared" si="0"/>
        <v>291721.5</v>
      </c>
    </row>
    <row r="11" spans="2:24" x14ac:dyDescent="0.25">
      <c r="B11" s="58" t="s">
        <v>75</v>
      </c>
      <c r="C11" s="58" t="s">
        <v>71</v>
      </c>
      <c r="D11" s="58">
        <v>64</v>
      </c>
      <c r="E11" s="59">
        <v>270</v>
      </c>
      <c r="F11" s="144">
        <f t="shared" ref="F11:F20" si="1">E11*D11</f>
        <v>17280</v>
      </c>
      <c r="H11" s="243" t="s">
        <v>55</v>
      </c>
      <c r="I11" s="244"/>
      <c r="J11" s="244"/>
      <c r="K11" s="262"/>
      <c r="L11" s="29">
        <f>SUM(L10)</f>
        <v>21328</v>
      </c>
      <c r="N11" s="58" t="s">
        <v>48</v>
      </c>
      <c r="O11" s="129">
        <v>144000</v>
      </c>
      <c r="P11" s="172">
        <f t="shared" si="0"/>
        <v>151200</v>
      </c>
      <c r="Q11" s="172">
        <f t="shared" si="0"/>
        <v>158760</v>
      </c>
      <c r="R11" s="172">
        <f t="shared" si="0"/>
        <v>166698</v>
      </c>
      <c r="S11" s="172">
        <f t="shared" si="0"/>
        <v>175032.9</v>
      </c>
    </row>
    <row r="12" spans="2:24" x14ac:dyDescent="0.25">
      <c r="B12" s="58" t="s">
        <v>63</v>
      </c>
      <c r="C12" s="58" t="s">
        <v>71</v>
      </c>
      <c r="D12" s="58">
        <v>64</v>
      </c>
      <c r="E12" s="59">
        <v>400</v>
      </c>
      <c r="F12" s="144">
        <f t="shared" si="1"/>
        <v>25600</v>
      </c>
      <c r="H12" s="24" t="s">
        <v>41</v>
      </c>
      <c r="I12" s="25"/>
      <c r="J12" s="25"/>
      <c r="K12" s="25"/>
      <c r="L12" s="26"/>
      <c r="N12" s="58" t="s">
        <v>49</v>
      </c>
      <c r="O12" s="129">
        <v>160000</v>
      </c>
      <c r="P12" s="172">
        <f t="shared" si="0"/>
        <v>168000</v>
      </c>
      <c r="Q12" s="172">
        <f t="shared" si="0"/>
        <v>176400</v>
      </c>
      <c r="R12" s="172">
        <f t="shared" si="0"/>
        <v>185220</v>
      </c>
      <c r="S12" s="172">
        <f t="shared" si="0"/>
        <v>194481</v>
      </c>
    </row>
    <row r="13" spans="2:24" x14ac:dyDescent="0.25">
      <c r="B13" s="58" t="s">
        <v>64</v>
      </c>
      <c r="C13" s="47" t="s">
        <v>71</v>
      </c>
      <c r="D13" s="58">
        <v>15.6</v>
      </c>
      <c r="E13" s="59">
        <v>1044</v>
      </c>
      <c r="F13" s="144">
        <f t="shared" si="1"/>
        <v>16286.4</v>
      </c>
      <c r="H13" s="239" t="s">
        <v>12</v>
      </c>
      <c r="I13" s="239" t="s">
        <v>33</v>
      </c>
      <c r="J13" s="239" t="s">
        <v>86</v>
      </c>
      <c r="K13" s="239" t="s">
        <v>30</v>
      </c>
      <c r="L13" s="239" t="s">
        <v>143</v>
      </c>
      <c r="N13" s="58" t="s">
        <v>77</v>
      </c>
      <c r="O13" s="129">
        <v>564000</v>
      </c>
      <c r="P13" s="172">
        <f t="shared" si="0"/>
        <v>592200</v>
      </c>
      <c r="Q13" s="172">
        <f t="shared" si="0"/>
        <v>621810</v>
      </c>
      <c r="R13" s="172">
        <f t="shared" si="0"/>
        <v>652900.5</v>
      </c>
      <c r="S13" s="172">
        <f t="shared" si="0"/>
        <v>685545.52500000002</v>
      </c>
    </row>
    <row r="14" spans="2:24" x14ac:dyDescent="0.25">
      <c r="B14" s="58" t="s">
        <v>99</v>
      </c>
      <c r="C14" s="58" t="s">
        <v>71</v>
      </c>
      <c r="D14" s="58">
        <v>32</v>
      </c>
      <c r="E14" s="59">
        <v>3590</v>
      </c>
      <c r="F14" s="144">
        <f t="shared" si="1"/>
        <v>114880</v>
      </c>
      <c r="H14" s="240"/>
      <c r="I14" s="240"/>
      <c r="J14" s="240"/>
      <c r="K14" s="240"/>
      <c r="L14" s="240"/>
      <c r="N14" s="58" t="s">
        <v>97</v>
      </c>
      <c r="O14" s="129">
        <v>600000</v>
      </c>
      <c r="P14" s="172">
        <f t="shared" si="0"/>
        <v>630000</v>
      </c>
      <c r="Q14" s="172">
        <f t="shared" si="0"/>
        <v>661500</v>
      </c>
      <c r="R14" s="172">
        <f t="shared" si="0"/>
        <v>694575</v>
      </c>
      <c r="S14" s="172">
        <f t="shared" si="0"/>
        <v>729303.75</v>
      </c>
    </row>
    <row r="15" spans="2:24" x14ac:dyDescent="0.25">
      <c r="B15" s="58" t="s">
        <v>65</v>
      </c>
      <c r="C15" s="58" t="s">
        <v>94</v>
      </c>
      <c r="D15" s="58">
        <v>2.88</v>
      </c>
      <c r="E15" s="59">
        <v>1500</v>
      </c>
      <c r="F15" s="144">
        <f t="shared" si="1"/>
        <v>4320</v>
      </c>
      <c r="H15" s="58" t="s">
        <v>87</v>
      </c>
      <c r="I15" s="58">
        <v>64</v>
      </c>
      <c r="J15" s="58">
        <v>1</v>
      </c>
      <c r="K15" s="58">
        <v>1250</v>
      </c>
      <c r="L15" s="73">
        <f>K15*I15</f>
        <v>80000</v>
      </c>
      <c r="N15" s="58" t="s">
        <v>149</v>
      </c>
      <c r="O15" s="129">
        <f>'IMPUESTO DE PRIMERA CATEGORÍA'!C8</f>
        <v>801891.2646804601</v>
      </c>
      <c r="P15" s="172">
        <f t="shared" si="0"/>
        <v>841985.82791448315</v>
      </c>
      <c r="Q15" s="172">
        <f t="shared" si="0"/>
        <v>884085.11931020732</v>
      </c>
      <c r="R15" s="172">
        <f t="shared" si="0"/>
        <v>928289.3752757177</v>
      </c>
      <c r="S15" s="172">
        <f t="shared" si="0"/>
        <v>974703.8440395036</v>
      </c>
    </row>
    <row r="16" spans="2:24" x14ac:dyDescent="0.25">
      <c r="B16" s="58" t="s">
        <v>66</v>
      </c>
      <c r="C16" s="58" t="s">
        <v>71</v>
      </c>
      <c r="D16" s="58">
        <v>16</v>
      </c>
      <c r="E16" s="59">
        <v>850</v>
      </c>
      <c r="F16" s="144">
        <f t="shared" si="1"/>
        <v>13600</v>
      </c>
      <c r="H16" s="58" t="s">
        <v>111</v>
      </c>
      <c r="I16" s="58"/>
      <c r="J16" s="58"/>
      <c r="K16" s="58"/>
      <c r="L16" s="73">
        <v>45000</v>
      </c>
      <c r="N16" s="58" t="s">
        <v>150</v>
      </c>
      <c r="O16" s="129">
        <f>DEPRECIACIÓN!D71</f>
        <v>187872.22333333333</v>
      </c>
      <c r="P16" s="172">
        <f t="shared" si="0"/>
        <v>197265.8345</v>
      </c>
      <c r="Q16" s="172">
        <f t="shared" si="0"/>
        <v>207129.12622499999</v>
      </c>
      <c r="R16" s="172">
        <f t="shared" si="0"/>
        <v>217485.58253624997</v>
      </c>
      <c r="S16" s="172">
        <f t="shared" si="0"/>
        <v>228359.86166306247</v>
      </c>
    </row>
    <row r="17" spans="2:19" x14ac:dyDescent="0.25">
      <c r="B17" s="58" t="s">
        <v>67</v>
      </c>
      <c r="C17" s="58" t="s">
        <v>71</v>
      </c>
      <c r="D17" s="58">
        <v>20</v>
      </c>
      <c r="E17" s="59">
        <v>1800</v>
      </c>
      <c r="F17" s="144">
        <f t="shared" si="1"/>
        <v>36000</v>
      </c>
      <c r="H17" s="58" t="s">
        <v>97</v>
      </c>
      <c r="I17" s="58"/>
      <c r="J17" s="58"/>
      <c r="K17" s="58"/>
      <c r="L17" s="73">
        <v>50000</v>
      </c>
      <c r="N17" s="54" t="s">
        <v>145</v>
      </c>
      <c r="O17" s="130">
        <f>SUM(O6:O16)</f>
        <v>4765699.4880137937</v>
      </c>
      <c r="P17" s="130">
        <f>SUM(P6:P16)</f>
        <v>5003984.4624144826</v>
      </c>
      <c r="Q17" s="130">
        <f>SUM(Q6:Q16)</f>
        <v>5254183.6855352074</v>
      </c>
      <c r="R17" s="130">
        <f>SUM(R6:R16)</f>
        <v>5516892.8698119689</v>
      </c>
      <c r="S17" s="130">
        <f>SUM(S6:S16)</f>
        <v>5792737.5133025656</v>
      </c>
    </row>
    <row r="18" spans="2:19" ht="18" customHeight="1" x14ac:dyDescent="0.25">
      <c r="B18" s="58" t="s">
        <v>72</v>
      </c>
      <c r="C18" s="58" t="s">
        <v>70</v>
      </c>
      <c r="D18" s="58">
        <v>240</v>
      </c>
      <c r="E18" s="59">
        <v>5.9</v>
      </c>
      <c r="F18" s="144">
        <f t="shared" si="1"/>
        <v>1416</v>
      </c>
      <c r="H18" s="58" t="s">
        <v>154</v>
      </c>
      <c r="I18" s="60"/>
      <c r="J18" s="60"/>
      <c r="K18" s="60"/>
      <c r="L18" s="75">
        <v>7500</v>
      </c>
      <c r="N18" s="236" t="s">
        <v>146</v>
      </c>
      <c r="O18" s="237"/>
      <c r="P18" s="237"/>
      <c r="Q18" s="237"/>
      <c r="R18" s="237"/>
      <c r="S18" s="238"/>
    </row>
    <row r="19" spans="2:19" s="18" customFormat="1" x14ac:dyDescent="0.25">
      <c r="B19" s="58" t="s">
        <v>73</v>
      </c>
      <c r="C19" s="58" t="s">
        <v>70</v>
      </c>
      <c r="D19" s="58">
        <v>240</v>
      </c>
      <c r="E19" s="59">
        <v>12</v>
      </c>
      <c r="F19" s="144">
        <f t="shared" si="1"/>
        <v>2880</v>
      </c>
      <c r="H19" s="243" t="s">
        <v>56</v>
      </c>
      <c r="I19" s="244"/>
      <c r="J19" s="244"/>
      <c r="K19" s="262"/>
      <c r="L19" s="76">
        <f>SUM(L15:L18)</f>
        <v>182500</v>
      </c>
      <c r="N19" s="54" t="s">
        <v>156</v>
      </c>
      <c r="O19" s="130">
        <f>O22*' DEMANDA'!D17</f>
        <v>5672156.3724137926</v>
      </c>
      <c r="P19" s="130">
        <f>O22*' DEMANDA'!J17</f>
        <v>6125928.8822068963</v>
      </c>
      <c r="Q19" s="130">
        <f>O22*' DEMANDA'!O17</f>
        <v>6738521.7704275846</v>
      </c>
      <c r="R19" s="130">
        <f>O22*' DEMANDA'!U17</f>
        <v>7748897.4958620686</v>
      </c>
      <c r="S19" s="130">
        <f>O22*' DEMANDA'!AA17</f>
        <v>9299286.9043218382</v>
      </c>
    </row>
    <row r="20" spans="2:19" s="23" customFormat="1" x14ac:dyDescent="0.25">
      <c r="B20" s="58" t="s">
        <v>68</v>
      </c>
      <c r="C20" s="58" t="s">
        <v>71</v>
      </c>
      <c r="D20" s="58">
        <v>1.6</v>
      </c>
      <c r="E20" s="59">
        <v>170</v>
      </c>
      <c r="F20" s="144">
        <f t="shared" si="1"/>
        <v>272</v>
      </c>
      <c r="H20" s="264" t="s">
        <v>42</v>
      </c>
      <c r="I20" s="265"/>
      <c r="J20" s="265"/>
      <c r="K20" s="265"/>
      <c r="L20" s="266"/>
      <c r="N20" s="16" t="s">
        <v>144</v>
      </c>
      <c r="O20" s="121">
        <f>O17+O19</f>
        <v>10437855.860427586</v>
      </c>
      <c r="P20" s="121">
        <f>P17+P19</f>
        <v>11129913.344621379</v>
      </c>
      <c r="Q20" s="121">
        <f>Q17+Q19</f>
        <v>11992705.455962792</v>
      </c>
      <c r="R20" s="121">
        <f>R17+R19</f>
        <v>13265790.365674037</v>
      </c>
      <c r="S20" s="121">
        <f>S17+S19</f>
        <v>15092024.417624403</v>
      </c>
    </row>
    <row r="21" spans="2:19" s="18" customFormat="1" x14ac:dyDescent="0.25">
      <c r="B21" s="246" t="s">
        <v>132</v>
      </c>
      <c r="C21" s="246"/>
      <c r="D21" s="246"/>
      <c r="E21" s="246"/>
      <c r="F21" s="146">
        <f>SUM(F11:F20)</f>
        <v>232534.39999999999</v>
      </c>
      <c r="H21" s="10" t="s">
        <v>23</v>
      </c>
      <c r="I21" s="10" t="s">
        <v>16</v>
      </c>
      <c r="J21" s="10" t="s">
        <v>3</v>
      </c>
      <c r="K21" s="10" t="s">
        <v>24</v>
      </c>
      <c r="L21" s="10" t="s">
        <v>19</v>
      </c>
      <c r="P21" s="131"/>
      <c r="Q21" s="131"/>
      <c r="R21" s="131"/>
      <c r="S21" s="131"/>
    </row>
    <row r="22" spans="2:19" s="20" customFormat="1" x14ac:dyDescent="0.25">
      <c r="B22" s="247" t="s">
        <v>160</v>
      </c>
      <c r="C22" s="247"/>
      <c r="D22" s="247"/>
      <c r="E22" s="247"/>
      <c r="F22" s="247"/>
      <c r="H22" s="47"/>
      <c r="I22" s="47"/>
      <c r="J22" s="47"/>
      <c r="K22" s="47"/>
      <c r="L22" s="77"/>
      <c r="N22" s="135" t="s">
        <v>147</v>
      </c>
      <c r="O22" s="136">
        <f>O46/870</f>
        <v>609.90928735632178</v>
      </c>
      <c r="P22" s="23"/>
      <c r="Q22" s="23"/>
      <c r="R22" s="23"/>
      <c r="S22" s="23"/>
    </row>
    <row r="23" spans="2:19" s="20" customFormat="1" x14ac:dyDescent="0.25">
      <c r="B23" s="58" t="s">
        <v>68</v>
      </c>
      <c r="C23" s="58" t="s">
        <v>71</v>
      </c>
      <c r="D23" s="58">
        <v>0.27</v>
      </c>
      <c r="E23" s="59">
        <v>170</v>
      </c>
      <c r="F23" s="144">
        <f>E23*D23</f>
        <v>45.900000000000006</v>
      </c>
      <c r="H23" s="47"/>
      <c r="I23" s="47"/>
      <c r="J23" s="47"/>
      <c r="K23" s="47"/>
      <c r="L23" s="77"/>
      <c r="N23" s="263" t="s">
        <v>147</v>
      </c>
      <c r="O23" s="263"/>
      <c r="P23" s="23"/>
      <c r="Q23" s="23"/>
      <c r="R23" s="23"/>
      <c r="S23" s="23"/>
    </row>
    <row r="24" spans="2:19" s="23" customFormat="1" x14ac:dyDescent="0.25">
      <c r="B24" s="58" t="s">
        <v>137</v>
      </c>
      <c r="C24" s="58" t="s">
        <v>71</v>
      </c>
      <c r="D24" s="58">
        <v>0.5</v>
      </c>
      <c r="E24" s="59">
        <v>1657</v>
      </c>
      <c r="F24" s="144">
        <f t="shared" ref="F24:F31" si="2">E24*D24</f>
        <v>828.5</v>
      </c>
      <c r="H24" s="243" t="s">
        <v>57</v>
      </c>
      <c r="I24" s="244"/>
      <c r="J24" s="244"/>
      <c r="K24" s="244"/>
      <c r="L24" s="95"/>
      <c r="N24" s="58" t="s">
        <v>75</v>
      </c>
      <c r="O24" s="129">
        <f>F11</f>
        <v>17280</v>
      </c>
    </row>
    <row r="25" spans="2:19" s="20" customFormat="1" x14ac:dyDescent="0.25">
      <c r="B25" s="58" t="s">
        <v>106</v>
      </c>
      <c r="C25" s="58" t="s">
        <v>94</v>
      </c>
      <c r="D25" s="58">
        <v>0.36</v>
      </c>
      <c r="E25" s="59">
        <v>798</v>
      </c>
      <c r="F25" s="144">
        <f t="shared" si="2"/>
        <v>287.27999999999997</v>
      </c>
      <c r="H25" s="267" t="s">
        <v>44</v>
      </c>
      <c r="I25" s="268"/>
      <c r="J25" s="268"/>
      <c r="K25" s="269"/>
      <c r="L25" s="78">
        <f>L24+L19+L11</f>
        <v>203828</v>
      </c>
      <c r="N25" s="58" t="s">
        <v>63</v>
      </c>
      <c r="O25" s="129">
        <f>F26+F12</f>
        <v>26410</v>
      </c>
      <c r="P25" s="23"/>
      <c r="Q25" s="23"/>
      <c r="R25" s="23"/>
      <c r="S25" s="23"/>
    </row>
    <row r="26" spans="2:19" s="20" customFormat="1" x14ac:dyDescent="0.25">
      <c r="B26" s="58" t="s">
        <v>63</v>
      </c>
      <c r="C26" s="58" t="s">
        <v>71</v>
      </c>
      <c r="D26" s="58">
        <v>3</v>
      </c>
      <c r="E26" s="59">
        <v>270</v>
      </c>
      <c r="F26" s="144">
        <f t="shared" si="2"/>
        <v>810</v>
      </c>
      <c r="H26" s="270" t="s">
        <v>95</v>
      </c>
      <c r="I26" s="271"/>
      <c r="J26" s="271"/>
      <c r="K26" s="272"/>
      <c r="L26" s="79">
        <f>L25+E59</f>
        <v>915938.43194444443</v>
      </c>
      <c r="N26" s="58" t="s">
        <v>64</v>
      </c>
      <c r="O26" s="129">
        <f t="shared" ref="O26:O32" si="3">F13</f>
        <v>16286.4</v>
      </c>
      <c r="P26" s="23"/>
      <c r="Q26" s="23"/>
      <c r="R26" s="23"/>
      <c r="S26" s="23"/>
    </row>
    <row r="27" spans="2:19" s="20" customFormat="1" x14ac:dyDescent="0.25">
      <c r="B27" s="58" t="s">
        <v>101</v>
      </c>
      <c r="C27" s="58" t="s">
        <v>71</v>
      </c>
      <c r="D27" s="58">
        <v>2.5</v>
      </c>
      <c r="E27" s="59">
        <v>900</v>
      </c>
      <c r="F27" s="144">
        <f t="shared" si="2"/>
        <v>2250</v>
      </c>
      <c r="H27" s="23"/>
      <c r="I27" s="23"/>
      <c r="J27" s="23"/>
      <c r="K27" s="23"/>
      <c r="L27" s="23"/>
      <c r="N27" s="58" t="s">
        <v>99</v>
      </c>
      <c r="O27" s="129">
        <f t="shared" si="3"/>
        <v>114880</v>
      </c>
      <c r="P27" s="23"/>
      <c r="Q27" s="23"/>
      <c r="R27" s="23"/>
      <c r="S27" s="23"/>
    </row>
    <row r="28" spans="2:19" s="20" customFormat="1" x14ac:dyDescent="0.25">
      <c r="B28" s="58" t="s">
        <v>102</v>
      </c>
      <c r="C28" s="58" t="s">
        <v>71</v>
      </c>
      <c r="D28" s="58">
        <v>0.4</v>
      </c>
      <c r="E28" s="59">
        <v>2500</v>
      </c>
      <c r="F28" s="144">
        <f t="shared" si="2"/>
        <v>1000</v>
      </c>
      <c r="H28" s="28" t="s">
        <v>96</v>
      </c>
      <c r="I28" s="80">
        <f>L26/870</f>
        <v>1052.8027953384419</v>
      </c>
      <c r="L28" s="23"/>
      <c r="N28" s="58" t="s">
        <v>148</v>
      </c>
      <c r="O28" s="129">
        <f t="shared" si="3"/>
        <v>4320</v>
      </c>
      <c r="P28" s="23"/>
      <c r="Q28" s="23"/>
      <c r="R28" s="23"/>
      <c r="S28" s="23"/>
    </row>
    <row r="29" spans="2:19" s="20" customFormat="1" x14ac:dyDescent="0.25">
      <c r="B29" s="58" t="s">
        <v>103</v>
      </c>
      <c r="C29" s="58" t="s">
        <v>136</v>
      </c>
      <c r="D29" s="58">
        <v>3</v>
      </c>
      <c r="E29" s="59">
        <v>300</v>
      </c>
      <c r="F29" s="144">
        <f t="shared" si="2"/>
        <v>900</v>
      </c>
      <c r="H29" s="61" t="s">
        <v>100</v>
      </c>
      <c r="I29" s="64">
        <v>0.42476999999999998</v>
      </c>
      <c r="J29" s="23"/>
      <c r="K29" s="23"/>
      <c r="L29" s="23"/>
      <c r="N29" s="58" t="s">
        <v>66</v>
      </c>
      <c r="O29" s="129">
        <f t="shared" si="3"/>
        <v>13600</v>
      </c>
      <c r="P29" s="23"/>
      <c r="Q29" s="23"/>
      <c r="R29" s="23"/>
      <c r="S29" s="23"/>
    </row>
    <row r="30" spans="2:19" s="20" customFormat="1" x14ac:dyDescent="0.25">
      <c r="B30" s="58" t="s">
        <v>138</v>
      </c>
      <c r="C30" s="58" t="s">
        <v>94</v>
      </c>
      <c r="D30" s="58">
        <v>0.25</v>
      </c>
      <c r="E30" s="59">
        <v>6000</v>
      </c>
      <c r="F30" s="144">
        <f t="shared" si="2"/>
        <v>1500</v>
      </c>
      <c r="H30" s="63" t="s">
        <v>141</v>
      </c>
      <c r="I30" s="81">
        <f>I28*I29</f>
        <v>447.19904337590992</v>
      </c>
      <c r="J30" s="23"/>
      <c r="K30" s="23"/>
      <c r="L30" s="23"/>
      <c r="N30" s="58" t="s">
        <v>67</v>
      </c>
      <c r="O30" s="129">
        <f t="shared" si="3"/>
        <v>36000</v>
      </c>
      <c r="P30" s="23"/>
      <c r="Q30" s="23"/>
      <c r="R30" s="23"/>
      <c r="S30" s="23"/>
    </row>
    <row r="31" spans="2:19" s="23" customFormat="1" x14ac:dyDescent="0.25">
      <c r="B31" s="60" t="s">
        <v>105</v>
      </c>
      <c r="C31" s="60" t="s">
        <v>71</v>
      </c>
      <c r="D31" s="60">
        <v>0.25</v>
      </c>
      <c r="E31" s="60">
        <v>1000</v>
      </c>
      <c r="F31" s="144">
        <f t="shared" si="2"/>
        <v>250</v>
      </c>
      <c r="H31" s="62" t="s">
        <v>140</v>
      </c>
      <c r="I31" s="109">
        <f>I30+I28</f>
        <v>1500.0018387143518</v>
      </c>
      <c r="N31" s="58" t="s">
        <v>72</v>
      </c>
      <c r="O31" s="129">
        <f t="shared" si="3"/>
        <v>1416</v>
      </c>
    </row>
    <row r="32" spans="2:19" x14ac:dyDescent="0.25">
      <c r="B32" s="246" t="s">
        <v>133</v>
      </c>
      <c r="C32" s="246"/>
      <c r="D32" s="246"/>
      <c r="E32" s="246"/>
      <c r="F32" s="146">
        <f>SUM(F23:F31)</f>
        <v>7871.68</v>
      </c>
      <c r="H32" s="23"/>
      <c r="I32" s="23"/>
      <c r="J32" s="23"/>
      <c r="K32" s="23"/>
      <c r="L32" s="23"/>
      <c r="N32" s="58" t="s">
        <v>73</v>
      </c>
      <c r="O32" s="129">
        <f t="shared" si="3"/>
        <v>2880</v>
      </c>
      <c r="P32" s="23"/>
      <c r="Q32" s="23"/>
      <c r="R32" s="23"/>
      <c r="S32" s="23"/>
    </row>
    <row r="33" spans="2:24" ht="16.5" customHeight="1" x14ac:dyDescent="0.25">
      <c r="B33" s="273" t="s">
        <v>53</v>
      </c>
      <c r="C33" s="273"/>
      <c r="D33" s="273"/>
      <c r="E33" s="273"/>
      <c r="F33" s="74">
        <f>F32+F21</f>
        <v>240406.08</v>
      </c>
      <c r="H33" s="93"/>
      <c r="I33" s="93"/>
      <c r="J33" s="93"/>
      <c r="K33" s="93"/>
      <c r="L33" s="93"/>
      <c r="N33" s="58" t="s">
        <v>68</v>
      </c>
      <c r="O33" s="129">
        <f>F20+F23</f>
        <v>317.89999999999998</v>
      </c>
      <c r="P33" s="23"/>
      <c r="Q33" s="23"/>
      <c r="R33" s="23"/>
      <c r="S33" s="23"/>
    </row>
    <row r="34" spans="2:24" x14ac:dyDescent="0.25">
      <c r="B34" s="253" t="s">
        <v>26</v>
      </c>
      <c r="C34" s="253"/>
      <c r="D34" s="253"/>
      <c r="E34" s="253"/>
      <c r="F34" s="253"/>
      <c r="H34" s="171"/>
      <c r="I34" s="171"/>
      <c r="J34" s="171"/>
      <c r="K34" s="171"/>
      <c r="L34" s="171"/>
      <c r="N34" s="58" t="s">
        <v>137</v>
      </c>
      <c r="O34" s="129">
        <f>F24</f>
        <v>828.5</v>
      </c>
      <c r="P34" s="23"/>
      <c r="Q34" s="23"/>
      <c r="R34" s="23"/>
      <c r="S34" s="23"/>
      <c r="T34" s="224"/>
      <c r="U34" s="224"/>
      <c r="V34" s="224"/>
      <c r="W34" s="224"/>
      <c r="X34" s="224"/>
    </row>
    <row r="35" spans="2:24" x14ac:dyDescent="0.25">
      <c r="B35" s="242" t="s">
        <v>12</v>
      </c>
      <c r="C35" s="242" t="s">
        <v>33</v>
      </c>
      <c r="D35" s="242" t="s">
        <v>31</v>
      </c>
      <c r="E35" s="242" t="s">
        <v>30</v>
      </c>
      <c r="F35" s="242" t="s">
        <v>88</v>
      </c>
      <c r="H35" s="171"/>
      <c r="I35" s="171"/>
      <c r="J35" s="171"/>
      <c r="K35" s="171"/>
      <c r="L35" s="171"/>
      <c r="N35" s="58" t="s">
        <v>106</v>
      </c>
      <c r="O35" s="129">
        <f>F25</f>
        <v>287.27999999999997</v>
      </c>
      <c r="P35" s="23"/>
      <c r="Q35" s="23"/>
      <c r="R35" s="23"/>
      <c r="S35" s="23"/>
      <c r="T35" s="224"/>
      <c r="U35" s="224"/>
      <c r="V35" s="224"/>
      <c r="W35" s="224"/>
      <c r="X35" s="224"/>
    </row>
    <row r="36" spans="2:24" x14ac:dyDescent="0.25">
      <c r="B36" s="242"/>
      <c r="C36" s="242"/>
      <c r="D36" s="242"/>
      <c r="E36" s="242"/>
      <c r="F36" s="242"/>
      <c r="H36" s="30"/>
      <c r="I36" s="30"/>
      <c r="J36" s="23"/>
      <c r="K36" s="23"/>
      <c r="L36" s="23"/>
      <c r="N36" s="58" t="s">
        <v>101</v>
      </c>
      <c r="O36" s="129">
        <f>F27</f>
        <v>2250</v>
      </c>
      <c r="P36" s="23"/>
      <c r="Q36" s="23"/>
      <c r="R36" s="23"/>
      <c r="S36" s="23"/>
      <c r="T36" s="224"/>
      <c r="U36" s="224"/>
      <c r="V36" s="224"/>
      <c r="W36" s="224"/>
      <c r="X36" s="224"/>
    </row>
    <row r="37" spans="2:24" x14ac:dyDescent="0.25">
      <c r="B37" s="58" t="s">
        <v>109</v>
      </c>
      <c r="C37" s="58">
        <v>64</v>
      </c>
      <c r="D37" s="58">
        <v>2</v>
      </c>
      <c r="E37" s="58">
        <v>1875</v>
      </c>
      <c r="F37" s="144">
        <f>C37*D37*E37</f>
        <v>240000</v>
      </c>
      <c r="H37" s="30"/>
      <c r="I37" s="30"/>
      <c r="J37" s="23"/>
      <c r="K37" s="23"/>
      <c r="L37" s="23"/>
      <c r="N37" s="58" t="s">
        <v>102</v>
      </c>
      <c r="O37" s="129">
        <f>F28</f>
        <v>1000</v>
      </c>
    </row>
    <row r="38" spans="2:24" s="19" customFormat="1" x14ac:dyDescent="0.25">
      <c r="B38" s="245" t="s">
        <v>51</v>
      </c>
      <c r="C38" s="245"/>
      <c r="D38" s="245"/>
      <c r="E38" s="245"/>
      <c r="F38" s="145">
        <f>SUM(F37)</f>
        <v>240000</v>
      </c>
      <c r="H38" s="30"/>
      <c r="I38" s="30"/>
      <c r="J38" s="23"/>
      <c r="K38" s="23"/>
      <c r="L38" s="23"/>
      <c r="N38" s="58" t="s">
        <v>103</v>
      </c>
      <c r="O38" s="129">
        <f>F29</f>
        <v>900</v>
      </c>
    </row>
    <row r="39" spans="2:24" s="19" customFormat="1" x14ac:dyDescent="0.25">
      <c r="B39" s="274" t="s">
        <v>27</v>
      </c>
      <c r="C39" s="274"/>
      <c r="D39" s="274"/>
      <c r="E39" s="274"/>
      <c r="F39" s="274"/>
      <c r="H39" s="30"/>
      <c r="I39" s="30"/>
      <c r="J39" s="23"/>
      <c r="K39" s="23"/>
      <c r="L39" s="23"/>
      <c r="N39" s="58" t="s">
        <v>138</v>
      </c>
      <c r="O39" s="129">
        <f>F30</f>
        <v>1500</v>
      </c>
    </row>
    <row r="40" spans="2:24" s="19" customFormat="1" x14ac:dyDescent="0.25">
      <c r="B40" s="251" t="s">
        <v>28</v>
      </c>
      <c r="C40" s="251"/>
      <c r="D40" s="251"/>
      <c r="E40" s="251"/>
      <c r="F40" s="251"/>
      <c r="J40" s="23"/>
      <c r="K40" s="23"/>
      <c r="L40" s="23"/>
      <c r="N40" s="60" t="s">
        <v>105</v>
      </c>
      <c r="O40" s="129">
        <f>F31</f>
        <v>250</v>
      </c>
    </row>
    <row r="41" spans="2:24" x14ac:dyDescent="0.25">
      <c r="B41" s="10" t="s">
        <v>23</v>
      </c>
      <c r="C41" s="10" t="s">
        <v>16</v>
      </c>
      <c r="D41" s="10" t="s">
        <v>3</v>
      </c>
      <c r="E41" s="10" t="s">
        <v>24</v>
      </c>
      <c r="F41" s="10" t="s">
        <v>19</v>
      </c>
      <c r="J41" s="23"/>
      <c r="K41" s="23"/>
      <c r="L41" s="23"/>
      <c r="N41" s="47" t="s">
        <v>104</v>
      </c>
      <c r="O41" s="129">
        <f>F42</f>
        <v>5475</v>
      </c>
    </row>
    <row r="42" spans="2:24" s="20" customFormat="1" x14ac:dyDescent="0.25">
      <c r="B42" s="47" t="s">
        <v>104</v>
      </c>
      <c r="C42" s="60" t="s">
        <v>139</v>
      </c>
      <c r="D42" s="60">
        <v>150</v>
      </c>
      <c r="E42" s="60">
        <v>36.5</v>
      </c>
      <c r="F42" s="129">
        <f>E42*D42</f>
        <v>5475</v>
      </c>
      <c r="J42" s="23"/>
      <c r="K42" s="23"/>
      <c r="L42" s="23"/>
      <c r="N42" s="47" t="s">
        <v>79</v>
      </c>
      <c r="O42" s="129">
        <f>F43</f>
        <v>15000</v>
      </c>
    </row>
    <row r="43" spans="2:24" x14ac:dyDescent="0.25">
      <c r="B43" s="47" t="s">
        <v>79</v>
      </c>
      <c r="C43" s="47" t="s">
        <v>80</v>
      </c>
      <c r="D43" s="58">
        <v>150</v>
      </c>
      <c r="E43" s="58">
        <v>100</v>
      </c>
      <c r="F43" s="129">
        <f>E43*D43</f>
        <v>15000</v>
      </c>
      <c r="J43" s="23"/>
      <c r="K43" s="23"/>
      <c r="L43" s="23"/>
      <c r="N43" s="58" t="s">
        <v>69</v>
      </c>
      <c r="O43" s="129">
        <f>F44</f>
        <v>22240</v>
      </c>
    </row>
    <row r="44" spans="2:24" x14ac:dyDescent="0.25">
      <c r="B44" s="58" t="s">
        <v>69</v>
      </c>
      <c r="C44" s="58" t="s">
        <v>74</v>
      </c>
      <c r="D44" s="58">
        <v>16</v>
      </c>
      <c r="E44" s="58">
        <v>1390</v>
      </c>
      <c r="F44" s="129">
        <f>E44*D44</f>
        <v>22240</v>
      </c>
      <c r="J44" s="23"/>
      <c r="K44" s="23"/>
      <c r="L44" s="23"/>
      <c r="N44" s="47" t="s">
        <v>109</v>
      </c>
      <c r="O44" s="129">
        <f>F37</f>
        <v>240000</v>
      </c>
      <c r="T44" s="224"/>
      <c r="U44" s="224"/>
      <c r="V44" s="224"/>
      <c r="W44" s="224"/>
      <c r="X44" s="224"/>
    </row>
    <row r="45" spans="2:24" x14ac:dyDescent="0.25">
      <c r="B45" s="241" t="s">
        <v>52</v>
      </c>
      <c r="C45" s="241"/>
      <c r="D45" s="241"/>
      <c r="E45" s="241"/>
      <c r="F45" s="143">
        <f>SUM(F42:F44)</f>
        <v>42715</v>
      </c>
      <c r="J45" s="23"/>
      <c r="K45" s="23"/>
      <c r="L45" s="23"/>
      <c r="N45" s="47" t="s">
        <v>155</v>
      </c>
      <c r="O45" s="129">
        <v>7500</v>
      </c>
      <c r="T45" s="224"/>
      <c r="U45" s="224"/>
      <c r="V45" s="224"/>
      <c r="W45" s="224"/>
      <c r="X45" s="224"/>
    </row>
    <row r="46" spans="2:24" x14ac:dyDescent="0.25">
      <c r="B46" s="251" t="s">
        <v>29</v>
      </c>
      <c r="C46" s="251"/>
      <c r="D46" s="251"/>
      <c r="E46" s="251"/>
      <c r="F46" s="251"/>
      <c r="J46" s="23"/>
      <c r="K46" s="23"/>
      <c r="L46" s="23"/>
      <c r="N46" s="87" t="s">
        <v>151</v>
      </c>
      <c r="O46" s="132">
        <f>SUM(O24:O45)</f>
        <v>530621.07999999996</v>
      </c>
    </row>
    <row r="47" spans="2:24" s="20" customFormat="1" x14ac:dyDescent="0.25">
      <c r="B47" s="22" t="s">
        <v>12</v>
      </c>
      <c r="C47" s="22" t="s">
        <v>33</v>
      </c>
      <c r="D47" s="22" t="s">
        <v>31</v>
      </c>
      <c r="E47" s="22" t="s">
        <v>30</v>
      </c>
      <c r="F47" s="22" t="s">
        <v>32</v>
      </c>
      <c r="J47" s="23"/>
      <c r="K47" s="23"/>
      <c r="L47" s="23"/>
    </row>
    <row r="48" spans="2:24" x14ac:dyDescent="0.25">
      <c r="B48" s="241" t="s">
        <v>54</v>
      </c>
      <c r="C48" s="241"/>
      <c r="D48" s="241"/>
      <c r="E48" s="241"/>
      <c r="F48" s="143">
        <v>0</v>
      </c>
      <c r="J48" s="23"/>
      <c r="K48" s="23"/>
      <c r="L48" s="23"/>
    </row>
    <row r="49" spans="2:17" x14ac:dyDescent="0.25">
      <c r="B49" s="249" t="s">
        <v>27</v>
      </c>
      <c r="C49" s="249"/>
      <c r="D49" s="249"/>
      <c r="E49" s="249"/>
      <c r="F49" s="249"/>
      <c r="J49" s="23"/>
      <c r="K49" s="23"/>
      <c r="L49" s="23"/>
    </row>
    <row r="50" spans="2:17" x14ac:dyDescent="0.25">
      <c r="B50" s="22" t="s">
        <v>58</v>
      </c>
      <c r="C50" s="242" t="s">
        <v>93</v>
      </c>
      <c r="D50" s="242"/>
      <c r="E50" s="242" t="s">
        <v>211</v>
      </c>
      <c r="F50" s="242"/>
      <c r="J50" s="23"/>
      <c r="K50" s="23"/>
      <c r="L50" s="23"/>
    </row>
    <row r="51" spans="2:17" x14ac:dyDescent="0.25">
      <c r="B51" s="58" t="s">
        <v>48</v>
      </c>
      <c r="C51" s="233">
        <v>45000</v>
      </c>
      <c r="D51" s="233"/>
      <c r="E51" s="233">
        <f>C51/30*8</f>
        <v>12000</v>
      </c>
      <c r="F51" s="233"/>
      <c r="H51" s="30"/>
      <c r="I51" s="30"/>
      <c r="J51" s="30"/>
      <c r="K51" s="23"/>
      <c r="L51" s="23"/>
    </row>
    <row r="52" spans="2:17" x14ac:dyDescent="0.25">
      <c r="B52" s="58" t="s">
        <v>49</v>
      </c>
      <c r="C52" s="233">
        <v>50000</v>
      </c>
      <c r="D52" s="233"/>
      <c r="E52" s="233">
        <f>C52/30*8</f>
        <v>13333.333333333334</v>
      </c>
      <c r="F52" s="233"/>
      <c r="H52" s="30"/>
      <c r="I52" s="30"/>
      <c r="J52" s="30"/>
      <c r="K52" s="23"/>
      <c r="L52" s="23"/>
    </row>
    <row r="53" spans="2:17" x14ac:dyDescent="0.25">
      <c r="B53" s="58" t="s">
        <v>77</v>
      </c>
      <c r="C53" s="233"/>
      <c r="D53" s="233"/>
      <c r="E53" s="233">
        <v>47000</v>
      </c>
      <c r="F53" s="233"/>
      <c r="H53" s="30"/>
      <c r="I53" s="30"/>
      <c r="J53" s="30"/>
      <c r="K53" s="23"/>
      <c r="L53" s="23"/>
    </row>
    <row r="54" spans="2:17" s="18" customFormat="1" x14ac:dyDescent="0.25">
      <c r="B54" s="58" t="s">
        <v>112</v>
      </c>
      <c r="C54" s="233"/>
      <c r="D54" s="233"/>
      <c r="E54" s="233">
        <v>26000</v>
      </c>
      <c r="F54" s="233"/>
      <c r="H54" s="30"/>
      <c r="I54" s="30"/>
      <c r="J54" s="30"/>
      <c r="K54" s="23"/>
      <c r="L54" s="23"/>
    </row>
    <row r="55" spans="2:17" s="23" customFormat="1" x14ac:dyDescent="0.25">
      <c r="B55" s="73" t="s">
        <v>149</v>
      </c>
      <c r="C55" s="233"/>
      <c r="D55" s="233"/>
      <c r="E55" s="233">
        <v>55000</v>
      </c>
      <c r="F55" s="233"/>
      <c r="H55" s="224"/>
      <c r="I55" s="224"/>
      <c r="J55" s="30"/>
    </row>
    <row r="56" spans="2:17" s="23" customFormat="1" x14ac:dyDescent="0.25">
      <c r="B56" s="73" t="s">
        <v>159</v>
      </c>
      <c r="C56" s="233"/>
      <c r="D56" s="233"/>
      <c r="E56" s="233">
        <f>DEPRECIACIÓN!E72</f>
        <v>15656.018611111111</v>
      </c>
      <c r="F56" s="233"/>
    </row>
    <row r="57" spans="2:17" s="18" customFormat="1" x14ac:dyDescent="0.25">
      <c r="B57" s="58" t="s">
        <v>152</v>
      </c>
      <c r="C57" s="233"/>
      <c r="D57" s="233"/>
      <c r="E57" s="233">
        <v>20000</v>
      </c>
      <c r="F57" s="233"/>
      <c r="J57" s="23"/>
      <c r="K57" s="23"/>
      <c r="L57" s="23"/>
    </row>
    <row r="58" spans="2:17" x14ac:dyDescent="0.25">
      <c r="B58" s="241" t="s">
        <v>54</v>
      </c>
      <c r="C58" s="241"/>
      <c r="D58" s="241"/>
      <c r="E58" s="250">
        <f>SUM(E51:F57)</f>
        <v>188989.35194444447</v>
      </c>
      <c r="F58" s="250"/>
      <c r="J58" s="23"/>
      <c r="K58" s="23"/>
      <c r="L58" s="23"/>
    </row>
    <row r="59" spans="2:17" x14ac:dyDescent="0.25">
      <c r="B59" s="94" t="s">
        <v>34</v>
      </c>
      <c r="C59" s="94"/>
      <c r="D59" s="94"/>
      <c r="E59" s="248">
        <f>E58+F48+F45+F38+F33</f>
        <v>712110.43194444443</v>
      </c>
      <c r="F59" s="248"/>
    </row>
    <row r="62" spans="2:17" x14ac:dyDescent="0.25">
      <c r="N62" s="224"/>
      <c r="O62" s="224"/>
      <c r="P62" s="224"/>
      <c r="Q62" s="224"/>
    </row>
    <row r="63" spans="2:17" s="20" customFormat="1" x14ac:dyDescent="0.25"/>
  </sheetData>
  <mergeCells count="81">
    <mergeCell ref="H11:K11"/>
    <mergeCell ref="H19:K19"/>
    <mergeCell ref="E57:F57"/>
    <mergeCell ref="N23:O23"/>
    <mergeCell ref="E55:F55"/>
    <mergeCell ref="F35:F36"/>
    <mergeCell ref="B34:F34"/>
    <mergeCell ref="H20:L20"/>
    <mergeCell ref="B35:B36"/>
    <mergeCell ref="C35:C36"/>
    <mergeCell ref="H25:K25"/>
    <mergeCell ref="H26:K26"/>
    <mergeCell ref="B33:E33"/>
    <mergeCell ref="B39:F39"/>
    <mergeCell ref="B40:F40"/>
    <mergeCell ref="B2:L2"/>
    <mergeCell ref="H6:L6"/>
    <mergeCell ref="H7:L7"/>
    <mergeCell ref="B3:B4"/>
    <mergeCell ref="C3:D4"/>
    <mergeCell ref="E3:E4"/>
    <mergeCell ref="I3:I4"/>
    <mergeCell ref="B6:F6"/>
    <mergeCell ref="B7:F7"/>
    <mergeCell ref="B8:F8"/>
    <mergeCell ref="C5:D5"/>
    <mergeCell ref="F3:H4"/>
    <mergeCell ref="F5:H5"/>
    <mergeCell ref="H8:L8"/>
    <mergeCell ref="J3:K4"/>
    <mergeCell ref="J5:K5"/>
    <mergeCell ref="T44:X44"/>
    <mergeCell ref="T45:X45"/>
    <mergeCell ref="T34:X34"/>
    <mergeCell ref="T35:T36"/>
    <mergeCell ref="U35:U36"/>
    <mergeCell ref="V35:V36"/>
    <mergeCell ref="N5:S5"/>
    <mergeCell ref="W35:W36"/>
    <mergeCell ref="T6:X6"/>
    <mergeCell ref="T7:X7"/>
    <mergeCell ref="T8:X8"/>
    <mergeCell ref="X35:X36"/>
    <mergeCell ref="N62:Q62"/>
    <mergeCell ref="B45:E45"/>
    <mergeCell ref="E50:F50"/>
    <mergeCell ref="E51:F51"/>
    <mergeCell ref="E52:F52"/>
    <mergeCell ref="E53:F53"/>
    <mergeCell ref="C57:D57"/>
    <mergeCell ref="C55:D55"/>
    <mergeCell ref="C56:D56"/>
    <mergeCell ref="E59:F59"/>
    <mergeCell ref="B49:F49"/>
    <mergeCell ref="E54:F54"/>
    <mergeCell ref="E56:F56"/>
    <mergeCell ref="E58:F58"/>
    <mergeCell ref="B58:D58"/>
    <mergeCell ref="B46:F46"/>
    <mergeCell ref="E35:E36"/>
    <mergeCell ref="H24:K24"/>
    <mergeCell ref="B38:E38"/>
    <mergeCell ref="B21:E21"/>
    <mergeCell ref="B32:E32"/>
    <mergeCell ref="B22:F22"/>
    <mergeCell ref="C54:D54"/>
    <mergeCell ref="B10:F10"/>
    <mergeCell ref="H55:I55"/>
    <mergeCell ref="N2:S3"/>
    <mergeCell ref="N18:S18"/>
    <mergeCell ref="H13:H14"/>
    <mergeCell ref="I13:I14"/>
    <mergeCell ref="J13:J14"/>
    <mergeCell ref="K13:K14"/>
    <mergeCell ref="L13:L14"/>
    <mergeCell ref="B48:E48"/>
    <mergeCell ref="C50:D50"/>
    <mergeCell ref="C51:D51"/>
    <mergeCell ref="C52:D52"/>
    <mergeCell ref="C53:D53"/>
    <mergeCell ref="D35:D3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F17" sqref="F17"/>
    </sheetView>
  </sheetViews>
  <sheetFormatPr baseColWidth="10" defaultRowHeight="15" x14ac:dyDescent="0.25"/>
  <cols>
    <col min="1" max="1" width="8" bestFit="1" customWidth="1"/>
    <col min="2" max="2" width="36.42578125" bestFit="1" customWidth="1"/>
    <col min="3" max="3" width="23.85546875" bestFit="1" customWidth="1"/>
    <col min="4" max="4" width="13.7109375" bestFit="1" customWidth="1"/>
    <col min="5" max="5" width="24" bestFit="1" customWidth="1"/>
    <col min="6" max="6" width="31.140625" bestFit="1" customWidth="1"/>
    <col min="7" max="7" width="22.7109375" bestFit="1" customWidth="1"/>
    <col min="8" max="8" width="32.7109375" bestFit="1" customWidth="1"/>
    <col min="9" max="9" width="12.7109375" bestFit="1" customWidth="1"/>
  </cols>
  <sheetData>
    <row r="1" spans="1:8" x14ac:dyDescent="0.25">
      <c r="C1" s="152" t="s">
        <v>223</v>
      </c>
      <c r="D1" s="152" t="s">
        <v>224</v>
      </c>
      <c r="E1" s="152" t="s">
        <v>225</v>
      </c>
      <c r="F1" s="152" t="s">
        <v>226</v>
      </c>
      <c r="G1" s="152" t="s">
        <v>227</v>
      </c>
    </row>
    <row r="2" spans="1:8" x14ac:dyDescent="0.25">
      <c r="B2" s="28" t="s">
        <v>222</v>
      </c>
      <c r="C2" s="55">
        <f>' DEMANDA'!C5</f>
        <v>1500</v>
      </c>
      <c r="D2" s="55">
        <f>' DEMANDA'!H5</f>
        <v>1475</v>
      </c>
      <c r="E2" s="55">
        <f>' DEMANDA'!N5</f>
        <v>1450</v>
      </c>
      <c r="F2" s="55">
        <f>' DEMANDA'!S5</f>
        <v>1425</v>
      </c>
      <c r="G2" s="55">
        <f>' DEMANDA'!Y5</f>
        <v>1400</v>
      </c>
    </row>
    <row r="3" spans="1:8" x14ac:dyDescent="0.25">
      <c r="B3" s="28" t="s">
        <v>216</v>
      </c>
      <c r="C3" s="55">
        <f>' DEMANDA'!D17</f>
        <v>9300</v>
      </c>
      <c r="D3" s="55">
        <f>' DEMANDA'!J17</f>
        <v>10044</v>
      </c>
      <c r="E3" s="153">
        <f>' DEMANDA'!O17</f>
        <v>11048.399999999998</v>
      </c>
      <c r="F3" s="55">
        <f>' DEMANDA'!U17</f>
        <v>12705</v>
      </c>
      <c r="G3" s="55">
        <f>' DEMANDA'!AA17</f>
        <v>15247</v>
      </c>
    </row>
    <row r="4" spans="1:8" x14ac:dyDescent="0.25">
      <c r="B4" s="28" t="s">
        <v>59</v>
      </c>
      <c r="C4" s="57">
        <f>C2*C3</f>
        <v>13950000</v>
      </c>
      <c r="D4" s="57">
        <f>D2*D3</f>
        <v>14814900</v>
      </c>
      <c r="E4" s="57">
        <f>E2*E3</f>
        <v>16020179.999999996</v>
      </c>
      <c r="F4" s="57">
        <f>F2*F3</f>
        <v>18104625</v>
      </c>
      <c r="G4" s="57">
        <f>G2*G3</f>
        <v>21345800</v>
      </c>
      <c r="H4" s="47" t="s">
        <v>260</v>
      </c>
    </row>
    <row r="5" spans="1:8" x14ac:dyDescent="0.25">
      <c r="B5" s="28" t="s">
        <v>217</v>
      </c>
      <c r="C5" s="57">
        <v>4268387.3041839078</v>
      </c>
      <c r="D5" s="57">
        <v>4481806.6693931036</v>
      </c>
      <c r="E5" s="57">
        <v>4705897.0028627589</v>
      </c>
      <c r="F5" s="57">
        <v>4941191.8530058973</v>
      </c>
      <c r="G5" s="57">
        <v>5188251.4456561906</v>
      </c>
      <c r="H5" s="158">
        <f>SUM(C5:G5)</f>
        <v>23585534.275101859</v>
      </c>
    </row>
    <row r="6" spans="1:8" x14ac:dyDescent="0.25">
      <c r="B6" s="28" t="s">
        <v>218</v>
      </c>
      <c r="C6" s="57">
        <v>5672156.3724137926</v>
      </c>
      <c r="D6" s="57">
        <v>5956374.1003218386</v>
      </c>
      <c r="E6" s="57">
        <v>6552011.5103540216</v>
      </c>
      <c r="F6" s="57">
        <v>7534819.3359999992</v>
      </c>
      <c r="G6" s="57">
        <v>9042515.0943448264</v>
      </c>
      <c r="H6" s="47" t="s">
        <v>261</v>
      </c>
    </row>
    <row r="7" spans="1:8" x14ac:dyDescent="0.25">
      <c r="B7" s="28" t="s">
        <v>147</v>
      </c>
      <c r="C7" s="57">
        <f>'COSTOS DE PRODUCCIÓN '!O22</f>
        <v>609.90928735632178</v>
      </c>
      <c r="D7" s="57">
        <v>609.91</v>
      </c>
      <c r="E7" s="57">
        <v>609.91</v>
      </c>
      <c r="F7" s="57">
        <v>609.91</v>
      </c>
      <c r="G7" s="57">
        <v>609.91</v>
      </c>
      <c r="H7" s="158">
        <f>H5/5</f>
        <v>4717106.8550203722</v>
      </c>
    </row>
    <row r="8" spans="1:8" x14ac:dyDescent="0.25">
      <c r="B8" s="28" t="s">
        <v>221</v>
      </c>
      <c r="C8" s="55">
        <f>(C5/(C2-C7))</f>
        <v>4795.4520180378868</v>
      </c>
      <c r="D8" s="55">
        <f>(D5/(D2-D7))</f>
        <v>5180.7403500134133</v>
      </c>
      <c r="E8" s="55">
        <f>(E5/(E2-E7))</f>
        <v>5601.6581590814776</v>
      </c>
      <c r="F8" s="55">
        <f>(F5/(F2-F7))</f>
        <v>6062.1426505120871</v>
      </c>
      <c r="G8" s="55">
        <f>(G5/(G2-G7))</f>
        <v>6566.6587928668769</v>
      </c>
      <c r="H8" s="135" t="s">
        <v>219</v>
      </c>
    </row>
    <row r="9" spans="1:8" x14ac:dyDescent="0.25">
      <c r="B9" s="28" t="s">
        <v>221</v>
      </c>
      <c r="C9" s="55">
        <f>ROUND(C8,0)</f>
        <v>4795</v>
      </c>
      <c r="D9" s="55">
        <f>ROUND(D8,0)</f>
        <v>5181</v>
      </c>
      <c r="E9" s="55">
        <f>ROUND(E8,0)</f>
        <v>5602</v>
      </c>
      <c r="F9" s="55">
        <f>ROUND(F8,0)</f>
        <v>6062</v>
      </c>
      <c r="G9" s="55">
        <f>ROUND(G8,0)</f>
        <v>6567</v>
      </c>
      <c r="H9" s="135" t="s">
        <v>229</v>
      </c>
    </row>
    <row r="10" spans="1:8" x14ac:dyDescent="0.25">
      <c r="B10" s="28" t="s">
        <v>228</v>
      </c>
      <c r="C10" s="57">
        <f>C9*C2</f>
        <v>7192500</v>
      </c>
      <c r="D10" s="57">
        <f>D9*D2</f>
        <v>7641975</v>
      </c>
      <c r="E10" s="57">
        <f>E9*E2</f>
        <v>8122900</v>
      </c>
      <c r="F10" s="57">
        <f>F9*F2</f>
        <v>8638350</v>
      </c>
      <c r="G10" s="57">
        <f>G9*G2</f>
        <v>9193800</v>
      </c>
      <c r="H10" s="135" t="s">
        <v>220</v>
      </c>
    </row>
    <row r="14" spans="1:8" x14ac:dyDescent="0.25">
      <c r="A14" s="47" t="s">
        <v>212</v>
      </c>
      <c r="B14" s="154" t="s">
        <v>215</v>
      </c>
      <c r="C14" s="154" t="s">
        <v>230</v>
      </c>
      <c r="D14" s="154" t="s">
        <v>59</v>
      </c>
      <c r="E14" s="154" t="s">
        <v>231</v>
      </c>
      <c r="F14" s="154" t="s">
        <v>232</v>
      </c>
      <c r="G14" s="154" t="s">
        <v>262</v>
      </c>
      <c r="H14" s="154" t="s">
        <v>263</v>
      </c>
    </row>
    <row r="15" spans="1:8" x14ac:dyDescent="0.25">
      <c r="A15" s="155">
        <v>0</v>
      </c>
      <c r="B15" s="155">
        <v>1500</v>
      </c>
      <c r="C15" s="155">
        <v>0</v>
      </c>
      <c r="D15" s="155">
        <v>0</v>
      </c>
      <c r="E15" s="156">
        <f>H7</f>
        <v>4717106.8550203722</v>
      </c>
      <c r="F15" s="156">
        <f>'COSTOS DE PRODUCCIÓN '!O22</f>
        <v>609.90928735632178</v>
      </c>
      <c r="G15" s="155">
        <v>0</v>
      </c>
      <c r="H15" s="156">
        <f>E15</f>
        <v>4717106.8550203722</v>
      </c>
    </row>
    <row r="16" spans="1:8" x14ac:dyDescent="0.25">
      <c r="A16" s="155">
        <v>1</v>
      </c>
      <c r="B16" s="155">
        <f>C2</f>
        <v>1500</v>
      </c>
      <c r="C16" s="155">
        <f>C9</f>
        <v>4795</v>
      </c>
      <c r="D16" s="156">
        <f>C4</f>
        <v>13950000</v>
      </c>
      <c r="E16" s="156">
        <v>4717106.8550203722</v>
      </c>
      <c r="F16" s="156">
        <v>609.91</v>
      </c>
      <c r="G16" s="156">
        <f>C6</f>
        <v>5672156.3724137926</v>
      </c>
      <c r="H16" s="156">
        <f>G16+E16</f>
        <v>10389263.227434166</v>
      </c>
    </row>
    <row r="17" spans="1:8" x14ac:dyDescent="0.25">
      <c r="A17" s="155">
        <v>2</v>
      </c>
      <c r="B17" s="155">
        <f>D2</f>
        <v>1475</v>
      </c>
      <c r="C17" s="155">
        <f>D9</f>
        <v>5181</v>
      </c>
      <c r="D17" s="156">
        <f>D4</f>
        <v>14814900</v>
      </c>
      <c r="E17" s="156">
        <v>4717106.8550203722</v>
      </c>
      <c r="F17" s="156">
        <v>609.91</v>
      </c>
      <c r="G17" s="156">
        <f>D6</f>
        <v>5956374.1003218386</v>
      </c>
      <c r="H17" s="156">
        <f>G17+E17</f>
        <v>10673480.955342211</v>
      </c>
    </row>
    <row r="18" spans="1:8" x14ac:dyDescent="0.25">
      <c r="A18" s="155">
        <v>3</v>
      </c>
      <c r="B18" s="155">
        <f>E2</f>
        <v>1450</v>
      </c>
      <c r="C18" s="155">
        <f>E9</f>
        <v>5602</v>
      </c>
      <c r="D18" s="156">
        <f>E4</f>
        <v>16020179.999999996</v>
      </c>
      <c r="E18" s="156">
        <v>4717106.8550203722</v>
      </c>
      <c r="F18" s="156">
        <v>609.91</v>
      </c>
      <c r="G18" s="156">
        <f>E6</f>
        <v>6552011.5103540216</v>
      </c>
      <c r="H18" s="156">
        <f>G18+E18</f>
        <v>11269118.365374394</v>
      </c>
    </row>
    <row r="19" spans="1:8" x14ac:dyDescent="0.25">
      <c r="A19" s="155">
        <v>4</v>
      </c>
      <c r="B19" s="155">
        <f>F2</f>
        <v>1425</v>
      </c>
      <c r="C19" s="155">
        <f>F9</f>
        <v>6062</v>
      </c>
      <c r="D19" s="156">
        <f>F4</f>
        <v>18104625</v>
      </c>
      <c r="E19" s="156">
        <v>4717106.8550203722</v>
      </c>
      <c r="F19" s="156">
        <v>609.91</v>
      </c>
      <c r="G19" s="156">
        <f>F6</f>
        <v>7534819.3359999992</v>
      </c>
      <c r="H19" s="156">
        <f>G19+E19</f>
        <v>12251926.191020371</v>
      </c>
    </row>
    <row r="20" spans="1:8" x14ac:dyDescent="0.25">
      <c r="A20" s="155">
        <v>5</v>
      </c>
      <c r="B20" s="155">
        <f>G2</f>
        <v>1400</v>
      </c>
      <c r="C20" s="155">
        <f>G9</f>
        <v>6567</v>
      </c>
      <c r="D20" s="156">
        <f>G4</f>
        <v>21345800</v>
      </c>
      <c r="E20" s="156">
        <v>4717106.8550203722</v>
      </c>
      <c r="F20" s="156">
        <v>609.91</v>
      </c>
      <c r="G20" s="156">
        <f>G6</f>
        <v>9042515.0943448264</v>
      </c>
      <c r="H20" s="156">
        <f>G20+E20</f>
        <v>13759621.949365199</v>
      </c>
    </row>
    <row r="21" spans="1:8" x14ac:dyDescent="0.25">
      <c r="F21" s="142"/>
    </row>
    <row r="22" spans="1:8" x14ac:dyDescent="0.25">
      <c r="F22" s="142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3"/>
  <sheetViews>
    <sheetView zoomScale="130" zoomScaleNormal="130" workbookViewId="0">
      <selection activeCell="E14" sqref="E14"/>
    </sheetView>
  </sheetViews>
  <sheetFormatPr baseColWidth="10" defaultRowHeight="15" x14ac:dyDescent="0.25"/>
  <cols>
    <col min="1" max="2" width="30.28515625" bestFit="1" customWidth="1"/>
    <col min="3" max="5" width="14.7109375" bestFit="1" customWidth="1"/>
    <col min="6" max="7" width="15.140625" bestFit="1" customWidth="1"/>
    <col min="8" max="8" width="13.7109375" bestFit="1" customWidth="1"/>
  </cols>
  <sheetData>
    <row r="2" spans="1:9" x14ac:dyDescent="0.25">
      <c r="B2" s="275" t="s">
        <v>205</v>
      </c>
      <c r="C2" s="275"/>
      <c r="D2" s="275"/>
      <c r="E2" s="275"/>
      <c r="F2" s="275"/>
      <c r="G2" s="275"/>
      <c r="H2" s="127"/>
      <c r="I2" s="127"/>
    </row>
    <row r="3" spans="1:9" x14ac:dyDescent="0.25">
      <c r="B3" s="128" t="s">
        <v>204</v>
      </c>
      <c r="C3" s="128">
        <v>2015</v>
      </c>
      <c r="D3" s="128">
        <v>2016</v>
      </c>
      <c r="E3" s="128">
        <v>2017</v>
      </c>
      <c r="F3" s="128">
        <v>2018</v>
      </c>
      <c r="G3" s="128">
        <v>2019</v>
      </c>
    </row>
    <row r="4" spans="1:9" x14ac:dyDescent="0.25">
      <c r="B4" s="133" t="s">
        <v>203</v>
      </c>
      <c r="C4" s="57">
        <f>' DEMANDA'!E17</f>
        <v>13950000</v>
      </c>
      <c r="D4" s="57">
        <f>' DEMANDA'!K17</f>
        <v>14814900</v>
      </c>
      <c r="E4" s="57">
        <f>' DEMANDA'!P17</f>
        <v>16020180</v>
      </c>
      <c r="F4" s="57">
        <f>' DEMANDA'!P17</f>
        <v>16020180</v>
      </c>
      <c r="G4" s="57">
        <f>' DEMANDA'!AB17</f>
        <v>21345800</v>
      </c>
    </row>
    <row r="5" spans="1:9" x14ac:dyDescent="0.25">
      <c r="B5" s="133" t="s">
        <v>157</v>
      </c>
      <c r="C5" s="57">
        <f>C12</f>
        <v>9940543.6765976995</v>
      </c>
      <c r="D5" s="57">
        <f>D12</f>
        <v>10438180.769714942</v>
      </c>
      <c r="E5" s="57">
        <f>E12</f>
        <v>11257908.51321678</v>
      </c>
      <c r="F5" s="57">
        <f>F12</f>
        <v>12476011.189005896</v>
      </c>
      <c r="G5" s="57">
        <f>G12</f>
        <v>14230766.540001016</v>
      </c>
    </row>
    <row r="6" spans="1:9" x14ac:dyDescent="0.25">
      <c r="B6" s="133" t="s">
        <v>158</v>
      </c>
      <c r="C6" s="57">
        <f>C4-C5</f>
        <v>4009456.3234023005</v>
      </c>
      <c r="D6" s="57">
        <f>D4-D5</f>
        <v>4376719.2302850578</v>
      </c>
      <c r="E6" s="57">
        <f>E4-E5</f>
        <v>4762271.4867832195</v>
      </c>
      <c r="F6" s="57">
        <f>F4-F5</f>
        <v>3544168.8109941036</v>
      </c>
      <c r="G6" s="57">
        <f>G4-G5</f>
        <v>7115033.4599989839</v>
      </c>
    </row>
    <row r="7" spans="1:9" x14ac:dyDescent="0.25">
      <c r="B7" s="133" t="s">
        <v>206</v>
      </c>
      <c r="C7" s="137">
        <v>0.2</v>
      </c>
      <c r="D7" s="137">
        <v>0.2</v>
      </c>
      <c r="E7" s="137">
        <v>0.2</v>
      </c>
      <c r="F7" s="137">
        <v>0.2</v>
      </c>
      <c r="G7" s="137">
        <v>0.2</v>
      </c>
    </row>
    <row r="8" spans="1:9" x14ac:dyDescent="0.25">
      <c r="B8" s="128" t="s">
        <v>207</v>
      </c>
      <c r="C8" s="134">
        <f>C6*C7</f>
        <v>801891.2646804601</v>
      </c>
      <c r="D8" s="134">
        <f>D6*D7</f>
        <v>875343.84605701163</v>
      </c>
      <c r="E8" s="134">
        <f>E6*E7</f>
        <v>952454.29735664395</v>
      </c>
      <c r="F8" s="134">
        <f>F6*F7</f>
        <v>708833.76219882071</v>
      </c>
      <c r="G8" s="134">
        <f>G6*G7</f>
        <v>1423006.6919997968</v>
      </c>
      <c r="H8" s="142"/>
    </row>
    <row r="9" spans="1:9" x14ac:dyDescent="0.25">
      <c r="B9" s="30"/>
      <c r="H9" s="142"/>
    </row>
    <row r="10" spans="1:9" ht="18.75" x14ac:dyDescent="0.3">
      <c r="B10" s="276" t="s">
        <v>317</v>
      </c>
      <c r="C10" s="276"/>
      <c r="D10" s="276"/>
      <c r="E10" s="276"/>
      <c r="F10" s="276"/>
      <c r="G10" s="276"/>
      <c r="H10" s="142"/>
    </row>
    <row r="11" spans="1:9" x14ac:dyDescent="0.25">
      <c r="B11" s="175" t="s">
        <v>250</v>
      </c>
      <c r="C11" s="175">
        <v>2015</v>
      </c>
      <c r="D11" s="175">
        <v>2016</v>
      </c>
      <c r="E11" s="175">
        <v>2016</v>
      </c>
      <c r="F11" s="175">
        <v>2016</v>
      </c>
      <c r="G11" s="175">
        <v>2016</v>
      </c>
    </row>
    <row r="12" spans="1:9" x14ac:dyDescent="0.25">
      <c r="A12" s="128" t="s">
        <v>318</v>
      </c>
      <c r="B12" s="180" t="s">
        <v>316</v>
      </c>
      <c r="C12" s="177">
        <v>9940543.6765976995</v>
      </c>
      <c r="D12" s="177">
        <v>10438180.769714942</v>
      </c>
      <c r="E12" s="177">
        <v>11257908.51321678</v>
      </c>
      <c r="F12" s="177">
        <v>12476011.189005896</v>
      </c>
      <c r="G12" s="177">
        <v>14230766.540001016</v>
      </c>
    </row>
    <row r="13" spans="1:9" x14ac:dyDescent="0.25">
      <c r="A13" s="128" t="s">
        <v>320</v>
      </c>
      <c r="B13" s="180" t="s">
        <v>319</v>
      </c>
      <c r="C13" s="177">
        <f>'CALENDARIO DE REINVERSIONES'!C8</f>
        <v>43500</v>
      </c>
      <c r="D13" s="177">
        <f>'CALENDARIO DE REINVERSIONES'!D8</f>
        <v>81000</v>
      </c>
      <c r="E13" s="177">
        <f>'CALENDARIO DE REINVERSIONES'!E8</f>
        <v>43500</v>
      </c>
      <c r="F13" s="177">
        <f>'CALENDARIO DE REINVERSIONES'!F8</f>
        <v>81000</v>
      </c>
      <c r="G13" s="177">
        <f>'CALENDARIO DE REINVERSIONES'!G8</f>
        <v>43500</v>
      </c>
    </row>
  </sheetData>
  <mergeCells count="2">
    <mergeCell ref="B2:G2"/>
    <mergeCell ref="B10:G1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72"/>
  <sheetViews>
    <sheetView topLeftCell="C62" zoomScale="115" zoomScaleNormal="115" workbookViewId="0">
      <selection activeCell="D71" sqref="D71"/>
    </sheetView>
  </sheetViews>
  <sheetFormatPr baseColWidth="10" defaultRowHeight="15" x14ac:dyDescent="0.25"/>
  <cols>
    <col min="2" max="2" width="17.28515625" bestFit="1" customWidth="1"/>
    <col min="3" max="3" width="24.7109375" bestFit="1" customWidth="1"/>
    <col min="4" max="4" width="25.7109375" style="23" bestFit="1" customWidth="1"/>
    <col min="5" max="5" width="17.140625" style="30" bestFit="1" customWidth="1"/>
    <col min="6" max="6" width="21.7109375" bestFit="1" customWidth="1"/>
    <col min="7" max="7" width="24.28515625" bestFit="1" customWidth="1"/>
    <col min="8" max="8" width="27.28515625" style="30" bestFit="1" customWidth="1"/>
    <col min="9" max="9" width="23" style="23" bestFit="1" customWidth="1"/>
    <col min="10" max="10" width="26.42578125" bestFit="1" customWidth="1"/>
    <col min="11" max="11" width="37.7109375" bestFit="1" customWidth="1"/>
    <col min="12" max="12" width="14.140625" bestFit="1" customWidth="1"/>
  </cols>
  <sheetData>
    <row r="2" spans="2:15" x14ac:dyDescent="0.25">
      <c r="B2" s="23"/>
      <c r="D2" s="282" t="s">
        <v>123</v>
      </c>
      <c r="E2" s="282"/>
      <c r="F2" s="282"/>
      <c r="G2" s="282"/>
      <c r="H2" s="282"/>
      <c r="I2" s="282"/>
      <c r="J2" s="23"/>
      <c r="K2" s="23"/>
      <c r="L2" s="23"/>
      <c r="M2" s="23"/>
      <c r="N2" s="23"/>
      <c r="O2" s="23"/>
    </row>
    <row r="3" spans="2:15" s="48" customFormat="1" ht="16.5" x14ac:dyDescent="0.3">
      <c r="B3"/>
      <c r="D3" s="110" t="s">
        <v>118</v>
      </c>
      <c r="E3" s="110" t="s">
        <v>202</v>
      </c>
      <c r="F3" s="110" t="s">
        <v>166</v>
      </c>
      <c r="G3" s="110" t="s">
        <v>119</v>
      </c>
      <c r="H3" s="110" t="s">
        <v>165</v>
      </c>
      <c r="I3" s="110" t="s">
        <v>124</v>
      </c>
    </row>
    <row r="4" spans="2:15" x14ac:dyDescent="0.25">
      <c r="D4" s="113" t="str">
        <f>' HOJAS DE BALANCE'!B6</f>
        <v>Sartenes</v>
      </c>
      <c r="E4" s="114">
        <f>' HOJAS DE BALANCE'!C6+' HOJAS DE BALANCE'!K6</f>
        <v>15</v>
      </c>
      <c r="F4" s="115">
        <f>' HOJAS DE BALANCE'!D6</f>
        <v>2500</v>
      </c>
      <c r="G4" s="115">
        <f>' HOJAS DE BALANCE'!N6*E4</f>
        <v>4500</v>
      </c>
      <c r="H4" s="115">
        <f>I12-G4</f>
        <v>33000</v>
      </c>
      <c r="I4" s="116">
        <f>' HOJAS DE BALANCE'!E6</f>
        <v>2</v>
      </c>
    </row>
    <row r="5" spans="2:15" x14ac:dyDescent="0.25">
      <c r="D5" s="117" t="str">
        <f>' HOJAS DE BALANCE'!B7</f>
        <v>Refrigerador</v>
      </c>
      <c r="E5" s="116">
        <f>' HOJAS DE BALANCE'!K7+' HOJAS DE BALANCE'!C7</f>
        <v>4</v>
      </c>
      <c r="F5" s="115">
        <f>' HOJAS DE BALANCE'!D7</f>
        <v>250000</v>
      </c>
      <c r="G5" s="115">
        <f>' HOJAS DE BALANCE'!O7*E5</f>
        <v>250000</v>
      </c>
      <c r="H5" s="115">
        <f>I19-G5</f>
        <v>750000</v>
      </c>
      <c r="I5" s="116">
        <f>' HOJAS DE BALANCE'!E7</f>
        <v>10</v>
      </c>
      <c r="K5" s="88"/>
      <c r="L5" s="23"/>
    </row>
    <row r="6" spans="2:15" x14ac:dyDescent="0.25">
      <c r="D6" s="117" t="str">
        <f>' HOJAS DE BALANCE'!B10</f>
        <v>Batidora Semi-industrial</v>
      </c>
      <c r="E6" s="116">
        <f>' HOJAS DE BALANCE'!C10</f>
        <v>1</v>
      </c>
      <c r="F6" s="115">
        <f>' HOJAS DE BALANCE'!D10</f>
        <v>300000</v>
      </c>
      <c r="G6" s="115">
        <f>' HOJAS DE BALANCE'!G10*E6</f>
        <v>4166.66</v>
      </c>
      <c r="H6" s="115">
        <f>I34-G6</f>
        <v>295833.34000000003</v>
      </c>
      <c r="I6" s="116">
        <f>' HOJAS DE BALANCE'!E10</f>
        <v>6</v>
      </c>
      <c r="K6" s="90"/>
      <c r="L6" s="91"/>
    </row>
    <row r="7" spans="2:15" x14ac:dyDescent="0.25">
      <c r="D7" s="117" t="str">
        <f>' HOJAS DE BALANCE'!B12</f>
        <v>Congelador</v>
      </c>
      <c r="E7" s="116">
        <f>' HOJAS DE BALANCE'!K10+' HOJAS DE BALANCE'!C12</f>
        <v>4</v>
      </c>
      <c r="F7" s="115">
        <f>' HOJAS DE BALANCE'!D12</f>
        <v>150000</v>
      </c>
      <c r="G7" s="115">
        <f>' HOJAS DE BALANCE'!O10*E7</f>
        <v>150000</v>
      </c>
      <c r="H7" s="115">
        <f>I45-G7</f>
        <v>450000</v>
      </c>
      <c r="I7" s="116">
        <f>' HOJAS DE BALANCE'!E12</f>
        <v>10</v>
      </c>
      <c r="K7" s="90"/>
      <c r="L7" s="91"/>
    </row>
    <row r="8" spans="2:15" x14ac:dyDescent="0.25">
      <c r="D8" s="117" t="str">
        <f>' HOJAS DE BALANCE'!J11</f>
        <v>Kit Herméticos</v>
      </c>
      <c r="E8" s="116">
        <f>' HOJAS DE BALANCE'!K11</f>
        <v>6</v>
      </c>
      <c r="F8" s="115">
        <f>' HOJAS DE BALANCE'!L11</f>
        <v>2400</v>
      </c>
      <c r="G8" s="115">
        <f>' HOJAS DE BALANCE'!O11</f>
        <v>2000</v>
      </c>
      <c r="H8" s="115">
        <f>I60-G8</f>
        <v>12400</v>
      </c>
      <c r="I8" s="116">
        <f>' HOJAS DE BALANCE'!M11</f>
        <v>6</v>
      </c>
      <c r="K8" s="23"/>
      <c r="L8" s="84"/>
    </row>
    <row r="9" spans="2:15" x14ac:dyDescent="0.25">
      <c r="K9" s="23"/>
      <c r="L9" s="84"/>
    </row>
    <row r="10" spans="2:15" x14ac:dyDescent="0.25">
      <c r="D10" s="280" t="s">
        <v>164</v>
      </c>
      <c r="E10" s="280"/>
      <c r="F10" s="280"/>
      <c r="G10" s="280"/>
      <c r="H10" s="280"/>
      <c r="I10" s="280"/>
    </row>
    <row r="11" spans="2:15" ht="16.5" x14ac:dyDescent="0.25">
      <c r="D11" s="278" t="s">
        <v>120</v>
      </c>
      <c r="E11" s="278" t="s">
        <v>201</v>
      </c>
      <c r="F11" s="278" t="s">
        <v>163</v>
      </c>
      <c r="G11" s="278" t="s">
        <v>168</v>
      </c>
      <c r="H11" s="278" t="s">
        <v>122</v>
      </c>
      <c r="I11" s="110" t="s">
        <v>121</v>
      </c>
    </row>
    <row r="12" spans="2:15" x14ac:dyDescent="0.25">
      <c r="D12" s="278"/>
      <c r="E12" s="278"/>
      <c r="F12" s="278"/>
      <c r="G12" s="278"/>
      <c r="H12" s="278"/>
      <c r="I12" s="119">
        <f>E4*F4</f>
        <v>37500</v>
      </c>
    </row>
    <row r="13" spans="2:15" s="30" customFormat="1" x14ac:dyDescent="0.25">
      <c r="D13" s="124">
        <v>1</v>
      </c>
      <c r="E13" s="119" t="s">
        <v>179</v>
      </c>
      <c r="F13" s="119">
        <f>$H$4/$I$4</f>
        <v>16500</v>
      </c>
      <c r="G13" s="119">
        <f>F13/12</f>
        <v>1375</v>
      </c>
      <c r="H13" s="119">
        <f>F13</f>
        <v>16500</v>
      </c>
      <c r="I13" s="119">
        <f>$I$12-H13</f>
        <v>21000</v>
      </c>
    </row>
    <row r="14" spans="2:15" x14ac:dyDescent="0.25">
      <c r="D14" s="124">
        <v>2</v>
      </c>
      <c r="E14" s="119" t="s">
        <v>180</v>
      </c>
      <c r="F14" s="119">
        <f>$H$4/$I$4</f>
        <v>16500</v>
      </c>
      <c r="G14" s="119"/>
      <c r="H14" s="119">
        <f>H13+F14</f>
        <v>33000</v>
      </c>
      <c r="I14" s="119">
        <f>$I$12-H14</f>
        <v>4500</v>
      </c>
    </row>
    <row r="15" spans="2:15" x14ac:dyDescent="0.25">
      <c r="D15" s="281" t="s">
        <v>167</v>
      </c>
      <c r="E15" s="281"/>
      <c r="F15" s="121">
        <f>SUM(F13:F14)</f>
        <v>33000</v>
      </c>
      <c r="G15" s="1"/>
      <c r="H15" s="1"/>
      <c r="I15" s="1"/>
    </row>
    <row r="16" spans="2:15" x14ac:dyDescent="0.25">
      <c r="D16" s="30"/>
      <c r="F16" s="30"/>
      <c r="G16" s="30"/>
      <c r="I16" s="30"/>
    </row>
    <row r="17" spans="4:9" x14ac:dyDescent="0.25">
      <c r="D17" s="280" t="s">
        <v>169</v>
      </c>
      <c r="E17" s="280"/>
      <c r="F17" s="280"/>
      <c r="G17" s="280"/>
      <c r="H17" s="280"/>
      <c r="I17" s="280"/>
    </row>
    <row r="18" spans="4:9" ht="16.5" x14ac:dyDescent="0.25">
      <c r="D18" s="278" t="s">
        <v>120</v>
      </c>
      <c r="E18" s="278" t="s">
        <v>201</v>
      </c>
      <c r="F18" s="278" t="s">
        <v>163</v>
      </c>
      <c r="G18" s="278" t="s">
        <v>168</v>
      </c>
      <c r="H18" s="278" t="s">
        <v>122</v>
      </c>
      <c r="I18" s="110" t="s">
        <v>121</v>
      </c>
    </row>
    <row r="19" spans="4:9" x14ac:dyDescent="0.25">
      <c r="D19" s="278"/>
      <c r="E19" s="278"/>
      <c r="F19" s="278"/>
      <c r="G19" s="278"/>
      <c r="H19" s="278"/>
      <c r="I19" s="119">
        <f>E5*F5</f>
        <v>1000000</v>
      </c>
    </row>
    <row r="20" spans="4:9" s="30" customFormat="1" x14ac:dyDescent="0.25">
      <c r="D20" s="118">
        <v>1</v>
      </c>
      <c r="E20" s="118" t="s">
        <v>179</v>
      </c>
      <c r="F20" s="119">
        <f>$H$5/$I$5</f>
        <v>75000</v>
      </c>
      <c r="G20" s="119">
        <f>F20/12</f>
        <v>6250</v>
      </c>
      <c r="H20" s="119">
        <f>F20</f>
        <v>75000</v>
      </c>
      <c r="I20" s="119">
        <f>$I$19-H20</f>
        <v>925000</v>
      </c>
    </row>
    <row r="21" spans="4:9" x14ac:dyDescent="0.25">
      <c r="D21" s="118">
        <v>2</v>
      </c>
      <c r="E21" s="118" t="s">
        <v>180</v>
      </c>
      <c r="F21" s="119">
        <f t="shared" ref="F21:F29" si="0">$H$5/$I$5</f>
        <v>75000</v>
      </c>
      <c r="G21" s="119"/>
      <c r="H21" s="119">
        <f>H20+F21</f>
        <v>150000</v>
      </c>
      <c r="I21" s="119">
        <f t="shared" ref="I21:I29" si="1">$I$19-H21</f>
        <v>850000</v>
      </c>
    </row>
    <row r="22" spans="4:9" x14ac:dyDescent="0.25">
      <c r="D22" s="118">
        <v>3</v>
      </c>
      <c r="E22" s="118" t="s">
        <v>181</v>
      </c>
      <c r="F22" s="119">
        <f t="shared" si="0"/>
        <v>75000</v>
      </c>
      <c r="G22" s="119"/>
      <c r="H22" s="119">
        <f>H21+F22</f>
        <v>225000</v>
      </c>
      <c r="I22" s="119">
        <f t="shared" si="1"/>
        <v>775000</v>
      </c>
    </row>
    <row r="23" spans="4:9" x14ac:dyDescent="0.25">
      <c r="D23" s="118">
        <v>4</v>
      </c>
      <c r="E23" s="118" t="s">
        <v>182</v>
      </c>
      <c r="F23" s="119">
        <f t="shared" si="0"/>
        <v>75000</v>
      </c>
      <c r="G23" s="119"/>
      <c r="H23" s="119">
        <f t="shared" ref="H23:H29" si="2">H22+F23</f>
        <v>300000</v>
      </c>
      <c r="I23" s="119">
        <f t="shared" si="1"/>
        <v>700000</v>
      </c>
    </row>
    <row r="24" spans="4:9" x14ac:dyDescent="0.25">
      <c r="D24" s="118">
        <v>5</v>
      </c>
      <c r="E24" s="118" t="s">
        <v>183</v>
      </c>
      <c r="F24" s="119">
        <f t="shared" si="0"/>
        <v>75000</v>
      </c>
      <c r="G24" s="119"/>
      <c r="H24" s="119">
        <f t="shared" si="2"/>
        <v>375000</v>
      </c>
      <c r="I24" s="119">
        <f t="shared" si="1"/>
        <v>625000</v>
      </c>
    </row>
    <row r="25" spans="4:9" x14ac:dyDescent="0.25">
      <c r="D25" s="118">
        <v>6</v>
      </c>
      <c r="E25" s="118" t="s">
        <v>184</v>
      </c>
      <c r="F25" s="119">
        <f t="shared" si="0"/>
        <v>75000</v>
      </c>
      <c r="G25" s="119"/>
      <c r="H25" s="119">
        <f t="shared" si="2"/>
        <v>450000</v>
      </c>
      <c r="I25" s="119">
        <f t="shared" si="1"/>
        <v>550000</v>
      </c>
    </row>
    <row r="26" spans="4:9" x14ac:dyDescent="0.25">
      <c r="D26" s="118">
        <v>7</v>
      </c>
      <c r="E26" s="118" t="s">
        <v>185</v>
      </c>
      <c r="F26" s="119">
        <f t="shared" si="0"/>
        <v>75000</v>
      </c>
      <c r="G26" s="119"/>
      <c r="H26" s="119">
        <f t="shared" si="2"/>
        <v>525000</v>
      </c>
      <c r="I26" s="119">
        <f t="shared" si="1"/>
        <v>475000</v>
      </c>
    </row>
    <row r="27" spans="4:9" x14ac:dyDescent="0.25">
      <c r="D27" s="118">
        <v>8</v>
      </c>
      <c r="E27" s="118" t="s">
        <v>186</v>
      </c>
      <c r="F27" s="119">
        <f t="shared" si="0"/>
        <v>75000</v>
      </c>
      <c r="G27" s="119"/>
      <c r="H27" s="119">
        <f t="shared" si="2"/>
        <v>600000</v>
      </c>
      <c r="I27" s="119">
        <f t="shared" si="1"/>
        <v>400000</v>
      </c>
    </row>
    <row r="28" spans="4:9" x14ac:dyDescent="0.25">
      <c r="D28" s="118">
        <v>9</v>
      </c>
      <c r="E28" s="118" t="s">
        <v>187</v>
      </c>
      <c r="F28" s="119">
        <f t="shared" si="0"/>
        <v>75000</v>
      </c>
      <c r="G28" s="119"/>
      <c r="H28" s="119">
        <f t="shared" si="2"/>
        <v>675000</v>
      </c>
      <c r="I28" s="119">
        <f t="shared" si="1"/>
        <v>325000</v>
      </c>
    </row>
    <row r="29" spans="4:9" x14ac:dyDescent="0.25">
      <c r="D29" s="118">
        <v>10</v>
      </c>
      <c r="E29" s="118" t="s">
        <v>188</v>
      </c>
      <c r="F29" s="119">
        <f t="shared" si="0"/>
        <v>75000</v>
      </c>
      <c r="G29" s="119"/>
      <c r="H29" s="119">
        <f t="shared" si="2"/>
        <v>750000</v>
      </c>
      <c r="I29" s="119">
        <f t="shared" si="1"/>
        <v>250000</v>
      </c>
    </row>
    <row r="30" spans="4:9" x14ac:dyDescent="0.25">
      <c r="D30" s="281" t="s">
        <v>167</v>
      </c>
      <c r="E30" s="281"/>
      <c r="F30" s="121">
        <f>SUM(F20:F29)</f>
        <v>750000</v>
      </c>
      <c r="G30" s="120"/>
      <c r="H30" s="120"/>
      <c r="I30" s="120"/>
    </row>
    <row r="32" spans="4:9" x14ac:dyDescent="0.25">
      <c r="D32" s="280" t="s">
        <v>170</v>
      </c>
      <c r="E32" s="280"/>
      <c r="F32" s="280"/>
      <c r="G32" s="280"/>
      <c r="H32" s="280"/>
      <c r="I32" s="280"/>
    </row>
    <row r="33" spans="4:9" ht="16.5" x14ac:dyDescent="0.25">
      <c r="D33" s="278" t="s">
        <v>120</v>
      </c>
      <c r="E33" s="278" t="s">
        <v>201</v>
      </c>
      <c r="F33" s="278" t="s">
        <v>163</v>
      </c>
      <c r="G33" s="278" t="s">
        <v>168</v>
      </c>
      <c r="H33" s="278" t="s">
        <v>122</v>
      </c>
      <c r="I33" s="110" t="s">
        <v>121</v>
      </c>
    </row>
    <row r="34" spans="4:9" x14ac:dyDescent="0.25">
      <c r="D34" s="278"/>
      <c r="E34" s="278"/>
      <c r="F34" s="278"/>
      <c r="G34" s="278"/>
      <c r="H34" s="278"/>
      <c r="I34" s="119">
        <f>E6*F6</f>
        <v>300000</v>
      </c>
    </row>
    <row r="35" spans="4:9" s="30" customFormat="1" x14ac:dyDescent="0.25">
      <c r="D35" s="118">
        <v>1</v>
      </c>
      <c r="E35" s="118" t="s">
        <v>179</v>
      </c>
      <c r="F35" s="119">
        <f t="shared" ref="F35:F40" si="3">$H$6/$I$6</f>
        <v>49305.556666666671</v>
      </c>
      <c r="G35" s="119">
        <f>F35/12</f>
        <v>4108.7963888888889</v>
      </c>
      <c r="H35" s="119">
        <f>F35</f>
        <v>49305.556666666671</v>
      </c>
      <c r="I35" s="119">
        <f t="shared" ref="I35:I40" si="4">$I$34-H35</f>
        <v>250694.44333333333</v>
      </c>
    </row>
    <row r="36" spans="4:9" x14ac:dyDescent="0.25">
      <c r="D36" s="118">
        <v>2</v>
      </c>
      <c r="E36" s="118" t="s">
        <v>180</v>
      </c>
      <c r="F36" s="119">
        <f t="shared" si="3"/>
        <v>49305.556666666671</v>
      </c>
      <c r="G36" s="119"/>
      <c r="H36" s="119">
        <f>H35+F36</f>
        <v>98611.113333333342</v>
      </c>
      <c r="I36" s="119">
        <f t="shared" si="4"/>
        <v>201388.88666666666</v>
      </c>
    </row>
    <row r="37" spans="4:9" x14ac:dyDescent="0.25">
      <c r="D37" s="118">
        <v>3</v>
      </c>
      <c r="E37" s="118" t="s">
        <v>181</v>
      </c>
      <c r="F37" s="119">
        <f t="shared" si="3"/>
        <v>49305.556666666671</v>
      </c>
      <c r="G37" s="119"/>
      <c r="H37" s="119">
        <f>H36+F37</f>
        <v>147916.67000000001</v>
      </c>
      <c r="I37" s="119">
        <f t="shared" si="4"/>
        <v>152083.32999999999</v>
      </c>
    </row>
    <row r="38" spans="4:9" x14ac:dyDescent="0.25">
      <c r="D38" s="118">
        <v>4</v>
      </c>
      <c r="E38" s="118" t="s">
        <v>182</v>
      </c>
      <c r="F38" s="119">
        <f t="shared" si="3"/>
        <v>49305.556666666671</v>
      </c>
      <c r="G38" s="119"/>
      <c r="H38" s="119">
        <f>H37+F38</f>
        <v>197222.22666666668</v>
      </c>
      <c r="I38" s="119">
        <f t="shared" si="4"/>
        <v>102777.77333333332</v>
      </c>
    </row>
    <row r="39" spans="4:9" x14ac:dyDescent="0.25">
      <c r="D39" s="118">
        <v>5</v>
      </c>
      <c r="E39" s="118" t="s">
        <v>183</v>
      </c>
      <c r="F39" s="119">
        <f t="shared" si="3"/>
        <v>49305.556666666671</v>
      </c>
      <c r="G39" s="119"/>
      <c r="H39" s="119">
        <f>H38+F39</f>
        <v>246527.78333333335</v>
      </c>
      <c r="I39" s="119">
        <f t="shared" si="4"/>
        <v>53472.216666666645</v>
      </c>
    </row>
    <row r="40" spans="4:9" x14ac:dyDescent="0.25">
      <c r="D40" s="118">
        <v>6</v>
      </c>
      <c r="E40" s="118" t="s">
        <v>184</v>
      </c>
      <c r="F40" s="119">
        <f t="shared" si="3"/>
        <v>49305.556666666671</v>
      </c>
      <c r="G40" s="119"/>
      <c r="H40" s="119">
        <f>H39+F40</f>
        <v>295833.34000000003</v>
      </c>
      <c r="I40" s="119">
        <f t="shared" si="4"/>
        <v>4166.6599999999744</v>
      </c>
    </row>
    <row r="41" spans="4:9" x14ac:dyDescent="0.25">
      <c r="D41" s="279" t="s">
        <v>167</v>
      </c>
      <c r="E41" s="279"/>
      <c r="F41" s="121">
        <f>SUM(F35:F40)</f>
        <v>295833.34000000003</v>
      </c>
      <c r="G41" s="120"/>
      <c r="H41" s="120"/>
      <c r="I41" s="120"/>
    </row>
    <row r="42" spans="4:9" x14ac:dyDescent="0.25">
      <c r="D42" s="30"/>
      <c r="F42" s="30"/>
      <c r="G42" s="30"/>
      <c r="I42" s="30"/>
    </row>
    <row r="43" spans="4:9" x14ac:dyDescent="0.25">
      <c r="D43" s="280" t="s">
        <v>171</v>
      </c>
      <c r="E43" s="280"/>
      <c r="F43" s="280"/>
      <c r="G43" s="280"/>
      <c r="H43" s="280"/>
      <c r="I43" s="280"/>
    </row>
    <row r="44" spans="4:9" ht="16.5" x14ac:dyDescent="0.25">
      <c r="D44" s="278" t="s">
        <v>120</v>
      </c>
      <c r="E44" s="278" t="s">
        <v>201</v>
      </c>
      <c r="F44" s="278" t="s">
        <v>163</v>
      </c>
      <c r="G44" s="278" t="s">
        <v>168</v>
      </c>
      <c r="H44" s="278" t="s">
        <v>122</v>
      </c>
      <c r="I44" s="110" t="s">
        <v>121</v>
      </c>
    </row>
    <row r="45" spans="4:9" x14ac:dyDescent="0.25">
      <c r="D45" s="278"/>
      <c r="E45" s="278"/>
      <c r="F45" s="278"/>
      <c r="G45" s="278"/>
      <c r="H45" s="278"/>
      <c r="I45" s="119">
        <f>F7*E7</f>
        <v>600000</v>
      </c>
    </row>
    <row r="46" spans="4:9" s="30" customFormat="1" x14ac:dyDescent="0.25">
      <c r="D46" s="118">
        <v>1</v>
      </c>
      <c r="E46" s="118" t="s">
        <v>179</v>
      </c>
      <c r="F46" s="119">
        <f>$H$7/$I$7</f>
        <v>45000</v>
      </c>
      <c r="G46" s="119">
        <f>F46/12</f>
        <v>3750</v>
      </c>
      <c r="H46" s="119">
        <f>F46</f>
        <v>45000</v>
      </c>
      <c r="I46" s="119">
        <f>$I$45-H46</f>
        <v>555000</v>
      </c>
    </row>
    <row r="47" spans="4:9" x14ac:dyDescent="0.25">
      <c r="D47" s="118">
        <v>2</v>
      </c>
      <c r="E47" s="118" t="s">
        <v>180</v>
      </c>
      <c r="F47" s="119">
        <f t="shared" ref="F47:F55" si="5">$H$7/$I$7</f>
        <v>45000</v>
      </c>
      <c r="G47" s="119"/>
      <c r="H47" s="119">
        <f>H46+F47</f>
        <v>90000</v>
      </c>
      <c r="I47" s="119">
        <f t="shared" ref="I47:I55" si="6">$I$45-H47</f>
        <v>510000</v>
      </c>
    </row>
    <row r="48" spans="4:9" x14ac:dyDescent="0.25">
      <c r="D48" s="118">
        <v>3</v>
      </c>
      <c r="E48" s="118" t="s">
        <v>181</v>
      </c>
      <c r="F48" s="119">
        <f t="shared" si="5"/>
        <v>45000</v>
      </c>
      <c r="G48" s="119"/>
      <c r="H48" s="119">
        <f>H47+F48</f>
        <v>135000</v>
      </c>
      <c r="I48" s="119">
        <f t="shared" si="6"/>
        <v>465000</v>
      </c>
    </row>
    <row r="49" spans="4:9" x14ac:dyDescent="0.25">
      <c r="D49" s="118">
        <v>4</v>
      </c>
      <c r="E49" s="118" t="s">
        <v>182</v>
      </c>
      <c r="F49" s="119">
        <f t="shared" si="5"/>
        <v>45000</v>
      </c>
      <c r="G49" s="119"/>
      <c r="H49" s="119">
        <f t="shared" ref="H49:H55" si="7">H48+F49</f>
        <v>180000</v>
      </c>
      <c r="I49" s="119">
        <f t="shared" si="6"/>
        <v>420000</v>
      </c>
    </row>
    <row r="50" spans="4:9" x14ac:dyDescent="0.25">
      <c r="D50" s="118">
        <v>5</v>
      </c>
      <c r="E50" s="118" t="s">
        <v>183</v>
      </c>
      <c r="F50" s="119">
        <f t="shared" si="5"/>
        <v>45000</v>
      </c>
      <c r="G50" s="119"/>
      <c r="H50" s="119">
        <f t="shared" si="7"/>
        <v>225000</v>
      </c>
      <c r="I50" s="119">
        <f t="shared" si="6"/>
        <v>375000</v>
      </c>
    </row>
    <row r="51" spans="4:9" x14ac:dyDescent="0.25">
      <c r="D51" s="118">
        <v>6</v>
      </c>
      <c r="E51" s="118" t="s">
        <v>184</v>
      </c>
      <c r="F51" s="119">
        <f t="shared" si="5"/>
        <v>45000</v>
      </c>
      <c r="G51" s="119"/>
      <c r="H51" s="119">
        <f t="shared" si="7"/>
        <v>270000</v>
      </c>
      <c r="I51" s="119">
        <f t="shared" si="6"/>
        <v>330000</v>
      </c>
    </row>
    <row r="52" spans="4:9" x14ac:dyDescent="0.25">
      <c r="D52" s="118">
        <v>7</v>
      </c>
      <c r="E52" s="118" t="s">
        <v>185</v>
      </c>
      <c r="F52" s="119">
        <f t="shared" si="5"/>
        <v>45000</v>
      </c>
      <c r="G52" s="119"/>
      <c r="H52" s="119">
        <f t="shared" si="7"/>
        <v>315000</v>
      </c>
      <c r="I52" s="119">
        <f t="shared" si="6"/>
        <v>285000</v>
      </c>
    </row>
    <row r="53" spans="4:9" x14ac:dyDescent="0.25">
      <c r="D53" s="118">
        <v>8</v>
      </c>
      <c r="E53" s="118" t="s">
        <v>186</v>
      </c>
      <c r="F53" s="119">
        <f t="shared" si="5"/>
        <v>45000</v>
      </c>
      <c r="G53" s="119"/>
      <c r="H53" s="119">
        <f t="shared" si="7"/>
        <v>360000</v>
      </c>
      <c r="I53" s="119">
        <f t="shared" si="6"/>
        <v>240000</v>
      </c>
    </row>
    <row r="54" spans="4:9" x14ac:dyDescent="0.25">
      <c r="D54" s="118">
        <v>9</v>
      </c>
      <c r="E54" s="118" t="s">
        <v>187</v>
      </c>
      <c r="F54" s="119">
        <f t="shared" si="5"/>
        <v>45000</v>
      </c>
      <c r="G54" s="119"/>
      <c r="H54" s="119">
        <f t="shared" si="7"/>
        <v>405000</v>
      </c>
      <c r="I54" s="119">
        <f t="shared" si="6"/>
        <v>195000</v>
      </c>
    </row>
    <row r="55" spans="4:9" x14ac:dyDescent="0.25">
      <c r="D55" s="118">
        <v>10</v>
      </c>
      <c r="E55" s="118" t="s">
        <v>188</v>
      </c>
      <c r="F55" s="119">
        <f t="shared" si="5"/>
        <v>45000</v>
      </c>
      <c r="G55" s="119"/>
      <c r="H55" s="119">
        <f t="shared" si="7"/>
        <v>450000</v>
      </c>
      <c r="I55" s="119">
        <f t="shared" si="6"/>
        <v>150000</v>
      </c>
    </row>
    <row r="56" spans="4:9" x14ac:dyDescent="0.25">
      <c r="D56" s="281" t="s">
        <v>167</v>
      </c>
      <c r="E56" s="281"/>
      <c r="F56" s="121">
        <f>SUM(F46:F55)</f>
        <v>450000</v>
      </c>
      <c r="G56" s="120"/>
      <c r="H56" s="120"/>
      <c r="I56" s="120"/>
    </row>
    <row r="58" spans="4:9" x14ac:dyDescent="0.25">
      <c r="D58" s="280" t="s">
        <v>164</v>
      </c>
      <c r="E58" s="280"/>
      <c r="F58" s="280"/>
      <c r="G58" s="280"/>
      <c r="H58" s="280"/>
      <c r="I58" s="280"/>
    </row>
    <row r="59" spans="4:9" ht="16.5" x14ac:dyDescent="0.25">
      <c r="D59" s="278" t="s">
        <v>120</v>
      </c>
      <c r="E59" s="278" t="s">
        <v>201</v>
      </c>
      <c r="F59" s="278" t="s">
        <v>163</v>
      </c>
      <c r="G59" s="278" t="s">
        <v>168</v>
      </c>
      <c r="H59" s="278" t="s">
        <v>122</v>
      </c>
      <c r="I59" s="110" t="s">
        <v>121</v>
      </c>
    </row>
    <row r="60" spans="4:9" x14ac:dyDescent="0.25">
      <c r="D60" s="278"/>
      <c r="E60" s="278"/>
      <c r="F60" s="278"/>
      <c r="G60" s="278"/>
      <c r="H60" s="278"/>
      <c r="I60" s="119">
        <f>E8*F8</f>
        <v>14400</v>
      </c>
    </row>
    <row r="61" spans="4:9" s="30" customFormat="1" x14ac:dyDescent="0.25">
      <c r="D61" s="31">
        <v>1</v>
      </c>
      <c r="E61" s="31" t="s">
        <v>179</v>
      </c>
      <c r="F61" s="119">
        <f t="shared" ref="F61:F66" si="8">$H$8/$I$8</f>
        <v>2066.6666666666665</v>
      </c>
      <c r="G61" s="119">
        <f>F61/12</f>
        <v>172.2222222222222</v>
      </c>
      <c r="H61" s="119">
        <f>F61</f>
        <v>2066.6666666666665</v>
      </c>
      <c r="I61" s="119">
        <f t="shared" ref="I61:I66" si="9">$I$60-H61</f>
        <v>12333.333333333334</v>
      </c>
    </row>
    <row r="62" spans="4:9" x14ac:dyDescent="0.25">
      <c r="D62" s="31">
        <v>2</v>
      </c>
      <c r="E62" s="31" t="s">
        <v>180</v>
      </c>
      <c r="F62" s="119">
        <f t="shared" si="8"/>
        <v>2066.6666666666665</v>
      </c>
      <c r="G62" s="119"/>
      <c r="H62" s="119">
        <f>H61+F62</f>
        <v>4133.333333333333</v>
      </c>
      <c r="I62" s="119">
        <f t="shared" si="9"/>
        <v>10266.666666666668</v>
      </c>
    </row>
    <row r="63" spans="4:9" x14ac:dyDescent="0.25">
      <c r="D63" s="31">
        <v>3</v>
      </c>
      <c r="E63" s="31" t="s">
        <v>181</v>
      </c>
      <c r="F63" s="119">
        <f t="shared" si="8"/>
        <v>2066.6666666666665</v>
      </c>
      <c r="G63" s="119"/>
      <c r="H63" s="119">
        <f>H62+F63</f>
        <v>6200</v>
      </c>
      <c r="I63" s="119">
        <f t="shared" si="9"/>
        <v>8200</v>
      </c>
    </row>
    <row r="64" spans="4:9" x14ac:dyDescent="0.25">
      <c r="D64" s="31">
        <v>4</v>
      </c>
      <c r="E64" s="31" t="s">
        <v>182</v>
      </c>
      <c r="F64" s="119">
        <f t="shared" si="8"/>
        <v>2066.6666666666665</v>
      </c>
      <c r="G64" s="119"/>
      <c r="H64" s="119">
        <f>H63+F64</f>
        <v>8266.6666666666661</v>
      </c>
      <c r="I64" s="119">
        <f t="shared" si="9"/>
        <v>6133.3333333333339</v>
      </c>
    </row>
    <row r="65" spans="4:9" x14ac:dyDescent="0.25">
      <c r="D65" s="31">
        <v>5</v>
      </c>
      <c r="E65" s="31" t="s">
        <v>183</v>
      </c>
      <c r="F65" s="119">
        <f t="shared" si="8"/>
        <v>2066.6666666666665</v>
      </c>
      <c r="G65" s="119"/>
      <c r="H65" s="119">
        <f>H64+F65</f>
        <v>10333.333333333332</v>
      </c>
      <c r="I65" s="119">
        <f t="shared" si="9"/>
        <v>4066.6666666666679</v>
      </c>
    </row>
    <row r="66" spans="4:9" x14ac:dyDescent="0.25">
      <c r="D66" s="31">
        <v>6</v>
      </c>
      <c r="E66" s="31" t="s">
        <v>184</v>
      </c>
      <c r="F66" s="119">
        <f t="shared" si="8"/>
        <v>2066.6666666666665</v>
      </c>
      <c r="G66" s="119"/>
      <c r="H66" s="119">
        <f>H65+F66</f>
        <v>12399.999999999998</v>
      </c>
      <c r="I66" s="119">
        <f t="shared" si="9"/>
        <v>2000.0000000000018</v>
      </c>
    </row>
    <row r="67" spans="4:9" x14ac:dyDescent="0.25">
      <c r="D67" s="281" t="s">
        <v>167</v>
      </c>
      <c r="E67" s="281"/>
      <c r="F67" s="121">
        <f>SUM(F61:F66)</f>
        <v>12399.999999999998</v>
      </c>
      <c r="G67" s="122"/>
      <c r="H67" s="122"/>
      <c r="I67" s="122"/>
    </row>
    <row r="68" spans="4:9" s="30" customFormat="1" x14ac:dyDescent="0.25"/>
    <row r="69" spans="4:9" ht="15.75" x14ac:dyDescent="0.25">
      <c r="D69" s="277" t="s">
        <v>178</v>
      </c>
      <c r="E69" s="277"/>
      <c r="F69" s="277"/>
      <c r="G69" s="277"/>
      <c r="H69" s="277"/>
    </row>
    <row r="70" spans="4:9" s="30" customFormat="1" x14ac:dyDescent="0.25">
      <c r="D70" s="111" t="s">
        <v>173</v>
      </c>
      <c r="E70" s="112" t="s">
        <v>174</v>
      </c>
      <c r="F70" s="112" t="s">
        <v>175</v>
      </c>
      <c r="G70" s="112" t="s">
        <v>176</v>
      </c>
      <c r="H70" s="112" t="s">
        <v>177</v>
      </c>
    </row>
    <row r="71" spans="4:9" x14ac:dyDescent="0.25">
      <c r="D71" s="123">
        <f>F61+F46+F35+F20+F13</f>
        <v>187872.22333333333</v>
      </c>
      <c r="E71" s="123">
        <f>F62+F47+F36+F21+F14</f>
        <v>187872.22333333333</v>
      </c>
      <c r="F71" s="123">
        <f>F63+F48+F37+F22</f>
        <v>171372.22333333333</v>
      </c>
      <c r="G71" s="123">
        <f>F64+F49+F38+F23</f>
        <v>171372.22333333333</v>
      </c>
      <c r="H71" s="123">
        <f>F65+F50+F39+F24</f>
        <v>171372.22333333333</v>
      </c>
    </row>
    <row r="72" spans="4:9" x14ac:dyDescent="0.25">
      <c r="D72" s="125" t="s">
        <v>172</v>
      </c>
      <c r="E72" s="126">
        <f>G61+G46+G35+G20+G13</f>
        <v>15656.018611111111</v>
      </c>
      <c r="F72" s="1"/>
      <c r="G72" s="1"/>
      <c r="H72" s="1"/>
    </row>
  </sheetData>
  <mergeCells count="37">
    <mergeCell ref="D15:E15"/>
    <mergeCell ref="D30:E30"/>
    <mergeCell ref="D32:I32"/>
    <mergeCell ref="D17:I17"/>
    <mergeCell ref="D2:I2"/>
    <mergeCell ref="D10:I10"/>
    <mergeCell ref="D41:E41"/>
    <mergeCell ref="D43:I43"/>
    <mergeCell ref="D56:E56"/>
    <mergeCell ref="D58:I58"/>
    <mergeCell ref="D67:E67"/>
    <mergeCell ref="D44:D45"/>
    <mergeCell ref="E44:E45"/>
    <mergeCell ref="F44:F45"/>
    <mergeCell ref="G44:G45"/>
    <mergeCell ref="H44:H45"/>
    <mergeCell ref="D59:D60"/>
    <mergeCell ref="E59:E60"/>
    <mergeCell ref="F59:F60"/>
    <mergeCell ref="G59:G60"/>
    <mergeCell ref="H59:H60"/>
    <mergeCell ref="D69:H69"/>
    <mergeCell ref="D11:D12"/>
    <mergeCell ref="E11:E12"/>
    <mergeCell ref="F11:F12"/>
    <mergeCell ref="G11:G12"/>
    <mergeCell ref="H11:H12"/>
    <mergeCell ref="D18:D19"/>
    <mergeCell ref="E18:E19"/>
    <mergeCell ref="F18:F19"/>
    <mergeCell ref="G18:G19"/>
    <mergeCell ref="H18:H19"/>
    <mergeCell ref="D33:D34"/>
    <mergeCell ref="E33:E34"/>
    <mergeCell ref="F33:F34"/>
    <mergeCell ref="G33:G34"/>
    <mergeCell ref="H33:H3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18"/>
  <sheetViews>
    <sheetView topLeftCell="D1" zoomScale="85" zoomScaleNormal="85" workbookViewId="0">
      <selection activeCell="I6" sqref="I6"/>
    </sheetView>
  </sheetViews>
  <sheetFormatPr baseColWidth="10" defaultRowHeight="15" x14ac:dyDescent="0.25"/>
  <cols>
    <col min="1" max="1" width="5.7109375" customWidth="1"/>
    <col min="2" max="2" width="16.28515625" customWidth="1"/>
    <col min="3" max="3" width="11.7109375" bestFit="1" customWidth="1"/>
    <col min="4" max="4" width="15.5703125" customWidth="1"/>
    <col min="5" max="5" width="23.28515625" bestFit="1" customWidth="1"/>
    <col min="6" max="6" width="6.42578125" customWidth="1"/>
    <col min="7" max="7" width="17.140625" customWidth="1"/>
    <col min="8" max="8" width="14.5703125" customWidth="1"/>
    <col min="9" max="9" width="15.140625" customWidth="1"/>
    <col min="10" max="10" width="15.140625" style="171" customWidth="1"/>
    <col min="11" max="11" width="23.42578125" bestFit="1" customWidth="1"/>
    <col min="12" max="12" width="5.42578125" customWidth="1"/>
    <col min="13" max="13" width="15.28515625" bestFit="1" customWidth="1"/>
    <col min="14" max="14" width="18.28515625" bestFit="1" customWidth="1"/>
    <col min="15" max="15" width="14.140625" bestFit="1" customWidth="1"/>
    <col min="16" max="16" width="23.28515625" customWidth="1"/>
    <col min="17" max="17" width="7.42578125" customWidth="1"/>
    <col min="18" max="18" width="15" customWidth="1"/>
    <col min="19" max="19" width="16.42578125" customWidth="1"/>
    <col min="20" max="20" width="14.7109375" customWidth="1"/>
    <col min="21" max="21" width="15.140625" customWidth="1"/>
    <col min="22" max="22" width="23.42578125" style="23" customWidth="1"/>
    <col min="23" max="23" width="7.28515625" customWidth="1"/>
    <col min="24" max="24" width="14.85546875" customWidth="1"/>
    <col min="25" max="25" width="21" customWidth="1"/>
    <col min="26" max="26" width="21" style="23" customWidth="1"/>
    <col min="27" max="27" width="17.5703125" customWidth="1"/>
    <col min="28" max="28" width="23.28515625" customWidth="1"/>
    <col min="29" max="29" width="24" customWidth="1"/>
  </cols>
  <sheetData>
    <row r="1" spans="2:28" s="23" customFormat="1" x14ac:dyDescent="0.25">
      <c r="G1" s="92">
        <v>0.08</v>
      </c>
      <c r="J1" s="171"/>
      <c r="M1" s="92">
        <v>0.1</v>
      </c>
      <c r="S1" s="92">
        <v>0.15</v>
      </c>
      <c r="Y1" s="92">
        <v>0.2</v>
      </c>
      <c r="Z1" s="92"/>
    </row>
    <row r="2" spans="2:28" ht="36.75" customHeight="1" x14ac:dyDescent="0.25">
      <c r="G2" s="285" t="s">
        <v>326</v>
      </c>
      <c r="H2" s="285"/>
      <c r="I2" s="285"/>
      <c r="J2" s="285"/>
      <c r="K2" s="285"/>
      <c r="M2" s="285" t="s">
        <v>127</v>
      </c>
      <c r="N2" s="285"/>
      <c r="O2" s="285"/>
      <c r="P2" s="285"/>
      <c r="R2" s="285" t="s">
        <v>128</v>
      </c>
      <c r="S2" s="285"/>
      <c r="T2" s="285"/>
      <c r="U2" s="285"/>
      <c r="V2" s="97"/>
      <c r="X2" s="285" t="s">
        <v>129</v>
      </c>
      <c r="Y2" s="285"/>
      <c r="Z2" s="285"/>
      <c r="AA2" s="285"/>
      <c r="AB2" s="285"/>
    </row>
    <row r="3" spans="2:28" ht="24.75" customHeight="1" x14ac:dyDescent="0.25">
      <c r="B3" s="286" t="s">
        <v>255</v>
      </c>
      <c r="C3" s="286"/>
      <c r="D3" s="286"/>
      <c r="E3" s="286"/>
      <c r="G3" s="219" t="s">
        <v>256</v>
      </c>
      <c r="H3" s="219"/>
      <c r="I3" s="219"/>
      <c r="J3" s="219"/>
      <c r="K3" s="219"/>
      <c r="M3" s="219" t="s">
        <v>257</v>
      </c>
      <c r="N3" s="219"/>
      <c r="O3" s="219"/>
      <c r="P3" s="219"/>
      <c r="R3" s="219" t="s">
        <v>258</v>
      </c>
      <c r="S3" s="219"/>
      <c r="T3" s="219"/>
      <c r="U3" s="219"/>
      <c r="V3" s="219"/>
      <c r="X3" s="219" t="s">
        <v>259</v>
      </c>
      <c r="Y3" s="219"/>
      <c r="Z3" s="219"/>
      <c r="AA3" s="219"/>
      <c r="AB3" s="219"/>
    </row>
    <row r="4" spans="2:28" ht="57" customHeight="1" x14ac:dyDescent="0.25">
      <c r="B4" s="13" t="s">
        <v>38</v>
      </c>
      <c r="C4" s="15" t="s">
        <v>161</v>
      </c>
      <c r="D4" s="3" t="s">
        <v>117</v>
      </c>
      <c r="E4" s="14" t="s">
        <v>59</v>
      </c>
      <c r="G4" s="13" t="s">
        <v>38</v>
      </c>
      <c r="H4" s="15" t="s">
        <v>161</v>
      </c>
      <c r="I4" s="3" t="s">
        <v>117</v>
      </c>
      <c r="J4" s="3" t="s">
        <v>162</v>
      </c>
      <c r="K4" s="14" t="s">
        <v>59</v>
      </c>
      <c r="M4" s="13" t="s">
        <v>38</v>
      </c>
      <c r="N4" s="15" t="s">
        <v>161</v>
      </c>
      <c r="O4" s="3" t="s">
        <v>117</v>
      </c>
      <c r="P4" s="14" t="s">
        <v>59</v>
      </c>
      <c r="R4" s="13" t="s">
        <v>38</v>
      </c>
      <c r="S4" s="15" t="s">
        <v>161</v>
      </c>
      <c r="T4" s="3" t="s">
        <v>117</v>
      </c>
      <c r="U4" s="3" t="s">
        <v>162</v>
      </c>
      <c r="V4" s="14" t="s">
        <v>59</v>
      </c>
      <c r="X4" s="13" t="s">
        <v>38</v>
      </c>
      <c r="Y4" s="15" t="s">
        <v>161</v>
      </c>
      <c r="Z4" s="3" t="s">
        <v>117</v>
      </c>
      <c r="AA4" s="3" t="s">
        <v>162</v>
      </c>
      <c r="AB4" s="14" t="s">
        <v>59</v>
      </c>
    </row>
    <row r="5" spans="2:28" ht="24.75" x14ac:dyDescent="0.25">
      <c r="B5" s="98" t="s">
        <v>189</v>
      </c>
      <c r="C5" s="96">
        <v>1500</v>
      </c>
      <c r="D5" s="96">
        <v>500</v>
      </c>
      <c r="E5" s="99">
        <f t="shared" ref="E5:E16" si="0">C5*D5</f>
        <v>750000</v>
      </c>
      <c r="G5" s="98" t="s">
        <v>189</v>
      </c>
      <c r="H5" s="96">
        <v>1475</v>
      </c>
      <c r="I5" s="100">
        <f>D5*$G$1+D5</f>
        <v>540</v>
      </c>
      <c r="J5" s="101">
        <f>ROUND(I5,0)</f>
        <v>540</v>
      </c>
      <c r="K5" s="99">
        <f t="shared" ref="K5:K16" si="1">I5*H5</f>
        <v>796500</v>
      </c>
      <c r="M5" s="98" t="s">
        <v>189</v>
      </c>
      <c r="N5" s="96">
        <v>1450</v>
      </c>
      <c r="O5" s="102">
        <f>J5*$M$1+J5</f>
        <v>594</v>
      </c>
      <c r="P5" s="99">
        <f t="shared" ref="P5:P16" si="2">O5*N5</f>
        <v>861300</v>
      </c>
      <c r="R5" s="98" t="s">
        <v>189</v>
      </c>
      <c r="S5" s="96">
        <v>1425</v>
      </c>
      <c r="T5" s="100">
        <f>O5*$S$1+O5</f>
        <v>683.1</v>
      </c>
      <c r="U5" s="101">
        <f>ROUND(T5,0)</f>
        <v>683</v>
      </c>
      <c r="V5" s="99">
        <f t="shared" ref="V5:V16" si="3">U5*S5</f>
        <v>973275</v>
      </c>
      <c r="X5" s="98" t="s">
        <v>189</v>
      </c>
      <c r="Y5" s="96">
        <v>1400</v>
      </c>
      <c r="Z5" s="100">
        <f>U5*$Y$1+U5</f>
        <v>819.6</v>
      </c>
      <c r="AA5" s="101">
        <f>ROUND(Z5,0)</f>
        <v>820</v>
      </c>
      <c r="AB5" s="99">
        <f>AA5*Y5</f>
        <v>1148000</v>
      </c>
    </row>
    <row r="6" spans="2:28" ht="24.75" x14ac:dyDescent="0.25">
      <c r="B6" s="98" t="s">
        <v>190</v>
      </c>
      <c r="C6" s="96">
        <v>1500</v>
      </c>
      <c r="D6" s="96">
        <v>600</v>
      </c>
      <c r="E6" s="99">
        <f t="shared" si="0"/>
        <v>900000</v>
      </c>
      <c r="G6" s="98" t="s">
        <v>190</v>
      </c>
      <c r="H6" s="96">
        <v>1475</v>
      </c>
      <c r="I6" s="100">
        <f t="shared" ref="I6:I16" si="4">D6*$G$1+D6</f>
        <v>648</v>
      </c>
      <c r="J6" s="101">
        <f t="shared" ref="J6:J16" si="5">ROUND(I6,0)</f>
        <v>648</v>
      </c>
      <c r="K6" s="99">
        <f t="shared" si="1"/>
        <v>955800</v>
      </c>
      <c r="M6" s="98" t="s">
        <v>190</v>
      </c>
      <c r="N6" s="96">
        <v>1450</v>
      </c>
      <c r="O6" s="102">
        <f t="shared" ref="O6:O16" si="6">J6*$M$1+J6</f>
        <v>712.8</v>
      </c>
      <c r="P6" s="99">
        <f t="shared" si="2"/>
        <v>1033559.9999999999</v>
      </c>
      <c r="R6" s="98" t="s">
        <v>190</v>
      </c>
      <c r="S6" s="96">
        <v>1425</v>
      </c>
      <c r="T6" s="100">
        <f t="shared" ref="T6:T16" si="7">O6*$S$1+O6</f>
        <v>819.71999999999991</v>
      </c>
      <c r="U6" s="101">
        <f t="shared" ref="U6:U16" si="8">ROUND(T6,0)</f>
        <v>820</v>
      </c>
      <c r="V6" s="99">
        <f t="shared" si="3"/>
        <v>1168500</v>
      </c>
      <c r="X6" s="98" t="s">
        <v>190</v>
      </c>
      <c r="Y6" s="96">
        <v>1400</v>
      </c>
      <c r="Z6" s="100">
        <f t="shared" ref="Z6:Z16" si="9">U6*$Y$1+U6</f>
        <v>984</v>
      </c>
      <c r="AA6" s="101">
        <f t="shared" ref="AA6:AA16" si="10">ROUND(Z6,0)</f>
        <v>984</v>
      </c>
      <c r="AB6" s="99">
        <f t="shared" ref="AB6:AB16" si="11">AA6*Y6</f>
        <v>1377600</v>
      </c>
    </row>
    <row r="7" spans="2:28" ht="24.75" x14ac:dyDescent="0.25">
      <c r="B7" s="98" t="s">
        <v>191</v>
      </c>
      <c r="C7" s="96">
        <v>1500</v>
      </c>
      <c r="D7" s="96">
        <v>650</v>
      </c>
      <c r="E7" s="99">
        <f t="shared" si="0"/>
        <v>975000</v>
      </c>
      <c r="G7" s="98" t="s">
        <v>191</v>
      </c>
      <c r="H7" s="96">
        <v>1475</v>
      </c>
      <c r="I7" s="100">
        <f t="shared" si="4"/>
        <v>702</v>
      </c>
      <c r="J7" s="101">
        <f t="shared" si="5"/>
        <v>702</v>
      </c>
      <c r="K7" s="99">
        <f t="shared" si="1"/>
        <v>1035450</v>
      </c>
      <c r="M7" s="98" t="s">
        <v>191</v>
      </c>
      <c r="N7" s="96">
        <v>1450</v>
      </c>
      <c r="O7" s="102">
        <f t="shared" si="6"/>
        <v>772.2</v>
      </c>
      <c r="P7" s="99">
        <f t="shared" si="2"/>
        <v>1119690</v>
      </c>
      <c r="R7" s="98" t="s">
        <v>191</v>
      </c>
      <c r="S7" s="96">
        <v>1425</v>
      </c>
      <c r="T7" s="100">
        <f t="shared" si="7"/>
        <v>888.03000000000009</v>
      </c>
      <c r="U7" s="101">
        <f t="shared" si="8"/>
        <v>888</v>
      </c>
      <c r="V7" s="99">
        <f t="shared" si="3"/>
        <v>1265400</v>
      </c>
      <c r="X7" s="98" t="s">
        <v>191</v>
      </c>
      <c r="Y7" s="96">
        <v>1400</v>
      </c>
      <c r="Z7" s="100">
        <f t="shared" si="9"/>
        <v>1065.5999999999999</v>
      </c>
      <c r="AA7" s="101">
        <f t="shared" si="10"/>
        <v>1066</v>
      </c>
      <c r="AB7" s="99">
        <f t="shared" si="11"/>
        <v>1492400</v>
      </c>
    </row>
    <row r="8" spans="2:28" ht="24.75" x14ac:dyDescent="0.25">
      <c r="B8" s="98" t="s">
        <v>192</v>
      </c>
      <c r="C8" s="96">
        <v>1500</v>
      </c>
      <c r="D8" s="96">
        <v>700</v>
      </c>
      <c r="E8" s="99">
        <f t="shared" si="0"/>
        <v>1050000</v>
      </c>
      <c r="G8" s="98" t="s">
        <v>192</v>
      </c>
      <c r="H8" s="96">
        <v>1475</v>
      </c>
      <c r="I8" s="100">
        <f t="shared" si="4"/>
        <v>756</v>
      </c>
      <c r="J8" s="101">
        <f t="shared" si="5"/>
        <v>756</v>
      </c>
      <c r="K8" s="99">
        <f t="shared" si="1"/>
        <v>1115100</v>
      </c>
      <c r="M8" s="98" t="s">
        <v>192</v>
      </c>
      <c r="N8" s="96">
        <v>1450</v>
      </c>
      <c r="O8" s="102">
        <f t="shared" si="6"/>
        <v>831.6</v>
      </c>
      <c r="P8" s="99">
        <f t="shared" si="2"/>
        <v>1205820</v>
      </c>
      <c r="R8" s="98" t="s">
        <v>192</v>
      </c>
      <c r="S8" s="96">
        <v>1425</v>
      </c>
      <c r="T8" s="100">
        <f t="shared" si="7"/>
        <v>956.34</v>
      </c>
      <c r="U8" s="101">
        <f t="shared" si="8"/>
        <v>956</v>
      </c>
      <c r="V8" s="99">
        <f t="shared" si="3"/>
        <v>1362300</v>
      </c>
      <c r="X8" s="98" t="s">
        <v>192</v>
      </c>
      <c r="Y8" s="96">
        <v>1400</v>
      </c>
      <c r="Z8" s="100">
        <f t="shared" si="9"/>
        <v>1147.2</v>
      </c>
      <c r="AA8" s="101">
        <f t="shared" si="10"/>
        <v>1147</v>
      </c>
      <c r="AB8" s="99">
        <f t="shared" si="11"/>
        <v>1605800</v>
      </c>
    </row>
    <row r="9" spans="2:28" ht="24.75" x14ac:dyDescent="0.25">
      <c r="B9" s="98" t="s">
        <v>193</v>
      </c>
      <c r="C9" s="96">
        <v>1500</v>
      </c>
      <c r="D9" s="96">
        <v>720</v>
      </c>
      <c r="E9" s="99">
        <f t="shared" si="0"/>
        <v>1080000</v>
      </c>
      <c r="G9" s="98" t="s">
        <v>193</v>
      </c>
      <c r="H9" s="96">
        <v>1475</v>
      </c>
      <c r="I9" s="100">
        <f t="shared" si="4"/>
        <v>777.6</v>
      </c>
      <c r="J9" s="101">
        <f t="shared" si="5"/>
        <v>778</v>
      </c>
      <c r="K9" s="99">
        <f t="shared" si="1"/>
        <v>1146960</v>
      </c>
      <c r="M9" s="98" t="s">
        <v>193</v>
      </c>
      <c r="N9" s="96">
        <v>1450</v>
      </c>
      <c r="O9" s="102">
        <f t="shared" si="6"/>
        <v>855.8</v>
      </c>
      <c r="P9" s="99">
        <f t="shared" si="2"/>
        <v>1240910</v>
      </c>
      <c r="R9" s="98" t="s">
        <v>193</v>
      </c>
      <c r="S9" s="96">
        <v>1425</v>
      </c>
      <c r="T9" s="100">
        <f t="shared" si="7"/>
        <v>984.17</v>
      </c>
      <c r="U9" s="101">
        <f t="shared" si="8"/>
        <v>984</v>
      </c>
      <c r="V9" s="99">
        <f t="shared" si="3"/>
        <v>1402200</v>
      </c>
      <c r="X9" s="98" t="s">
        <v>193</v>
      </c>
      <c r="Y9" s="96">
        <v>1400</v>
      </c>
      <c r="Z9" s="100">
        <f t="shared" si="9"/>
        <v>1180.8</v>
      </c>
      <c r="AA9" s="101">
        <f t="shared" si="10"/>
        <v>1181</v>
      </c>
      <c r="AB9" s="99">
        <f t="shared" si="11"/>
        <v>1653400</v>
      </c>
    </row>
    <row r="10" spans="2:28" ht="24.75" x14ac:dyDescent="0.25">
      <c r="B10" s="98" t="s">
        <v>194</v>
      </c>
      <c r="C10" s="96">
        <v>1500</v>
      </c>
      <c r="D10" s="96">
        <v>740</v>
      </c>
      <c r="E10" s="99">
        <f t="shared" si="0"/>
        <v>1110000</v>
      </c>
      <c r="G10" s="98" t="s">
        <v>194</v>
      </c>
      <c r="H10" s="96">
        <v>1475</v>
      </c>
      <c r="I10" s="100">
        <f t="shared" si="4"/>
        <v>799.2</v>
      </c>
      <c r="J10" s="101">
        <f t="shared" si="5"/>
        <v>799</v>
      </c>
      <c r="K10" s="99">
        <f t="shared" si="1"/>
        <v>1178820</v>
      </c>
      <c r="M10" s="98" t="s">
        <v>194</v>
      </c>
      <c r="N10" s="96">
        <v>1450</v>
      </c>
      <c r="O10" s="102">
        <f t="shared" si="6"/>
        <v>878.9</v>
      </c>
      <c r="P10" s="99">
        <f t="shared" si="2"/>
        <v>1274405</v>
      </c>
      <c r="R10" s="98" t="s">
        <v>194</v>
      </c>
      <c r="S10" s="96">
        <v>1425</v>
      </c>
      <c r="T10" s="100">
        <f t="shared" si="7"/>
        <v>1010.7349999999999</v>
      </c>
      <c r="U10" s="101">
        <f t="shared" si="8"/>
        <v>1011</v>
      </c>
      <c r="V10" s="99">
        <f t="shared" si="3"/>
        <v>1440675</v>
      </c>
      <c r="X10" s="98" t="s">
        <v>194</v>
      </c>
      <c r="Y10" s="96">
        <v>1400</v>
      </c>
      <c r="Z10" s="100">
        <f t="shared" si="9"/>
        <v>1213.2</v>
      </c>
      <c r="AA10" s="101">
        <f t="shared" si="10"/>
        <v>1213</v>
      </c>
      <c r="AB10" s="99">
        <f t="shared" si="11"/>
        <v>1698200</v>
      </c>
    </row>
    <row r="11" spans="2:28" ht="24.75" x14ac:dyDescent="0.25">
      <c r="B11" s="98" t="s">
        <v>195</v>
      </c>
      <c r="C11" s="96">
        <v>1500</v>
      </c>
      <c r="D11" s="96">
        <v>760</v>
      </c>
      <c r="E11" s="99">
        <f t="shared" si="0"/>
        <v>1140000</v>
      </c>
      <c r="G11" s="98" t="s">
        <v>195</v>
      </c>
      <c r="H11" s="96">
        <v>1475</v>
      </c>
      <c r="I11" s="100">
        <f t="shared" si="4"/>
        <v>820.8</v>
      </c>
      <c r="J11" s="101">
        <f t="shared" si="5"/>
        <v>821</v>
      </c>
      <c r="K11" s="99">
        <f t="shared" si="1"/>
        <v>1210680</v>
      </c>
      <c r="M11" s="98" t="s">
        <v>195</v>
      </c>
      <c r="N11" s="96">
        <v>1450</v>
      </c>
      <c r="O11" s="102">
        <f t="shared" si="6"/>
        <v>903.1</v>
      </c>
      <c r="P11" s="99">
        <f t="shared" si="2"/>
        <v>1309495</v>
      </c>
      <c r="R11" s="98" t="s">
        <v>195</v>
      </c>
      <c r="S11" s="96">
        <v>1425</v>
      </c>
      <c r="T11" s="100">
        <f t="shared" si="7"/>
        <v>1038.5650000000001</v>
      </c>
      <c r="U11" s="101">
        <f t="shared" si="8"/>
        <v>1039</v>
      </c>
      <c r="V11" s="99">
        <f t="shared" si="3"/>
        <v>1480575</v>
      </c>
      <c r="X11" s="98" t="s">
        <v>195</v>
      </c>
      <c r="Y11" s="96">
        <v>1400</v>
      </c>
      <c r="Z11" s="100">
        <f t="shared" si="9"/>
        <v>1246.8</v>
      </c>
      <c r="AA11" s="101">
        <f t="shared" si="10"/>
        <v>1247</v>
      </c>
      <c r="AB11" s="99">
        <f t="shared" si="11"/>
        <v>1745800</v>
      </c>
    </row>
    <row r="12" spans="2:28" ht="24.75" x14ac:dyDescent="0.25">
      <c r="B12" s="98" t="s">
        <v>196</v>
      </c>
      <c r="C12" s="96">
        <v>1500</v>
      </c>
      <c r="D12" s="96">
        <v>780</v>
      </c>
      <c r="E12" s="99">
        <f t="shared" si="0"/>
        <v>1170000</v>
      </c>
      <c r="G12" s="98" t="s">
        <v>196</v>
      </c>
      <c r="H12" s="96">
        <v>1475</v>
      </c>
      <c r="I12" s="100">
        <f t="shared" si="4"/>
        <v>842.4</v>
      </c>
      <c r="J12" s="101">
        <f t="shared" si="5"/>
        <v>842</v>
      </c>
      <c r="K12" s="99">
        <f t="shared" si="1"/>
        <v>1242540</v>
      </c>
      <c r="M12" s="98" t="s">
        <v>196</v>
      </c>
      <c r="N12" s="96">
        <v>1450</v>
      </c>
      <c r="O12" s="102">
        <f t="shared" si="6"/>
        <v>926.2</v>
      </c>
      <c r="P12" s="99">
        <f t="shared" si="2"/>
        <v>1342990</v>
      </c>
      <c r="R12" s="98" t="s">
        <v>196</v>
      </c>
      <c r="S12" s="96">
        <v>1425</v>
      </c>
      <c r="T12" s="100">
        <f t="shared" si="7"/>
        <v>1065.1300000000001</v>
      </c>
      <c r="U12" s="101">
        <f t="shared" si="8"/>
        <v>1065</v>
      </c>
      <c r="V12" s="99">
        <f t="shared" si="3"/>
        <v>1517625</v>
      </c>
      <c r="X12" s="98" t="s">
        <v>196</v>
      </c>
      <c r="Y12" s="96">
        <v>1400</v>
      </c>
      <c r="Z12" s="100">
        <f t="shared" si="9"/>
        <v>1278</v>
      </c>
      <c r="AA12" s="101">
        <f t="shared" si="10"/>
        <v>1278</v>
      </c>
      <c r="AB12" s="99">
        <f t="shared" si="11"/>
        <v>1789200</v>
      </c>
    </row>
    <row r="13" spans="2:28" ht="33.75" customHeight="1" x14ac:dyDescent="0.25">
      <c r="B13" s="98" t="s">
        <v>197</v>
      </c>
      <c r="C13" s="96">
        <v>1500</v>
      </c>
      <c r="D13" s="96">
        <v>1200</v>
      </c>
      <c r="E13" s="99">
        <f t="shared" si="0"/>
        <v>1800000</v>
      </c>
      <c r="G13" s="98" t="s">
        <v>197</v>
      </c>
      <c r="H13" s="96">
        <v>1475</v>
      </c>
      <c r="I13" s="100">
        <f t="shared" si="4"/>
        <v>1296</v>
      </c>
      <c r="J13" s="101">
        <f t="shared" si="5"/>
        <v>1296</v>
      </c>
      <c r="K13" s="99">
        <f t="shared" si="1"/>
        <v>1911600</v>
      </c>
      <c r="M13" s="98" t="s">
        <v>197</v>
      </c>
      <c r="N13" s="96">
        <v>1450</v>
      </c>
      <c r="O13" s="102">
        <f t="shared" si="6"/>
        <v>1425.6</v>
      </c>
      <c r="P13" s="99">
        <f t="shared" si="2"/>
        <v>2067119.9999999998</v>
      </c>
      <c r="R13" s="98" t="s">
        <v>197</v>
      </c>
      <c r="S13" s="96">
        <v>1425</v>
      </c>
      <c r="T13" s="100">
        <f t="shared" si="7"/>
        <v>1639.4399999999998</v>
      </c>
      <c r="U13" s="101">
        <f t="shared" si="8"/>
        <v>1639</v>
      </c>
      <c r="V13" s="99">
        <f t="shared" si="3"/>
        <v>2335575</v>
      </c>
      <c r="X13" s="98" t="s">
        <v>197</v>
      </c>
      <c r="Y13" s="96">
        <v>1400</v>
      </c>
      <c r="Z13" s="100">
        <f t="shared" si="9"/>
        <v>1966.8</v>
      </c>
      <c r="AA13" s="101">
        <f t="shared" si="10"/>
        <v>1967</v>
      </c>
      <c r="AB13" s="99">
        <f t="shared" si="11"/>
        <v>2753800</v>
      </c>
    </row>
    <row r="14" spans="2:28" ht="24.75" x14ac:dyDescent="0.25">
      <c r="B14" s="98" t="s">
        <v>198</v>
      </c>
      <c r="C14" s="96">
        <v>1500</v>
      </c>
      <c r="D14" s="96">
        <v>1000</v>
      </c>
      <c r="E14" s="99">
        <f t="shared" si="0"/>
        <v>1500000</v>
      </c>
      <c r="G14" s="98" t="s">
        <v>198</v>
      </c>
      <c r="H14" s="96">
        <v>1475</v>
      </c>
      <c r="I14" s="100">
        <f t="shared" si="4"/>
        <v>1080</v>
      </c>
      <c r="J14" s="101">
        <f t="shared" si="5"/>
        <v>1080</v>
      </c>
      <c r="K14" s="99">
        <f t="shared" si="1"/>
        <v>1593000</v>
      </c>
      <c r="M14" s="98" t="s">
        <v>198</v>
      </c>
      <c r="N14" s="96">
        <v>1450</v>
      </c>
      <c r="O14" s="102">
        <f t="shared" si="6"/>
        <v>1188</v>
      </c>
      <c r="P14" s="99">
        <f t="shared" si="2"/>
        <v>1722600</v>
      </c>
      <c r="R14" s="98" t="s">
        <v>198</v>
      </c>
      <c r="S14" s="96">
        <v>1425</v>
      </c>
      <c r="T14" s="100">
        <f t="shared" si="7"/>
        <v>1366.2</v>
      </c>
      <c r="U14" s="101">
        <f t="shared" si="8"/>
        <v>1366</v>
      </c>
      <c r="V14" s="99">
        <f t="shared" si="3"/>
        <v>1946550</v>
      </c>
      <c r="X14" s="98" t="s">
        <v>198</v>
      </c>
      <c r="Y14" s="96">
        <v>1400</v>
      </c>
      <c r="Z14" s="100">
        <f t="shared" si="9"/>
        <v>1639.2</v>
      </c>
      <c r="AA14" s="101">
        <f t="shared" si="10"/>
        <v>1639</v>
      </c>
      <c r="AB14" s="99">
        <f t="shared" si="11"/>
        <v>2294600</v>
      </c>
    </row>
    <row r="15" spans="2:28" ht="24.75" x14ac:dyDescent="0.25">
      <c r="B15" s="98" t="s">
        <v>199</v>
      </c>
      <c r="C15" s="96">
        <v>1500</v>
      </c>
      <c r="D15" s="96">
        <v>800</v>
      </c>
      <c r="E15" s="99">
        <f t="shared" si="0"/>
        <v>1200000</v>
      </c>
      <c r="G15" s="98" t="s">
        <v>199</v>
      </c>
      <c r="H15" s="96">
        <v>1475</v>
      </c>
      <c r="I15" s="100">
        <f t="shared" si="4"/>
        <v>864</v>
      </c>
      <c r="J15" s="101">
        <f t="shared" si="5"/>
        <v>864</v>
      </c>
      <c r="K15" s="99">
        <f t="shared" si="1"/>
        <v>1274400</v>
      </c>
      <c r="M15" s="98" t="s">
        <v>199</v>
      </c>
      <c r="N15" s="96">
        <v>1450</v>
      </c>
      <c r="O15" s="102">
        <f t="shared" si="6"/>
        <v>950.4</v>
      </c>
      <c r="P15" s="99">
        <f t="shared" si="2"/>
        <v>1378080</v>
      </c>
      <c r="R15" s="98" t="s">
        <v>199</v>
      </c>
      <c r="S15" s="96">
        <v>1425</v>
      </c>
      <c r="T15" s="100">
        <f t="shared" si="7"/>
        <v>1092.96</v>
      </c>
      <c r="U15" s="101">
        <f t="shared" si="8"/>
        <v>1093</v>
      </c>
      <c r="V15" s="99">
        <f t="shared" si="3"/>
        <v>1557525</v>
      </c>
      <c r="X15" s="98" t="s">
        <v>199</v>
      </c>
      <c r="Y15" s="96">
        <v>1400</v>
      </c>
      <c r="Z15" s="100">
        <f t="shared" si="9"/>
        <v>1311.6</v>
      </c>
      <c r="AA15" s="101">
        <f t="shared" si="10"/>
        <v>1312</v>
      </c>
      <c r="AB15" s="99">
        <f t="shared" si="11"/>
        <v>1836800</v>
      </c>
    </row>
    <row r="16" spans="2:28" ht="24.75" x14ac:dyDescent="0.25">
      <c r="B16" s="98" t="s">
        <v>200</v>
      </c>
      <c r="C16" s="96">
        <v>1500</v>
      </c>
      <c r="D16" s="96">
        <v>850</v>
      </c>
      <c r="E16" s="99">
        <f t="shared" si="0"/>
        <v>1275000</v>
      </c>
      <c r="G16" s="98" t="s">
        <v>200</v>
      </c>
      <c r="H16" s="96">
        <v>1475</v>
      </c>
      <c r="I16" s="100">
        <f t="shared" si="4"/>
        <v>918</v>
      </c>
      <c r="J16" s="101">
        <f t="shared" si="5"/>
        <v>918</v>
      </c>
      <c r="K16" s="99">
        <f t="shared" si="1"/>
        <v>1354050</v>
      </c>
      <c r="M16" s="98" t="s">
        <v>200</v>
      </c>
      <c r="N16" s="96">
        <v>1450</v>
      </c>
      <c r="O16" s="102">
        <f t="shared" si="6"/>
        <v>1009.8</v>
      </c>
      <c r="P16" s="99">
        <f t="shared" si="2"/>
        <v>1464210</v>
      </c>
      <c r="R16" s="98" t="s">
        <v>200</v>
      </c>
      <c r="S16" s="96">
        <v>1425</v>
      </c>
      <c r="T16" s="100">
        <f t="shared" si="7"/>
        <v>1161.27</v>
      </c>
      <c r="U16" s="101">
        <f t="shared" si="8"/>
        <v>1161</v>
      </c>
      <c r="V16" s="99">
        <f t="shared" si="3"/>
        <v>1654425</v>
      </c>
      <c r="X16" s="98" t="s">
        <v>200</v>
      </c>
      <c r="Y16" s="96">
        <v>1400</v>
      </c>
      <c r="Z16" s="100">
        <f t="shared" si="9"/>
        <v>1393.2</v>
      </c>
      <c r="AA16" s="101">
        <f t="shared" si="10"/>
        <v>1393</v>
      </c>
      <c r="AB16" s="99">
        <f t="shared" si="11"/>
        <v>1950200</v>
      </c>
    </row>
    <row r="17" spans="3:29" ht="24.75" customHeight="1" x14ac:dyDescent="0.25">
      <c r="C17" s="103" t="s">
        <v>39</v>
      </c>
      <c r="D17" s="104">
        <f>SUM(D5:D16)</f>
        <v>9300</v>
      </c>
      <c r="E17" s="105">
        <f>SUM(E5:E16)</f>
        <v>13950000</v>
      </c>
      <c r="F17" s="88"/>
      <c r="G17" s="88"/>
      <c r="H17" s="283" t="s">
        <v>39</v>
      </c>
      <c r="I17" s="284"/>
      <c r="J17" s="104">
        <f>SUM(J5:J16)</f>
        <v>10044</v>
      </c>
      <c r="K17" s="105">
        <f>SUM(K5:K16)</f>
        <v>14814900</v>
      </c>
      <c r="L17" s="88"/>
      <c r="M17" s="88"/>
      <c r="N17" s="103" t="s">
        <v>39</v>
      </c>
      <c r="O17" s="106">
        <f>SUM(O5:O16)</f>
        <v>11048.399999999998</v>
      </c>
      <c r="P17" s="105">
        <f>SUM(P5:P16)</f>
        <v>16020180</v>
      </c>
      <c r="Q17" s="88"/>
      <c r="R17" s="88"/>
      <c r="S17" s="103" t="s">
        <v>39</v>
      </c>
      <c r="T17" s="103"/>
      <c r="U17" s="104">
        <f>SUM(U5:U16)</f>
        <v>12705</v>
      </c>
      <c r="V17" s="105">
        <f>SUM(V5:V16)</f>
        <v>18104625</v>
      </c>
      <c r="W17" s="88"/>
      <c r="X17" s="88"/>
      <c r="Y17" s="103" t="s">
        <v>39</v>
      </c>
      <c r="Z17" s="103"/>
      <c r="AA17" s="107">
        <f>SUM(AA5:AA16)</f>
        <v>15247</v>
      </c>
      <c r="AB17" s="105">
        <f>SUM(AB5:AB16)</f>
        <v>21345800</v>
      </c>
      <c r="AC17" s="89"/>
    </row>
    <row r="18" spans="3:29" ht="24.75" customHeight="1" x14ac:dyDescent="0.25">
      <c r="AC18" s="108"/>
    </row>
  </sheetData>
  <mergeCells count="10">
    <mergeCell ref="B3:E3"/>
    <mergeCell ref="G3:K3"/>
    <mergeCell ref="M3:P3"/>
    <mergeCell ref="G2:K2"/>
    <mergeCell ref="M2:P2"/>
    <mergeCell ref="H17:I17"/>
    <mergeCell ref="R2:U2"/>
    <mergeCell ref="X2:AB2"/>
    <mergeCell ref="R3:V3"/>
    <mergeCell ref="X3:AB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workbookViewId="0">
      <selection activeCell="F28" sqref="F28"/>
    </sheetView>
  </sheetViews>
  <sheetFormatPr baseColWidth="10" defaultRowHeight="15" x14ac:dyDescent="0.25"/>
  <cols>
    <col min="3" max="3" width="15" bestFit="1" customWidth="1"/>
    <col min="4" max="4" width="20" bestFit="1" customWidth="1"/>
  </cols>
  <sheetData>
    <row r="2" spans="2:4" x14ac:dyDescent="0.25">
      <c r="B2" s="147" t="s">
        <v>212</v>
      </c>
      <c r="C2" s="148" t="s">
        <v>140</v>
      </c>
      <c r="D2" s="148" t="s">
        <v>213</v>
      </c>
    </row>
    <row r="3" spans="2:4" x14ac:dyDescent="0.25">
      <c r="B3" s="149" t="s">
        <v>173</v>
      </c>
      <c r="C3" s="149">
        <f>' DEMANDA'!C5</f>
        <v>1500</v>
      </c>
      <c r="D3" s="149">
        <f>' DEMANDA'!D17</f>
        <v>9300</v>
      </c>
    </row>
    <row r="4" spans="2:4" x14ac:dyDescent="0.25">
      <c r="B4" s="149" t="s">
        <v>174</v>
      </c>
      <c r="C4" s="149">
        <f>' DEMANDA'!H5</f>
        <v>1475</v>
      </c>
      <c r="D4" s="149">
        <f>' DEMANDA'!J17</f>
        <v>10044</v>
      </c>
    </row>
    <row r="5" spans="2:4" x14ac:dyDescent="0.25">
      <c r="B5" s="149" t="s">
        <v>175</v>
      </c>
      <c r="C5" s="149">
        <f>' DEMANDA'!N5</f>
        <v>1450</v>
      </c>
      <c r="D5" s="150">
        <f>' DEMANDA'!O17</f>
        <v>11048.399999999998</v>
      </c>
    </row>
    <row r="6" spans="2:4" x14ac:dyDescent="0.25">
      <c r="B6" s="149" t="s">
        <v>176</v>
      </c>
      <c r="C6" s="149">
        <f>' DEMANDA'!S5</f>
        <v>1425</v>
      </c>
      <c r="D6" s="149">
        <f>' DEMANDA'!U17</f>
        <v>12705</v>
      </c>
    </row>
    <row r="7" spans="2:4" x14ac:dyDescent="0.25">
      <c r="B7" s="149" t="s">
        <v>177</v>
      </c>
      <c r="C7" s="149">
        <f>' DEMANDA'!Y5</f>
        <v>1400</v>
      </c>
      <c r="D7" s="149">
        <f>' DEMANDA'!AA17</f>
        <v>15247</v>
      </c>
    </row>
    <row r="8" spans="2:4" x14ac:dyDescent="0.25">
      <c r="B8" s="287" t="s">
        <v>214</v>
      </c>
      <c r="C8" s="287"/>
      <c r="D8" s="151">
        <f>SUM(D3:D7)</f>
        <v>58344.399999999994</v>
      </c>
    </row>
  </sheetData>
  <mergeCells count="1">
    <mergeCell ref="B8:C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 HOJAS DE BALANCE</vt:lpstr>
      <vt:lpstr>CALENDARIO DE REINVERSIONES</vt:lpstr>
      <vt:lpstr>CALENDARIO INGRESOS X VENTA </vt:lpstr>
      <vt:lpstr>COSTOS DE PRODUCCIÓN </vt:lpstr>
      <vt:lpstr>PUNTO DE EQUILIBRIO</vt:lpstr>
      <vt:lpstr>IMPUESTO DE PRIMERA CATEGORÍA</vt:lpstr>
      <vt:lpstr>DEPRECIACIÓN</vt:lpstr>
      <vt:lpstr> DEMANDA</vt:lpstr>
      <vt:lpstr>CURVA DE LA DEMANDA</vt:lpstr>
      <vt:lpstr>CICLO DE VIDA DEL PRODUCTO</vt:lpstr>
      <vt:lpstr>CAPITAL DE TRABAJO</vt:lpstr>
      <vt:lpstr>INVERSIÓN INICIAL PREVIA</vt:lpstr>
      <vt:lpstr>VALOR DE DESECHO</vt:lpstr>
      <vt:lpstr>COSTO DE CAPITAL</vt:lpstr>
      <vt:lpstr>FLUJO DE CAJA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2014-11-26T12:35:48Z</dcterms:modified>
</cp:coreProperties>
</file>