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sustainableenergycardiff.sharepoint.com/sites/Cross-Borough/Shared Documents/General/"/>
    </mc:Choice>
  </mc:AlternateContent>
  <xr:revisionPtr revIDLastSave="3962" documentId="8_{A3E04E66-0417-4908-AFCF-A7BB352EBCE5}" xr6:coauthVersionLast="47" xr6:coauthVersionMax="47" xr10:uidLastSave="{7268513A-717D-449D-B2AC-C8F412C744B5}"/>
  <bookViews>
    <workbookView xWindow="19090" yWindow="-110" windowWidth="19420" windowHeight="10420" activeTab="2" xr2:uid="{9FCAD71F-219C-4882-81AA-C431A334D42E}"/>
  </bookViews>
  <sheets>
    <sheet name="Version control" sheetId="1" r:id="rId1"/>
    <sheet name="Guide" sheetId="2" r:id="rId2"/>
    <sheet name="Dashboard" sheetId="3" r:id="rId3"/>
    <sheet name="Heat connections inputs" sheetId="17" r:id="rId4"/>
    <sheet name="Pipe data inputs" sheetId="18" r:id="rId5"/>
    <sheet name="Heat supplies inputs" sheetId="19" r:id="rId6"/>
    <sheet name="Heat connections" sheetId="14" r:id="rId7"/>
    <sheet name="Pipe data" sheetId="15" r:id="rId8"/>
    <sheet name="Heat supplies" sheetId="16" r:id="rId9"/>
    <sheet name="Technical inputs" sheetId="4" r:id="rId10"/>
    <sheet name="Operating model" sheetId="13" r:id="rId11"/>
    <sheet name="OPEX" sheetId="11" r:id="rId12"/>
    <sheet name="CAPEX" sheetId="5" r:id="rId13"/>
    <sheet name="Revenue" sheetId="12" r:id="rId14"/>
    <sheet name="Financial Analysis" sheetId="6" r:id="rId15"/>
    <sheet name="CO2e" sheetId="7" r:id="rId16"/>
    <sheet name="Price projections" sheetId="8" r:id="rId17"/>
    <sheet name="Lists" sheetId="9" r:id="rId18"/>
  </sheets>
  <definedNames>
    <definedName name="Auxillaryboilers">Lists!$B$22:$B$24</definedName>
    <definedName name="BEISpriceprojections">Lists!$B$27:$B$29</definedName>
    <definedName name="Counterfactual">Lists!$B$17:$B$19</definedName>
    <definedName name="Energytariffindexing">Lists!$B$32:$B$33</definedName>
    <definedName name="Phase">Lists!$B$8:$B$10</definedName>
    <definedName name="Years">Lists!$B$12:$B$14</definedName>
    <definedName name="YesNo">Lists!$B$4:$B$5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6" i="16" l="1"/>
  <c r="AC7" i="16"/>
  <c r="AC8" i="16"/>
  <c r="AC9" i="16"/>
  <c r="AC10" i="16"/>
  <c r="AC11" i="16"/>
  <c r="AC12" i="16"/>
  <c r="AC13" i="16"/>
  <c r="AC14" i="16"/>
  <c r="AC15" i="16"/>
  <c r="AC16" i="16"/>
  <c r="AC17" i="16"/>
  <c r="AC18" i="16"/>
  <c r="AC19" i="16"/>
  <c r="AC20" i="16"/>
  <c r="AC21" i="16"/>
  <c r="AC22" i="16"/>
  <c r="AC23" i="16"/>
  <c r="AC24" i="16"/>
  <c r="AC25" i="16"/>
  <c r="AC26" i="16"/>
  <c r="AC27" i="16"/>
  <c r="AC28" i="16"/>
  <c r="AC29" i="16"/>
  <c r="H57" i="13" l="1"/>
  <c r="G57" i="13"/>
  <c r="F57" i="13"/>
  <c r="Z5" i="14" l="1"/>
  <c r="Z6" i="14"/>
  <c r="Z7" i="14"/>
  <c r="Z8" i="14"/>
  <c r="Z9" i="14"/>
  <c r="Z10" i="14"/>
  <c r="Z11" i="14"/>
  <c r="Z12" i="14"/>
  <c r="Z13" i="14"/>
  <c r="Z14" i="14"/>
  <c r="Z15" i="14"/>
  <c r="Z16" i="14"/>
  <c r="Z17" i="14"/>
  <c r="Z18" i="14"/>
  <c r="Z19" i="14"/>
  <c r="Z20" i="14"/>
  <c r="Z21" i="14"/>
  <c r="Z22" i="14"/>
  <c r="Z23" i="14"/>
  <c r="Z24" i="14"/>
  <c r="Z25" i="14"/>
  <c r="Z26" i="14"/>
  <c r="Z27" i="14"/>
  <c r="Z28" i="14"/>
  <c r="Z29" i="14"/>
  <c r="Z30" i="14"/>
  <c r="Z31" i="14"/>
  <c r="Z32" i="14"/>
  <c r="Z33" i="14"/>
  <c r="Z34" i="14"/>
  <c r="Z35" i="14"/>
  <c r="Z36" i="14"/>
  <c r="Z37" i="14"/>
  <c r="Z38" i="14"/>
  <c r="Z39" i="14"/>
  <c r="Z40" i="14"/>
  <c r="Z41" i="14"/>
  <c r="Z42" i="14"/>
  <c r="Z43" i="14"/>
  <c r="Z44" i="14"/>
  <c r="Z45" i="14"/>
  <c r="Z46" i="14"/>
  <c r="Z47" i="14"/>
  <c r="Z48" i="14"/>
  <c r="Z49" i="14"/>
  <c r="Z50" i="14"/>
  <c r="Z51" i="14"/>
  <c r="Z52" i="14"/>
  <c r="Z53" i="14"/>
  <c r="Z54" i="14"/>
  <c r="Z55" i="14"/>
  <c r="Z56" i="14"/>
  <c r="Z57" i="14"/>
  <c r="Z58" i="14"/>
  <c r="Z59" i="14"/>
  <c r="Z60" i="14"/>
  <c r="Z61" i="14"/>
  <c r="Z62" i="14"/>
  <c r="Z63" i="14"/>
  <c r="Z64" i="14"/>
  <c r="Z65" i="14"/>
  <c r="Z66" i="14"/>
  <c r="Z67" i="14"/>
  <c r="Z68" i="14"/>
  <c r="Z69" i="14"/>
  <c r="Z70" i="14"/>
  <c r="Z71" i="14"/>
  <c r="Z72" i="14"/>
  <c r="Z73" i="14"/>
  <c r="Z74" i="14"/>
  <c r="Z75" i="14"/>
  <c r="Z76" i="14"/>
  <c r="Z77" i="14"/>
  <c r="Z78" i="14"/>
  <c r="Z79" i="14"/>
  <c r="Z80" i="14"/>
  <c r="Z81" i="14"/>
  <c r="Z82" i="14"/>
  <c r="Z83" i="14"/>
  <c r="Z84" i="14"/>
  <c r="Z85" i="14"/>
  <c r="Z86" i="14"/>
  <c r="Z87" i="14"/>
  <c r="Z88" i="14"/>
  <c r="Z89" i="14"/>
  <c r="Z90" i="14"/>
  <c r="Z91" i="14"/>
  <c r="Z92" i="14"/>
  <c r="Z93" i="14"/>
  <c r="Z94" i="14"/>
  <c r="Z95" i="14"/>
  <c r="Z96" i="14"/>
  <c r="Z97" i="14"/>
  <c r="Z98" i="14"/>
  <c r="Z99" i="14"/>
  <c r="Z100" i="14"/>
  <c r="Z101" i="14"/>
  <c r="Z102" i="14"/>
  <c r="Z103" i="14"/>
  <c r="Z104" i="14"/>
  <c r="Z105" i="14"/>
  <c r="Z106" i="14"/>
  <c r="Z107" i="14"/>
  <c r="Z108" i="14"/>
  <c r="Z109" i="14"/>
  <c r="Z110" i="14"/>
  <c r="Z111" i="14"/>
  <c r="Z112" i="14"/>
  <c r="Z113" i="14"/>
  <c r="Z114" i="14"/>
  <c r="Z115" i="14"/>
  <c r="Z116" i="14"/>
  <c r="Z117" i="14"/>
  <c r="Z118" i="14"/>
  <c r="Z119" i="14"/>
  <c r="Z120" i="14"/>
  <c r="Z121" i="14"/>
  <c r="Z122" i="14"/>
  <c r="Z123" i="14"/>
  <c r="Z124" i="14"/>
  <c r="Z125" i="14"/>
  <c r="Z126" i="14"/>
  <c r="Z127" i="14"/>
  <c r="Z128" i="14"/>
  <c r="Z129" i="14"/>
  <c r="Z130" i="14"/>
  <c r="Z131" i="14"/>
  <c r="Z132" i="14"/>
  <c r="Z133" i="14"/>
  <c r="Z134" i="14"/>
  <c r="Z135" i="14"/>
  <c r="Z136" i="14"/>
  <c r="Z137" i="14"/>
  <c r="Z138" i="14"/>
  <c r="Z139" i="14"/>
  <c r="Z140" i="14"/>
  <c r="Z141" i="14"/>
  <c r="Z142" i="14"/>
  <c r="Z143" i="14"/>
  <c r="Z144" i="14"/>
  <c r="Z145" i="14"/>
  <c r="Z146" i="14"/>
  <c r="Z147" i="14"/>
  <c r="Z148" i="14"/>
  <c r="Z149" i="14"/>
  <c r="Z150" i="14"/>
  <c r="Z151" i="14"/>
  <c r="Z152" i="14"/>
  <c r="Z153" i="14"/>
  <c r="Z154" i="14"/>
  <c r="Z155" i="14"/>
  <c r="Z156" i="14"/>
  <c r="Z157" i="14"/>
  <c r="Z158" i="14"/>
  <c r="Z159" i="14"/>
  <c r="Z160" i="14"/>
  <c r="Z161" i="14"/>
  <c r="Z162" i="14"/>
  <c r="Z163" i="14"/>
  <c r="Z164" i="14"/>
  <c r="Z165" i="14"/>
  <c r="Z166" i="14"/>
  <c r="Z167" i="14"/>
  <c r="Z168" i="14"/>
  <c r="Z169" i="14"/>
  <c r="Z170" i="14"/>
  <c r="Z171" i="14"/>
  <c r="Z172" i="14"/>
  <c r="Z173" i="14"/>
  <c r="Z174" i="14"/>
  <c r="Z175" i="14"/>
  <c r="Z176" i="14"/>
  <c r="Z177" i="14"/>
  <c r="Z178" i="14"/>
  <c r="Z179" i="14"/>
  <c r="Z180" i="14"/>
  <c r="Z181" i="14"/>
  <c r="Z182" i="14"/>
  <c r="Z183" i="14"/>
  <c r="Z184" i="14"/>
  <c r="Z185" i="14"/>
  <c r="Z186" i="14"/>
  <c r="Z187" i="14"/>
  <c r="Z188" i="14"/>
  <c r="Z189" i="14"/>
  <c r="Z190" i="14"/>
  <c r="Z191" i="14"/>
  <c r="Z192" i="14"/>
  <c r="Z193" i="14"/>
  <c r="Z194" i="14"/>
  <c r="Z195" i="14"/>
  <c r="Z196" i="14"/>
  <c r="Z197" i="14"/>
  <c r="Z198" i="14"/>
  <c r="Z199" i="14"/>
  <c r="Z200" i="14"/>
  <c r="Z201" i="14"/>
  <c r="Z202" i="14"/>
  <c r="Z203" i="14"/>
  <c r="Z204" i="14"/>
  <c r="Z205" i="14"/>
  <c r="Z206" i="14"/>
  <c r="Z207" i="14"/>
  <c r="Z208" i="14"/>
  <c r="Z209" i="14"/>
  <c r="Z210" i="14"/>
  <c r="Z211" i="14"/>
  <c r="Z212" i="14"/>
  <c r="Z213" i="14"/>
  <c r="Z214" i="14"/>
  <c r="Z215" i="14"/>
  <c r="Z216" i="14"/>
  <c r="Z217" i="14"/>
  <c r="Z218" i="14"/>
  <c r="Z219" i="14"/>
  <c r="Z220" i="14"/>
  <c r="Z221" i="14"/>
  <c r="Z222" i="14"/>
  <c r="Z223" i="14"/>
  <c r="Z224" i="14"/>
  <c r="Z225" i="14"/>
  <c r="Z226" i="14"/>
  <c r="Z227" i="14"/>
  <c r="Z228" i="14"/>
  <c r="Z229" i="14"/>
  <c r="Z230" i="14"/>
  <c r="Z231" i="14"/>
  <c r="Z232" i="14"/>
  <c r="Z233" i="14"/>
  <c r="Z234" i="14"/>
  <c r="Z235" i="14"/>
  <c r="Z236" i="14"/>
  <c r="Z237" i="14"/>
  <c r="Z238" i="14"/>
  <c r="Z239" i="14"/>
  <c r="Z240" i="14"/>
  <c r="Z241" i="14"/>
  <c r="Z242" i="14"/>
  <c r="L28" i="5"/>
  <c r="K28" i="5"/>
  <c r="J28" i="5"/>
  <c r="F56" i="5" l="1"/>
  <c r="C70" i="5" s="1"/>
  <c r="F57" i="5"/>
  <c r="F58" i="5"/>
  <c r="F59" i="5"/>
  <c r="F60" i="5"/>
  <c r="F61" i="5"/>
  <c r="F62" i="5"/>
  <c r="F63" i="5"/>
  <c r="F64" i="5"/>
  <c r="C71" i="5" s="1"/>
  <c r="G10" i="16" l="1" a="1"/>
  <c r="G10" i="16" s="1"/>
  <c r="C6" i="16" l="1" a="1"/>
  <c r="C6" i="16" s="1"/>
  <c r="T6" i="16"/>
  <c r="T7" i="16"/>
  <c r="T8" i="16"/>
  <c r="T9" i="16"/>
  <c r="T10" i="16"/>
  <c r="T11" i="16"/>
  <c r="W11" i="16" s="1"/>
  <c r="T12" i="16"/>
  <c r="W12" i="16" s="1"/>
  <c r="T13" i="16"/>
  <c r="W13" i="16" s="1"/>
  <c r="T14" i="16"/>
  <c r="W14" i="16" s="1"/>
  <c r="T15" i="16"/>
  <c r="W15" i="16" s="1"/>
  <c r="T16" i="16"/>
  <c r="W16" i="16" s="1"/>
  <c r="T17" i="16"/>
  <c r="W17" i="16" s="1"/>
  <c r="T18" i="16"/>
  <c r="W18" i="16" s="1"/>
  <c r="T19" i="16"/>
  <c r="W19" i="16" s="1"/>
  <c r="T20" i="16"/>
  <c r="W20" i="16" s="1"/>
  <c r="T21" i="16"/>
  <c r="W21" i="16" s="1"/>
  <c r="T22" i="16"/>
  <c r="W22" i="16" s="1"/>
  <c r="T23" i="16"/>
  <c r="W23" i="16" s="1"/>
  <c r="T24" i="16"/>
  <c r="W24" i="16" s="1"/>
  <c r="T25" i="16"/>
  <c r="W25" i="16" s="1"/>
  <c r="T26" i="16"/>
  <c r="W26" i="16" s="1"/>
  <c r="T27" i="16"/>
  <c r="W27" i="16" s="1"/>
  <c r="T28" i="16"/>
  <c r="W28" i="16" s="1"/>
  <c r="T29" i="16"/>
  <c r="W29" i="16" s="1"/>
  <c r="M6" i="16" l="1" a="1"/>
  <c r="M6" i="16" s="1"/>
  <c r="M7" i="16" a="1"/>
  <c r="M7" i="16" s="1"/>
  <c r="M8" i="16" a="1"/>
  <c r="M8" i="16" s="1"/>
  <c r="M9" i="16" a="1"/>
  <c r="M9" i="16" s="1"/>
  <c r="M10" i="16" a="1"/>
  <c r="M10" i="16" s="1"/>
  <c r="M11" i="16" a="1"/>
  <c r="M11" i="16" s="1"/>
  <c r="M12" i="16" a="1"/>
  <c r="M12" i="16" s="1"/>
  <c r="M13" i="16" a="1"/>
  <c r="M13" i="16" s="1"/>
  <c r="M14" i="16" a="1"/>
  <c r="M14" i="16" s="1"/>
  <c r="M15" i="16" a="1"/>
  <c r="M15" i="16" s="1"/>
  <c r="M16" i="16" a="1"/>
  <c r="M16" i="16" s="1"/>
  <c r="M17" i="16" a="1"/>
  <c r="M17" i="16" s="1"/>
  <c r="M18" i="16" a="1"/>
  <c r="M18" i="16" s="1"/>
  <c r="M19" i="16" a="1"/>
  <c r="M19" i="16" s="1"/>
  <c r="M20" i="16" a="1"/>
  <c r="M20" i="16" s="1"/>
  <c r="M21" i="16" a="1"/>
  <c r="M21" i="16" s="1"/>
  <c r="M22" i="16" a="1"/>
  <c r="M22" i="16" s="1"/>
  <c r="M23" i="16" a="1"/>
  <c r="M23" i="16" s="1"/>
  <c r="M24" i="16" a="1"/>
  <c r="M24" i="16" s="1"/>
  <c r="M25" i="16" a="1"/>
  <c r="M25" i="16" s="1"/>
  <c r="M26" i="16" a="1"/>
  <c r="M26" i="16" s="1"/>
  <c r="M27" i="16" a="1"/>
  <c r="M27" i="16" s="1"/>
  <c r="M28" i="16" a="1"/>
  <c r="M28" i="16" s="1"/>
  <c r="M29" i="16" a="1"/>
  <c r="M29" i="16" s="1"/>
  <c r="W4" i="16" l="1"/>
  <c r="W10" i="16" s="1"/>
  <c r="W9" i="16" l="1"/>
  <c r="W6" i="16"/>
  <c r="W7" i="16"/>
  <c r="W8" i="16"/>
  <c r="V6" i="16"/>
  <c r="V7" i="16"/>
  <c r="V8" i="16"/>
  <c r="V9" i="16"/>
  <c r="V10" i="16"/>
  <c r="V11" i="16"/>
  <c r="V12" i="16"/>
  <c r="V13" i="16"/>
  <c r="V14" i="16"/>
  <c r="V15" i="16"/>
  <c r="V16" i="16"/>
  <c r="V17" i="16"/>
  <c r="V18" i="16"/>
  <c r="V19" i="16"/>
  <c r="V20" i="16"/>
  <c r="V21" i="16"/>
  <c r="V22" i="16"/>
  <c r="V23" i="16"/>
  <c r="V24" i="16"/>
  <c r="V25" i="16"/>
  <c r="V26" i="16"/>
  <c r="V27" i="16"/>
  <c r="V28" i="16"/>
  <c r="V29" i="16"/>
  <c r="U6" i="16"/>
  <c r="U7" i="16"/>
  <c r="X7" i="16" s="1"/>
  <c r="U8" i="16"/>
  <c r="X8" i="16" s="1"/>
  <c r="U9" i="16"/>
  <c r="X9" i="16" s="1"/>
  <c r="U10" i="16"/>
  <c r="X10" i="16" s="1"/>
  <c r="U11" i="16"/>
  <c r="X11" i="16" s="1"/>
  <c r="U12" i="16"/>
  <c r="X12" i="16" s="1"/>
  <c r="U13" i="16"/>
  <c r="X13" i="16" s="1"/>
  <c r="U14" i="16"/>
  <c r="X14" i="16" s="1"/>
  <c r="U15" i="16"/>
  <c r="X15" i="16" s="1"/>
  <c r="U16" i="16"/>
  <c r="X16" i="16" s="1"/>
  <c r="U17" i="16"/>
  <c r="X17" i="16" s="1"/>
  <c r="U18" i="16"/>
  <c r="X18" i="16" s="1"/>
  <c r="U19" i="16"/>
  <c r="X19" i="16" s="1"/>
  <c r="U20" i="16"/>
  <c r="X20" i="16" s="1"/>
  <c r="U21" i="16"/>
  <c r="X21" i="16" s="1"/>
  <c r="U22" i="16"/>
  <c r="X22" i="16" s="1"/>
  <c r="U23" i="16"/>
  <c r="X23" i="16" s="1"/>
  <c r="U24" i="16"/>
  <c r="X24" i="16" s="1"/>
  <c r="U25" i="16"/>
  <c r="X25" i="16" s="1"/>
  <c r="U26" i="16"/>
  <c r="X26" i="16" s="1"/>
  <c r="U27" i="16"/>
  <c r="X27" i="16" s="1"/>
  <c r="U28" i="16"/>
  <c r="X28" i="16" s="1"/>
  <c r="U29" i="16"/>
  <c r="X29" i="16" s="1"/>
  <c r="Q6" i="15"/>
  <c r="Q7" i="15"/>
  <c r="Q8" i="15"/>
  <c r="Q9" i="15"/>
  <c r="Q11" i="15"/>
  <c r="Q12" i="15"/>
  <c r="Q16" i="15"/>
  <c r="Q18" i="15"/>
  <c r="Q19" i="15"/>
  <c r="Q20" i="15"/>
  <c r="Q21" i="15"/>
  <c r="Q22" i="15"/>
  <c r="Q24" i="15"/>
  <c r="Q26" i="15"/>
  <c r="Q27" i="15"/>
  <c r="Q28" i="15"/>
  <c r="Q30" i="15"/>
  <c r="Q33" i="15"/>
  <c r="Q36" i="15"/>
  <c r="Q38" i="15"/>
  <c r="Q40" i="15"/>
  <c r="Q41" i="15"/>
  <c r="Q43" i="15"/>
  <c r="Q45" i="15"/>
  <c r="Q46" i="15"/>
  <c r="Q48" i="15"/>
  <c r="Q51" i="15"/>
  <c r="Q53" i="15"/>
  <c r="Q54" i="15"/>
  <c r="Q55" i="15"/>
  <c r="Q57" i="15"/>
  <c r="Q58" i="15"/>
  <c r="Q59" i="15"/>
  <c r="Q60" i="15"/>
  <c r="Q62" i="15"/>
  <c r="Q63" i="15"/>
  <c r="Q64" i="15"/>
  <c r="Q65" i="15"/>
  <c r="Q67" i="15"/>
  <c r="Q69" i="15"/>
  <c r="Q70" i="15"/>
  <c r="Q71" i="15"/>
  <c r="Q72" i="15"/>
  <c r="Q73" i="15"/>
  <c r="Q74" i="15"/>
  <c r="Q75" i="15"/>
  <c r="Q76" i="15"/>
  <c r="Q77" i="15"/>
  <c r="Q80" i="15"/>
  <c r="Q83" i="15"/>
  <c r="Q84" i="15"/>
  <c r="Q86" i="15"/>
  <c r="Q88" i="15"/>
  <c r="Q89" i="15"/>
  <c r="Q91" i="15"/>
  <c r="Q92" i="15"/>
  <c r="Q94" i="15"/>
  <c r="Q95" i="15"/>
  <c r="Q96" i="15"/>
  <c r="Q98" i="15"/>
  <c r="Q100" i="15"/>
  <c r="Q101" i="15"/>
  <c r="Q104" i="15"/>
  <c r="Q105" i="15"/>
  <c r="Q106" i="15"/>
  <c r="Q109" i="15"/>
  <c r="Q110" i="15"/>
  <c r="Q111" i="15"/>
  <c r="Q114" i="15"/>
  <c r="Q116" i="15"/>
  <c r="Q118" i="15"/>
  <c r="Q120" i="15"/>
  <c r="Q121" i="15"/>
  <c r="Q122" i="15"/>
  <c r="Q123" i="15"/>
  <c r="Q124" i="15"/>
  <c r="Q126" i="15"/>
  <c r="Q127" i="15"/>
  <c r="Q128" i="15"/>
  <c r="Q129" i="15"/>
  <c r="Q130" i="15"/>
  <c r="Q131" i="15"/>
  <c r="Q134" i="15"/>
  <c r="Q135" i="15"/>
  <c r="Q137" i="15"/>
  <c r="Q138" i="15"/>
  <c r="Q140" i="15"/>
  <c r="Q141" i="15"/>
  <c r="Q143" i="15"/>
  <c r="Q144" i="15"/>
  <c r="Q145" i="15"/>
  <c r="Q146" i="15"/>
  <c r="Q147" i="15"/>
  <c r="Q148" i="15"/>
  <c r="Q150" i="15"/>
  <c r="Q151" i="15"/>
  <c r="Q152" i="15"/>
  <c r="Q153" i="15"/>
  <c r="Q155" i="15"/>
  <c r="Q157" i="15"/>
  <c r="Q158" i="15"/>
  <c r="Q159" i="15"/>
  <c r="Q160" i="15"/>
  <c r="Q161" i="15"/>
  <c r="Q163" i="15"/>
  <c r="Q164" i="15"/>
  <c r="Q165" i="15"/>
  <c r="O6" i="15"/>
  <c r="O7" i="15"/>
  <c r="O8" i="15"/>
  <c r="O9" i="15"/>
  <c r="O10" i="15"/>
  <c r="O11" i="15"/>
  <c r="O12" i="15"/>
  <c r="O13" i="15"/>
  <c r="O14" i="15"/>
  <c r="O15" i="15"/>
  <c r="O16" i="15"/>
  <c r="O17" i="15"/>
  <c r="O18" i="15"/>
  <c r="O19" i="15"/>
  <c r="O20" i="15"/>
  <c r="O21" i="15"/>
  <c r="O22" i="15"/>
  <c r="O23" i="15"/>
  <c r="O24" i="15"/>
  <c r="O25" i="15"/>
  <c r="O26" i="15"/>
  <c r="O27" i="15"/>
  <c r="O28" i="15"/>
  <c r="O29" i="15"/>
  <c r="O30" i="15"/>
  <c r="O31" i="15"/>
  <c r="O32" i="15"/>
  <c r="O33" i="15"/>
  <c r="O34" i="15"/>
  <c r="O35" i="15"/>
  <c r="O36" i="15"/>
  <c r="O37" i="15"/>
  <c r="O38" i="15"/>
  <c r="O39" i="15"/>
  <c r="O40" i="15"/>
  <c r="O41" i="15"/>
  <c r="O42" i="15"/>
  <c r="O43" i="15"/>
  <c r="O44" i="15"/>
  <c r="O45" i="15"/>
  <c r="O46" i="15"/>
  <c r="O47" i="15"/>
  <c r="O48" i="15"/>
  <c r="O49" i="15"/>
  <c r="O50" i="15"/>
  <c r="O51" i="15"/>
  <c r="O52" i="15"/>
  <c r="O53" i="15"/>
  <c r="O54" i="15"/>
  <c r="O55" i="15"/>
  <c r="O56" i="15"/>
  <c r="O57" i="15"/>
  <c r="O58" i="15"/>
  <c r="O59" i="15"/>
  <c r="O60" i="15"/>
  <c r="O61" i="15"/>
  <c r="O62" i="15"/>
  <c r="O63" i="15"/>
  <c r="O64" i="15"/>
  <c r="O65" i="15"/>
  <c r="O66" i="15"/>
  <c r="O67" i="15"/>
  <c r="O68" i="15"/>
  <c r="O69" i="15"/>
  <c r="O70" i="15"/>
  <c r="O71" i="15"/>
  <c r="O72" i="15"/>
  <c r="O73" i="15"/>
  <c r="O74" i="15"/>
  <c r="O75" i="15"/>
  <c r="O76" i="15"/>
  <c r="O77" i="15"/>
  <c r="O78" i="15"/>
  <c r="O79" i="15"/>
  <c r="O80" i="15"/>
  <c r="O81" i="15"/>
  <c r="O82" i="15"/>
  <c r="O83" i="15"/>
  <c r="O84" i="15"/>
  <c r="O85" i="15"/>
  <c r="O86" i="15"/>
  <c r="O87" i="15"/>
  <c r="O88" i="15"/>
  <c r="O89" i="15"/>
  <c r="O90" i="15"/>
  <c r="O91" i="15"/>
  <c r="O92" i="15"/>
  <c r="O93" i="15"/>
  <c r="O94" i="15"/>
  <c r="O95" i="15"/>
  <c r="O96" i="15"/>
  <c r="O97" i="15"/>
  <c r="O98" i="15"/>
  <c r="O99" i="15"/>
  <c r="O100" i="15"/>
  <c r="O101" i="15"/>
  <c r="O102" i="15"/>
  <c r="O103" i="15"/>
  <c r="O104" i="15"/>
  <c r="O105" i="15"/>
  <c r="O106" i="15"/>
  <c r="O107" i="15"/>
  <c r="O108" i="15"/>
  <c r="O109" i="15"/>
  <c r="O110" i="15"/>
  <c r="O111" i="15"/>
  <c r="O112" i="15"/>
  <c r="O113" i="15"/>
  <c r="O114" i="15"/>
  <c r="O115" i="15"/>
  <c r="O116" i="15"/>
  <c r="O117" i="15"/>
  <c r="O118" i="15"/>
  <c r="O119" i="15"/>
  <c r="O120" i="15"/>
  <c r="O121" i="15"/>
  <c r="O122" i="15"/>
  <c r="O123" i="15"/>
  <c r="O124" i="15"/>
  <c r="O125" i="15"/>
  <c r="O126" i="15"/>
  <c r="O127" i="15"/>
  <c r="O128" i="15"/>
  <c r="O129" i="15"/>
  <c r="O130" i="15"/>
  <c r="O131" i="15"/>
  <c r="O132" i="15"/>
  <c r="O133" i="15"/>
  <c r="O134" i="15"/>
  <c r="O135" i="15"/>
  <c r="O136" i="15"/>
  <c r="O137" i="15"/>
  <c r="O138" i="15"/>
  <c r="O139" i="15"/>
  <c r="O140" i="15"/>
  <c r="O141" i="15"/>
  <c r="O142" i="15"/>
  <c r="O143" i="15"/>
  <c r="O144" i="15"/>
  <c r="O145" i="15"/>
  <c r="O146" i="15"/>
  <c r="O147" i="15"/>
  <c r="O148" i="15"/>
  <c r="O149" i="15"/>
  <c r="O150" i="15"/>
  <c r="O151" i="15"/>
  <c r="O152" i="15"/>
  <c r="O153" i="15"/>
  <c r="O154" i="15"/>
  <c r="O155" i="15"/>
  <c r="O156" i="15"/>
  <c r="O157" i="15"/>
  <c r="O158" i="15"/>
  <c r="O159" i="15"/>
  <c r="O160" i="15"/>
  <c r="O161" i="15"/>
  <c r="O162" i="15"/>
  <c r="O163" i="15"/>
  <c r="O164" i="15"/>
  <c r="O165" i="15"/>
  <c r="Z7" i="16" l="1"/>
  <c r="X6" i="16"/>
  <c r="AA10" i="16" s="1"/>
  <c r="AA27" i="16"/>
  <c r="Z29" i="16"/>
  <c r="Z8" i="16"/>
  <c r="Z6" i="16"/>
  <c r="Z14" i="16"/>
  <c r="Z28" i="16"/>
  <c r="Z17" i="16"/>
  <c r="Z23" i="16"/>
  <c r="Z12" i="16"/>
  <c r="Z9" i="16"/>
  <c r="Z15" i="16"/>
  <c r="Z27" i="16"/>
  <c r="Z19" i="16"/>
  <c r="Z21" i="16"/>
  <c r="Z11" i="16"/>
  <c r="Z18" i="16"/>
  <c r="Z13" i="16"/>
  <c r="Z26" i="16"/>
  <c r="Z24" i="16"/>
  <c r="Z20" i="16"/>
  <c r="Z10" i="16"/>
  <c r="Z16" i="16"/>
  <c r="Z22" i="16"/>
  <c r="Z25" i="16"/>
  <c r="Y14" i="16"/>
  <c r="Y21" i="16"/>
  <c r="Y28" i="16"/>
  <c r="Y20" i="16"/>
  <c r="Y12" i="16"/>
  <c r="Y27" i="16"/>
  <c r="Y19" i="16"/>
  <c r="Y11" i="16"/>
  <c r="Y22" i="16"/>
  <c r="Y6" i="16"/>
  <c r="Y29" i="16"/>
  <c r="Y13" i="16"/>
  <c r="Y26" i="16"/>
  <c r="Y18" i="16"/>
  <c r="Y10" i="16"/>
  <c r="Y25" i="16"/>
  <c r="Y17" i="16"/>
  <c r="Y24" i="16"/>
  <c r="Y16" i="16"/>
  <c r="Y8" i="16"/>
  <c r="Y9" i="16"/>
  <c r="Y23" i="16"/>
  <c r="Y15" i="16"/>
  <c r="Y7" i="16"/>
  <c r="AA19" i="16" l="1"/>
  <c r="AA15" i="16"/>
  <c r="AA24" i="16"/>
  <c r="AA6" i="16"/>
  <c r="AA18" i="16"/>
  <c r="AA29" i="16"/>
  <c r="AA14" i="16"/>
  <c r="AA26" i="16"/>
  <c r="AA22" i="16"/>
  <c r="AA9" i="16"/>
  <c r="AA7" i="16"/>
  <c r="AA17" i="16"/>
  <c r="AA13" i="16"/>
  <c r="AA8" i="16"/>
  <c r="AA20" i="16"/>
  <c r="AB15" i="16"/>
  <c r="AA21" i="16"/>
  <c r="AA16" i="16"/>
  <c r="AA12" i="16"/>
  <c r="AA11" i="16"/>
  <c r="AA28" i="16"/>
  <c r="AB17" i="16"/>
  <c r="AA23" i="16"/>
  <c r="AA25" i="16"/>
  <c r="AB9" i="16"/>
  <c r="AB26" i="16"/>
  <c r="AB12" i="16"/>
  <c r="AB19" i="16"/>
  <c r="AB18" i="16"/>
  <c r="AB8" i="16"/>
  <c r="AB13" i="16"/>
  <c r="AB20" i="16"/>
  <c r="AB23" i="16"/>
  <c r="AB29" i="16"/>
  <c r="AB28" i="16"/>
  <c r="AB10" i="16"/>
  <c r="AB27" i="16"/>
  <c r="AB16" i="16"/>
  <c r="AB24" i="16"/>
  <c r="AB6" i="16"/>
  <c r="AB21" i="16"/>
  <c r="AB22" i="16"/>
  <c r="AB14" i="16"/>
  <c r="AB7" i="16"/>
  <c r="AB25" i="16"/>
  <c r="AB11" i="16"/>
  <c r="E6" i="16" a="1"/>
  <c r="E6" i="16" s="1"/>
  <c r="E7" i="16" a="1"/>
  <c r="E7" i="16" s="1"/>
  <c r="C9" i="5" s="1"/>
  <c r="E8" i="16" a="1"/>
  <c r="E8" i="16" s="1"/>
  <c r="C10" i="5" s="1"/>
  <c r="E9" i="16" a="1"/>
  <c r="E9" i="16" s="1"/>
  <c r="C11" i="5" s="1"/>
  <c r="E10" i="16" a="1"/>
  <c r="E10" i="16" s="1"/>
  <c r="C12" i="5" s="1"/>
  <c r="E11" i="16" a="1"/>
  <c r="E11" i="16" s="1"/>
  <c r="C13" i="5" s="1"/>
  <c r="E12" i="16" a="1"/>
  <c r="E12" i="16" s="1"/>
  <c r="C14" i="5" s="1"/>
  <c r="E13" i="16" a="1"/>
  <c r="E13" i="16" s="1"/>
  <c r="C15" i="5" s="1"/>
  <c r="E14" i="16" a="1"/>
  <c r="E14" i="16" s="1"/>
  <c r="C16" i="5" s="1"/>
  <c r="E15" i="16" a="1"/>
  <c r="E15" i="16" s="1"/>
  <c r="C17" i="5" s="1"/>
  <c r="E16" i="16" a="1"/>
  <c r="E16" i="16" s="1"/>
  <c r="E17" i="16" a="1"/>
  <c r="E17" i="16" s="1"/>
  <c r="E18" i="16" a="1"/>
  <c r="E18" i="16" s="1"/>
  <c r="E19" i="16" a="1"/>
  <c r="E19" i="16" s="1"/>
  <c r="E20" i="16" a="1"/>
  <c r="E20" i="16" s="1"/>
  <c r="E21" i="16" a="1"/>
  <c r="E21" i="16" s="1"/>
  <c r="E22" i="16" a="1"/>
  <c r="E22" i="16" s="1"/>
  <c r="E23" i="16" a="1"/>
  <c r="E23" i="16" s="1"/>
  <c r="E24" i="16" a="1"/>
  <c r="E24" i="16" s="1"/>
  <c r="E25" i="16" a="1"/>
  <c r="E25" i="16" s="1"/>
  <c r="E26" i="16" a="1"/>
  <c r="E26" i="16" s="1"/>
  <c r="E27" i="16" a="1"/>
  <c r="E27" i="16" s="1"/>
  <c r="E28" i="16" a="1"/>
  <c r="E28" i="16" s="1"/>
  <c r="E29" i="16" a="1"/>
  <c r="E29" i="16" s="1"/>
  <c r="H6" i="16" a="1"/>
  <c r="H6" i="16" s="1"/>
  <c r="H7" i="16" a="1"/>
  <c r="H7" i="16" s="1"/>
  <c r="H8" i="16" a="1"/>
  <c r="H8" i="16" s="1"/>
  <c r="H9" i="16" a="1"/>
  <c r="H9" i="16" s="1"/>
  <c r="H10" i="16" a="1"/>
  <c r="H10" i="16" s="1"/>
  <c r="H11" i="16" a="1"/>
  <c r="H11" i="16" s="1"/>
  <c r="H12" i="16" a="1"/>
  <c r="H12" i="16" s="1"/>
  <c r="H13" i="16" a="1"/>
  <c r="H13" i="16" s="1"/>
  <c r="H14" i="16" a="1"/>
  <c r="H14" i="16" s="1"/>
  <c r="H15" i="16" a="1"/>
  <c r="H15" i="16" s="1"/>
  <c r="H16" i="16" a="1"/>
  <c r="H16" i="16" s="1"/>
  <c r="H17" i="16" a="1"/>
  <c r="H17" i="16" s="1"/>
  <c r="H18" i="16" a="1"/>
  <c r="H18" i="16" s="1"/>
  <c r="H19" i="16" a="1"/>
  <c r="H19" i="16" s="1"/>
  <c r="H20" i="16" a="1"/>
  <c r="H20" i="16" s="1"/>
  <c r="H21" i="16" a="1"/>
  <c r="H21" i="16" s="1"/>
  <c r="H22" i="16" a="1"/>
  <c r="H22" i="16" s="1"/>
  <c r="H23" i="16" a="1"/>
  <c r="H23" i="16" s="1"/>
  <c r="H24" i="16" a="1"/>
  <c r="H24" i="16" s="1"/>
  <c r="H25" i="16" a="1"/>
  <c r="H25" i="16" s="1"/>
  <c r="H26" i="16" a="1"/>
  <c r="H26" i="16" s="1"/>
  <c r="H27" i="16" a="1"/>
  <c r="H27" i="16" s="1"/>
  <c r="H28" i="16" a="1"/>
  <c r="H28" i="16" s="1"/>
  <c r="H29" i="16" a="1"/>
  <c r="H29" i="16" s="1"/>
  <c r="D6" i="16" a="1"/>
  <c r="D6" i="16" s="1"/>
  <c r="D7" i="16" a="1"/>
  <c r="D7" i="16" s="1"/>
  <c r="D8" i="16" a="1"/>
  <c r="D8" i="16" s="1"/>
  <c r="D9" i="16" a="1"/>
  <c r="D9" i="16" s="1"/>
  <c r="D10" i="16" a="1"/>
  <c r="D10" i="16" s="1"/>
  <c r="D11" i="16" a="1"/>
  <c r="D11" i="16" s="1"/>
  <c r="D12" i="16" a="1"/>
  <c r="D12" i="16" s="1"/>
  <c r="D13" i="16" a="1"/>
  <c r="D13" i="16" s="1"/>
  <c r="D14" i="16" a="1"/>
  <c r="D14" i="16" s="1"/>
  <c r="D15" i="16" a="1"/>
  <c r="D15" i="16" s="1"/>
  <c r="D16" i="16" a="1"/>
  <c r="D16" i="16" s="1"/>
  <c r="D17" i="16" a="1"/>
  <c r="D17" i="16" s="1"/>
  <c r="D18" i="16" a="1"/>
  <c r="D18" i="16" s="1"/>
  <c r="D19" i="16" a="1"/>
  <c r="D19" i="16" s="1"/>
  <c r="D20" i="16" a="1"/>
  <c r="D20" i="16" s="1"/>
  <c r="D21" i="16" a="1"/>
  <c r="D21" i="16" s="1"/>
  <c r="D22" i="16" a="1"/>
  <c r="D22" i="16" s="1"/>
  <c r="D23" i="16" a="1"/>
  <c r="D23" i="16" s="1"/>
  <c r="D24" i="16" a="1"/>
  <c r="D24" i="16" s="1"/>
  <c r="D25" i="16" a="1"/>
  <c r="D25" i="16" s="1"/>
  <c r="D26" i="16" a="1"/>
  <c r="D26" i="16" s="1"/>
  <c r="D27" i="16" a="1"/>
  <c r="D27" i="16" s="1"/>
  <c r="D28" i="16" a="1"/>
  <c r="D28" i="16" s="1"/>
  <c r="D29" i="16" a="1"/>
  <c r="D29" i="16" s="1"/>
  <c r="F6" i="16" a="1"/>
  <c r="F6" i="16" s="1"/>
  <c r="F7" i="16" a="1"/>
  <c r="F7" i="16" s="1"/>
  <c r="F8" i="16" a="1"/>
  <c r="F8" i="16" s="1"/>
  <c r="F9" i="16" a="1"/>
  <c r="F9" i="16" s="1"/>
  <c r="F10" i="16" a="1"/>
  <c r="F10" i="16" s="1"/>
  <c r="F11" i="16" a="1"/>
  <c r="F11" i="16" s="1"/>
  <c r="F12" i="16" a="1"/>
  <c r="F12" i="16" s="1"/>
  <c r="F13" i="16" a="1"/>
  <c r="F13" i="16" s="1"/>
  <c r="F14" i="16" a="1"/>
  <c r="F14" i="16" s="1"/>
  <c r="F15" i="16" a="1"/>
  <c r="F15" i="16" s="1"/>
  <c r="F16" i="16" a="1"/>
  <c r="F16" i="16" s="1"/>
  <c r="F17" i="16" a="1"/>
  <c r="F17" i="16" s="1"/>
  <c r="F18" i="16" a="1"/>
  <c r="F18" i="16" s="1"/>
  <c r="F19" i="16" a="1"/>
  <c r="F19" i="16" s="1"/>
  <c r="F20" i="16" a="1"/>
  <c r="F20" i="16" s="1"/>
  <c r="F21" i="16" a="1"/>
  <c r="F21" i="16" s="1"/>
  <c r="F22" i="16" a="1"/>
  <c r="F22" i="16" s="1"/>
  <c r="F23" i="16" a="1"/>
  <c r="F23" i="16" s="1"/>
  <c r="F24" i="16" a="1"/>
  <c r="F24" i="16" s="1"/>
  <c r="F25" i="16" a="1"/>
  <c r="F25" i="16" s="1"/>
  <c r="F26" i="16" a="1"/>
  <c r="F26" i="16" s="1"/>
  <c r="F27" i="16" a="1"/>
  <c r="F27" i="16" s="1"/>
  <c r="F28" i="16" a="1"/>
  <c r="F28" i="16" s="1"/>
  <c r="F29" i="16" a="1"/>
  <c r="F29" i="16" s="1"/>
  <c r="D14" i="13" l="1"/>
  <c r="G14" i="13" s="1"/>
  <c r="E14" i="13"/>
  <c r="H14" i="13" s="1"/>
  <c r="E19" i="13"/>
  <c r="H19" i="13" s="1"/>
  <c r="D12" i="13"/>
  <c r="G12" i="13" s="1"/>
  <c r="E12" i="13"/>
  <c r="H12" i="13" s="1"/>
  <c r="E20" i="13"/>
  <c r="H20" i="13" s="1"/>
  <c r="E21" i="13"/>
  <c r="H21" i="13" s="1"/>
  <c r="D21" i="13"/>
  <c r="G21" i="13" s="1"/>
  <c r="E13" i="13"/>
  <c r="H13" i="13" s="1"/>
  <c r="D13" i="13"/>
  <c r="G13" i="13" s="1"/>
  <c r="E17" i="13"/>
  <c r="H17" i="13" s="1"/>
  <c r="D18" i="13"/>
  <c r="G18" i="13" s="1"/>
  <c r="D17" i="13"/>
  <c r="G17" i="13" s="1"/>
  <c r="D16" i="13"/>
  <c r="G16" i="13" s="1"/>
  <c r="E18" i="13"/>
  <c r="H18" i="13" s="1"/>
  <c r="D20" i="13"/>
  <c r="G20" i="13" s="1"/>
  <c r="D15" i="13"/>
  <c r="G15" i="13" s="1"/>
  <c r="E16" i="13"/>
  <c r="H16" i="13" s="1"/>
  <c r="E15" i="13"/>
  <c r="H15" i="13" s="1"/>
  <c r="D19" i="13"/>
  <c r="G19" i="13"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101" i="14" a="1"/>
  <c r="J101" i="14" s="1"/>
  <c r="J102" i="14" a="1"/>
  <c r="J102" i="14" s="1"/>
  <c r="J103" i="14" a="1"/>
  <c r="J103" i="14" s="1"/>
  <c r="J104" i="14" a="1"/>
  <c r="J104" i="14" s="1"/>
  <c r="J105" i="14" a="1"/>
  <c r="J105" i="14" s="1"/>
  <c r="J106" i="14" a="1"/>
  <c r="J106" i="14" s="1"/>
  <c r="J107" i="14" a="1"/>
  <c r="J107" i="14" s="1"/>
  <c r="J108" i="14" a="1"/>
  <c r="J108" i="14" s="1"/>
  <c r="J109" i="14" a="1"/>
  <c r="J109" i="14" s="1"/>
  <c r="J110" i="14" a="1"/>
  <c r="J110" i="14" s="1"/>
  <c r="J111" i="14" a="1"/>
  <c r="J111" i="14" s="1"/>
  <c r="J112" i="14" a="1"/>
  <c r="J112" i="14" s="1"/>
  <c r="J113" i="14" a="1"/>
  <c r="J113" i="14" s="1"/>
  <c r="J114" i="14" a="1"/>
  <c r="J114" i="14" s="1"/>
  <c r="J115" i="14" a="1"/>
  <c r="J115" i="14" s="1"/>
  <c r="J116" i="14" a="1"/>
  <c r="J116" i="14" s="1"/>
  <c r="J117" i="14" a="1"/>
  <c r="J117" i="14" s="1"/>
  <c r="J118" i="14" a="1"/>
  <c r="J118" i="14" s="1"/>
  <c r="J119" i="14" a="1"/>
  <c r="J119" i="14" s="1"/>
  <c r="J120" i="14" a="1"/>
  <c r="J120" i="14" s="1"/>
  <c r="J121" i="14" a="1"/>
  <c r="J121" i="14" s="1"/>
  <c r="J122" i="14" a="1"/>
  <c r="J122" i="14" s="1"/>
  <c r="J123" i="14" a="1"/>
  <c r="J123" i="14" s="1"/>
  <c r="J124" i="14" a="1"/>
  <c r="J124" i="14" s="1"/>
  <c r="J125" i="14" a="1"/>
  <c r="J125" i="14" s="1"/>
  <c r="J126" i="14" a="1"/>
  <c r="J126" i="14" s="1"/>
  <c r="J127" i="14" a="1"/>
  <c r="J127" i="14" s="1"/>
  <c r="J128" i="14" a="1"/>
  <c r="J128" i="14" s="1"/>
  <c r="J129" i="14" a="1"/>
  <c r="J129" i="14" s="1"/>
  <c r="J130" i="14" a="1"/>
  <c r="J130" i="14" s="1"/>
  <c r="J131" i="14" a="1"/>
  <c r="J131" i="14" s="1"/>
  <c r="J132" i="14" a="1"/>
  <c r="J132" i="14" s="1"/>
  <c r="J133" i="14" a="1"/>
  <c r="J133" i="14" s="1"/>
  <c r="J134" i="14" a="1"/>
  <c r="J134" i="14" s="1"/>
  <c r="J135" i="14" a="1"/>
  <c r="J135" i="14" s="1"/>
  <c r="J136" i="14" a="1"/>
  <c r="J136" i="14" s="1"/>
  <c r="J137" i="14" a="1"/>
  <c r="J137" i="14" s="1"/>
  <c r="J138" i="14" a="1"/>
  <c r="J138" i="14" s="1"/>
  <c r="J139" i="14" a="1"/>
  <c r="J139" i="14" s="1"/>
  <c r="J140" i="14" a="1"/>
  <c r="J140" i="14" s="1"/>
  <c r="J141" i="14" a="1"/>
  <c r="J141" i="14" s="1"/>
  <c r="J142" i="14" a="1"/>
  <c r="J142" i="14" s="1"/>
  <c r="J143" i="14" a="1"/>
  <c r="J143" i="14" s="1"/>
  <c r="J144" i="14" a="1"/>
  <c r="J144" i="14" s="1"/>
  <c r="J145" i="14" a="1"/>
  <c r="J145" i="14" s="1"/>
  <c r="J146" i="14" a="1"/>
  <c r="J146" i="14" s="1"/>
  <c r="J147" i="14" a="1"/>
  <c r="J147" i="14" s="1"/>
  <c r="J148" i="14" a="1"/>
  <c r="J148" i="14" s="1"/>
  <c r="J149" i="14" a="1"/>
  <c r="J149" i="14" s="1"/>
  <c r="J150" i="14" a="1"/>
  <c r="J150" i="14" s="1"/>
  <c r="J151" i="14" a="1"/>
  <c r="J151" i="14" s="1"/>
  <c r="J152" i="14" a="1"/>
  <c r="J152" i="14" s="1"/>
  <c r="J153" i="14" a="1"/>
  <c r="J153" i="14" s="1"/>
  <c r="J154" i="14" a="1"/>
  <c r="J154" i="14" s="1"/>
  <c r="J155" i="14" a="1"/>
  <c r="J155" i="14" s="1"/>
  <c r="J156" i="14" a="1"/>
  <c r="J156" i="14" s="1"/>
  <c r="J157" i="14" a="1"/>
  <c r="J157" i="14" s="1"/>
  <c r="J158" i="14" a="1"/>
  <c r="J158" i="14" s="1"/>
  <c r="J159" i="14" a="1"/>
  <c r="J159" i="14" s="1"/>
  <c r="J160" i="14" a="1"/>
  <c r="J160" i="14" s="1"/>
  <c r="J161" i="14" a="1"/>
  <c r="J161" i="14" s="1"/>
  <c r="J162" i="14" a="1"/>
  <c r="J162" i="14" s="1"/>
  <c r="J163" i="14" a="1"/>
  <c r="J163" i="14" s="1"/>
  <c r="J164" i="14" a="1"/>
  <c r="J164" i="14" s="1"/>
  <c r="J165" i="14" a="1"/>
  <c r="J165" i="14" s="1"/>
  <c r="J166" i="14" a="1"/>
  <c r="J166" i="14" s="1"/>
  <c r="J167" i="14" a="1"/>
  <c r="J167" i="14" s="1"/>
  <c r="J168" i="14" a="1"/>
  <c r="J168" i="14" s="1"/>
  <c r="J169" i="14" a="1"/>
  <c r="J169" i="14" s="1"/>
  <c r="J170" i="14" a="1"/>
  <c r="J170" i="14" s="1"/>
  <c r="J171" i="14" a="1"/>
  <c r="J171" i="14" s="1"/>
  <c r="J172" i="14" a="1"/>
  <c r="J172" i="14" s="1"/>
  <c r="J173" i="14" a="1"/>
  <c r="J173" i="14" s="1"/>
  <c r="J174" i="14" a="1"/>
  <c r="J174" i="14" s="1"/>
  <c r="J175" i="14" a="1"/>
  <c r="J175" i="14" s="1"/>
  <c r="J176" i="14" a="1"/>
  <c r="J176" i="14" s="1"/>
  <c r="J177" i="14" a="1"/>
  <c r="J177" i="14" s="1"/>
  <c r="J178" i="14" a="1"/>
  <c r="J178" i="14" s="1"/>
  <c r="J179" i="14" a="1"/>
  <c r="J179" i="14" s="1"/>
  <c r="J180" i="14" a="1"/>
  <c r="J180" i="14" s="1"/>
  <c r="J181" i="14" a="1"/>
  <c r="J181" i="14" s="1"/>
  <c r="J182" i="14" a="1"/>
  <c r="J182" i="14" s="1"/>
  <c r="J183" i="14" a="1"/>
  <c r="J183" i="14" s="1"/>
  <c r="J184" i="14" a="1"/>
  <c r="J184" i="14" s="1"/>
  <c r="J185" i="14" a="1"/>
  <c r="J185" i="14" s="1"/>
  <c r="J186" i="14" a="1"/>
  <c r="J186" i="14" s="1"/>
  <c r="J187" i="14" a="1"/>
  <c r="J187" i="14" s="1"/>
  <c r="J188" i="14" a="1"/>
  <c r="J188" i="14" s="1"/>
  <c r="J189" i="14" a="1"/>
  <c r="J189" i="14" s="1"/>
  <c r="J190" i="14" a="1"/>
  <c r="J190" i="14" s="1"/>
  <c r="J191" i="14" a="1"/>
  <c r="J191" i="14" s="1"/>
  <c r="J192" i="14" a="1"/>
  <c r="J192" i="14" s="1"/>
  <c r="J193" i="14" a="1"/>
  <c r="J193" i="14" s="1"/>
  <c r="J194" i="14" a="1"/>
  <c r="J194" i="14" s="1"/>
  <c r="J195" i="14" a="1"/>
  <c r="J195" i="14" s="1"/>
  <c r="J196" i="14" a="1"/>
  <c r="J196" i="14" s="1"/>
  <c r="J197" i="14" a="1"/>
  <c r="J197" i="14" s="1"/>
  <c r="J198" i="14" a="1"/>
  <c r="J198" i="14" s="1"/>
  <c r="J199" i="14" a="1"/>
  <c r="J199" i="14" s="1"/>
  <c r="J200" i="14" a="1"/>
  <c r="J200" i="14" s="1"/>
  <c r="J201" i="14" a="1"/>
  <c r="J201" i="14" s="1"/>
  <c r="J202" i="14" a="1"/>
  <c r="J202" i="14" s="1"/>
  <c r="J203" i="14" a="1"/>
  <c r="J203" i="14" s="1"/>
  <c r="J204" i="14" a="1"/>
  <c r="J204" i="14" s="1"/>
  <c r="J205" i="14" a="1"/>
  <c r="J205" i="14" s="1"/>
  <c r="J206" i="14" a="1"/>
  <c r="J206" i="14" s="1"/>
  <c r="J207" i="14" a="1"/>
  <c r="J207" i="14" s="1"/>
  <c r="J208" i="14" a="1"/>
  <c r="J208" i="14" s="1"/>
  <c r="J209" i="14" a="1"/>
  <c r="J209" i="14" s="1"/>
  <c r="J210" i="14" a="1"/>
  <c r="J210" i="14" s="1"/>
  <c r="J211" i="14" a="1"/>
  <c r="J211" i="14" s="1"/>
  <c r="J212" i="14" a="1"/>
  <c r="J212" i="14" s="1"/>
  <c r="J213" i="14" a="1"/>
  <c r="J213" i="14" s="1"/>
  <c r="J214" i="14" a="1"/>
  <c r="J214" i="14" s="1"/>
  <c r="J215" i="14" a="1"/>
  <c r="J215" i="14" s="1"/>
  <c r="J216" i="14" a="1"/>
  <c r="J216" i="14" s="1"/>
  <c r="J217" i="14" a="1"/>
  <c r="J217" i="14" s="1"/>
  <c r="J218" i="14" a="1"/>
  <c r="J218" i="14" s="1"/>
  <c r="J219" i="14" a="1"/>
  <c r="J219" i="14" s="1"/>
  <c r="J220" i="14" a="1"/>
  <c r="J220" i="14" s="1"/>
  <c r="J221" i="14" a="1"/>
  <c r="J221" i="14" s="1"/>
  <c r="J222" i="14" a="1"/>
  <c r="J222" i="14" s="1"/>
  <c r="J223" i="14" a="1"/>
  <c r="J223" i="14" s="1"/>
  <c r="J224" i="14" a="1"/>
  <c r="J224" i="14" s="1"/>
  <c r="J225" i="14" a="1"/>
  <c r="J225" i="14" s="1"/>
  <c r="J226" i="14" a="1"/>
  <c r="J226" i="14" s="1"/>
  <c r="J227" i="14" a="1"/>
  <c r="J227" i="14" s="1"/>
  <c r="J228" i="14" a="1"/>
  <c r="J228" i="14" s="1"/>
  <c r="J229" i="14" a="1"/>
  <c r="J229" i="14" s="1"/>
  <c r="J230" i="14" a="1"/>
  <c r="J230" i="14" s="1"/>
  <c r="J231" i="14" a="1"/>
  <c r="J231" i="14" s="1"/>
  <c r="J232" i="14" a="1"/>
  <c r="J232" i="14" s="1"/>
  <c r="J233" i="14" a="1"/>
  <c r="J233" i="14" s="1"/>
  <c r="J234" i="14" a="1"/>
  <c r="J234" i="14" s="1"/>
  <c r="J235" i="14" a="1"/>
  <c r="J235" i="14" s="1"/>
  <c r="J236" i="14" a="1"/>
  <c r="J236" i="14" s="1"/>
  <c r="J237" i="14" a="1"/>
  <c r="J237" i="14" s="1"/>
  <c r="J238" i="14" a="1"/>
  <c r="J238" i="14" s="1"/>
  <c r="J239" i="14" a="1"/>
  <c r="J239" i="14" s="1"/>
  <c r="J240" i="14" a="1"/>
  <c r="J240" i="14" s="1"/>
  <c r="J241" i="14" a="1"/>
  <c r="J241" i="14" s="1"/>
  <c r="J242" i="14" a="1"/>
  <c r="J242" i="14" s="1"/>
  <c r="I5" i="14" a="1"/>
  <c r="I5" i="14" s="1"/>
  <c r="I6" i="14" a="1"/>
  <c r="I6" i="14" s="1"/>
  <c r="I7" i="14" a="1"/>
  <c r="I7" i="14" s="1"/>
  <c r="I8" i="14" a="1"/>
  <c r="I8" i="14" s="1"/>
  <c r="I9" i="14" a="1"/>
  <c r="I9" i="14" s="1"/>
  <c r="I10" i="14" a="1"/>
  <c r="I10" i="14" s="1"/>
  <c r="I11" i="14" a="1"/>
  <c r="I11" i="14" s="1"/>
  <c r="I12" i="14" a="1"/>
  <c r="I12" i="14" s="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5" i="14" a="1"/>
  <c r="I25"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1" i="14" a="1"/>
  <c r="I41"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101" i="14" a="1"/>
  <c r="I101" i="14" s="1"/>
  <c r="I102" i="14" a="1"/>
  <c r="I102" i="14" s="1"/>
  <c r="I103" i="14" a="1"/>
  <c r="I103" i="14" s="1"/>
  <c r="I104" i="14" a="1"/>
  <c r="I104" i="14" s="1"/>
  <c r="I105" i="14" a="1"/>
  <c r="I105" i="14" s="1"/>
  <c r="I106" i="14" a="1"/>
  <c r="I106" i="14" s="1"/>
  <c r="I107" i="14" a="1"/>
  <c r="I107" i="14" s="1"/>
  <c r="I108" i="14" a="1"/>
  <c r="I108" i="14" s="1"/>
  <c r="I109" i="14" a="1"/>
  <c r="I109" i="14" s="1"/>
  <c r="I110" i="14" a="1"/>
  <c r="I110" i="14" s="1"/>
  <c r="I111" i="14" a="1"/>
  <c r="I111" i="14" s="1"/>
  <c r="I112" i="14" a="1"/>
  <c r="I112" i="14" s="1"/>
  <c r="I113" i="14" a="1"/>
  <c r="I113" i="14" s="1"/>
  <c r="I114" i="14" a="1"/>
  <c r="I114" i="14" s="1"/>
  <c r="I115" i="14" a="1"/>
  <c r="I115" i="14" s="1"/>
  <c r="I116" i="14" a="1"/>
  <c r="I116" i="14" s="1"/>
  <c r="I117" i="14" a="1"/>
  <c r="I117" i="14" s="1"/>
  <c r="I118" i="14" a="1"/>
  <c r="I118" i="14" s="1"/>
  <c r="I119" i="14" a="1"/>
  <c r="I119" i="14" s="1"/>
  <c r="I120" i="14" a="1"/>
  <c r="I120" i="14" s="1"/>
  <c r="I121" i="14" a="1"/>
  <c r="I121" i="14" s="1"/>
  <c r="I122" i="14" a="1"/>
  <c r="I122" i="14" s="1"/>
  <c r="I123" i="14" a="1"/>
  <c r="I123" i="14" s="1"/>
  <c r="I124" i="14" a="1"/>
  <c r="I124" i="14" s="1"/>
  <c r="I125" i="14" a="1"/>
  <c r="I125" i="14" s="1"/>
  <c r="I126" i="14" a="1"/>
  <c r="I126" i="14" s="1"/>
  <c r="I127" i="14" a="1"/>
  <c r="I127" i="14" s="1"/>
  <c r="I128" i="14" a="1"/>
  <c r="I128" i="14" s="1"/>
  <c r="I129" i="14" a="1"/>
  <c r="I129" i="14" s="1"/>
  <c r="I130" i="14" a="1"/>
  <c r="I130" i="14" s="1"/>
  <c r="I131" i="14" a="1"/>
  <c r="I131" i="14" s="1"/>
  <c r="I132" i="14" a="1"/>
  <c r="I132" i="14" s="1"/>
  <c r="I133" i="14" a="1"/>
  <c r="I133" i="14" s="1"/>
  <c r="I134" i="14" a="1"/>
  <c r="I134" i="14" s="1"/>
  <c r="I135" i="14" a="1"/>
  <c r="I135" i="14" s="1"/>
  <c r="I136" i="14" a="1"/>
  <c r="I136" i="14" s="1"/>
  <c r="I137" i="14" a="1"/>
  <c r="I137" i="14" s="1"/>
  <c r="I138" i="14" a="1"/>
  <c r="I138" i="14" s="1"/>
  <c r="I139" i="14" a="1"/>
  <c r="I139" i="14" s="1"/>
  <c r="I140" i="14" a="1"/>
  <c r="I140" i="14" s="1"/>
  <c r="I141" i="14" a="1"/>
  <c r="I141" i="14" s="1"/>
  <c r="I142" i="14" a="1"/>
  <c r="I142" i="14" s="1"/>
  <c r="I143" i="14" a="1"/>
  <c r="I143" i="14" s="1"/>
  <c r="I144" i="14" a="1"/>
  <c r="I144" i="14" s="1"/>
  <c r="I145" i="14" a="1"/>
  <c r="I145" i="14" s="1"/>
  <c r="I146" i="14" a="1"/>
  <c r="I146" i="14" s="1"/>
  <c r="I147" i="14" a="1"/>
  <c r="I147" i="14" s="1"/>
  <c r="I148" i="14" a="1"/>
  <c r="I148" i="14" s="1"/>
  <c r="I149" i="14" a="1"/>
  <c r="I149" i="14" s="1"/>
  <c r="I150" i="14" a="1"/>
  <c r="I150" i="14" s="1"/>
  <c r="I151" i="14" a="1"/>
  <c r="I151" i="14" s="1"/>
  <c r="I152" i="14" a="1"/>
  <c r="I152" i="14" s="1"/>
  <c r="I153" i="14" a="1"/>
  <c r="I153" i="14" s="1"/>
  <c r="I154" i="14" a="1"/>
  <c r="I154" i="14" s="1"/>
  <c r="I155" i="14" a="1"/>
  <c r="I155" i="14" s="1"/>
  <c r="I156" i="14" a="1"/>
  <c r="I156" i="14" s="1"/>
  <c r="I157" i="14" a="1"/>
  <c r="I157" i="14" s="1"/>
  <c r="I158" i="14" a="1"/>
  <c r="I158" i="14" s="1"/>
  <c r="I159" i="14" a="1"/>
  <c r="I159" i="14" s="1"/>
  <c r="I160" i="14" a="1"/>
  <c r="I160" i="14" s="1"/>
  <c r="I161" i="14" a="1"/>
  <c r="I161" i="14" s="1"/>
  <c r="I162" i="14" a="1"/>
  <c r="I162" i="14" s="1"/>
  <c r="I163" i="14" a="1"/>
  <c r="I163" i="14" s="1"/>
  <c r="I164" i="14" a="1"/>
  <c r="I164" i="14" s="1"/>
  <c r="I165" i="14" a="1"/>
  <c r="I165" i="14" s="1"/>
  <c r="I166" i="14" a="1"/>
  <c r="I166" i="14" s="1"/>
  <c r="I167" i="14" a="1"/>
  <c r="I167" i="14" s="1"/>
  <c r="I168" i="14" a="1"/>
  <c r="I168" i="14" s="1"/>
  <c r="I169" i="14" a="1"/>
  <c r="I169" i="14" s="1"/>
  <c r="I170" i="14" a="1"/>
  <c r="I170" i="14" s="1"/>
  <c r="I171" i="14" a="1"/>
  <c r="I171" i="14" s="1"/>
  <c r="I172" i="14" a="1"/>
  <c r="I172" i="14" s="1"/>
  <c r="I173" i="14" a="1"/>
  <c r="I173" i="14" s="1"/>
  <c r="I174" i="14" a="1"/>
  <c r="I174" i="14" s="1"/>
  <c r="I175" i="14" a="1"/>
  <c r="I175" i="14" s="1"/>
  <c r="I176" i="14" a="1"/>
  <c r="I176" i="14" s="1"/>
  <c r="I177" i="14" a="1"/>
  <c r="I177" i="14" s="1"/>
  <c r="I178" i="14" a="1"/>
  <c r="I178" i="14" s="1"/>
  <c r="I179" i="14" a="1"/>
  <c r="I179" i="14" s="1"/>
  <c r="I180" i="14" a="1"/>
  <c r="I180" i="14" s="1"/>
  <c r="I181" i="14" a="1"/>
  <c r="I181" i="14" s="1"/>
  <c r="I182" i="14" a="1"/>
  <c r="I182" i="14" s="1"/>
  <c r="I183" i="14" a="1"/>
  <c r="I183" i="14" s="1"/>
  <c r="I184" i="14" a="1"/>
  <c r="I184" i="14" s="1"/>
  <c r="I185" i="14" a="1"/>
  <c r="I185" i="14" s="1"/>
  <c r="I186" i="14" a="1"/>
  <c r="I186" i="14" s="1"/>
  <c r="I187" i="14" a="1"/>
  <c r="I187" i="14" s="1"/>
  <c r="I188" i="14" a="1"/>
  <c r="I188" i="14" s="1"/>
  <c r="I189" i="14" a="1"/>
  <c r="I189" i="14" s="1"/>
  <c r="I190" i="14" a="1"/>
  <c r="I190" i="14" s="1"/>
  <c r="I191" i="14" a="1"/>
  <c r="I191" i="14" s="1"/>
  <c r="I192" i="14" a="1"/>
  <c r="I192" i="14" s="1"/>
  <c r="I193" i="14" a="1"/>
  <c r="I193" i="14" s="1"/>
  <c r="I194" i="14" a="1"/>
  <c r="I194" i="14" s="1"/>
  <c r="I195" i="14" a="1"/>
  <c r="I195" i="14" s="1"/>
  <c r="I196" i="14" a="1"/>
  <c r="I196" i="14" s="1"/>
  <c r="I197" i="14" a="1"/>
  <c r="I197" i="14" s="1"/>
  <c r="I198" i="14" a="1"/>
  <c r="I198" i="14" s="1"/>
  <c r="I199" i="14" a="1"/>
  <c r="I199" i="14" s="1"/>
  <c r="I200" i="14" a="1"/>
  <c r="I200" i="14" s="1"/>
  <c r="I201" i="14" a="1"/>
  <c r="I201" i="14" s="1"/>
  <c r="I202" i="14" a="1"/>
  <c r="I202" i="14" s="1"/>
  <c r="I203" i="14" a="1"/>
  <c r="I203" i="14" s="1"/>
  <c r="I204" i="14" a="1"/>
  <c r="I204" i="14" s="1"/>
  <c r="I205" i="14" a="1"/>
  <c r="I205" i="14" s="1"/>
  <c r="I206" i="14" a="1"/>
  <c r="I206" i="14" s="1"/>
  <c r="I207" i="14" a="1"/>
  <c r="I207" i="14" s="1"/>
  <c r="I208" i="14" a="1"/>
  <c r="I208" i="14" s="1"/>
  <c r="I209" i="14" a="1"/>
  <c r="I209" i="14" s="1"/>
  <c r="I210" i="14" a="1"/>
  <c r="I210" i="14" s="1"/>
  <c r="I211" i="14" a="1"/>
  <c r="I211" i="14" s="1"/>
  <c r="I212" i="14" a="1"/>
  <c r="I212" i="14" s="1"/>
  <c r="I213" i="14" a="1"/>
  <c r="I213" i="14" s="1"/>
  <c r="I214" i="14" a="1"/>
  <c r="I214" i="14" s="1"/>
  <c r="I215" i="14" a="1"/>
  <c r="I215" i="14" s="1"/>
  <c r="I216" i="14" a="1"/>
  <c r="I216" i="14" s="1"/>
  <c r="I217" i="14" a="1"/>
  <c r="I217" i="14" s="1"/>
  <c r="I218" i="14" a="1"/>
  <c r="I218" i="14" s="1"/>
  <c r="I219" i="14" a="1"/>
  <c r="I219" i="14" s="1"/>
  <c r="I220" i="14" a="1"/>
  <c r="I220" i="14" s="1"/>
  <c r="I221" i="14" a="1"/>
  <c r="I221" i="14" s="1"/>
  <c r="I222" i="14" a="1"/>
  <c r="I222" i="14" s="1"/>
  <c r="I223" i="14" a="1"/>
  <c r="I223" i="14" s="1"/>
  <c r="I224" i="14" a="1"/>
  <c r="I224" i="14" s="1"/>
  <c r="I225" i="14" a="1"/>
  <c r="I225" i="14" s="1"/>
  <c r="I226" i="14" a="1"/>
  <c r="I226" i="14" s="1"/>
  <c r="I227" i="14" a="1"/>
  <c r="I227" i="14" s="1"/>
  <c r="I228" i="14" a="1"/>
  <c r="I228" i="14" s="1"/>
  <c r="I229" i="14" a="1"/>
  <c r="I229" i="14" s="1"/>
  <c r="I230" i="14" a="1"/>
  <c r="I230" i="14" s="1"/>
  <c r="I231" i="14" a="1"/>
  <c r="I231" i="14" s="1"/>
  <c r="I232" i="14" a="1"/>
  <c r="I232" i="14" s="1"/>
  <c r="I233" i="14" a="1"/>
  <c r="I233" i="14" s="1"/>
  <c r="I234" i="14" a="1"/>
  <c r="I234" i="14" s="1"/>
  <c r="I235" i="14" a="1"/>
  <c r="I235" i="14" s="1"/>
  <c r="I236" i="14" a="1"/>
  <c r="I236" i="14" s="1"/>
  <c r="I237" i="14" a="1"/>
  <c r="I237" i="14" s="1"/>
  <c r="I238" i="14" a="1"/>
  <c r="I238" i="14" s="1"/>
  <c r="I239" i="14" a="1"/>
  <c r="I239" i="14" s="1"/>
  <c r="I240" i="14" a="1"/>
  <c r="I240" i="14" s="1"/>
  <c r="I241" i="14" a="1"/>
  <c r="I241" i="14" s="1"/>
  <c r="I242" i="14" a="1"/>
  <c r="I242" i="14" s="1"/>
  <c r="H5" i="14" a="1"/>
  <c r="H5" i="14" s="1"/>
  <c r="H6" i="14" a="1"/>
  <c r="H6" i="14" s="1"/>
  <c r="H7" i="14" a="1"/>
  <c r="H7" i="14" s="1"/>
  <c r="H8" i="14" a="1"/>
  <c r="H8" i="14" s="1"/>
  <c r="H9" i="14" a="1"/>
  <c r="H9" i="14" s="1"/>
  <c r="H10" i="14" a="1"/>
  <c r="H10" i="14" s="1"/>
  <c r="H11" i="14" a="1"/>
  <c r="H11" i="14" s="1"/>
  <c r="H12" i="14" a="1"/>
  <c r="H12" i="14" s="1"/>
  <c r="H13" i="14" a="1"/>
  <c r="H13" i="14" s="1"/>
  <c r="H14" i="14" a="1"/>
  <c r="H14" i="14" s="1"/>
  <c r="H15" i="14" a="1"/>
  <c r="H15" i="14" s="1"/>
  <c r="H16" i="14" a="1"/>
  <c r="H16" i="14" s="1"/>
  <c r="H17" i="14" a="1"/>
  <c r="H17" i="14" s="1"/>
  <c r="H18" i="14" a="1"/>
  <c r="H18" i="14" s="1"/>
  <c r="H19" i="14" a="1"/>
  <c r="H19" i="14" s="1"/>
  <c r="H20" i="14" a="1"/>
  <c r="H20" i="14" s="1"/>
  <c r="H21" i="14" a="1"/>
  <c r="H21" i="14" s="1"/>
  <c r="H22" i="14" a="1"/>
  <c r="H22" i="14" s="1"/>
  <c r="H23" i="14" a="1"/>
  <c r="H23" i="14" s="1"/>
  <c r="H24" i="14" a="1"/>
  <c r="H24" i="14" s="1"/>
  <c r="H25" i="14" a="1"/>
  <c r="H25" i="14" s="1"/>
  <c r="H26" i="14" a="1"/>
  <c r="H26" i="14" s="1"/>
  <c r="H27" i="14" a="1"/>
  <c r="H27" i="14" s="1"/>
  <c r="H28" i="14" a="1"/>
  <c r="H28" i="14" s="1"/>
  <c r="H29" i="14" a="1"/>
  <c r="H29" i="14" s="1"/>
  <c r="H30" i="14" a="1"/>
  <c r="H30" i="14" s="1"/>
  <c r="H31" i="14" a="1"/>
  <c r="H31" i="14" s="1"/>
  <c r="H32" i="14" a="1"/>
  <c r="H32" i="14" s="1"/>
  <c r="H33" i="14" a="1"/>
  <c r="H33" i="14" s="1"/>
  <c r="H34" i="14" a="1"/>
  <c r="H34" i="14" s="1"/>
  <c r="H35" i="14" a="1"/>
  <c r="H35" i="14" s="1"/>
  <c r="H36" i="14" a="1"/>
  <c r="H36" i="14" s="1"/>
  <c r="H37" i="14" a="1"/>
  <c r="H37" i="14" s="1"/>
  <c r="H38" i="14" a="1"/>
  <c r="H38" i="14" s="1"/>
  <c r="H39" i="14" a="1"/>
  <c r="H39" i="14" s="1"/>
  <c r="H40" i="14" a="1"/>
  <c r="H40" i="14" s="1"/>
  <c r="H41" i="14" a="1"/>
  <c r="H41" i="14" s="1"/>
  <c r="H42" i="14" a="1"/>
  <c r="H42" i="14" s="1"/>
  <c r="H43" i="14" a="1"/>
  <c r="H43" i="14" s="1"/>
  <c r="H44" i="14" a="1"/>
  <c r="H44" i="14" s="1"/>
  <c r="H45" i="14" a="1"/>
  <c r="H45" i="14" s="1"/>
  <c r="H46" i="14" a="1"/>
  <c r="H46" i="14" s="1"/>
  <c r="H47" i="14" a="1"/>
  <c r="H47" i="14" s="1"/>
  <c r="H48" i="14" a="1"/>
  <c r="H48" i="14" s="1"/>
  <c r="H49" i="14" a="1"/>
  <c r="H49" i="14" s="1"/>
  <c r="H50" i="14" a="1"/>
  <c r="H50" i="14" s="1"/>
  <c r="H51" i="14" a="1"/>
  <c r="H51" i="14" s="1"/>
  <c r="H52" i="14" a="1"/>
  <c r="H52" i="14" s="1"/>
  <c r="H53" i="14" a="1"/>
  <c r="H53" i="14" s="1"/>
  <c r="H54" i="14" a="1"/>
  <c r="H54" i="14" s="1"/>
  <c r="H55" i="14" a="1"/>
  <c r="H55" i="14" s="1"/>
  <c r="H56" i="14" a="1"/>
  <c r="H56" i="14" s="1"/>
  <c r="H57" i="14" a="1"/>
  <c r="H57" i="14" s="1"/>
  <c r="H58" i="14" a="1"/>
  <c r="H58" i="14" s="1"/>
  <c r="H59" i="14" a="1"/>
  <c r="H59" i="14" s="1"/>
  <c r="H60" i="14" a="1"/>
  <c r="H60" i="14" s="1"/>
  <c r="H61" i="14" a="1"/>
  <c r="H61" i="14" s="1"/>
  <c r="H62" i="14" a="1"/>
  <c r="H62" i="14" s="1"/>
  <c r="H63" i="14" a="1"/>
  <c r="H63" i="14" s="1"/>
  <c r="H64" i="14" a="1"/>
  <c r="H64" i="14" s="1"/>
  <c r="H65" i="14" a="1"/>
  <c r="H65" i="14" s="1"/>
  <c r="H66" i="14" a="1"/>
  <c r="H66" i="14" s="1"/>
  <c r="H67" i="14" a="1"/>
  <c r="H67" i="14" s="1"/>
  <c r="H68" i="14" a="1"/>
  <c r="H68" i="14" s="1"/>
  <c r="H69" i="14" a="1"/>
  <c r="H69" i="14" s="1"/>
  <c r="H70" i="14" a="1"/>
  <c r="H70" i="14" s="1"/>
  <c r="H71" i="14" a="1"/>
  <c r="H71" i="14" s="1"/>
  <c r="H72" i="14" a="1"/>
  <c r="H72" i="14" s="1"/>
  <c r="H73" i="14" a="1"/>
  <c r="H73" i="14" s="1"/>
  <c r="H74" i="14" a="1"/>
  <c r="H74" i="14" s="1"/>
  <c r="H75" i="14" a="1"/>
  <c r="H75" i="14" s="1"/>
  <c r="H76" i="14" a="1"/>
  <c r="H76" i="14" s="1"/>
  <c r="H77" i="14" a="1"/>
  <c r="H77" i="14" s="1"/>
  <c r="H78" i="14" a="1"/>
  <c r="H78" i="14" s="1"/>
  <c r="H79" i="14" a="1"/>
  <c r="H79" i="14" s="1"/>
  <c r="H80" i="14" a="1"/>
  <c r="H80" i="14" s="1"/>
  <c r="H81" i="14" a="1"/>
  <c r="H81" i="14" s="1"/>
  <c r="H82" i="14" a="1"/>
  <c r="H82" i="14" s="1"/>
  <c r="H83" i="14" a="1"/>
  <c r="H83" i="14" s="1"/>
  <c r="H84" i="14" a="1"/>
  <c r="H84" i="14" s="1"/>
  <c r="H85" i="14" a="1"/>
  <c r="H85" i="14" s="1"/>
  <c r="H86" i="14" a="1"/>
  <c r="H86" i="14" s="1"/>
  <c r="H87" i="14" a="1"/>
  <c r="H87" i="14" s="1"/>
  <c r="H88" i="14" a="1"/>
  <c r="H88" i="14" s="1"/>
  <c r="H89" i="14" a="1"/>
  <c r="H89" i="14" s="1"/>
  <c r="H90" i="14" a="1"/>
  <c r="H90" i="14" s="1"/>
  <c r="H91" i="14" a="1"/>
  <c r="H91" i="14" s="1"/>
  <c r="H92" i="14" a="1"/>
  <c r="H92" i="14" s="1"/>
  <c r="H93" i="14" a="1"/>
  <c r="H93" i="14" s="1"/>
  <c r="H94" i="14" a="1"/>
  <c r="H94" i="14" s="1"/>
  <c r="H95" i="14" a="1"/>
  <c r="H95" i="14" s="1"/>
  <c r="H96" i="14" a="1"/>
  <c r="H96" i="14" s="1"/>
  <c r="H97" i="14" a="1"/>
  <c r="H97" i="14" s="1"/>
  <c r="H98" i="14" a="1"/>
  <c r="H98" i="14" s="1"/>
  <c r="H99" i="14" a="1"/>
  <c r="H99" i="14" s="1"/>
  <c r="H100" i="14" a="1"/>
  <c r="H100" i="14" s="1"/>
  <c r="H101" i="14" a="1"/>
  <c r="H101" i="14" s="1"/>
  <c r="H102" i="14" a="1"/>
  <c r="H102" i="14" s="1"/>
  <c r="H103" i="14" a="1"/>
  <c r="H103" i="14" s="1"/>
  <c r="H104" i="14" a="1"/>
  <c r="H104" i="14" s="1"/>
  <c r="H105" i="14" a="1"/>
  <c r="H105" i="14" s="1"/>
  <c r="H106" i="14" a="1"/>
  <c r="H106" i="14" s="1"/>
  <c r="H107" i="14" a="1"/>
  <c r="H107" i="14" s="1"/>
  <c r="H108" i="14" a="1"/>
  <c r="H108" i="14" s="1"/>
  <c r="H109" i="14" a="1"/>
  <c r="H109" i="14" s="1"/>
  <c r="H110" i="14" a="1"/>
  <c r="H110" i="14" s="1"/>
  <c r="H111" i="14" a="1"/>
  <c r="H111" i="14" s="1"/>
  <c r="H112" i="14" a="1"/>
  <c r="H112" i="14" s="1"/>
  <c r="H113" i="14" a="1"/>
  <c r="H113" i="14" s="1"/>
  <c r="H114" i="14" a="1"/>
  <c r="H114" i="14" s="1"/>
  <c r="H115" i="14" a="1"/>
  <c r="H115" i="14" s="1"/>
  <c r="H116" i="14" a="1"/>
  <c r="H116" i="14" s="1"/>
  <c r="H117" i="14" a="1"/>
  <c r="H117" i="14" s="1"/>
  <c r="H118" i="14" a="1"/>
  <c r="H118" i="14" s="1"/>
  <c r="H119" i="14" a="1"/>
  <c r="H119" i="14" s="1"/>
  <c r="H120" i="14" a="1"/>
  <c r="H120" i="14" s="1"/>
  <c r="H121" i="14" a="1"/>
  <c r="H121" i="14" s="1"/>
  <c r="H122" i="14" a="1"/>
  <c r="H122" i="14" s="1"/>
  <c r="H123" i="14" a="1"/>
  <c r="H123" i="14" s="1"/>
  <c r="H124" i="14" a="1"/>
  <c r="H124" i="14" s="1"/>
  <c r="H125" i="14" a="1"/>
  <c r="H125" i="14" s="1"/>
  <c r="H126" i="14" a="1"/>
  <c r="H126" i="14" s="1"/>
  <c r="H127" i="14" a="1"/>
  <c r="H127" i="14" s="1"/>
  <c r="H128" i="14" a="1"/>
  <c r="H128" i="14" s="1"/>
  <c r="H129" i="14" a="1"/>
  <c r="H129" i="14" s="1"/>
  <c r="H130" i="14" a="1"/>
  <c r="H130" i="14" s="1"/>
  <c r="H131" i="14" a="1"/>
  <c r="H131" i="14" s="1"/>
  <c r="H132" i="14" a="1"/>
  <c r="H132" i="14" s="1"/>
  <c r="H133" i="14" a="1"/>
  <c r="H133" i="14" s="1"/>
  <c r="H134" i="14" a="1"/>
  <c r="H134" i="14" s="1"/>
  <c r="H135" i="14" a="1"/>
  <c r="H135" i="14" s="1"/>
  <c r="H136" i="14" a="1"/>
  <c r="H136" i="14" s="1"/>
  <c r="H137" i="14" a="1"/>
  <c r="H137" i="14" s="1"/>
  <c r="H138" i="14" a="1"/>
  <c r="H138" i="14" s="1"/>
  <c r="H139" i="14" a="1"/>
  <c r="H139" i="14" s="1"/>
  <c r="H140" i="14" a="1"/>
  <c r="H140" i="14" s="1"/>
  <c r="H141" i="14" a="1"/>
  <c r="H141" i="14" s="1"/>
  <c r="H142" i="14" a="1"/>
  <c r="H142" i="14" s="1"/>
  <c r="H143" i="14" a="1"/>
  <c r="H143" i="14" s="1"/>
  <c r="H144" i="14" a="1"/>
  <c r="H144" i="14" s="1"/>
  <c r="H145" i="14" a="1"/>
  <c r="H145" i="14" s="1"/>
  <c r="H146" i="14" a="1"/>
  <c r="H146" i="14" s="1"/>
  <c r="H147" i="14" a="1"/>
  <c r="H147" i="14" s="1"/>
  <c r="H148" i="14" a="1"/>
  <c r="H148" i="14" s="1"/>
  <c r="H149" i="14" a="1"/>
  <c r="H149" i="14" s="1"/>
  <c r="H150" i="14" a="1"/>
  <c r="H150" i="14" s="1"/>
  <c r="H151" i="14" a="1"/>
  <c r="H151" i="14" s="1"/>
  <c r="H152" i="14" a="1"/>
  <c r="H152" i="14" s="1"/>
  <c r="H153" i="14" a="1"/>
  <c r="H153" i="14" s="1"/>
  <c r="H154" i="14" a="1"/>
  <c r="H154" i="14" s="1"/>
  <c r="H155" i="14" a="1"/>
  <c r="H155" i="14" s="1"/>
  <c r="H156" i="14" a="1"/>
  <c r="H156" i="14" s="1"/>
  <c r="H157" i="14" a="1"/>
  <c r="H157" i="14" s="1"/>
  <c r="H158" i="14" a="1"/>
  <c r="H158" i="14" s="1"/>
  <c r="H159" i="14" a="1"/>
  <c r="H159" i="14" s="1"/>
  <c r="H160" i="14" a="1"/>
  <c r="H160" i="14" s="1"/>
  <c r="H161" i="14" a="1"/>
  <c r="H161" i="14" s="1"/>
  <c r="H162" i="14" a="1"/>
  <c r="H162" i="14" s="1"/>
  <c r="H163" i="14" a="1"/>
  <c r="H163" i="14" s="1"/>
  <c r="H164" i="14" a="1"/>
  <c r="H164" i="14" s="1"/>
  <c r="H165" i="14" a="1"/>
  <c r="H165" i="14" s="1"/>
  <c r="H166" i="14" a="1"/>
  <c r="H166" i="14" s="1"/>
  <c r="H167" i="14" a="1"/>
  <c r="H167" i="14" s="1"/>
  <c r="H168" i="14" a="1"/>
  <c r="H168" i="14" s="1"/>
  <c r="H169" i="14" a="1"/>
  <c r="H169" i="14" s="1"/>
  <c r="H170" i="14" a="1"/>
  <c r="H170" i="14" s="1"/>
  <c r="H171" i="14" a="1"/>
  <c r="H171" i="14" s="1"/>
  <c r="H172" i="14" a="1"/>
  <c r="H172" i="14" s="1"/>
  <c r="H173" i="14" a="1"/>
  <c r="H173" i="14" s="1"/>
  <c r="H174" i="14" a="1"/>
  <c r="H174" i="14" s="1"/>
  <c r="H175" i="14" a="1"/>
  <c r="H175" i="14" s="1"/>
  <c r="H176" i="14" a="1"/>
  <c r="H176" i="14" s="1"/>
  <c r="H177" i="14" a="1"/>
  <c r="H177" i="14" s="1"/>
  <c r="H178" i="14" a="1"/>
  <c r="H178" i="14" s="1"/>
  <c r="H179" i="14" a="1"/>
  <c r="H179" i="14" s="1"/>
  <c r="H180" i="14" a="1"/>
  <c r="H180" i="14" s="1"/>
  <c r="H181" i="14" a="1"/>
  <c r="H181" i="14" s="1"/>
  <c r="H182" i="14" a="1"/>
  <c r="H182" i="14" s="1"/>
  <c r="H183" i="14" a="1"/>
  <c r="H183" i="14" s="1"/>
  <c r="H184" i="14" a="1"/>
  <c r="H184" i="14" s="1"/>
  <c r="H185" i="14" a="1"/>
  <c r="H185" i="14" s="1"/>
  <c r="H186" i="14" a="1"/>
  <c r="H186" i="14" s="1"/>
  <c r="H187" i="14" a="1"/>
  <c r="H187" i="14" s="1"/>
  <c r="H188" i="14" a="1"/>
  <c r="H188" i="14" s="1"/>
  <c r="H189" i="14" a="1"/>
  <c r="H189" i="14" s="1"/>
  <c r="H190" i="14" a="1"/>
  <c r="H190" i="14" s="1"/>
  <c r="H191" i="14" a="1"/>
  <c r="H191" i="14" s="1"/>
  <c r="H192" i="14" a="1"/>
  <c r="H192" i="14" s="1"/>
  <c r="H193" i="14" a="1"/>
  <c r="H193" i="14" s="1"/>
  <c r="H194" i="14" a="1"/>
  <c r="H194" i="14" s="1"/>
  <c r="H195" i="14" a="1"/>
  <c r="H195" i="14" s="1"/>
  <c r="H196" i="14" a="1"/>
  <c r="H196" i="14" s="1"/>
  <c r="H197" i="14" a="1"/>
  <c r="H197" i="14" s="1"/>
  <c r="H198" i="14" a="1"/>
  <c r="H198" i="14" s="1"/>
  <c r="H199" i="14" a="1"/>
  <c r="H199" i="14" s="1"/>
  <c r="H200" i="14" a="1"/>
  <c r="H200" i="14" s="1"/>
  <c r="H201" i="14" a="1"/>
  <c r="H201" i="14" s="1"/>
  <c r="H202" i="14" a="1"/>
  <c r="H202" i="14" s="1"/>
  <c r="H203" i="14" a="1"/>
  <c r="H203" i="14" s="1"/>
  <c r="H204" i="14" a="1"/>
  <c r="H204" i="14" s="1"/>
  <c r="H205" i="14" a="1"/>
  <c r="H205" i="14" s="1"/>
  <c r="H206" i="14" a="1"/>
  <c r="H206" i="14" s="1"/>
  <c r="H207" i="14" a="1"/>
  <c r="H207" i="14" s="1"/>
  <c r="H208" i="14" a="1"/>
  <c r="H208" i="14" s="1"/>
  <c r="H209" i="14" a="1"/>
  <c r="H209" i="14" s="1"/>
  <c r="H210" i="14" a="1"/>
  <c r="H210" i="14" s="1"/>
  <c r="H211" i="14" a="1"/>
  <c r="H211" i="14" s="1"/>
  <c r="H212" i="14" a="1"/>
  <c r="H212" i="14" s="1"/>
  <c r="H213" i="14" a="1"/>
  <c r="H213" i="14" s="1"/>
  <c r="H214" i="14" a="1"/>
  <c r="H214" i="14" s="1"/>
  <c r="H215" i="14" a="1"/>
  <c r="H215" i="14" s="1"/>
  <c r="H216" i="14" a="1"/>
  <c r="H216" i="14" s="1"/>
  <c r="H217" i="14" a="1"/>
  <c r="H217" i="14" s="1"/>
  <c r="H218" i="14" a="1"/>
  <c r="H218" i="14" s="1"/>
  <c r="H219" i="14" a="1"/>
  <c r="H219" i="14" s="1"/>
  <c r="H220" i="14" a="1"/>
  <c r="H220" i="14" s="1"/>
  <c r="H221" i="14" a="1"/>
  <c r="H221" i="14" s="1"/>
  <c r="H222" i="14" a="1"/>
  <c r="H222" i="14" s="1"/>
  <c r="H223" i="14" a="1"/>
  <c r="H223" i="14" s="1"/>
  <c r="H224" i="14" a="1"/>
  <c r="H224" i="14" s="1"/>
  <c r="H225" i="14" a="1"/>
  <c r="H225" i="14" s="1"/>
  <c r="H226" i="14" a="1"/>
  <c r="H226" i="14" s="1"/>
  <c r="H227" i="14" a="1"/>
  <c r="H227" i="14" s="1"/>
  <c r="H228" i="14" a="1"/>
  <c r="H228" i="14" s="1"/>
  <c r="H229" i="14" a="1"/>
  <c r="H229" i="14" s="1"/>
  <c r="H230" i="14" a="1"/>
  <c r="H230" i="14" s="1"/>
  <c r="H231" i="14" a="1"/>
  <c r="H231" i="14" s="1"/>
  <c r="H232" i="14" a="1"/>
  <c r="H232" i="14" s="1"/>
  <c r="H233" i="14" a="1"/>
  <c r="H233" i="14" s="1"/>
  <c r="H234" i="14" a="1"/>
  <c r="H234" i="14" s="1"/>
  <c r="H235" i="14" a="1"/>
  <c r="H235" i="14" s="1"/>
  <c r="H236" i="14" a="1"/>
  <c r="H236" i="14" s="1"/>
  <c r="H237" i="14" a="1"/>
  <c r="H237" i="14" s="1"/>
  <c r="H238" i="14" a="1"/>
  <c r="H238" i="14" s="1"/>
  <c r="H239" i="14" a="1"/>
  <c r="H239" i="14" s="1"/>
  <c r="H240" i="14" a="1"/>
  <c r="H240" i="14" s="1"/>
  <c r="H241" i="14" a="1"/>
  <c r="H241" i="14" s="1"/>
  <c r="H242" i="14" a="1"/>
  <c r="H242" i="14" s="1"/>
  <c r="G5" i="14" a="1"/>
  <c r="G5" i="14" s="1"/>
  <c r="T5" i="14" s="1"/>
  <c r="G6" i="14" a="1"/>
  <c r="G6" i="14" s="1"/>
  <c r="T6" i="14" s="1"/>
  <c r="G7" i="14" a="1"/>
  <c r="G7" i="14" s="1"/>
  <c r="T7" i="14" s="1"/>
  <c r="G8" i="14" a="1"/>
  <c r="G8" i="14" s="1"/>
  <c r="T8" i="14" s="1"/>
  <c r="G9" i="14" a="1"/>
  <c r="G9" i="14" s="1"/>
  <c r="T9" i="14" s="1"/>
  <c r="G10" i="14" a="1"/>
  <c r="G10" i="14" s="1"/>
  <c r="T10" i="14" s="1"/>
  <c r="G11" i="14" a="1"/>
  <c r="G11" i="14" s="1"/>
  <c r="T11" i="14" s="1"/>
  <c r="G12" i="14" a="1"/>
  <c r="G12" i="14" s="1"/>
  <c r="T12" i="14" s="1"/>
  <c r="G13" i="14" a="1"/>
  <c r="G13" i="14" s="1"/>
  <c r="T13" i="14" s="1"/>
  <c r="G14" i="14" a="1"/>
  <c r="G14" i="14" s="1"/>
  <c r="T14" i="14" s="1"/>
  <c r="G15" i="14" a="1"/>
  <c r="G15" i="14" s="1"/>
  <c r="T15" i="14" s="1"/>
  <c r="G16" i="14" a="1"/>
  <c r="G16" i="14" s="1"/>
  <c r="T16" i="14" s="1"/>
  <c r="G17" i="14" a="1"/>
  <c r="G17" i="14" s="1"/>
  <c r="T17" i="14" s="1"/>
  <c r="G18" i="14" a="1"/>
  <c r="G18" i="14" s="1"/>
  <c r="T18" i="14" s="1"/>
  <c r="G19" i="14" a="1"/>
  <c r="G19" i="14" s="1"/>
  <c r="T19" i="14" s="1"/>
  <c r="G20" i="14" a="1"/>
  <c r="G20" i="14" s="1"/>
  <c r="T20" i="14" s="1"/>
  <c r="G21" i="14" a="1"/>
  <c r="G21" i="14" s="1"/>
  <c r="T21" i="14" s="1"/>
  <c r="G22" i="14" a="1"/>
  <c r="G22" i="14" s="1"/>
  <c r="T22" i="14" s="1"/>
  <c r="G23" i="14" a="1"/>
  <c r="G23" i="14" s="1"/>
  <c r="T23" i="14" s="1"/>
  <c r="G24" i="14" a="1"/>
  <c r="G24" i="14" s="1"/>
  <c r="T24" i="14" s="1"/>
  <c r="G25" i="14" a="1"/>
  <c r="G25" i="14" s="1"/>
  <c r="T25" i="14" s="1"/>
  <c r="G26" i="14" a="1"/>
  <c r="G26" i="14" s="1"/>
  <c r="T26" i="14" s="1"/>
  <c r="G27" i="14" a="1"/>
  <c r="G27" i="14" s="1"/>
  <c r="T27" i="14" s="1"/>
  <c r="G28" i="14" a="1"/>
  <c r="G28" i="14" s="1"/>
  <c r="T28" i="14" s="1"/>
  <c r="G29" i="14" a="1"/>
  <c r="G29" i="14" s="1"/>
  <c r="T29" i="14" s="1"/>
  <c r="G30" i="14" a="1"/>
  <c r="G30" i="14" s="1"/>
  <c r="T30" i="14" s="1"/>
  <c r="G31" i="14" a="1"/>
  <c r="G31" i="14" s="1"/>
  <c r="T31" i="14" s="1"/>
  <c r="G32" i="14" a="1"/>
  <c r="G32" i="14" s="1"/>
  <c r="T32" i="14" s="1"/>
  <c r="G33" i="14" a="1"/>
  <c r="G33" i="14" s="1"/>
  <c r="T33" i="14" s="1"/>
  <c r="G34" i="14" a="1"/>
  <c r="G34" i="14" s="1"/>
  <c r="T34" i="14" s="1"/>
  <c r="G35" i="14" a="1"/>
  <c r="G35" i="14" s="1"/>
  <c r="T35" i="14" s="1"/>
  <c r="G36" i="14" a="1"/>
  <c r="G36" i="14" s="1"/>
  <c r="T36" i="14" s="1"/>
  <c r="G37" i="14" a="1"/>
  <c r="G37" i="14" s="1"/>
  <c r="T37" i="14" s="1"/>
  <c r="G38" i="14" a="1"/>
  <c r="G38" i="14" s="1"/>
  <c r="T38" i="14" s="1"/>
  <c r="G39" i="14" a="1"/>
  <c r="G39" i="14" s="1"/>
  <c r="T39" i="14" s="1"/>
  <c r="G40" i="14" a="1"/>
  <c r="G40" i="14" s="1"/>
  <c r="T40" i="14" s="1"/>
  <c r="G41" i="14" a="1"/>
  <c r="G41" i="14" s="1"/>
  <c r="T41" i="14" s="1"/>
  <c r="G42" i="14" a="1"/>
  <c r="G42" i="14" s="1"/>
  <c r="T42" i="14" s="1"/>
  <c r="G43" i="14" a="1"/>
  <c r="G43" i="14" s="1"/>
  <c r="T43" i="14" s="1"/>
  <c r="G44" i="14" a="1"/>
  <c r="G44" i="14" s="1"/>
  <c r="T44" i="14" s="1"/>
  <c r="G45" i="14" a="1"/>
  <c r="G45" i="14" s="1"/>
  <c r="T45" i="14" s="1"/>
  <c r="G46" i="14" a="1"/>
  <c r="G46" i="14" s="1"/>
  <c r="T46" i="14" s="1"/>
  <c r="G47" i="14" a="1"/>
  <c r="G47" i="14" s="1"/>
  <c r="T47" i="14" s="1"/>
  <c r="G48" i="14" a="1"/>
  <c r="G48" i="14" s="1"/>
  <c r="T48" i="14" s="1"/>
  <c r="G49" i="14" a="1"/>
  <c r="G49" i="14" s="1"/>
  <c r="T49" i="14" s="1"/>
  <c r="G50" i="14" a="1"/>
  <c r="G50" i="14" s="1"/>
  <c r="T50" i="14" s="1"/>
  <c r="G51" i="14" a="1"/>
  <c r="G51" i="14" s="1"/>
  <c r="T51" i="14" s="1"/>
  <c r="G52" i="14" a="1"/>
  <c r="G52" i="14" s="1"/>
  <c r="T52" i="14" s="1"/>
  <c r="G53" i="14" a="1"/>
  <c r="G53" i="14" s="1"/>
  <c r="T53" i="14" s="1"/>
  <c r="G54" i="14" a="1"/>
  <c r="G54" i="14" s="1"/>
  <c r="T54" i="14" s="1"/>
  <c r="G55" i="14" a="1"/>
  <c r="G55" i="14" s="1"/>
  <c r="T55" i="14" s="1"/>
  <c r="G56" i="14" a="1"/>
  <c r="G56" i="14" s="1"/>
  <c r="T56" i="14" s="1"/>
  <c r="G57" i="14" a="1"/>
  <c r="G57" i="14" s="1"/>
  <c r="T57" i="14" s="1"/>
  <c r="G58" i="14" a="1"/>
  <c r="G58" i="14" s="1"/>
  <c r="T58" i="14" s="1"/>
  <c r="G59" i="14" a="1"/>
  <c r="G59" i="14" s="1"/>
  <c r="T59" i="14" s="1"/>
  <c r="G60" i="14" a="1"/>
  <c r="G60" i="14" s="1"/>
  <c r="T60" i="14" s="1"/>
  <c r="G61" i="14" a="1"/>
  <c r="G61" i="14" s="1"/>
  <c r="T61" i="14" s="1"/>
  <c r="G62" i="14" a="1"/>
  <c r="G62" i="14" s="1"/>
  <c r="T62" i="14" s="1"/>
  <c r="G63" i="14" a="1"/>
  <c r="G63" i="14" s="1"/>
  <c r="T63" i="14" s="1"/>
  <c r="G64" i="14" a="1"/>
  <c r="G64" i="14" s="1"/>
  <c r="T64" i="14" s="1"/>
  <c r="G65" i="14" a="1"/>
  <c r="G65" i="14" s="1"/>
  <c r="T65" i="14" s="1"/>
  <c r="G66" i="14" a="1"/>
  <c r="G66" i="14" s="1"/>
  <c r="T66" i="14" s="1"/>
  <c r="G67" i="14" a="1"/>
  <c r="G67" i="14" s="1"/>
  <c r="T67" i="14" s="1"/>
  <c r="G68" i="14" a="1"/>
  <c r="G68" i="14" s="1"/>
  <c r="T68" i="14" s="1"/>
  <c r="G69" i="14" a="1"/>
  <c r="G69" i="14" s="1"/>
  <c r="T69" i="14" s="1"/>
  <c r="G70" i="14" a="1"/>
  <c r="G70" i="14" s="1"/>
  <c r="T70" i="14" s="1"/>
  <c r="G71" i="14" a="1"/>
  <c r="G71" i="14" s="1"/>
  <c r="T71" i="14" s="1"/>
  <c r="G72" i="14" a="1"/>
  <c r="G72" i="14" s="1"/>
  <c r="T72" i="14" s="1"/>
  <c r="G73" i="14" a="1"/>
  <c r="G73" i="14" s="1"/>
  <c r="T73" i="14" s="1"/>
  <c r="G74" i="14" a="1"/>
  <c r="G74" i="14" s="1"/>
  <c r="T74" i="14" s="1"/>
  <c r="G75" i="14" a="1"/>
  <c r="G75" i="14" s="1"/>
  <c r="T75" i="14" s="1"/>
  <c r="G76" i="14" a="1"/>
  <c r="G76" i="14" s="1"/>
  <c r="T76" i="14" s="1"/>
  <c r="G77" i="14" a="1"/>
  <c r="G77" i="14" s="1"/>
  <c r="T77" i="14" s="1"/>
  <c r="G78" i="14" a="1"/>
  <c r="G78" i="14" s="1"/>
  <c r="T78" i="14" s="1"/>
  <c r="G79" i="14" a="1"/>
  <c r="G79" i="14" s="1"/>
  <c r="T79" i="14" s="1"/>
  <c r="G80" i="14" a="1"/>
  <c r="G80" i="14" s="1"/>
  <c r="T80" i="14" s="1"/>
  <c r="G81" i="14" a="1"/>
  <c r="G81" i="14" s="1"/>
  <c r="T81" i="14" s="1"/>
  <c r="G82" i="14" a="1"/>
  <c r="G82" i="14" s="1"/>
  <c r="T82" i="14" s="1"/>
  <c r="G83" i="14" a="1"/>
  <c r="G83" i="14" s="1"/>
  <c r="T83" i="14" s="1"/>
  <c r="G84" i="14" a="1"/>
  <c r="G84" i="14" s="1"/>
  <c r="T84" i="14" s="1"/>
  <c r="G85" i="14" a="1"/>
  <c r="G85" i="14" s="1"/>
  <c r="T85" i="14" s="1"/>
  <c r="G86" i="14" a="1"/>
  <c r="G86" i="14" s="1"/>
  <c r="T86" i="14" s="1"/>
  <c r="G87" i="14" a="1"/>
  <c r="G87" i="14" s="1"/>
  <c r="T87" i="14" s="1"/>
  <c r="G88" i="14" a="1"/>
  <c r="G88" i="14" s="1"/>
  <c r="T88" i="14" s="1"/>
  <c r="G89" i="14" a="1"/>
  <c r="G89" i="14" s="1"/>
  <c r="T89" i="14" s="1"/>
  <c r="G90" i="14" a="1"/>
  <c r="G90" i="14" s="1"/>
  <c r="T90" i="14" s="1"/>
  <c r="G91" i="14" a="1"/>
  <c r="G91" i="14" s="1"/>
  <c r="T91" i="14" s="1"/>
  <c r="G92" i="14" a="1"/>
  <c r="G92" i="14" s="1"/>
  <c r="T92" i="14" s="1"/>
  <c r="G93" i="14" a="1"/>
  <c r="G93" i="14" s="1"/>
  <c r="T93" i="14" s="1"/>
  <c r="G94" i="14" a="1"/>
  <c r="G94" i="14" s="1"/>
  <c r="T94" i="14" s="1"/>
  <c r="G95" i="14" a="1"/>
  <c r="G95" i="14" s="1"/>
  <c r="T95" i="14" s="1"/>
  <c r="G96" i="14" a="1"/>
  <c r="G96" i="14" s="1"/>
  <c r="T96" i="14" s="1"/>
  <c r="G97" i="14" a="1"/>
  <c r="G97" i="14" s="1"/>
  <c r="T97" i="14" s="1"/>
  <c r="G98" i="14" a="1"/>
  <c r="G98" i="14" s="1"/>
  <c r="T98" i="14" s="1"/>
  <c r="G99" i="14" a="1"/>
  <c r="G99" i="14" s="1"/>
  <c r="T99" i="14" s="1"/>
  <c r="G100" i="14" a="1"/>
  <c r="G100" i="14" s="1"/>
  <c r="T100" i="14" s="1"/>
  <c r="G101" i="14" a="1"/>
  <c r="G101" i="14" s="1"/>
  <c r="T101" i="14" s="1"/>
  <c r="G102" i="14" a="1"/>
  <c r="G102" i="14" s="1"/>
  <c r="T102" i="14" s="1"/>
  <c r="G103" i="14" a="1"/>
  <c r="G103" i="14" s="1"/>
  <c r="T103" i="14" s="1"/>
  <c r="G104" i="14" a="1"/>
  <c r="G104" i="14" s="1"/>
  <c r="T104" i="14" s="1"/>
  <c r="G105" i="14" a="1"/>
  <c r="G105" i="14" s="1"/>
  <c r="T105" i="14" s="1"/>
  <c r="G106" i="14" a="1"/>
  <c r="G106" i="14" s="1"/>
  <c r="T106" i="14" s="1"/>
  <c r="G107" i="14" a="1"/>
  <c r="G107" i="14" s="1"/>
  <c r="T107" i="14" s="1"/>
  <c r="G108" i="14" a="1"/>
  <c r="G108" i="14" s="1"/>
  <c r="T108" i="14" s="1"/>
  <c r="G109" i="14" a="1"/>
  <c r="G109" i="14" s="1"/>
  <c r="T109" i="14" s="1"/>
  <c r="G110" i="14" a="1"/>
  <c r="G110" i="14" s="1"/>
  <c r="T110" i="14" s="1"/>
  <c r="G111" i="14" a="1"/>
  <c r="G111" i="14" s="1"/>
  <c r="T111" i="14" s="1"/>
  <c r="G112" i="14" a="1"/>
  <c r="G112" i="14" s="1"/>
  <c r="T112" i="14" s="1"/>
  <c r="G113" i="14" a="1"/>
  <c r="G113" i="14" s="1"/>
  <c r="T113" i="14" s="1"/>
  <c r="G114" i="14" a="1"/>
  <c r="G114" i="14" s="1"/>
  <c r="T114" i="14" s="1"/>
  <c r="G115" i="14" a="1"/>
  <c r="G115" i="14" s="1"/>
  <c r="T115" i="14" s="1"/>
  <c r="G116" i="14" a="1"/>
  <c r="G116" i="14" s="1"/>
  <c r="T116" i="14" s="1"/>
  <c r="G117" i="14" a="1"/>
  <c r="G117" i="14" s="1"/>
  <c r="T117" i="14" s="1"/>
  <c r="G118" i="14" a="1"/>
  <c r="G118" i="14" s="1"/>
  <c r="T118" i="14" s="1"/>
  <c r="G119" i="14" a="1"/>
  <c r="G119" i="14" s="1"/>
  <c r="T119" i="14" s="1"/>
  <c r="G120" i="14" a="1"/>
  <c r="G120" i="14" s="1"/>
  <c r="T120" i="14" s="1"/>
  <c r="G121" i="14" a="1"/>
  <c r="G121" i="14" s="1"/>
  <c r="T121" i="14" s="1"/>
  <c r="G122" i="14" a="1"/>
  <c r="G122" i="14" s="1"/>
  <c r="T122" i="14" s="1"/>
  <c r="G123" i="14" a="1"/>
  <c r="G123" i="14" s="1"/>
  <c r="T123" i="14" s="1"/>
  <c r="G124" i="14" a="1"/>
  <c r="G124" i="14" s="1"/>
  <c r="T124" i="14" s="1"/>
  <c r="G125" i="14" a="1"/>
  <c r="G125" i="14" s="1"/>
  <c r="T125" i="14" s="1"/>
  <c r="G126" i="14" a="1"/>
  <c r="G126" i="14" s="1"/>
  <c r="T126" i="14" s="1"/>
  <c r="G127" i="14" a="1"/>
  <c r="G127" i="14" s="1"/>
  <c r="T127" i="14" s="1"/>
  <c r="G128" i="14" a="1"/>
  <c r="G128" i="14" s="1"/>
  <c r="T128" i="14" s="1"/>
  <c r="G129" i="14" a="1"/>
  <c r="G129" i="14" s="1"/>
  <c r="T129" i="14" s="1"/>
  <c r="G130" i="14" a="1"/>
  <c r="G130" i="14" s="1"/>
  <c r="T130" i="14" s="1"/>
  <c r="G131" i="14" a="1"/>
  <c r="G131" i="14" s="1"/>
  <c r="T131" i="14" s="1"/>
  <c r="G132" i="14" a="1"/>
  <c r="G132" i="14" s="1"/>
  <c r="T132" i="14" s="1"/>
  <c r="G133" i="14" a="1"/>
  <c r="G133" i="14" s="1"/>
  <c r="T133" i="14" s="1"/>
  <c r="G134" i="14" a="1"/>
  <c r="G134" i="14" s="1"/>
  <c r="T134" i="14" s="1"/>
  <c r="G135" i="14" a="1"/>
  <c r="G135" i="14" s="1"/>
  <c r="T135" i="14" s="1"/>
  <c r="G136" i="14" a="1"/>
  <c r="G136" i="14" s="1"/>
  <c r="T136" i="14" s="1"/>
  <c r="G137" i="14" a="1"/>
  <c r="G137" i="14" s="1"/>
  <c r="T137" i="14" s="1"/>
  <c r="G138" i="14" a="1"/>
  <c r="G138" i="14" s="1"/>
  <c r="T138" i="14" s="1"/>
  <c r="G139" i="14" a="1"/>
  <c r="G139" i="14" s="1"/>
  <c r="T139" i="14" s="1"/>
  <c r="G140" i="14" a="1"/>
  <c r="G140" i="14" s="1"/>
  <c r="T140" i="14" s="1"/>
  <c r="G141" i="14" a="1"/>
  <c r="G141" i="14" s="1"/>
  <c r="T141" i="14" s="1"/>
  <c r="G142" i="14" a="1"/>
  <c r="G142" i="14" s="1"/>
  <c r="T142" i="14" s="1"/>
  <c r="G143" i="14" a="1"/>
  <c r="G143" i="14" s="1"/>
  <c r="T143" i="14" s="1"/>
  <c r="G144" i="14" a="1"/>
  <c r="G144" i="14" s="1"/>
  <c r="T144" i="14" s="1"/>
  <c r="G145" i="14" a="1"/>
  <c r="G145" i="14" s="1"/>
  <c r="T145" i="14" s="1"/>
  <c r="G146" i="14" a="1"/>
  <c r="G146" i="14" s="1"/>
  <c r="T146" i="14" s="1"/>
  <c r="G147" i="14" a="1"/>
  <c r="G147" i="14" s="1"/>
  <c r="T147" i="14" s="1"/>
  <c r="G148" i="14" a="1"/>
  <c r="G148" i="14" s="1"/>
  <c r="T148" i="14" s="1"/>
  <c r="G149" i="14" a="1"/>
  <c r="G149" i="14" s="1"/>
  <c r="T149" i="14" s="1"/>
  <c r="G150" i="14" a="1"/>
  <c r="G150" i="14" s="1"/>
  <c r="T150" i="14" s="1"/>
  <c r="G151" i="14" a="1"/>
  <c r="G151" i="14" s="1"/>
  <c r="T151" i="14" s="1"/>
  <c r="G152" i="14" a="1"/>
  <c r="G152" i="14" s="1"/>
  <c r="T152" i="14" s="1"/>
  <c r="G153" i="14" a="1"/>
  <c r="G153" i="14" s="1"/>
  <c r="T153" i="14" s="1"/>
  <c r="G154" i="14" a="1"/>
  <c r="G154" i="14" s="1"/>
  <c r="T154" i="14" s="1"/>
  <c r="G155" i="14" a="1"/>
  <c r="G155" i="14" s="1"/>
  <c r="T155" i="14" s="1"/>
  <c r="G156" i="14" a="1"/>
  <c r="G156" i="14" s="1"/>
  <c r="T156" i="14" s="1"/>
  <c r="G157" i="14" a="1"/>
  <c r="G157" i="14" s="1"/>
  <c r="T157" i="14" s="1"/>
  <c r="G158" i="14" a="1"/>
  <c r="G158" i="14" s="1"/>
  <c r="T158" i="14" s="1"/>
  <c r="G159" i="14" a="1"/>
  <c r="G159" i="14" s="1"/>
  <c r="T159" i="14" s="1"/>
  <c r="G160" i="14" a="1"/>
  <c r="G160" i="14" s="1"/>
  <c r="T160" i="14" s="1"/>
  <c r="G161" i="14" a="1"/>
  <c r="G161" i="14" s="1"/>
  <c r="T161" i="14" s="1"/>
  <c r="G162" i="14" a="1"/>
  <c r="G162" i="14" s="1"/>
  <c r="T162" i="14" s="1"/>
  <c r="G163" i="14" a="1"/>
  <c r="G163" i="14" s="1"/>
  <c r="T163" i="14" s="1"/>
  <c r="G164" i="14" a="1"/>
  <c r="G164" i="14" s="1"/>
  <c r="T164" i="14" s="1"/>
  <c r="G165" i="14" a="1"/>
  <c r="G165" i="14" s="1"/>
  <c r="T165" i="14" s="1"/>
  <c r="G166" i="14" a="1"/>
  <c r="G166" i="14" s="1"/>
  <c r="T166" i="14" s="1"/>
  <c r="G167" i="14" a="1"/>
  <c r="G167" i="14" s="1"/>
  <c r="T167" i="14" s="1"/>
  <c r="G168" i="14" a="1"/>
  <c r="G168" i="14" s="1"/>
  <c r="T168" i="14" s="1"/>
  <c r="G169" i="14" a="1"/>
  <c r="G169" i="14" s="1"/>
  <c r="T169" i="14" s="1"/>
  <c r="G170" i="14" a="1"/>
  <c r="G170" i="14" s="1"/>
  <c r="T170" i="14" s="1"/>
  <c r="G171" i="14" a="1"/>
  <c r="G171" i="14" s="1"/>
  <c r="T171" i="14" s="1"/>
  <c r="G172" i="14" a="1"/>
  <c r="G172" i="14" s="1"/>
  <c r="T172" i="14" s="1"/>
  <c r="G173" i="14" a="1"/>
  <c r="G173" i="14" s="1"/>
  <c r="T173" i="14" s="1"/>
  <c r="G174" i="14" a="1"/>
  <c r="G174" i="14" s="1"/>
  <c r="T174" i="14" s="1"/>
  <c r="G175" i="14" a="1"/>
  <c r="G175" i="14" s="1"/>
  <c r="T175" i="14" s="1"/>
  <c r="G176" i="14" a="1"/>
  <c r="G176" i="14" s="1"/>
  <c r="T176" i="14" s="1"/>
  <c r="G177" i="14" a="1"/>
  <c r="G177" i="14" s="1"/>
  <c r="T177" i="14" s="1"/>
  <c r="G178" i="14" a="1"/>
  <c r="G178" i="14" s="1"/>
  <c r="T178" i="14" s="1"/>
  <c r="G179" i="14" a="1"/>
  <c r="G179" i="14" s="1"/>
  <c r="T179" i="14" s="1"/>
  <c r="G180" i="14" a="1"/>
  <c r="G180" i="14" s="1"/>
  <c r="T180" i="14" s="1"/>
  <c r="G181" i="14" a="1"/>
  <c r="G181" i="14" s="1"/>
  <c r="T181" i="14" s="1"/>
  <c r="G182" i="14" a="1"/>
  <c r="G182" i="14" s="1"/>
  <c r="T182" i="14" s="1"/>
  <c r="G183" i="14" a="1"/>
  <c r="G183" i="14" s="1"/>
  <c r="T183" i="14" s="1"/>
  <c r="G184" i="14" a="1"/>
  <c r="G184" i="14" s="1"/>
  <c r="T184" i="14" s="1"/>
  <c r="G185" i="14" a="1"/>
  <c r="G185" i="14" s="1"/>
  <c r="T185" i="14" s="1"/>
  <c r="G186" i="14" a="1"/>
  <c r="G186" i="14" s="1"/>
  <c r="T186" i="14" s="1"/>
  <c r="G187" i="14" a="1"/>
  <c r="G187" i="14" s="1"/>
  <c r="T187" i="14" s="1"/>
  <c r="G188" i="14" a="1"/>
  <c r="G188" i="14" s="1"/>
  <c r="T188" i="14" s="1"/>
  <c r="G189" i="14" a="1"/>
  <c r="G189" i="14" s="1"/>
  <c r="T189" i="14" s="1"/>
  <c r="G190" i="14" a="1"/>
  <c r="G190" i="14" s="1"/>
  <c r="T190" i="14" s="1"/>
  <c r="G191" i="14" a="1"/>
  <c r="G191" i="14" s="1"/>
  <c r="T191" i="14" s="1"/>
  <c r="G192" i="14" a="1"/>
  <c r="G192" i="14" s="1"/>
  <c r="T192" i="14" s="1"/>
  <c r="G193" i="14" a="1"/>
  <c r="G193" i="14" s="1"/>
  <c r="T193" i="14" s="1"/>
  <c r="G194" i="14" a="1"/>
  <c r="G194" i="14" s="1"/>
  <c r="T194" i="14" s="1"/>
  <c r="G195" i="14" a="1"/>
  <c r="G195" i="14" s="1"/>
  <c r="T195" i="14" s="1"/>
  <c r="G196" i="14" a="1"/>
  <c r="G196" i="14" s="1"/>
  <c r="T196" i="14" s="1"/>
  <c r="G197" i="14" a="1"/>
  <c r="G197" i="14" s="1"/>
  <c r="T197" i="14" s="1"/>
  <c r="G198" i="14" a="1"/>
  <c r="G198" i="14" s="1"/>
  <c r="T198" i="14" s="1"/>
  <c r="G199" i="14" a="1"/>
  <c r="G199" i="14" s="1"/>
  <c r="T199" i="14" s="1"/>
  <c r="G200" i="14" a="1"/>
  <c r="G200" i="14" s="1"/>
  <c r="T200" i="14" s="1"/>
  <c r="G201" i="14" a="1"/>
  <c r="G201" i="14" s="1"/>
  <c r="T201" i="14" s="1"/>
  <c r="G202" i="14" a="1"/>
  <c r="G202" i="14" s="1"/>
  <c r="T202" i="14" s="1"/>
  <c r="G203" i="14" a="1"/>
  <c r="G203" i="14" s="1"/>
  <c r="T203" i="14" s="1"/>
  <c r="G204" i="14" a="1"/>
  <c r="G204" i="14" s="1"/>
  <c r="T204" i="14" s="1"/>
  <c r="G205" i="14" a="1"/>
  <c r="G205" i="14" s="1"/>
  <c r="T205" i="14" s="1"/>
  <c r="G206" i="14" a="1"/>
  <c r="G206" i="14" s="1"/>
  <c r="T206" i="14" s="1"/>
  <c r="G207" i="14" a="1"/>
  <c r="G207" i="14" s="1"/>
  <c r="T207" i="14" s="1"/>
  <c r="G208" i="14" a="1"/>
  <c r="G208" i="14" s="1"/>
  <c r="T208" i="14" s="1"/>
  <c r="G209" i="14" a="1"/>
  <c r="G209" i="14" s="1"/>
  <c r="T209" i="14" s="1"/>
  <c r="G210" i="14" a="1"/>
  <c r="G210" i="14" s="1"/>
  <c r="T210" i="14" s="1"/>
  <c r="G211" i="14" a="1"/>
  <c r="G211" i="14" s="1"/>
  <c r="T211" i="14" s="1"/>
  <c r="G212" i="14" a="1"/>
  <c r="G212" i="14" s="1"/>
  <c r="T212" i="14" s="1"/>
  <c r="G213" i="14" a="1"/>
  <c r="G213" i="14" s="1"/>
  <c r="T213" i="14" s="1"/>
  <c r="G214" i="14" a="1"/>
  <c r="G214" i="14" s="1"/>
  <c r="T214" i="14" s="1"/>
  <c r="G215" i="14" a="1"/>
  <c r="G215" i="14" s="1"/>
  <c r="T215" i="14" s="1"/>
  <c r="G216" i="14" a="1"/>
  <c r="G216" i="14" s="1"/>
  <c r="T216" i="14" s="1"/>
  <c r="G217" i="14" a="1"/>
  <c r="G217" i="14" s="1"/>
  <c r="T217" i="14" s="1"/>
  <c r="G218" i="14" a="1"/>
  <c r="G218" i="14" s="1"/>
  <c r="T218" i="14" s="1"/>
  <c r="G219" i="14" a="1"/>
  <c r="G219" i="14" s="1"/>
  <c r="T219" i="14" s="1"/>
  <c r="G220" i="14" a="1"/>
  <c r="G220" i="14" s="1"/>
  <c r="T220" i="14" s="1"/>
  <c r="G221" i="14" a="1"/>
  <c r="G221" i="14" s="1"/>
  <c r="T221" i="14" s="1"/>
  <c r="G222" i="14" a="1"/>
  <c r="G222" i="14" s="1"/>
  <c r="T222" i="14" s="1"/>
  <c r="G223" i="14" a="1"/>
  <c r="G223" i="14" s="1"/>
  <c r="T223" i="14" s="1"/>
  <c r="G224" i="14" a="1"/>
  <c r="G224" i="14" s="1"/>
  <c r="T224" i="14" s="1"/>
  <c r="G225" i="14" a="1"/>
  <c r="G225" i="14" s="1"/>
  <c r="T225" i="14" s="1"/>
  <c r="G226" i="14" a="1"/>
  <c r="G226" i="14" s="1"/>
  <c r="T226" i="14" s="1"/>
  <c r="G227" i="14" a="1"/>
  <c r="G227" i="14" s="1"/>
  <c r="T227" i="14" s="1"/>
  <c r="G228" i="14" a="1"/>
  <c r="G228" i="14" s="1"/>
  <c r="T228" i="14" s="1"/>
  <c r="G229" i="14" a="1"/>
  <c r="G229" i="14" s="1"/>
  <c r="T229" i="14" s="1"/>
  <c r="G230" i="14" a="1"/>
  <c r="G230" i="14" s="1"/>
  <c r="T230" i="14" s="1"/>
  <c r="G231" i="14" a="1"/>
  <c r="G231" i="14" s="1"/>
  <c r="T231" i="14" s="1"/>
  <c r="G232" i="14" a="1"/>
  <c r="G232" i="14" s="1"/>
  <c r="T232" i="14" s="1"/>
  <c r="G233" i="14" a="1"/>
  <c r="G233" i="14" s="1"/>
  <c r="T233" i="14" s="1"/>
  <c r="G234" i="14" a="1"/>
  <c r="G234" i="14" s="1"/>
  <c r="T234" i="14" s="1"/>
  <c r="G235" i="14" a="1"/>
  <c r="G235" i="14" s="1"/>
  <c r="T235" i="14" s="1"/>
  <c r="G236" i="14" a="1"/>
  <c r="G236" i="14" s="1"/>
  <c r="T236" i="14" s="1"/>
  <c r="G237" i="14" a="1"/>
  <c r="G237" i="14" s="1"/>
  <c r="T237" i="14" s="1"/>
  <c r="G238" i="14" a="1"/>
  <c r="G238" i="14" s="1"/>
  <c r="T238" i="14" s="1"/>
  <c r="G239" i="14" a="1"/>
  <c r="G239" i="14" s="1"/>
  <c r="T239" i="14" s="1"/>
  <c r="G240" i="14" a="1"/>
  <c r="G240" i="14" s="1"/>
  <c r="T240" i="14" s="1"/>
  <c r="G241" i="14" a="1"/>
  <c r="G241" i="14" s="1"/>
  <c r="T241" i="14" s="1"/>
  <c r="G242" i="14" a="1"/>
  <c r="G242" i="14" s="1"/>
  <c r="T242" i="14" s="1"/>
  <c r="F5" i="14" a="1"/>
  <c r="F5" i="14" s="1"/>
  <c r="F6" i="14" a="1"/>
  <c r="F6" i="14" s="1"/>
  <c r="F7" i="14" a="1"/>
  <c r="F7" i="14" s="1"/>
  <c r="F8" i="14" a="1"/>
  <c r="F8" i="14" s="1"/>
  <c r="F9" i="14" a="1"/>
  <c r="F9" i="14" s="1"/>
  <c r="F10" i="14" a="1"/>
  <c r="F10" i="14" s="1"/>
  <c r="F11" i="14" a="1"/>
  <c r="F11" i="14" s="1"/>
  <c r="F12" i="14" a="1"/>
  <c r="F12" i="14" s="1"/>
  <c r="F13" i="14" a="1"/>
  <c r="F13" i="14" s="1"/>
  <c r="F14" i="14" a="1"/>
  <c r="F14" i="14" s="1"/>
  <c r="F15" i="14" a="1"/>
  <c r="F15" i="14" s="1"/>
  <c r="F16" i="14" a="1"/>
  <c r="F16" i="14" s="1"/>
  <c r="F17" i="14" a="1"/>
  <c r="F17" i="14" s="1"/>
  <c r="F18" i="14" a="1"/>
  <c r="F18" i="14" s="1"/>
  <c r="F19" i="14" a="1"/>
  <c r="F19" i="14" s="1"/>
  <c r="F20" i="14" a="1"/>
  <c r="F20" i="14" s="1"/>
  <c r="F21" i="14" a="1"/>
  <c r="F21" i="14" s="1"/>
  <c r="F22" i="14" a="1"/>
  <c r="F22" i="14" s="1"/>
  <c r="F23" i="14" a="1"/>
  <c r="F23" i="14" s="1"/>
  <c r="F24" i="14" a="1"/>
  <c r="F24" i="14" s="1"/>
  <c r="F25" i="14" a="1"/>
  <c r="F25" i="14" s="1"/>
  <c r="F26" i="14" a="1"/>
  <c r="F26" i="14" s="1"/>
  <c r="F27" i="14" a="1"/>
  <c r="F27" i="14" s="1"/>
  <c r="F28" i="14" a="1"/>
  <c r="F28" i="14" s="1"/>
  <c r="F29" i="14" a="1"/>
  <c r="F29" i="14" s="1"/>
  <c r="F30" i="14" a="1"/>
  <c r="F30" i="14" s="1"/>
  <c r="F31" i="14" a="1"/>
  <c r="F31" i="14" s="1"/>
  <c r="F32" i="14" a="1"/>
  <c r="F32" i="14" s="1"/>
  <c r="F33" i="14" a="1"/>
  <c r="F33" i="14" s="1"/>
  <c r="F34" i="14" a="1"/>
  <c r="F34" i="14" s="1"/>
  <c r="F35" i="14" a="1"/>
  <c r="F35" i="14" s="1"/>
  <c r="F36" i="14" a="1"/>
  <c r="F36" i="14" s="1"/>
  <c r="F37" i="14" a="1"/>
  <c r="F37" i="14" s="1"/>
  <c r="F38" i="14" a="1"/>
  <c r="F38" i="14" s="1"/>
  <c r="F39" i="14" a="1"/>
  <c r="F39" i="14" s="1"/>
  <c r="F40" i="14" a="1"/>
  <c r="F40" i="14" s="1"/>
  <c r="F41" i="14" a="1"/>
  <c r="F41" i="14" s="1"/>
  <c r="F42" i="14" a="1"/>
  <c r="F42" i="14" s="1"/>
  <c r="F43" i="14" a="1"/>
  <c r="F43" i="14" s="1"/>
  <c r="F44" i="14" a="1"/>
  <c r="F44" i="14" s="1"/>
  <c r="F45" i="14" a="1"/>
  <c r="F45" i="14" s="1"/>
  <c r="F46" i="14" a="1"/>
  <c r="F46" i="14" s="1"/>
  <c r="F47" i="14" a="1"/>
  <c r="F47" i="14" s="1"/>
  <c r="F48" i="14" a="1"/>
  <c r="F48" i="14" s="1"/>
  <c r="F49" i="14" a="1"/>
  <c r="F49" i="14" s="1"/>
  <c r="F50" i="14" a="1"/>
  <c r="F50" i="14" s="1"/>
  <c r="F51" i="14" a="1"/>
  <c r="F51" i="14" s="1"/>
  <c r="F52" i="14" a="1"/>
  <c r="F52" i="14" s="1"/>
  <c r="F53" i="14" a="1"/>
  <c r="F53" i="14" s="1"/>
  <c r="F54" i="14" a="1"/>
  <c r="F54" i="14" s="1"/>
  <c r="F55" i="14" a="1"/>
  <c r="F55" i="14" s="1"/>
  <c r="F56" i="14" a="1"/>
  <c r="F56" i="14" s="1"/>
  <c r="F57" i="14" a="1"/>
  <c r="F57" i="14" s="1"/>
  <c r="F58" i="14" a="1"/>
  <c r="F58" i="14" s="1"/>
  <c r="F59" i="14" a="1"/>
  <c r="F59" i="14" s="1"/>
  <c r="F60" i="14" a="1"/>
  <c r="F60" i="14" s="1"/>
  <c r="F61" i="14" a="1"/>
  <c r="F61" i="14" s="1"/>
  <c r="F62" i="14" a="1"/>
  <c r="F62" i="14" s="1"/>
  <c r="F63" i="14" a="1"/>
  <c r="F63" i="14" s="1"/>
  <c r="F64" i="14" a="1"/>
  <c r="F64" i="14" s="1"/>
  <c r="F65" i="14" a="1"/>
  <c r="F65" i="14" s="1"/>
  <c r="F66" i="14" a="1"/>
  <c r="F66" i="14" s="1"/>
  <c r="F67" i="14" a="1"/>
  <c r="F67" i="14" s="1"/>
  <c r="F68" i="14" a="1"/>
  <c r="F68" i="14" s="1"/>
  <c r="F69" i="14" a="1"/>
  <c r="F69" i="14" s="1"/>
  <c r="F70" i="14" a="1"/>
  <c r="F70" i="14" s="1"/>
  <c r="F71" i="14" a="1"/>
  <c r="F71" i="14" s="1"/>
  <c r="F72" i="14" a="1"/>
  <c r="F72" i="14" s="1"/>
  <c r="F73" i="14" a="1"/>
  <c r="F73" i="14" s="1"/>
  <c r="F74" i="14" a="1"/>
  <c r="F74" i="14" s="1"/>
  <c r="F75" i="14" a="1"/>
  <c r="F75" i="14" s="1"/>
  <c r="F76" i="14" a="1"/>
  <c r="F76" i="14" s="1"/>
  <c r="F77" i="14" a="1"/>
  <c r="F77" i="14" s="1"/>
  <c r="F78" i="14" a="1"/>
  <c r="F78" i="14" s="1"/>
  <c r="F79" i="14" a="1"/>
  <c r="F79" i="14" s="1"/>
  <c r="F80" i="14" a="1"/>
  <c r="F80" i="14" s="1"/>
  <c r="F81" i="14" a="1"/>
  <c r="F81" i="14" s="1"/>
  <c r="F82" i="14" a="1"/>
  <c r="F82" i="14" s="1"/>
  <c r="F83" i="14" a="1"/>
  <c r="F83" i="14" s="1"/>
  <c r="F84" i="14" a="1"/>
  <c r="F84" i="14" s="1"/>
  <c r="F85" i="14" a="1"/>
  <c r="F85" i="14" s="1"/>
  <c r="F86" i="14" a="1"/>
  <c r="F86" i="14" s="1"/>
  <c r="F87" i="14" a="1"/>
  <c r="F87" i="14" s="1"/>
  <c r="F88" i="14" a="1"/>
  <c r="F88" i="14" s="1"/>
  <c r="F89" i="14" a="1"/>
  <c r="F89" i="14" s="1"/>
  <c r="F90" i="14" a="1"/>
  <c r="F90" i="14" s="1"/>
  <c r="F91" i="14" a="1"/>
  <c r="F91" i="14" s="1"/>
  <c r="F92" i="14" a="1"/>
  <c r="F92" i="14" s="1"/>
  <c r="F93" i="14" a="1"/>
  <c r="F93" i="14" s="1"/>
  <c r="F94" i="14" a="1"/>
  <c r="F94" i="14" s="1"/>
  <c r="F95" i="14" a="1"/>
  <c r="F95" i="14" s="1"/>
  <c r="F96" i="14" a="1"/>
  <c r="F96" i="14" s="1"/>
  <c r="F97" i="14" a="1"/>
  <c r="F97" i="14" s="1"/>
  <c r="F98" i="14" a="1"/>
  <c r="F98" i="14" s="1"/>
  <c r="F99" i="14" a="1"/>
  <c r="F99" i="14" s="1"/>
  <c r="F100" i="14" a="1"/>
  <c r="F100" i="14" s="1"/>
  <c r="F101" i="14" a="1"/>
  <c r="F101" i="14" s="1"/>
  <c r="F102" i="14" a="1"/>
  <c r="F102" i="14" s="1"/>
  <c r="F103" i="14" a="1"/>
  <c r="F103" i="14" s="1"/>
  <c r="F104" i="14" a="1"/>
  <c r="F104" i="14" s="1"/>
  <c r="F105" i="14" a="1"/>
  <c r="F105" i="14" s="1"/>
  <c r="F106" i="14" a="1"/>
  <c r="F106" i="14" s="1"/>
  <c r="F107" i="14" a="1"/>
  <c r="F107" i="14" s="1"/>
  <c r="F108" i="14" a="1"/>
  <c r="F108" i="14" s="1"/>
  <c r="F109" i="14" a="1"/>
  <c r="F109" i="14" s="1"/>
  <c r="F110" i="14" a="1"/>
  <c r="F110" i="14" s="1"/>
  <c r="F111" i="14" a="1"/>
  <c r="F111" i="14" s="1"/>
  <c r="F112" i="14" a="1"/>
  <c r="F112" i="14" s="1"/>
  <c r="F113" i="14" a="1"/>
  <c r="F113" i="14" s="1"/>
  <c r="F114" i="14" a="1"/>
  <c r="F114" i="14" s="1"/>
  <c r="F115" i="14" a="1"/>
  <c r="F115" i="14" s="1"/>
  <c r="F116" i="14" a="1"/>
  <c r="F116" i="14" s="1"/>
  <c r="F117" i="14" a="1"/>
  <c r="F117" i="14" s="1"/>
  <c r="F118" i="14" a="1"/>
  <c r="F118" i="14" s="1"/>
  <c r="F119" i="14" a="1"/>
  <c r="F119" i="14" s="1"/>
  <c r="F120" i="14" a="1"/>
  <c r="F120" i="14" s="1"/>
  <c r="F121" i="14" a="1"/>
  <c r="F121" i="14" s="1"/>
  <c r="F122" i="14" a="1"/>
  <c r="F122" i="14" s="1"/>
  <c r="F123" i="14" a="1"/>
  <c r="F123" i="14" s="1"/>
  <c r="F124" i="14" a="1"/>
  <c r="F124" i="14" s="1"/>
  <c r="F125" i="14" a="1"/>
  <c r="F125" i="14" s="1"/>
  <c r="F126" i="14" a="1"/>
  <c r="F126" i="14" s="1"/>
  <c r="F127" i="14" a="1"/>
  <c r="F127" i="14" s="1"/>
  <c r="F128" i="14" a="1"/>
  <c r="F128" i="14" s="1"/>
  <c r="F129" i="14" a="1"/>
  <c r="F129" i="14" s="1"/>
  <c r="F130" i="14" a="1"/>
  <c r="F130" i="14" s="1"/>
  <c r="F131" i="14" a="1"/>
  <c r="F131" i="14" s="1"/>
  <c r="F132" i="14" a="1"/>
  <c r="F132" i="14" s="1"/>
  <c r="F133" i="14" a="1"/>
  <c r="F133" i="14" s="1"/>
  <c r="F134" i="14" a="1"/>
  <c r="F134" i="14" s="1"/>
  <c r="F135" i="14" a="1"/>
  <c r="F135" i="14" s="1"/>
  <c r="F136" i="14" a="1"/>
  <c r="F136" i="14" s="1"/>
  <c r="F137" i="14" a="1"/>
  <c r="F137" i="14" s="1"/>
  <c r="F138" i="14" a="1"/>
  <c r="F138" i="14" s="1"/>
  <c r="F139" i="14" a="1"/>
  <c r="F139" i="14" s="1"/>
  <c r="F140" i="14" a="1"/>
  <c r="F140" i="14" s="1"/>
  <c r="F141" i="14" a="1"/>
  <c r="F141" i="14" s="1"/>
  <c r="F142" i="14" a="1"/>
  <c r="F142" i="14" s="1"/>
  <c r="F143" i="14" a="1"/>
  <c r="F143" i="14" s="1"/>
  <c r="F144" i="14" a="1"/>
  <c r="F144" i="14" s="1"/>
  <c r="F145" i="14" a="1"/>
  <c r="F145" i="14" s="1"/>
  <c r="F146" i="14" a="1"/>
  <c r="F146" i="14" s="1"/>
  <c r="F147" i="14" a="1"/>
  <c r="F147" i="14" s="1"/>
  <c r="F148" i="14" a="1"/>
  <c r="F148" i="14" s="1"/>
  <c r="F149" i="14" a="1"/>
  <c r="F149" i="14" s="1"/>
  <c r="F150" i="14" a="1"/>
  <c r="F150" i="14" s="1"/>
  <c r="F151" i="14" a="1"/>
  <c r="F151" i="14" s="1"/>
  <c r="F152" i="14" a="1"/>
  <c r="F152" i="14" s="1"/>
  <c r="F153" i="14" a="1"/>
  <c r="F153" i="14" s="1"/>
  <c r="F154" i="14" a="1"/>
  <c r="F154" i="14" s="1"/>
  <c r="F155" i="14" a="1"/>
  <c r="F155" i="14" s="1"/>
  <c r="F156" i="14" a="1"/>
  <c r="F156" i="14" s="1"/>
  <c r="F157" i="14" a="1"/>
  <c r="F157" i="14" s="1"/>
  <c r="F158" i="14" a="1"/>
  <c r="F158" i="14" s="1"/>
  <c r="F159" i="14" a="1"/>
  <c r="F159" i="14" s="1"/>
  <c r="F160" i="14" a="1"/>
  <c r="F160" i="14" s="1"/>
  <c r="F161" i="14" a="1"/>
  <c r="F161" i="14" s="1"/>
  <c r="F162" i="14" a="1"/>
  <c r="F162" i="14" s="1"/>
  <c r="F163" i="14" a="1"/>
  <c r="F163" i="14" s="1"/>
  <c r="F164" i="14" a="1"/>
  <c r="F164" i="14" s="1"/>
  <c r="F165" i="14" a="1"/>
  <c r="F165" i="14" s="1"/>
  <c r="F166" i="14" a="1"/>
  <c r="F166" i="14" s="1"/>
  <c r="F167" i="14" a="1"/>
  <c r="F167" i="14" s="1"/>
  <c r="F168" i="14" a="1"/>
  <c r="F168" i="14" s="1"/>
  <c r="F169" i="14" a="1"/>
  <c r="F169" i="14" s="1"/>
  <c r="F170" i="14" a="1"/>
  <c r="F170" i="14" s="1"/>
  <c r="F171" i="14" a="1"/>
  <c r="F171" i="14" s="1"/>
  <c r="F172" i="14" a="1"/>
  <c r="F172" i="14" s="1"/>
  <c r="F173" i="14" a="1"/>
  <c r="F173" i="14" s="1"/>
  <c r="F174" i="14" a="1"/>
  <c r="F174" i="14" s="1"/>
  <c r="F175" i="14" a="1"/>
  <c r="F175" i="14" s="1"/>
  <c r="F176" i="14" a="1"/>
  <c r="F176" i="14" s="1"/>
  <c r="F177" i="14" a="1"/>
  <c r="F177" i="14" s="1"/>
  <c r="F178" i="14" a="1"/>
  <c r="F178" i="14" s="1"/>
  <c r="F179" i="14" a="1"/>
  <c r="F179" i="14" s="1"/>
  <c r="F180" i="14" a="1"/>
  <c r="F180" i="14" s="1"/>
  <c r="F181" i="14" a="1"/>
  <c r="F181" i="14" s="1"/>
  <c r="F182" i="14" a="1"/>
  <c r="F182" i="14" s="1"/>
  <c r="F183" i="14" a="1"/>
  <c r="F183" i="14" s="1"/>
  <c r="F184" i="14" a="1"/>
  <c r="F184" i="14" s="1"/>
  <c r="F185" i="14" a="1"/>
  <c r="F185" i="14" s="1"/>
  <c r="F186" i="14" a="1"/>
  <c r="F186" i="14" s="1"/>
  <c r="F187" i="14" a="1"/>
  <c r="F187" i="14" s="1"/>
  <c r="F188" i="14" a="1"/>
  <c r="F188" i="14" s="1"/>
  <c r="F189" i="14" a="1"/>
  <c r="F189" i="14" s="1"/>
  <c r="F190" i="14" a="1"/>
  <c r="F190" i="14" s="1"/>
  <c r="F191" i="14" a="1"/>
  <c r="F191" i="14" s="1"/>
  <c r="F192" i="14" a="1"/>
  <c r="F192" i="14" s="1"/>
  <c r="F193" i="14" a="1"/>
  <c r="F193" i="14" s="1"/>
  <c r="F194" i="14" a="1"/>
  <c r="F194" i="14" s="1"/>
  <c r="F195" i="14" a="1"/>
  <c r="F195" i="14" s="1"/>
  <c r="F196" i="14" a="1"/>
  <c r="F196" i="14" s="1"/>
  <c r="F197" i="14" a="1"/>
  <c r="F197" i="14" s="1"/>
  <c r="F198" i="14" a="1"/>
  <c r="F198" i="14" s="1"/>
  <c r="F199" i="14" a="1"/>
  <c r="F199" i="14" s="1"/>
  <c r="F200" i="14" a="1"/>
  <c r="F200" i="14" s="1"/>
  <c r="F201" i="14" a="1"/>
  <c r="F201" i="14" s="1"/>
  <c r="F202" i="14" a="1"/>
  <c r="F202" i="14" s="1"/>
  <c r="F203" i="14" a="1"/>
  <c r="F203" i="14" s="1"/>
  <c r="F204" i="14" a="1"/>
  <c r="F204" i="14" s="1"/>
  <c r="F205" i="14" a="1"/>
  <c r="F205" i="14" s="1"/>
  <c r="F206" i="14" a="1"/>
  <c r="F206" i="14" s="1"/>
  <c r="F207" i="14" a="1"/>
  <c r="F207" i="14" s="1"/>
  <c r="F208" i="14" a="1"/>
  <c r="F208" i="14" s="1"/>
  <c r="F209" i="14" a="1"/>
  <c r="F209" i="14" s="1"/>
  <c r="F210" i="14" a="1"/>
  <c r="F210" i="14" s="1"/>
  <c r="F211" i="14" a="1"/>
  <c r="F211" i="14" s="1"/>
  <c r="F212" i="14" a="1"/>
  <c r="F212" i="14" s="1"/>
  <c r="F213" i="14" a="1"/>
  <c r="F213" i="14" s="1"/>
  <c r="F214" i="14" a="1"/>
  <c r="F214" i="14" s="1"/>
  <c r="F215" i="14" a="1"/>
  <c r="F215" i="14" s="1"/>
  <c r="F216" i="14" a="1"/>
  <c r="F216" i="14" s="1"/>
  <c r="F217" i="14" a="1"/>
  <c r="F217" i="14" s="1"/>
  <c r="F218" i="14" a="1"/>
  <c r="F218" i="14" s="1"/>
  <c r="F219" i="14" a="1"/>
  <c r="F219" i="14" s="1"/>
  <c r="F220" i="14" a="1"/>
  <c r="F220" i="14" s="1"/>
  <c r="F221" i="14" a="1"/>
  <c r="F221" i="14" s="1"/>
  <c r="F222" i="14" a="1"/>
  <c r="F222" i="14" s="1"/>
  <c r="F223" i="14" a="1"/>
  <c r="F223" i="14" s="1"/>
  <c r="F224" i="14" a="1"/>
  <c r="F224" i="14" s="1"/>
  <c r="F225" i="14" a="1"/>
  <c r="F225" i="14" s="1"/>
  <c r="F226" i="14" a="1"/>
  <c r="F226" i="14" s="1"/>
  <c r="F227" i="14" a="1"/>
  <c r="F227" i="14" s="1"/>
  <c r="F228" i="14" a="1"/>
  <c r="F228" i="14" s="1"/>
  <c r="F229" i="14" a="1"/>
  <c r="F229" i="14" s="1"/>
  <c r="F230" i="14" a="1"/>
  <c r="F230" i="14" s="1"/>
  <c r="F231" i="14" a="1"/>
  <c r="F231" i="14" s="1"/>
  <c r="F232" i="14" a="1"/>
  <c r="F232" i="14" s="1"/>
  <c r="F233" i="14" a="1"/>
  <c r="F233" i="14" s="1"/>
  <c r="F234" i="14" a="1"/>
  <c r="F234" i="14" s="1"/>
  <c r="F235" i="14" a="1"/>
  <c r="F235" i="14" s="1"/>
  <c r="F236" i="14" a="1"/>
  <c r="F236" i="14" s="1"/>
  <c r="F237" i="14" a="1"/>
  <c r="F237" i="14" s="1"/>
  <c r="F238" i="14" a="1"/>
  <c r="F238" i="14" s="1"/>
  <c r="F239" i="14" a="1"/>
  <c r="F239" i="14" s="1"/>
  <c r="F240" i="14" a="1"/>
  <c r="F240" i="14" s="1"/>
  <c r="F241" i="14" a="1"/>
  <c r="F241" i="14" s="1"/>
  <c r="F242" i="14" a="1"/>
  <c r="F242" i="14" s="1"/>
  <c r="E5" i="14" a="1"/>
  <c r="E5" i="14" s="1"/>
  <c r="E6" i="14" a="1"/>
  <c r="E6" i="14" s="1"/>
  <c r="E7" i="14" a="1"/>
  <c r="E7" i="14" s="1"/>
  <c r="E8" i="14" a="1"/>
  <c r="E8" i="14" s="1"/>
  <c r="E9" i="14" a="1"/>
  <c r="E9" i="14" s="1"/>
  <c r="E10" i="14" a="1"/>
  <c r="E10" i="14" s="1"/>
  <c r="E11" i="14" a="1"/>
  <c r="E11" i="14" s="1"/>
  <c r="E12" i="14" a="1"/>
  <c r="E12" i="14" s="1"/>
  <c r="E13" i="14" a="1"/>
  <c r="E13" i="14" s="1"/>
  <c r="E14" i="14" a="1"/>
  <c r="E14" i="14" s="1"/>
  <c r="E15" i="14" a="1"/>
  <c r="E15" i="14" s="1"/>
  <c r="E16" i="14" a="1"/>
  <c r="E16" i="14" s="1"/>
  <c r="E17" i="14" a="1"/>
  <c r="E17" i="14" s="1"/>
  <c r="E18" i="14" a="1"/>
  <c r="E18" i="14" s="1"/>
  <c r="E19" i="14" a="1"/>
  <c r="E19" i="14" s="1"/>
  <c r="E20" i="14" a="1"/>
  <c r="E20" i="14" s="1"/>
  <c r="E21" i="14" a="1"/>
  <c r="E21" i="14" s="1"/>
  <c r="E22" i="14" a="1"/>
  <c r="E22" i="14" s="1"/>
  <c r="E23" i="14" a="1"/>
  <c r="E23" i="14" s="1"/>
  <c r="E24" i="14" a="1"/>
  <c r="E24" i="14" s="1"/>
  <c r="E25" i="14" a="1"/>
  <c r="E25" i="14" s="1"/>
  <c r="E26" i="14" a="1"/>
  <c r="E26" i="14" s="1"/>
  <c r="E27" i="14" a="1"/>
  <c r="E27" i="14" s="1"/>
  <c r="E28" i="14" a="1"/>
  <c r="E28" i="14" s="1"/>
  <c r="E29" i="14" a="1"/>
  <c r="E29" i="14" s="1"/>
  <c r="E30" i="14" a="1"/>
  <c r="E30" i="14" s="1"/>
  <c r="E31" i="14" a="1"/>
  <c r="E31" i="14" s="1"/>
  <c r="E32" i="14" a="1"/>
  <c r="E32" i="14" s="1"/>
  <c r="E33" i="14" a="1"/>
  <c r="E33" i="14" s="1"/>
  <c r="E34" i="14" a="1"/>
  <c r="E34" i="14" s="1"/>
  <c r="E35" i="14" a="1"/>
  <c r="E35" i="14" s="1"/>
  <c r="E36" i="14" a="1"/>
  <c r="E36" i="14" s="1"/>
  <c r="E37" i="14" a="1"/>
  <c r="E37" i="14" s="1"/>
  <c r="E38" i="14" a="1"/>
  <c r="E38" i="14" s="1"/>
  <c r="E39" i="14" a="1"/>
  <c r="E39" i="14" s="1"/>
  <c r="E40" i="14" a="1"/>
  <c r="E40" i="14" s="1"/>
  <c r="E41" i="14" a="1"/>
  <c r="E41" i="14" s="1"/>
  <c r="E42" i="14" a="1"/>
  <c r="E42" i="14" s="1"/>
  <c r="E43" i="14" a="1"/>
  <c r="E43" i="14" s="1"/>
  <c r="E44" i="14" a="1"/>
  <c r="E44" i="14" s="1"/>
  <c r="E45" i="14" a="1"/>
  <c r="E45" i="14" s="1"/>
  <c r="E46" i="14" a="1"/>
  <c r="E46" i="14" s="1"/>
  <c r="E47" i="14" a="1"/>
  <c r="E47" i="14" s="1"/>
  <c r="E48" i="14" a="1"/>
  <c r="E48" i="14" s="1"/>
  <c r="E49" i="14" a="1"/>
  <c r="E49" i="14" s="1"/>
  <c r="E50" i="14" a="1"/>
  <c r="E50" i="14" s="1"/>
  <c r="E51" i="14" a="1"/>
  <c r="E51" i="14" s="1"/>
  <c r="E52" i="14" a="1"/>
  <c r="E52" i="14" s="1"/>
  <c r="E53" i="14" a="1"/>
  <c r="E53" i="14" s="1"/>
  <c r="E54" i="14" a="1"/>
  <c r="E54" i="14" s="1"/>
  <c r="E55" i="14" a="1"/>
  <c r="E55" i="14" s="1"/>
  <c r="E56" i="14" a="1"/>
  <c r="E56" i="14" s="1"/>
  <c r="E57" i="14" a="1"/>
  <c r="E57" i="14" s="1"/>
  <c r="E58" i="14" a="1"/>
  <c r="E58" i="14" s="1"/>
  <c r="E59" i="14" a="1"/>
  <c r="E59" i="14" s="1"/>
  <c r="E60" i="14" a="1"/>
  <c r="E60" i="14" s="1"/>
  <c r="E61" i="14" a="1"/>
  <c r="E61" i="14" s="1"/>
  <c r="E62" i="14" a="1"/>
  <c r="E62" i="14" s="1"/>
  <c r="E63" i="14" a="1"/>
  <c r="E63" i="14" s="1"/>
  <c r="E64" i="14" a="1"/>
  <c r="E64" i="14" s="1"/>
  <c r="E65" i="14" a="1"/>
  <c r="E65" i="14" s="1"/>
  <c r="E66" i="14" a="1"/>
  <c r="E66" i="14" s="1"/>
  <c r="E67" i="14" a="1"/>
  <c r="E67" i="14" s="1"/>
  <c r="E68" i="14" a="1"/>
  <c r="E68" i="14" s="1"/>
  <c r="E69" i="14" a="1"/>
  <c r="E69" i="14" s="1"/>
  <c r="E70" i="14" a="1"/>
  <c r="E70" i="14" s="1"/>
  <c r="E71" i="14" a="1"/>
  <c r="E71" i="14" s="1"/>
  <c r="E72" i="14" a="1"/>
  <c r="E72" i="14" s="1"/>
  <c r="E73" i="14" a="1"/>
  <c r="E73" i="14" s="1"/>
  <c r="E74" i="14" a="1"/>
  <c r="E74" i="14" s="1"/>
  <c r="E75" i="14" a="1"/>
  <c r="E75" i="14" s="1"/>
  <c r="E76" i="14" a="1"/>
  <c r="E76" i="14" s="1"/>
  <c r="E77" i="14" a="1"/>
  <c r="E77" i="14" s="1"/>
  <c r="E78" i="14" a="1"/>
  <c r="E78" i="14" s="1"/>
  <c r="E79" i="14" a="1"/>
  <c r="E79" i="14" s="1"/>
  <c r="E80" i="14" a="1"/>
  <c r="E80" i="14" s="1"/>
  <c r="E81" i="14" a="1"/>
  <c r="E81" i="14" s="1"/>
  <c r="E82" i="14" a="1"/>
  <c r="E82" i="14" s="1"/>
  <c r="E83" i="14" a="1"/>
  <c r="E83" i="14" s="1"/>
  <c r="E84" i="14" a="1"/>
  <c r="E84" i="14" s="1"/>
  <c r="E85" i="14" a="1"/>
  <c r="E85" i="14" s="1"/>
  <c r="E86" i="14" a="1"/>
  <c r="E86" i="14" s="1"/>
  <c r="E87" i="14" a="1"/>
  <c r="E87" i="14" s="1"/>
  <c r="E88" i="14" a="1"/>
  <c r="E88" i="14" s="1"/>
  <c r="E89" i="14" a="1"/>
  <c r="E89" i="14" s="1"/>
  <c r="E90" i="14" a="1"/>
  <c r="E90" i="14" s="1"/>
  <c r="E91" i="14" a="1"/>
  <c r="E91" i="14" s="1"/>
  <c r="E92" i="14" a="1"/>
  <c r="E92" i="14" s="1"/>
  <c r="E93" i="14" a="1"/>
  <c r="E93" i="14" s="1"/>
  <c r="E94" i="14" a="1"/>
  <c r="E94" i="14" s="1"/>
  <c r="E95" i="14" a="1"/>
  <c r="E95" i="14" s="1"/>
  <c r="E96" i="14" a="1"/>
  <c r="E96" i="14" s="1"/>
  <c r="E97" i="14" a="1"/>
  <c r="E97" i="14" s="1"/>
  <c r="E98" i="14" a="1"/>
  <c r="E98" i="14" s="1"/>
  <c r="E99" i="14" a="1"/>
  <c r="E99" i="14" s="1"/>
  <c r="E100" i="14" a="1"/>
  <c r="E100" i="14" s="1"/>
  <c r="E101" i="14" a="1"/>
  <c r="E101" i="14" s="1"/>
  <c r="E102" i="14" a="1"/>
  <c r="E102" i="14" s="1"/>
  <c r="E103" i="14" a="1"/>
  <c r="E103" i="14" s="1"/>
  <c r="E104" i="14" a="1"/>
  <c r="E104" i="14" s="1"/>
  <c r="E105" i="14" a="1"/>
  <c r="E105" i="14" s="1"/>
  <c r="E106" i="14" a="1"/>
  <c r="E106" i="14" s="1"/>
  <c r="E107" i="14" a="1"/>
  <c r="E107" i="14" s="1"/>
  <c r="E108" i="14" a="1"/>
  <c r="E108" i="14" s="1"/>
  <c r="E109" i="14" a="1"/>
  <c r="E109" i="14" s="1"/>
  <c r="E110" i="14" a="1"/>
  <c r="E110" i="14" s="1"/>
  <c r="E111" i="14" a="1"/>
  <c r="E111" i="14" s="1"/>
  <c r="E112" i="14" a="1"/>
  <c r="E112" i="14" s="1"/>
  <c r="E113" i="14" a="1"/>
  <c r="E113" i="14" s="1"/>
  <c r="E114" i="14" a="1"/>
  <c r="E114" i="14" s="1"/>
  <c r="E115" i="14" a="1"/>
  <c r="E115" i="14" s="1"/>
  <c r="E116" i="14" a="1"/>
  <c r="E116" i="14" s="1"/>
  <c r="E117" i="14" a="1"/>
  <c r="E117" i="14" s="1"/>
  <c r="E118" i="14" a="1"/>
  <c r="E118" i="14" s="1"/>
  <c r="E119" i="14" a="1"/>
  <c r="E119" i="14" s="1"/>
  <c r="E120" i="14" a="1"/>
  <c r="E120" i="14" s="1"/>
  <c r="E121" i="14" a="1"/>
  <c r="E121" i="14" s="1"/>
  <c r="E122" i="14" a="1"/>
  <c r="E122" i="14" s="1"/>
  <c r="E123" i="14" a="1"/>
  <c r="E123" i="14" s="1"/>
  <c r="E124" i="14" a="1"/>
  <c r="E124" i="14" s="1"/>
  <c r="E125" i="14" a="1"/>
  <c r="E125" i="14" s="1"/>
  <c r="E126" i="14" a="1"/>
  <c r="E126" i="14" s="1"/>
  <c r="E127" i="14" a="1"/>
  <c r="E127" i="14" s="1"/>
  <c r="E128" i="14" a="1"/>
  <c r="E128" i="14" s="1"/>
  <c r="E129" i="14" a="1"/>
  <c r="E129" i="14" s="1"/>
  <c r="E130" i="14" a="1"/>
  <c r="E130" i="14" s="1"/>
  <c r="E131" i="14" a="1"/>
  <c r="E131" i="14" s="1"/>
  <c r="E132" i="14" a="1"/>
  <c r="E132" i="14" s="1"/>
  <c r="E133" i="14" a="1"/>
  <c r="E133" i="14" s="1"/>
  <c r="E134" i="14" a="1"/>
  <c r="E134" i="14" s="1"/>
  <c r="E135" i="14" a="1"/>
  <c r="E135" i="14" s="1"/>
  <c r="E136" i="14" a="1"/>
  <c r="E136" i="14" s="1"/>
  <c r="E137" i="14" a="1"/>
  <c r="E137" i="14" s="1"/>
  <c r="E138" i="14" a="1"/>
  <c r="E138" i="14" s="1"/>
  <c r="E139" i="14" a="1"/>
  <c r="E139" i="14" s="1"/>
  <c r="E140" i="14" a="1"/>
  <c r="E140" i="14" s="1"/>
  <c r="E141" i="14" a="1"/>
  <c r="E141" i="14" s="1"/>
  <c r="E142" i="14" a="1"/>
  <c r="E142" i="14" s="1"/>
  <c r="E143" i="14" a="1"/>
  <c r="E143" i="14" s="1"/>
  <c r="E144" i="14" a="1"/>
  <c r="E144" i="14" s="1"/>
  <c r="E145" i="14" a="1"/>
  <c r="E145" i="14" s="1"/>
  <c r="E146" i="14" a="1"/>
  <c r="E146" i="14" s="1"/>
  <c r="E147" i="14" a="1"/>
  <c r="E147" i="14" s="1"/>
  <c r="E148" i="14" a="1"/>
  <c r="E148" i="14" s="1"/>
  <c r="E149" i="14" a="1"/>
  <c r="E149" i="14" s="1"/>
  <c r="E150" i="14" a="1"/>
  <c r="E150" i="14" s="1"/>
  <c r="E151" i="14" a="1"/>
  <c r="E151" i="14" s="1"/>
  <c r="E152" i="14" a="1"/>
  <c r="E152" i="14" s="1"/>
  <c r="E153" i="14" a="1"/>
  <c r="E153" i="14" s="1"/>
  <c r="E154" i="14" a="1"/>
  <c r="E154" i="14" s="1"/>
  <c r="E155" i="14" a="1"/>
  <c r="E155" i="14" s="1"/>
  <c r="E156" i="14" a="1"/>
  <c r="E156" i="14" s="1"/>
  <c r="E157" i="14" a="1"/>
  <c r="E157" i="14" s="1"/>
  <c r="E158" i="14" a="1"/>
  <c r="E158" i="14" s="1"/>
  <c r="E159" i="14" a="1"/>
  <c r="E159" i="14" s="1"/>
  <c r="E160" i="14" a="1"/>
  <c r="E160" i="14" s="1"/>
  <c r="E161" i="14" a="1"/>
  <c r="E161" i="14" s="1"/>
  <c r="E162" i="14" a="1"/>
  <c r="E162" i="14" s="1"/>
  <c r="E163" i="14" a="1"/>
  <c r="E163" i="14" s="1"/>
  <c r="E164" i="14" a="1"/>
  <c r="E164" i="14" s="1"/>
  <c r="E165" i="14" a="1"/>
  <c r="E165" i="14" s="1"/>
  <c r="E166" i="14" a="1"/>
  <c r="E166" i="14" s="1"/>
  <c r="E167" i="14" a="1"/>
  <c r="E167" i="14" s="1"/>
  <c r="E168" i="14" a="1"/>
  <c r="E168" i="14" s="1"/>
  <c r="E169" i="14" a="1"/>
  <c r="E169" i="14" s="1"/>
  <c r="E170" i="14" a="1"/>
  <c r="E170" i="14" s="1"/>
  <c r="E171" i="14" a="1"/>
  <c r="E171" i="14" s="1"/>
  <c r="E172" i="14" a="1"/>
  <c r="E172" i="14" s="1"/>
  <c r="E173" i="14" a="1"/>
  <c r="E173" i="14" s="1"/>
  <c r="E174" i="14" a="1"/>
  <c r="E174" i="14" s="1"/>
  <c r="E175" i="14" a="1"/>
  <c r="E175" i="14" s="1"/>
  <c r="E176" i="14" a="1"/>
  <c r="E176" i="14" s="1"/>
  <c r="E177" i="14" a="1"/>
  <c r="E177" i="14" s="1"/>
  <c r="E178" i="14" a="1"/>
  <c r="E178" i="14" s="1"/>
  <c r="E179" i="14" a="1"/>
  <c r="E179" i="14" s="1"/>
  <c r="E180" i="14" a="1"/>
  <c r="E180" i="14" s="1"/>
  <c r="E181" i="14" a="1"/>
  <c r="E181" i="14" s="1"/>
  <c r="E182" i="14" a="1"/>
  <c r="E182" i="14" s="1"/>
  <c r="E183" i="14" a="1"/>
  <c r="E183" i="14" s="1"/>
  <c r="E184" i="14" a="1"/>
  <c r="E184" i="14" s="1"/>
  <c r="E185" i="14" a="1"/>
  <c r="E185" i="14" s="1"/>
  <c r="E186" i="14" a="1"/>
  <c r="E186" i="14" s="1"/>
  <c r="E187" i="14" a="1"/>
  <c r="E187" i="14" s="1"/>
  <c r="E188" i="14" a="1"/>
  <c r="E188" i="14" s="1"/>
  <c r="E189" i="14" a="1"/>
  <c r="E189" i="14" s="1"/>
  <c r="E190" i="14" a="1"/>
  <c r="E190" i="14" s="1"/>
  <c r="E191" i="14" a="1"/>
  <c r="E191" i="14" s="1"/>
  <c r="E192" i="14" a="1"/>
  <c r="E192" i="14" s="1"/>
  <c r="E193" i="14" a="1"/>
  <c r="E193" i="14" s="1"/>
  <c r="E194" i="14" a="1"/>
  <c r="E194" i="14" s="1"/>
  <c r="E195" i="14" a="1"/>
  <c r="E195" i="14" s="1"/>
  <c r="E196" i="14" a="1"/>
  <c r="E196" i="14" s="1"/>
  <c r="E197" i="14" a="1"/>
  <c r="E197" i="14" s="1"/>
  <c r="E198" i="14" a="1"/>
  <c r="E198" i="14" s="1"/>
  <c r="E199" i="14" a="1"/>
  <c r="E199" i="14" s="1"/>
  <c r="E200" i="14" a="1"/>
  <c r="E200" i="14" s="1"/>
  <c r="E201" i="14" a="1"/>
  <c r="E201" i="14" s="1"/>
  <c r="E202" i="14" a="1"/>
  <c r="E202" i="14" s="1"/>
  <c r="E203" i="14" a="1"/>
  <c r="E203" i="14" s="1"/>
  <c r="E204" i="14" a="1"/>
  <c r="E204" i="14" s="1"/>
  <c r="E205" i="14" a="1"/>
  <c r="E205" i="14" s="1"/>
  <c r="E206" i="14" a="1"/>
  <c r="E206" i="14" s="1"/>
  <c r="E207" i="14" a="1"/>
  <c r="E207" i="14" s="1"/>
  <c r="E208" i="14" a="1"/>
  <c r="E208" i="14" s="1"/>
  <c r="E209" i="14" a="1"/>
  <c r="E209" i="14" s="1"/>
  <c r="E210" i="14" a="1"/>
  <c r="E210" i="14" s="1"/>
  <c r="E211" i="14" a="1"/>
  <c r="E211" i="14" s="1"/>
  <c r="E212" i="14" a="1"/>
  <c r="E212" i="14" s="1"/>
  <c r="E213" i="14" a="1"/>
  <c r="E213" i="14" s="1"/>
  <c r="E214" i="14" a="1"/>
  <c r="E214" i="14" s="1"/>
  <c r="E215" i="14" a="1"/>
  <c r="E215" i="14" s="1"/>
  <c r="E216" i="14" a="1"/>
  <c r="E216" i="14" s="1"/>
  <c r="E217" i="14" a="1"/>
  <c r="E217" i="14" s="1"/>
  <c r="E218" i="14" a="1"/>
  <c r="E218" i="14" s="1"/>
  <c r="E219" i="14" a="1"/>
  <c r="E219" i="14" s="1"/>
  <c r="E220" i="14" a="1"/>
  <c r="E220" i="14" s="1"/>
  <c r="E221" i="14" a="1"/>
  <c r="E221" i="14" s="1"/>
  <c r="E222" i="14" a="1"/>
  <c r="E222" i="14" s="1"/>
  <c r="E223" i="14" a="1"/>
  <c r="E223" i="14" s="1"/>
  <c r="E224" i="14" a="1"/>
  <c r="E224" i="14" s="1"/>
  <c r="E225" i="14" a="1"/>
  <c r="E225" i="14" s="1"/>
  <c r="E226" i="14" a="1"/>
  <c r="E226" i="14" s="1"/>
  <c r="E227" i="14" a="1"/>
  <c r="E227" i="14" s="1"/>
  <c r="E228" i="14" a="1"/>
  <c r="E228" i="14" s="1"/>
  <c r="E229" i="14" a="1"/>
  <c r="E229" i="14" s="1"/>
  <c r="E230" i="14" a="1"/>
  <c r="E230" i="14" s="1"/>
  <c r="E231" i="14" a="1"/>
  <c r="E231" i="14" s="1"/>
  <c r="E232" i="14" a="1"/>
  <c r="E232" i="14" s="1"/>
  <c r="E233" i="14" a="1"/>
  <c r="E233" i="14" s="1"/>
  <c r="E234" i="14" a="1"/>
  <c r="E234" i="14" s="1"/>
  <c r="E235" i="14" a="1"/>
  <c r="E235" i="14" s="1"/>
  <c r="E236" i="14" a="1"/>
  <c r="E236" i="14" s="1"/>
  <c r="E237" i="14" a="1"/>
  <c r="E237" i="14" s="1"/>
  <c r="E238" i="14" a="1"/>
  <c r="E238" i="14" s="1"/>
  <c r="E239" i="14" a="1"/>
  <c r="E239" i="14" s="1"/>
  <c r="E240" i="14" a="1"/>
  <c r="E240" i="14" s="1"/>
  <c r="E241" i="14" a="1"/>
  <c r="E241" i="14" s="1"/>
  <c r="E242" i="14" a="1"/>
  <c r="E242" i="14" s="1"/>
  <c r="D5" i="14" a="1"/>
  <c r="D5" i="14" s="1"/>
  <c r="S5" i="14" s="1"/>
  <c r="D6" i="14" a="1"/>
  <c r="D6" i="14" s="1"/>
  <c r="S6" i="14" s="1"/>
  <c r="D7" i="14" a="1"/>
  <c r="D7" i="14" s="1"/>
  <c r="S7" i="14" s="1"/>
  <c r="D8" i="14" a="1"/>
  <c r="D8" i="14" s="1"/>
  <c r="S8" i="14" s="1"/>
  <c r="D9" i="14" a="1"/>
  <c r="D9" i="14" s="1"/>
  <c r="S9" i="14" s="1"/>
  <c r="D10" i="14" a="1"/>
  <c r="D10" i="14" s="1"/>
  <c r="S10" i="14" s="1"/>
  <c r="D11" i="14" a="1"/>
  <c r="D11" i="14" s="1"/>
  <c r="S11" i="14" s="1"/>
  <c r="D12" i="14" a="1"/>
  <c r="D12" i="14" s="1"/>
  <c r="S12" i="14" s="1"/>
  <c r="D13" i="14" a="1"/>
  <c r="D13" i="14" s="1"/>
  <c r="S13" i="14" s="1"/>
  <c r="D14" i="14" a="1"/>
  <c r="D14" i="14" s="1"/>
  <c r="S14" i="14" s="1"/>
  <c r="D15" i="14" a="1"/>
  <c r="D15" i="14" s="1"/>
  <c r="S15" i="14" s="1"/>
  <c r="D16" i="14" a="1"/>
  <c r="D16" i="14" s="1"/>
  <c r="S16" i="14" s="1"/>
  <c r="D17" i="14" a="1"/>
  <c r="D17" i="14" s="1"/>
  <c r="S17" i="14" s="1"/>
  <c r="D18" i="14" a="1"/>
  <c r="D18" i="14" s="1"/>
  <c r="S18" i="14" s="1"/>
  <c r="D19" i="14" a="1"/>
  <c r="D19" i="14" s="1"/>
  <c r="S19" i="14" s="1"/>
  <c r="D20" i="14" a="1"/>
  <c r="D20" i="14" s="1"/>
  <c r="S20" i="14" s="1"/>
  <c r="D21" i="14" a="1"/>
  <c r="D21" i="14" s="1"/>
  <c r="S21" i="14" s="1"/>
  <c r="D22" i="14" a="1"/>
  <c r="D22" i="14" s="1"/>
  <c r="S22" i="14" s="1"/>
  <c r="D23" i="14" a="1"/>
  <c r="D23" i="14" s="1"/>
  <c r="S23" i="14" s="1"/>
  <c r="D24" i="14" a="1"/>
  <c r="D24" i="14" s="1"/>
  <c r="S24" i="14" s="1"/>
  <c r="D25" i="14" a="1"/>
  <c r="D25" i="14" s="1"/>
  <c r="S25" i="14" s="1"/>
  <c r="D26" i="14" a="1"/>
  <c r="D26" i="14" s="1"/>
  <c r="S26" i="14" s="1"/>
  <c r="D27" i="14" a="1"/>
  <c r="D27" i="14" s="1"/>
  <c r="S27" i="14" s="1"/>
  <c r="D28" i="14" a="1"/>
  <c r="D28" i="14" s="1"/>
  <c r="S28" i="14" s="1"/>
  <c r="D29" i="14" a="1"/>
  <c r="D29" i="14" s="1"/>
  <c r="S29" i="14" s="1"/>
  <c r="D30" i="14" a="1"/>
  <c r="D30" i="14" s="1"/>
  <c r="S30" i="14" s="1"/>
  <c r="D31" i="14" a="1"/>
  <c r="D31" i="14" s="1"/>
  <c r="S31" i="14" s="1"/>
  <c r="D32" i="14" a="1"/>
  <c r="D32" i="14" s="1"/>
  <c r="S32" i="14" s="1"/>
  <c r="D33" i="14" a="1"/>
  <c r="D33" i="14" s="1"/>
  <c r="S33" i="14" s="1"/>
  <c r="D34" i="14" a="1"/>
  <c r="D34" i="14" s="1"/>
  <c r="S34" i="14" s="1"/>
  <c r="D35" i="14" a="1"/>
  <c r="D35" i="14" s="1"/>
  <c r="S35" i="14" s="1"/>
  <c r="D36" i="14" a="1"/>
  <c r="D36" i="14" s="1"/>
  <c r="S36" i="14" s="1"/>
  <c r="D37" i="14" a="1"/>
  <c r="D37" i="14" s="1"/>
  <c r="S37" i="14" s="1"/>
  <c r="D38" i="14" a="1"/>
  <c r="D38" i="14" s="1"/>
  <c r="S38" i="14" s="1"/>
  <c r="D39" i="14" a="1"/>
  <c r="D39" i="14" s="1"/>
  <c r="S39" i="14" s="1"/>
  <c r="D40" i="14" a="1"/>
  <c r="D40" i="14" s="1"/>
  <c r="S40" i="14" s="1"/>
  <c r="D41" i="14" a="1"/>
  <c r="D41" i="14" s="1"/>
  <c r="S41" i="14" s="1"/>
  <c r="D42" i="14" a="1"/>
  <c r="D42" i="14" s="1"/>
  <c r="S42" i="14" s="1"/>
  <c r="D43" i="14" a="1"/>
  <c r="D43" i="14" s="1"/>
  <c r="S43" i="14" s="1"/>
  <c r="D44" i="14" a="1"/>
  <c r="D44" i="14" s="1"/>
  <c r="S44" i="14" s="1"/>
  <c r="D45" i="14" a="1"/>
  <c r="D45" i="14" s="1"/>
  <c r="S45" i="14" s="1"/>
  <c r="D46" i="14" a="1"/>
  <c r="D46" i="14" s="1"/>
  <c r="S46" i="14" s="1"/>
  <c r="D47" i="14" a="1"/>
  <c r="D47" i="14" s="1"/>
  <c r="S47" i="14" s="1"/>
  <c r="D48" i="14" a="1"/>
  <c r="D48" i="14" s="1"/>
  <c r="S48" i="14" s="1"/>
  <c r="D49" i="14" a="1"/>
  <c r="D49" i="14" s="1"/>
  <c r="S49" i="14" s="1"/>
  <c r="D50" i="14" a="1"/>
  <c r="D50" i="14" s="1"/>
  <c r="S50" i="14" s="1"/>
  <c r="D51" i="14" a="1"/>
  <c r="D51" i="14" s="1"/>
  <c r="S51" i="14" s="1"/>
  <c r="D52" i="14" a="1"/>
  <c r="D52" i="14" s="1"/>
  <c r="S52" i="14" s="1"/>
  <c r="D53" i="14" a="1"/>
  <c r="D53" i="14" s="1"/>
  <c r="S53" i="14" s="1"/>
  <c r="D54" i="14" a="1"/>
  <c r="D54" i="14" s="1"/>
  <c r="S54" i="14" s="1"/>
  <c r="D55" i="14" a="1"/>
  <c r="D55" i="14" s="1"/>
  <c r="S55" i="14" s="1"/>
  <c r="D56" i="14" a="1"/>
  <c r="D56" i="14" s="1"/>
  <c r="S56" i="14" s="1"/>
  <c r="D57" i="14" a="1"/>
  <c r="D57" i="14" s="1"/>
  <c r="S57" i="14" s="1"/>
  <c r="D58" i="14" a="1"/>
  <c r="D58" i="14" s="1"/>
  <c r="S58" i="14" s="1"/>
  <c r="D59" i="14" a="1"/>
  <c r="D59" i="14" s="1"/>
  <c r="S59" i="14" s="1"/>
  <c r="D60" i="14" a="1"/>
  <c r="D60" i="14" s="1"/>
  <c r="S60" i="14" s="1"/>
  <c r="D61" i="14" a="1"/>
  <c r="D61" i="14" s="1"/>
  <c r="S61" i="14" s="1"/>
  <c r="D62" i="14" a="1"/>
  <c r="D62" i="14" s="1"/>
  <c r="S62" i="14" s="1"/>
  <c r="D63" i="14" a="1"/>
  <c r="D63" i="14" s="1"/>
  <c r="S63" i="14" s="1"/>
  <c r="D64" i="14" a="1"/>
  <c r="D64" i="14" s="1"/>
  <c r="S64" i="14" s="1"/>
  <c r="D65" i="14" a="1"/>
  <c r="D65" i="14" s="1"/>
  <c r="S65" i="14" s="1"/>
  <c r="D66" i="14" a="1"/>
  <c r="D66" i="14" s="1"/>
  <c r="S66" i="14" s="1"/>
  <c r="D67" i="14" a="1"/>
  <c r="D67" i="14" s="1"/>
  <c r="S67" i="14" s="1"/>
  <c r="D68" i="14" a="1"/>
  <c r="D68" i="14" s="1"/>
  <c r="S68" i="14" s="1"/>
  <c r="D69" i="14" a="1"/>
  <c r="D69" i="14" s="1"/>
  <c r="S69" i="14" s="1"/>
  <c r="D70" i="14" a="1"/>
  <c r="D70" i="14" s="1"/>
  <c r="S70" i="14" s="1"/>
  <c r="D71" i="14" a="1"/>
  <c r="D71" i="14" s="1"/>
  <c r="S71" i="14" s="1"/>
  <c r="D72" i="14" a="1"/>
  <c r="D72" i="14" s="1"/>
  <c r="S72" i="14" s="1"/>
  <c r="D73" i="14" a="1"/>
  <c r="D73" i="14" s="1"/>
  <c r="S73" i="14" s="1"/>
  <c r="D74" i="14" a="1"/>
  <c r="D74" i="14" s="1"/>
  <c r="S74" i="14" s="1"/>
  <c r="D75" i="14" a="1"/>
  <c r="D75" i="14" s="1"/>
  <c r="S75" i="14" s="1"/>
  <c r="D76" i="14" a="1"/>
  <c r="D76" i="14" s="1"/>
  <c r="S76" i="14" s="1"/>
  <c r="D77" i="14" a="1"/>
  <c r="D77" i="14" s="1"/>
  <c r="S77" i="14" s="1"/>
  <c r="D78" i="14" a="1"/>
  <c r="D78" i="14" s="1"/>
  <c r="S78" i="14" s="1"/>
  <c r="D79" i="14" a="1"/>
  <c r="D79" i="14" s="1"/>
  <c r="S79" i="14" s="1"/>
  <c r="D80" i="14" a="1"/>
  <c r="D80" i="14" s="1"/>
  <c r="S80" i="14" s="1"/>
  <c r="D81" i="14" a="1"/>
  <c r="D81" i="14" s="1"/>
  <c r="S81" i="14" s="1"/>
  <c r="D82" i="14" a="1"/>
  <c r="D82" i="14" s="1"/>
  <c r="S82" i="14" s="1"/>
  <c r="D83" i="14" a="1"/>
  <c r="D83" i="14" s="1"/>
  <c r="S83" i="14" s="1"/>
  <c r="D84" i="14" a="1"/>
  <c r="D84" i="14" s="1"/>
  <c r="S84" i="14" s="1"/>
  <c r="D85" i="14" a="1"/>
  <c r="D85" i="14" s="1"/>
  <c r="S85" i="14" s="1"/>
  <c r="D86" i="14" a="1"/>
  <c r="D86" i="14" s="1"/>
  <c r="S86" i="14" s="1"/>
  <c r="D87" i="14" a="1"/>
  <c r="D87" i="14" s="1"/>
  <c r="S87" i="14" s="1"/>
  <c r="D88" i="14" a="1"/>
  <c r="D88" i="14" s="1"/>
  <c r="S88" i="14" s="1"/>
  <c r="D89" i="14" a="1"/>
  <c r="D89" i="14" s="1"/>
  <c r="S89" i="14" s="1"/>
  <c r="D90" i="14" a="1"/>
  <c r="D90" i="14" s="1"/>
  <c r="S90" i="14" s="1"/>
  <c r="D91" i="14" a="1"/>
  <c r="D91" i="14" s="1"/>
  <c r="S91" i="14" s="1"/>
  <c r="D92" i="14" a="1"/>
  <c r="D92" i="14" s="1"/>
  <c r="S92" i="14" s="1"/>
  <c r="D93" i="14" a="1"/>
  <c r="D93" i="14" s="1"/>
  <c r="S93" i="14" s="1"/>
  <c r="D94" i="14" a="1"/>
  <c r="D94" i="14" s="1"/>
  <c r="S94" i="14" s="1"/>
  <c r="D95" i="14" a="1"/>
  <c r="D95" i="14" s="1"/>
  <c r="S95" i="14" s="1"/>
  <c r="D96" i="14" a="1"/>
  <c r="D96" i="14" s="1"/>
  <c r="S96" i="14" s="1"/>
  <c r="D97" i="14" a="1"/>
  <c r="D97" i="14" s="1"/>
  <c r="S97" i="14" s="1"/>
  <c r="D98" i="14" a="1"/>
  <c r="D98" i="14" s="1"/>
  <c r="S98" i="14" s="1"/>
  <c r="D99" i="14" a="1"/>
  <c r="D99" i="14" s="1"/>
  <c r="S99" i="14" s="1"/>
  <c r="D100" i="14" a="1"/>
  <c r="D100" i="14" s="1"/>
  <c r="S100" i="14" s="1"/>
  <c r="D101" i="14" a="1"/>
  <c r="D101" i="14" s="1"/>
  <c r="S101" i="14" s="1"/>
  <c r="D102" i="14" a="1"/>
  <c r="D102" i="14" s="1"/>
  <c r="S102" i="14" s="1"/>
  <c r="D103" i="14" a="1"/>
  <c r="D103" i="14" s="1"/>
  <c r="S103" i="14" s="1"/>
  <c r="D104" i="14" a="1"/>
  <c r="D104" i="14" s="1"/>
  <c r="S104" i="14" s="1"/>
  <c r="D105" i="14" a="1"/>
  <c r="D105" i="14" s="1"/>
  <c r="S105" i="14" s="1"/>
  <c r="D106" i="14" a="1"/>
  <c r="D106" i="14" s="1"/>
  <c r="S106" i="14" s="1"/>
  <c r="D107" i="14" a="1"/>
  <c r="D107" i="14" s="1"/>
  <c r="S107" i="14" s="1"/>
  <c r="D108" i="14" a="1"/>
  <c r="D108" i="14" s="1"/>
  <c r="S108" i="14" s="1"/>
  <c r="D109" i="14" a="1"/>
  <c r="D109" i="14" s="1"/>
  <c r="S109" i="14" s="1"/>
  <c r="D110" i="14" a="1"/>
  <c r="D110" i="14" s="1"/>
  <c r="S110" i="14" s="1"/>
  <c r="D111" i="14" a="1"/>
  <c r="D111" i="14" s="1"/>
  <c r="S111" i="14" s="1"/>
  <c r="D112" i="14" a="1"/>
  <c r="D112" i="14" s="1"/>
  <c r="S112" i="14" s="1"/>
  <c r="D113" i="14" a="1"/>
  <c r="D113" i="14" s="1"/>
  <c r="S113" i="14" s="1"/>
  <c r="D114" i="14" a="1"/>
  <c r="D114" i="14" s="1"/>
  <c r="S114" i="14" s="1"/>
  <c r="D115" i="14" a="1"/>
  <c r="D115" i="14" s="1"/>
  <c r="S115" i="14" s="1"/>
  <c r="D116" i="14" a="1"/>
  <c r="D116" i="14" s="1"/>
  <c r="S116" i="14" s="1"/>
  <c r="D117" i="14" a="1"/>
  <c r="D117" i="14" s="1"/>
  <c r="S117" i="14" s="1"/>
  <c r="D118" i="14" a="1"/>
  <c r="D118" i="14" s="1"/>
  <c r="S118" i="14" s="1"/>
  <c r="D119" i="14" a="1"/>
  <c r="D119" i="14" s="1"/>
  <c r="S119" i="14" s="1"/>
  <c r="D120" i="14" a="1"/>
  <c r="D120" i="14" s="1"/>
  <c r="S120" i="14" s="1"/>
  <c r="D121" i="14" a="1"/>
  <c r="D121" i="14" s="1"/>
  <c r="S121" i="14" s="1"/>
  <c r="D122" i="14" a="1"/>
  <c r="D122" i="14" s="1"/>
  <c r="S122" i="14" s="1"/>
  <c r="D123" i="14" a="1"/>
  <c r="D123" i="14" s="1"/>
  <c r="S123" i="14" s="1"/>
  <c r="D124" i="14" a="1"/>
  <c r="D124" i="14" s="1"/>
  <c r="S124" i="14" s="1"/>
  <c r="D125" i="14" a="1"/>
  <c r="D125" i="14" s="1"/>
  <c r="S125" i="14" s="1"/>
  <c r="D126" i="14" a="1"/>
  <c r="D126" i="14" s="1"/>
  <c r="S126" i="14" s="1"/>
  <c r="D127" i="14" a="1"/>
  <c r="D127" i="14" s="1"/>
  <c r="S127" i="14" s="1"/>
  <c r="D128" i="14" a="1"/>
  <c r="D128" i="14" s="1"/>
  <c r="S128" i="14" s="1"/>
  <c r="D129" i="14" a="1"/>
  <c r="D129" i="14" s="1"/>
  <c r="S129" i="14" s="1"/>
  <c r="D130" i="14" a="1"/>
  <c r="D130" i="14" s="1"/>
  <c r="S130" i="14" s="1"/>
  <c r="D131" i="14" a="1"/>
  <c r="D131" i="14" s="1"/>
  <c r="S131" i="14" s="1"/>
  <c r="D132" i="14" a="1"/>
  <c r="D132" i="14" s="1"/>
  <c r="S132" i="14" s="1"/>
  <c r="D133" i="14" a="1"/>
  <c r="D133" i="14" s="1"/>
  <c r="S133" i="14" s="1"/>
  <c r="D134" i="14" a="1"/>
  <c r="D134" i="14" s="1"/>
  <c r="S134" i="14" s="1"/>
  <c r="D135" i="14" a="1"/>
  <c r="D135" i="14" s="1"/>
  <c r="S135" i="14" s="1"/>
  <c r="D136" i="14" a="1"/>
  <c r="D136" i="14" s="1"/>
  <c r="S136" i="14" s="1"/>
  <c r="D137" i="14" a="1"/>
  <c r="D137" i="14" s="1"/>
  <c r="S137" i="14" s="1"/>
  <c r="D138" i="14" a="1"/>
  <c r="D138" i="14" s="1"/>
  <c r="S138" i="14" s="1"/>
  <c r="D139" i="14" a="1"/>
  <c r="D139" i="14" s="1"/>
  <c r="S139" i="14" s="1"/>
  <c r="D140" i="14" a="1"/>
  <c r="D140" i="14" s="1"/>
  <c r="S140" i="14" s="1"/>
  <c r="D141" i="14" a="1"/>
  <c r="D141" i="14" s="1"/>
  <c r="S141" i="14" s="1"/>
  <c r="D142" i="14" a="1"/>
  <c r="D142" i="14" s="1"/>
  <c r="S142" i="14" s="1"/>
  <c r="D143" i="14" a="1"/>
  <c r="D143" i="14" s="1"/>
  <c r="S143" i="14" s="1"/>
  <c r="D144" i="14" a="1"/>
  <c r="D144" i="14" s="1"/>
  <c r="S144" i="14" s="1"/>
  <c r="D145" i="14" a="1"/>
  <c r="D145" i="14" s="1"/>
  <c r="S145" i="14" s="1"/>
  <c r="D146" i="14" a="1"/>
  <c r="D146" i="14" s="1"/>
  <c r="S146" i="14" s="1"/>
  <c r="D147" i="14" a="1"/>
  <c r="D147" i="14" s="1"/>
  <c r="S147" i="14" s="1"/>
  <c r="D148" i="14" a="1"/>
  <c r="D148" i="14" s="1"/>
  <c r="S148" i="14" s="1"/>
  <c r="D149" i="14" a="1"/>
  <c r="D149" i="14" s="1"/>
  <c r="S149" i="14" s="1"/>
  <c r="D150" i="14" a="1"/>
  <c r="D150" i="14" s="1"/>
  <c r="S150" i="14" s="1"/>
  <c r="D151" i="14" a="1"/>
  <c r="D151" i="14" s="1"/>
  <c r="S151" i="14" s="1"/>
  <c r="D152" i="14" a="1"/>
  <c r="D152" i="14" s="1"/>
  <c r="S152" i="14" s="1"/>
  <c r="D153" i="14" a="1"/>
  <c r="D153" i="14" s="1"/>
  <c r="S153" i="14" s="1"/>
  <c r="D154" i="14" a="1"/>
  <c r="D154" i="14" s="1"/>
  <c r="S154" i="14" s="1"/>
  <c r="D155" i="14" a="1"/>
  <c r="D155" i="14" s="1"/>
  <c r="S155" i="14" s="1"/>
  <c r="D156" i="14" a="1"/>
  <c r="D156" i="14" s="1"/>
  <c r="S156" i="14" s="1"/>
  <c r="D157" i="14" a="1"/>
  <c r="D157" i="14" s="1"/>
  <c r="S157" i="14" s="1"/>
  <c r="D158" i="14" a="1"/>
  <c r="D158" i="14" s="1"/>
  <c r="S158" i="14" s="1"/>
  <c r="D159" i="14" a="1"/>
  <c r="D159" i="14" s="1"/>
  <c r="S159" i="14" s="1"/>
  <c r="D160" i="14" a="1"/>
  <c r="D160" i="14" s="1"/>
  <c r="S160" i="14" s="1"/>
  <c r="D161" i="14" a="1"/>
  <c r="D161" i="14" s="1"/>
  <c r="S161" i="14" s="1"/>
  <c r="D162" i="14" a="1"/>
  <c r="D162" i="14" s="1"/>
  <c r="S162" i="14" s="1"/>
  <c r="D163" i="14" a="1"/>
  <c r="D163" i="14" s="1"/>
  <c r="S163" i="14" s="1"/>
  <c r="D164" i="14" a="1"/>
  <c r="D164" i="14" s="1"/>
  <c r="S164" i="14" s="1"/>
  <c r="D165" i="14" a="1"/>
  <c r="D165" i="14" s="1"/>
  <c r="S165" i="14" s="1"/>
  <c r="D166" i="14" a="1"/>
  <c r="D166" i="14" s="1"/>
  <c r="S166" i="14" s="1"/>
  <c r="D167" i="14" a="1"/>
  <c r="D167" i="14" s="1"/>
  <c r="S167" i="14" s="1"/>
  <c r="D168" i="14" a="1"/>
  <c r="D168" i="14" s="1"/>
  <c r="S168" i="14" s="1"/>
  <c r="D169" i="14" a="1"/>
  <c r="D169" i="14" s="1"/>
  <c r="S169" i="14" s="1"/>
  <c r="D170" i="14" a="1"/>
  <c r="D170" i="14" s="1"/>
  <c r="S170" i="14" s="1"/>
  <c r="D171" i="14" a="1"/>
  <c r="D171" i="14" s="1"/>
  <c r="S171" i="14" s="1"/>
  <c r="D172" i="14" a="1"/>
  <c r="D172" i="14" s="1"/>
  <c r="S172" i="14" s="1"/>
  <c r="D173" i="14" a="1"/>
  <c r="D173" i="14" s="1"/>
  <c r="S173" i="14" s="1"/>
  <c r="D174" i="14" a="1"/>
  <c r="D174" i="14" s="1"/>
  <c r="S174" i="14" s="1"/>
  <c r="D175" i="14" a="1"/>
  <c r="D175" i="14" s="1"/>
  <c r="S175" i="14" s="1"/>
  <c r="D176" i="14" a="1"/>
  <c r="D176" i="14" s="1"/>
  <c r="S176" i="14" s="1"/>
  <c r="D177" i="14" a="1"/>
  <c r="D177" i="14" s="1"/>
  <c r="S177" i="14" s="1"/>
  <c r="D178" i="14" a="1"/>
  <c r="D178" i="14" s="1"/>
  <c r="S178" i="14" s="1"/>
  <c r="D179" i="14" a="1"/>
  <c r="D179" i="14" s="1"/>
  <c r="S179" i="14" s="1"/>
  <c r="D180" i="14" a="1"/>
  <c r="D180" i="14" s="1"/>
  <c r="S180" i="14" s="1"/>
  <c r="D181" i="14" a="1"/>
  <c r="D181" i="14" s="1"/>
  <c r="S181" i="14" s="1"/>
  <c r="D182" i="14" a="1"/>
  <c r="D182" i="14" s="1"/>
  <c r="S182" i="14" s="1"/>
  <c r="D183" i="14" a="1"/>
  <c r="D183" i="14" s="1"/>
  <c r="S183" i="14" s="1"/>
  <c r="D184" i="14" a="1"/>
  <c r="D184" i="14" s="1"/>
  <c r="S184" i="14" s="1"/>
  <c r="D185" i="14" a="1"/>
  <c r="D185" i="14" s="1"/>
  <c r="S185" i="14" s="1"/>
  <c r="D186" i="14" a="1"/>
  <c r="D186" i="14" s="1"/>
  <c r="S186" i="14" s="1"/>
  <c r="D187" i="14" a="1"/>
  <c r="D187" i="14" s="1"/>
  <c r="S187" i="14" s="1"/>
  <c r="D188" i="14" a="1"/>
  <c r="D188" i="14" s="1"/>
  <c r="S188" i="14" s="1"/>
  <c r="D189" i="14" a="1"/>
  <c r="D189" i="14" s="1"/>
  <c r="S189" i="14" s="1"/>
  <c r="D190" i="14" a="1"/>
  <c r="D190" i="14" s="1"/>
  <c r="S190" i="14" s="1"/>
  <c r="D191" i="14" a="1"/>
  <c r="D191" i="14" s="1"/>
  <c r="S191" i="14" s="1"/>
  <c r="D192" i="14" a="1"/>
  <c r="D192" i="14" s="1"/>
  <c r="S192" i="14" s="1"/>
  <c r="D193" i="14" a="1"/>
  <c r="D193" i="14" s="1"/>
  <c r="S193" i="14" s="1"/>
  <c r="D194" i="14" a="1"/>
  <c r="D194" i="14" s="1"/>
  <c r="S194" i="14" s="1"/>
  <c r="D195" i="14" a="1"/>
  <c r="D195" i="14" s="1"/>
  <c r="S195" i="14" s="1"/>
  <c r="D196" i="14" a="1"/>
  <c r="D196" i="14" s="1"/>
  <c r="S196" i="14" s="1"/>
  <c r="D197" i="14" a="1"/>
  <c r="D197" i="14" s="1"/>
  <c r="S197" i="14" s="1"/>
  <c r="D198" i="14" a="1"/>
  <c r="D198" i="14" s="1"/>
  <c r="S198" i="14" s="1"/>
  <c r="D199" i="14" a="1"/>
  <c r="D199" i="14" s="1"/>
  <c r="S199" i="14" s="1"/>
  <c r="D200" i="14" a="1"/>
  <c r="D200" i="14" s="1"/>
  <c r="S200" i="14" s="1"/>
  <c r="D201" i="14" a="1"/>
  <c r="D201" i="14" s="1"/>
  <c r="S201" i="14" s="1"/>
  <c r="D202" i="14" a="1"/>
  <c r="D202" i="14" s="1"/>
  <c r="S202" i="14" s="1"/>
  <c r="D203" i="14" a="1"/>
  <c r="D203" i="14" s="1"/>
  <c r="S203" i="14" s="1"/>
  <c r="D204" i="14" a="1"/>
  <c r="D204" i="14" s="1"/>
  <c r="S204" i="14" s="1"/>
  <c r="D205" i="14" a="1"/>
  <c r="D205" i="14" s="1"/>
  <c r="S205" i="14" s="1"/>
  <c r="D206" i="14" a="1"/>
  <c r="D206" i="14" s="1"/>
  <c r="S206" i="14" s="1"/>
  <c r="D207" i="14" a="1"/>
  <c r="D207" i="14" s="1"/>
  <c r="S207" i="14" s="1"/>
  <c r="D208" i="14" a="1"/>
  <c r="D208" i="14" s="1"/>
  <c r="S208" i="14" s="1"/>
  <c r="D209" i="14" a="1"/>
  <c r="D209" i="14" s="1"/>
  <c r="S209" i="14" s="1"/>
  <c r="D210" i="14" a="1"/>
  <c r="D210" i="14" s="1"/>
  <c r="S210" i="14" s="1"/>
  <c r="D211" i="14" a="1"/>
  <c r="D211" i="14" s="1"/>
  <c r="S211" i="14" s="1"/>
  <c r="D212" i="14" a="1"/>
  <c r="D212" i="14" s="1"/>
  <c r="S212" i="14" s="1"/>
  <c r="D213" i="14" a="1"/>
  <c r="D213" i="14" s="1"/>
  <c r="S213" i="14" s="1"/>
  <c r="D214" i="14" a="1"/>
  <c r="D214" i="14" s="1"/>
  <c r="S214" i="14" s="1"/>
  <c r="D215" i="14" a="1"/>
  <c r="D215" i="14" s="1"/>
  <c r="S215" i="14" s="1"/>
  <c r="D216" i="14" a="1"/>
  <c r="D216" i="14" s="1"/>
  <c r="S216" i="14" s="1"/>
  <c r="D217" i="14" a="1"/>
  <c r="D217" i="14" s="1"/>
  <c r="S217" i="14" s="1"/>
  <c r="D218" i="14" a="1"/>
  <c r="D218" i="14" s="1"/>
  <c r="S218" i="14" s="1"/>
  <c r="D219" i="14" a="1"/>
  <c r="D219" i="14" s="1"/>
  <c r="S219" i="14" s="1"/>
  <c r="D220" i="14" a="1"/>
  <c r="D220" i="14" s="1"/>
  <c r="S220" i="14" s="1"/>
  <c r="D221" i="14" a="1"/>
  <c r="D221" i="14" s="1"/>
  <c r="S221" i="14" s="1"/>
  <c r="D222" i="14" a="1"/>
  <c r="D222" i="14" s="1"/>
  <c r="S222" i="14" s="1"/>
  <c r="D223" i="14" a="1"/>
  <c r="D223" i="14" s="1"/>
  <c r="S223" i="14" s="1"/>
  <c r="D224" i="14" a="1"/>
  <c r="D224" i="14" s="1"/>
  <c r="S224" i="14" s="1"/>
  <c r="D225" i="14" a="1"/>
  <c r="D225" i="14" s="1"/>
  <c r="S225" i="14" s="1"/>
  <c r="D226" i="14" a="1"/>
  <c r="D226" i="14" s="1"/>
  <c r="S226" i="14" s="1"/>
  <c r="D227" i="14" a="1"/>
  <c r="D227" i="14" s="1"/>
  <c r="S227" i="14" s="1"/>
  <c r="D228" i="14" a="1"/>
  <c r="D228" i="14" s="1"/>
  <c r="S228" i="14" s="1"/>
  <c r="D229" i="14" a="1"/>
  <c r="D229" i="14" s="1"/>
  <c r="S229" i="14" s="1"/>
  <c r="D230" i="14" a="1"/>
  <c r="D230" i="14" s="1"/>
  <c r="S230" i="14" s="1"/>
  <c r="D231" i="14" a="1"/>
  <c r="D231" i="14" s="1"/>
  <c r="S231" i="14" s="1"/>
  <c r="D232" i="14" a="1"/>
  <c r="D232" i="14" s="1"/>
  <c r="S232" i="14" s="1"/>
  <c r="D233" i="14" a="1"/>
  <c r="D233" i="14" s="1"/>
  <c r="S233" i="14" s="1"/>
  <c r="D234" i="14" a="1"/>
  <c r="D234" i="14" s="1"/>
  <c r="S234" i="14" s="1"/>
  <c r="D235" i="14" a="1"/>
  <c r="D235" i="14" s="1"/>
  <c r="S235" i="14" s="1"/>
  <c r="D236" i="14" a="1"/>
  <c r="D236" i="14" s="1"/>
  <c r="S236" i="14" s="1"/>
  <c r="D237" i="14" a="1"/>
  <c r="D237" i="14" s="1"/>
  <c r="S237" i="14" s="1"/>
  <c r="D238" i="14" a="1"/>
  <c r="D238" i="14" s="1"/>
  <c r="S238" i="14" s="1"/>
  <c r="D239" i="14" a="1"/>
  <c r="D239" i="14" s="1"/>
  <c r="S239" i="14" s="1"/>
  <c r="D240" i="14" a="1"/>
  <c r="D240" i="14" s="1"/>
  <c r="S240" i="14" s="1"/>
  <c r="D241" i="14" a="1"/>
  <c r="D241" i="14" s="1"/>
  <c r="S241" i="14" s="1"/>
  <c r="D242" i="14" a="1"/>
  <c r="D242" i="14" s="1"/>
  <c r="S242" i="14" s="1"/>
  <c r="C5" i="14" a="1"/>
  <c r="C5" i="14" s="1"/>
  <c r="U5" i="14" s="1"/>
  <c r="C6" i="14" a="1"/>
  <c r="C6" i="14" s="1"/>
  <c r="U6" i="14" s="1"/>
  <c r="C7" i="14" a="1"/>
  <c r="C7" i="14" s="1"/>
  <c r="U7" i="14" s="1"/>
  <c r="C8" i="14" a="1"/>
  <c r="C8" i="14" s="1"/>
  <c r="U8" i="14" s="1"/>
  <c r="C9" i="14" a="1"/>
  <c r="C9" i="14" s="1"/>
  <c r="U9" i="14" s="1"/>
  <c r="C10" i="14" a="1"/>
  <c r="C10" i="14" s="1"/>
  <c r="U10" i="14" s="1"/>
  <c r="C11" i="14" a="1"/>
  <c r="C11" i="14" s="1"/>
  <c r="C12" i="14" a="1"/>
  <c r="C12" i="14" s="1"/>
  <c r="U12" i="14" s="1"/>
  <c r="C13" i="14" a="1"/>
  <c r="C13" i="14" s="1"/>
  <c r="U13" i="14" s="1"/>
  <c r="C14" i="14" a="1"/>
  <c r="C14" i="14" s="1"/>
  <c r="U14" i="14" s="1"/>
  <c r="C15" i="14" a="1"/>
  <c r="C15" i="14" s="1"/>
  <c r="U15" i="14" s="1"/>
  <c r="C16" i="14" a="1"/>
  <c r="C16" i="14" s="1"/>
  <c r="U16" i="14" s="1"/>
  <c r="C17" i="14" a="1"/>
  <c r="C17" i="14" s="1"/>
  <c r="U17" i="14" s="1"/>
  <c r="C18" i="14" a="1"/>
  <c r="C18" i="14" s="1"/>
  <c r="U18" i="14" s="1"/>
  <c r="C19" i="14" a="1"/>
  <c r="C19" i="14" s="1"/>
  <c r="U19" i="14" s="1"/>
  <c r="C20" i="14" a="1"/>
  <c r="C20" i="14" s="1"/>
  <c r="U20" i="14" s="1"/>
  <c r="C21" i="14" a="1"/>
  <c r="C21" i="14" s="1"/>
  <c r="U21" i="14" s="1"/>
  <c r="C22" i="14" a="1"/>
  <c r="C22" i="14" s="1"/>
  <c r="U22" i="14" s="1"/>
  <c r="C23" i="14" a="1"/>
  <c r="C23" i="14" s="1"/>
  <c r="U23" i="14" s="1"/>
  <c r="C24" i="14" a="1"/>
  <c r="C24" i="14" s="1"/>
  <c r="U24" i="14" s="1"/>
  <c r="C25" i="14" a="1"/>
  <c r="C25" i="14" s="1"/>
  <c r="C26" i="14" a="1"/>
  <c r="C26" i="14" s="1"/>
  <c r="U26" i="14" s="1"/>
  <c r="C27" i="14" a="1"/>
  <c r="C27" i="14" s="1"/>
  <c r="U27" i="14" s="1"/>
  <c r="C28" i="14" a="1"/>
  <c r="C28" i="14" s="1"/>
  <c r="U28" i="14" s="1"/>
  <c r="C29" i="14" a="1"/>
  <c r="C29" i="14" s="1"/>
  <c r="C30" i="14" a="1"/>
  <c r="C30" i="14" s="1"/>
  <c r="U30" i="14" s="1"/>
  <c r="C31" i="14" a="1"/>
  <c r="C31" i="14" s="1"/>
  <c r="U31" i="14" s="1"/>
  <c r="C32" i="14" a="1"/>
  <c r="C32" i="14" s="1"/>
  <c r="U32" i="14" s="1"/>
  <c r="C33" i="14" a="1"/>
  <c r="C33" i="14" s="1"/>
  <c r="U33" i="14" s="1"/>
  <c r="C34" i="14" a="1"/>
  <c r="C34" i="14" s="1"/>
  <c r="C35" i="14" a="1"/>
  <c r="C35" i="14" s="1"/>
  <c r="U35" i="14" s="1"/>
  <c r="C36" i="14" a="1"/>
  <c r="C36" i="14" s="1"/>
  <c r="U36" i="14" s="1"/>
  <c r="C37" i="14" a="1"/>
  <c r="C37" i="14" s="1"/>
  <c r="C38" i="14" a="1"/>
  <c r="C38" i="14" s="1"/>
  <c r="U38" i="14" s="1"/>
  <c r="C39" i="14" a="1"/>
  <c r="C39" i="14" s="1"/>
  <c r="U39" i="14" s="1"/>
  <c r="C40" i="14" a="1"/>
  <c r="C40" i="14" s="1"/>
  <c r="U40" i="14" s="1"/>
  <c r="C41" i="14" a="1"/>
  <c r="C41" i="14" s="1"/>
  <c r="U41" i="14" s="1"/>
  <c r="C42" i="14" a="1"/>
  <c r="C42" i="14" s="1"/>
  <c r="U42" i="14" s="1"/>
  <c r="C43" i="14" a="1"/>
  <c r="C43" i="14" s="1"/>
  <c r="U43" i="14" s="1"/>
  <c r="C44" i="14" a="1"/>
  <c r="C44" i="14" s="1"/>
  <c r="U44" i="14" s="1"/>
  <c r="C45" i="14" a="1"/>
  <c r="C45" i="14" s="1"/>
  <c r="U45" i="14" s="1"/>
  <c r="C46" i="14" a="1"/>
  <c r="C46" i="14" s="1"/>
  <c r="U46" i="14" s="1"/>
  <c r="C47" i="14" a="1"/>
  <c r="C47" i="14" s="1"/>
  <c r="U47" i="14" s="1"/>
  <c r="C48" i="14" a="1"/>
  <c r="C48" i="14" s="1"/>
  <c r="U48" i="14" s="1"/>
  <c r="C49" i="14" a="1"/>
  <c r="C49" i="14" s="1"/>
  <c r="U49" i="14" s="1"/>
  <c r="C50" i="14" a="1"/>
  <c r="C50" i="14" s="1"/>
  <c r="C51" i="14" a="1"/>
  <c r="C51" i="14" s="1"/>
  <c r="U51" i="14" s="1"/>
  <c r="C52" i="14" a="1"/>
  <c r="C52" i="14" s="1"/>
  <c r="U52" i="14" s="1"/>
  <c r="C53" i="14" a="1"/>
  <c r="C53" i="14" s="1"/>
  <c r="U53" i="14" s="1"/>
  <c r="C54" i="14" a="1"/>
  <c r="C54" i="14" s="1"/>
  <c r="U54" i="14" s="1"/>
  <c r="C55" i="14" a="1"/>
  <c r="C55" i="14" s="1"/>
  <c r="U55" i="14" s="1"/>
  <c r="C56" i="14" a="1"/>
  <c r="C56" i="14" s="1"/>
  <c r="U56" i="14" s="1"/>
  <c r="C57" i="14" a="1"/>
  <c r="C57" i="14" s="1"/>
  <c r="U57" i="14" s="1"/>
  <c r="C58" i="14" a="1"/>
  <c r="C58" i="14" s="1"/>
  <c r="U58" i="14" s="1"/>
  <c r="C59" i="14" a="1"/>
  <c r="C59" i="14" s="1"/>
  <c r="U59" i="14" s="1"/>
  <c r="C60" i="14" a="1"/>
  <c r="C60" i="14" s="1"/>
  <c r="U60" i="14" s="1"/>
  <c r="C61" i="14" a="1"/>
  <c r="C61" i="14" s="1"/>
  <c r="U61" i="14" s="1"/>
  <c r="C62" i="14" a="1"/>
  <c r="C62" i="14" s="1"/>
  <c r="U62" i="14" s="1"/>
  <c r="C63" i="14" a="1"/>
  <c r="C63" i="14" s="1"/>
  <c r="U63" i="14" s="1"/>
  <c r="C64" i="14" a="1"/>
  <c r="C64" i="14" s="1"/>
  <c r="U64" i="14" s="1"/>
  <c r="C65" i="14" a="1"/>
  <c r="C65" i="14" s="1"/>
  <c r="U65" i="14" s="1"/>
  <c r="C66" i="14" a="1"/>
  <c r="C66" i="14" s="1"/>
  <c r="C67" i="14" a="1"/>
  <c r="C67" i="14" s="1"/>
  <c r="C68" i="14" a="1"/>
  <c r="C68" i="14" s="1"/>
  <c r="U68" i="14" s="1"/>
  <c r="C69" i="14" a="1"/>
  <c r="C69" i="14" s="1"/>
  <c r="U69" i="14" s="1"/>
  <c r="C70" i="14" a="1"/>
  <c r="C70" i="14" s="1"/>
  <c r="U70" i="14" s="1"/>
  <c r="C71" i="14" a="1"/>
  <c r="C71" i="14" s="1"/>
  <c r="U71" i="14" s="1"/>
  <c r="C72" i="14" a="1"/>
  <c r="C72" i="14" s="1"/>
  <c r="U72" i="14" s="1"/>
  <c r="C73" i="14" a="1"/>
  <c r="C73" i="14" s="1"/>
  <c r="U73" i="14" s="1"/>
  <c r="C74" i="14" a="1"/>
  <c r="C74" i="14" s="1"/>
  <c r="U74" i="14" s="1"/>
  <c r="C75" i="14" a="1"/>
  <c r="C75" i="14" s="1"/>
  <c r="C76" i="14" a="1"/>
  <c r="C76" i="14" s="1"/>
  <c r="U76" i="14" s="1"/>
  <c r="C77" i="14" a="1"/>
  <c r="C77" i="14" s="1"/>
  <c r="U77" i="14" s="1"/>
  <c r="C78" i="14" a="1"/>
  <c r="C78" i="14" s="1"/>
  <c r="U78" i="14" s="1"/>
  <c r="C79" i="14" a="1"/>
  <c r="C79" i="14" s="1"/>
  <c r="U79" i="14" s="1"/>
  <c r="C80" i="14" a="1"/>
  <c r="C80" i="14" s="1"/>
  <c r="U80" i="14" s="1"/>
  <c r="C81" i="14" a="1"/>
  <c r="C81" i="14" s="1"/>
  <c r="U81" i="14" s="1"/>
  <c r="C82" i="14" a="1"/>
  <c r="C82" i="14" s="1"/>
  <c r="U82" i="14" s="1"/>
  <c r="C83" i="14" a="1"/>
  <c r="C83" i="14" s="1"/>
  <c r="U83" i="14" s="1"/>
  <c r="C84" i="14" a="1"/>
  <c r="C84" i="14" s="1"/>
  <c r="U84" i="14" s="1"/>
  <c r="C85" i="14" a="1"/>
  <c r="C85" i="14" s="1"/>
  <c r="U85" i="14" s="1"/>
  <c r="C86" i="14" a="1"/>
  <c r="C86" i="14" s="1"/>
  <c r="C87" i="14" a="1"/>
  <c r="C87" i="14" s="1"/>
  <c r="C88" i="14" a="1"/>
  <c r="C88" i="14" s="1"/>
  <c r="U88" i="14" s="1"/>
  <c r="C89" i="14" a="1"/>
  <c r="C89" i="14" s="1"/>
  <c r="U89" i="14" s="1"/>
  <c r="C90" i="14" a="1"/>
  <c r="C90" i="14" s="1"/>
  <c r="U90" i="14" s="1"/>
  <c r="C91" i="14" a="1"/>
  <c r="C91" i="14" s="1"/>
  <c r="U91" i="14" s="1"/>
  <c r="C92" i="14" a="1"/>
  <c r="C92" i="14" s="1"/>
  <c r="U92" i="14" s="1"/>
  <c r="C93" i="14" a="1"/>
  <c r="C93" i="14" s="1"/>
  <c r="U93" i="14" s="1"/>
  <c r="C94" i="14" a="1"/>
  <c r="C94" i="14" s="1"/>
  <c r="U94" i="14" s="1"/>
  <c r="C95" i="14" a="1"/>
  <c r="C95" i="14" s="1"/>
  <c r="U95" i="14" s="1"/>
  <c r="C96" i="14" a="1"/>
  <c r="C96" i="14" s="1"/>
  <c r="U96" i="14" s="1"/>
  <c r="C97" i="14" a="1"/>
  <c r="C97" i="14" s="1"/>
  <c r="U97" i="14" s="1"/>
  <c r="C98" i="14" a="1"/>
  <c r="C98" i="14" s="1"/>
  <c r="U98" i="14" s="1"/>
  <c r="C99" i="14" a="1"/>
  <c r="C99" i="14" s="1"/>
  <c r="U99" i="14" s="1"/>
  <c r="C100" i="14" a="1"/>
  <c r="C100" i="14" s="1"/>
  <c r="C101" i="14" a="1"/>
  <c r="C101" i="14" s="1"/>
  <c r="U101" i="14" s="1"/>
  <c r="C102" i="14" a="1"/>
  <c r="C102" i="14" s="1"/>
  <c r="U102" i="14" s="1"/>
  <c r="C103" i="14" a="1"/>
  <c r="C103" i="14" s="1"/>
  <c r="U103" i="14" s="1"/>
  <c r="C104" i="14" a="1"/>
  <c r="C104" i="14" s="1"/>
  <c r="U104" i="14" s="1"/>
  <c r="C105" i="14" a="1"/>
  <c r="C105" i="14" s="1"/>
  <c r="U105" i="14" s="1"/>
  <c r="C106" i="14" a="1"/>
  <c r="C106" i="14" s="1"/>
  <c r="U106" i="14" s="1"/>
  <c r="C107" i="14" a="1"/>
  <c r="C107" i="14" s="1"/>
  <c r="U107" i="14" s="1"/>
  <c r="C108" i="14" a="1"/>
  <c r="C108" i="14" s="1"/>
  <c r="U108" i="14" s="1"/>
  <c r="C109" i="14" a="1"/>
  <c r="C109" i="14" s="1"/>
  <c r="U109" i="14" s="1"/>
  <c r="C110" i="14" a="1"/>
  <c r="C110" i="14" s="1"/>
  <c r="U110" i="14" s="1"/>
  <c r="C111" i="14" a="1"/>
  <c r="C111" i="14" s="1"/>
  <c r="U111" i="14" s="1"/>
  <c r="C112" i="14" a="1"/>
  <c r="C112" i="14" s="1"/>
  <c r="U112" i="14" s="1"/>
  <c r="C113" i="14" a="1"/>
  <c r="C113" i="14" s="1"/>
  <c r="U113" i="14" s="1"/>
  <c r="C114" i="14" a="1"/>
  <c r="C114" i="14" s="1"/>
  <c r="U114" i="14" s="1"/>
  <c r="C115" i="14" a="1"/>
  <c r="C115" i="14" s="1"/>
  <c r="U115" i="14" s="1"/>
  <c r="C116" i="14" a="1"/>
  <c r="C116" i="14" s="1"/>
  <c r="U116" i="14" s="1"/>
  <c r="C117" i="14" a="1"/>
  <c r="C117" i="14" s="1"/>
  <c r="U117" i="14" s="1"/>
  <c r="C118" i="14" a="1"/>
  <c r="C118" i="14" s="1"/>
  <c r="U118" i="14" s="1"/>
  <c r="C119" i="14" a="1"/>
  <c r="C119" i="14" s="1"/>
  <c r="U119" i="14" s="1"/>
  <c r="C120" i="14" a="1"/>
  <c r="C120" i="14" s="1"/>
  <c r="U120" i="14" s="1"/>
  <c r="C121" i="14" a="1"/>
  <c r="C121" i="14" s="1"/>
  <c r="U121" i="14" s="1"/>
  <c r="C122" i="14" a="1"/>
  <c r="C122" i="14" s="1"/>
  <c r="U122" i="14" s="1"/>
  <c r="C123" i="14" a="1"/>
  <c r="C123" i="14" s="1"/>
  <c r="C124" i="14" a="1"/>
  <c r="C124" i="14" s="1"/>
  <c r="C125" i="14" a="1"/>
  <c r="C125" i="14" s="1"/>
  <c r="U125" i="14" s="1"/>
  <c r="C126" i="14" a="1"/>
  <c r="C126" i="14" s="1"/>
  <c r="U126" i="14" s="1"/>
  <c r="C127" i="14" a="1"/>
  <c r="C127" i="14" s="1"/>
  <c r="U127" i="14" s="1"/>
  <c r="C128" i="14" a="1"/>
  <c r="C128" i="14" s="1"/>
  <c r="U128" i="14" s="1"/>
  <c r="C129" i="14" a="1"/>
  <c r="C129" i="14" s="1"/>
  <c r="U129" i="14" s="1"/>
  <c r="C130" i="14" a="1"/>
  <c r="C130" i="14" s="1"/>
  <c r="U130" i="14" s="1"/>
  <c r="C131" i="14" a="1"/>
  <c r="C131" i="14" s="1"/>
  <c r="U131" i="14" s="1"/>
  <c r="C132" i="14" a="1"/>
  <c r="C132" i="14" s="1"/>
  <c r="U132" i="14" s="1"/>
  <c r="C133" i="14" a="1"/>
  <c r="C133" i="14" s="1"/>
  <c r="U133" i="14" s="1"/>
  <c r="C134" i="14" a="1"/>
  <c r="C134" i="14" s="1"/>
  <c r="U134" i="14" s="1"/>
  <c r="C135" i="14" a="1"/>
  <c r="C135" i="14" s="1"/>
  <c r="U135" i="14" s="1"/>
  <c r="C136" i="14" a="1"/>
  <c r="C136" i="14" s="1"/>
  <c r="U136" i="14" s="1"/>
  <c r="C137" i="14" a="1"/>
  <c r="C137" i="14" s="1"/>
  <c r="U137" i="14" s="1"/>
  <c r="C138" i="14" a="1"/>
  <c r="C138" i="14" s="1"/>
  <c r="U138" i="14" s="1"/>
  <c r="C139" i="14" a="1"/>
  <c r="C139" i="14" s="1"/>
  <c r="U139" i="14" s="1"/>
  <c r="C140" i="14" a="1"/>
  <c r="C140" i="14" s="1"/>
  <c r="U140" i="14" s="1"/>
  <c r="C141" i="14" a="1"/>
  <c r="C141" i="14" s="1"/>
  <c r="U141" i="14" s="1"/>
  <c r="C142" i="14" a="1"/>
  <c r="C142" i="14" s="1"/>
  <c r="U142" i="14" s="1"/>
  <c r="C143" i="14" a="1"/>
  <c r="C143" i="14" s="1"/>
  <c r="U143" i="14" s="1"/>
  <c r="C144" i="14" a="1"/>
  <c r="C144" i="14" s="1"/>
  <c r="U144" i="14" s="1"/>
  <c r="C145" i="14" a="1"/>
  <c r="C145" i="14" s="1"/>
  <c r="U145" i="14" s="1"/>
  <c r="C146" i="14" a="1"/>
  <c r="C146" i="14" s="1"/>
  <c r="U146" i="14" s="1"/>
  <c r="C147" i="14" a="1"/>
  <c r="C147" i="14" s="1"/>
  <c r="U147" i="14" s="1"/>
  <c r="C148" i="14" a="1"/>
  <c r="C148" i="14" s="1"/>
  <c r="U148" i="14" s="1"/>
  <c r="C149" i="14" a="1"/>
  <c r="C149" i="14" s="1"/>
  <c r="U149" i="14" s="1"/>
  <c r="C150" i="14" a="1"/>
  <c r="C150" i="14" s="1"/>
  <c r="U150" i="14" s="1"/>
  <c r="C151" i="14" a="1"/>
  <c r="C151" i="14" s="1"/>
  <c r="U151" i="14" s="1"/>
  <c r="C152" i="14" a="1"/>
  <c r="C152" i="14" s="1"/>
  <c r="U152" i="14" s="1"/>
  <c r="C153" i="14" a="1"/>
  <c r="C153" i="14" s="1"/>
  <c r="U153" i="14" s="1"/>
  <c r="C154" i="14" a="1"/>
  <c r="C154" i="14" s="1"/>
  <c r="U154" i="14" s="1"/>
  <c r="C155" i="14" a="1"/>
  <c r="C155" i="14" s="1"/>
  <c r="C156" i="14" a="1"/>
  <c r="C156" i="14" s="1"/>
  <c r="C157" i="14" a="1"/>
  <c r="C157" i="14" s="1"/>
  <c r="U157" i="14" s="1"/>
  <c r="C158" i="14" a="1"/>
  <c r="C158" i="14" s="1"/>
  <c r="U158" i="14" s="1"/>
  <c r="C159" i="14" a="1"/>
  <c r="C159" i="14" s="1"/>
  <c r="U159" i="14" s="1"/>
  <c r="C160" i="14" a="1"/>
  <c r="C160" i="14" s="1"/>
  <c r="U160" i="14" s="1"/>
  <c r="C161" i="14" a="1"/>
  <c r="C161" i="14" s="1"/>
  <c r="U161" i="14" s="1"/>
  <c r="C162" i="14" a="1"/>
  <c r="C162" i="14" s="1"/>
  <c r="C163" i="14" a="1"/>
  <c r="C163" i="14" s="1"/>
  <c r="U163" i="14" s="1"/>
  <c r="C164" i="14" a="1"/>
  <c r="C164" i="14" s="1"/>
  <c r="U164" i="14" s="1"/>
  <c r="C165" i="14" a="1"/>
  <c r="C165" i="14" s="1"/>
  <c r="U165" i="14" s="1"/>
  <c r="C166" i="14" a="1"/>
  <c r="C166" i="14" s="1"/>
  <c r="C167" i="14" a="1"/>
  <c r="C167" i="14" s="1"/>
  <c r="U167" i="14" s="1"/>
  <c r="C168" i="14" a="1"/>
  <c r="C168" i="14" s="1"/>
  <c r="U168" i="14" s="1"/>
  <c r="C169" i="14" a="1"/>
  <c r="C169" i="14" s="1"/>
  <c r="C170" i="14" a="1"/>
  <c r="C170" i="14" s="1"/>
  <c r="U170" i="14" s="1"/>
  <c r="C171" i="14" a="1"/>
  <c r="C171" i="14" s="1"/>
  <c r="U171" i="14" s="1"/>
  <c r="C172" i="14" a="1"/>
  <c r="C172" i="14" s="1"/>
  <c r="U172" i="14" s="1"/>
  <c r="C173" i="14" a="1"/>
  <c r="C173" i="14" s="1"/>
  <c r="U173" i="14" s="1"/>
  <c r="C174" i="14" a="1"/>
  <c r="C174" i="14" s="1"/>
  <c r="U174" i="14" s="1"/>
  <c r="C175" i="14" a="1"/>
  <c r="C175" i="14" s="1"/>
  <c r="U175" i="14" s="1"/>
  <c r="C176" i="14" a="1"/>
  <c r="C176" i="14" s="1"/>
  <c r="U176" i="14" s="1"/>
  <c r="C177" i="14" a="1"/>
  <c r="C177" i="14" s="1"/>
  <c r="U177" i="14" s="1"/>
  <c r="C178" i="14" a="1"/>
  <c r="C178" i="14" s="1"/>
  <c r="U178" i="14" s="1"/>
  <c r="C179" i="14" a="1"/>
  <c r="C179" i="14" s="1"/>
  <c r="C180" i="14" a="1"/>
  <c r="C180" i="14" s="1"/>
  <c r="U180" i="14" s="1"/>
  <c r="C181" i="14" a="1"/>
  <c r="C181" i="14" s="1"/>
  <c r="U181" i="14" s="1"/>
  <c r="C182" i="14" a="1"/>
  <c r="C182" i="14" s="1"/>
  <c r="C183" i="14" a="1"/>
  <c r="C183" i="14" s="1"/>
  <c r="U183" i="14" s="1"/>
  <c r="C184" i="14" a="1"/>
  <c r="C184" i="14" s="1"/>
  <c r="U184" i="14" s="1"/>
  <c r="C185" i="14" a="1"/>
  <c r="C185" i="14" s="1"/>
  <c r="U185" i="14" s="1"/>
  <c r="C186" i="14" a="1"/>
  <c r="C186" i="14" s="1"/>
  <c r="U186" i="14" s="1"/>
  <c r="C187" i="14" a="1"/>
  <c r="C187" i="14" s="1"/>
  <c r="C188" i="14" a="1"/>
  <c r="C188" i="14" s="1"/>
  <c r="U188" i="14" s="1"/>
  <c r="C189" i="14" a="1"/>
  <c r="C189" i="14" s="1"/>
  <c r="U189" i="14" s="1"/>
  <c r="C190" i="14" a="1"/>
  <c r="C190" i="14" s="1"/>
  <c r="C191" i="14" a="1"/>
  <c r="C191" i="14" s="1"/>
  <c r="U191" i="14" s="1"/>
  <c r="C192" i="14" a="1"/>
  <c r="C192" i="14" s="1"/>
  <c r="U192" i="14" s="1"/>
  <c r="C193" i="14" a="1"/>
  <c r="C193" i="14" s="1"/>
  <c r="U193" i="14" s="1"/>
  <c r="C194" i="14" a="1"/>
  <c r="C194" i="14" s="1"/>
  <c r="U194" i="14" s="1"/>
  <c r="C195" i="14" a="1"/>
  <c r="C195" i="14" s="1"/>
  <c r="U195" i="14" s="1"/>
  <c r="C196" i="14" a="1"/>
  <c r="C196" i="14" s="1"/>
  <c r="U196" i="14" s="1"/>
  <c r="C197" i="14" a="1"/>
  <c r="C197" i="14" s="1"/>
  <c r="U197" i="14" s="1"/>
  <c r="C198" i="14" a="1"/>
  <c r="C198" i="14" s="1"/>
  <c r="U198" i="14" s="1"/>
  <c r="C199" i="14" a="1"/>
  <c r="C199" i="14" s="1"/>
  <c r="U199" i="14" s="1"/>
  <c r="C200" i="14" a="1"/>
  <c r="C200" i="14" s="1"/>
  <c r="U200" i="14" s="1"/>
  <c r="C201" i="14" a="1"/>
  <c r="C201" i="14" s="1"/>
  <c r="U201" i="14" s="1"/>
  <c r="C202" i="14" a="1"/>
  <c r="C202" i="14" s="1"/>
  <c r="U202" i="14" s="1"/>
  <c r="C203" i="14" a="1"/>
  <c r="C203" i="14" s="1"/>
  <c r="C204" i="14" a="1"/>
  <c r="C204" i="14" s="1"/>
  <c r="U204" i="14" s="1"/>
  <c r="C205" i="14" a="1"/>
  <c r="C205" i="14" s="1"/>
  <c r="C206" i="14" a="1"/>
  <c r="C206" i="14" s="1"/>
  <c r="U206" i="14" s="1"/>
  <c r="C207" i="14" a="1"/>
  <c r="C207" i="14" s="1"/>
  <c r="U207" i="14" s="1"/>
  <c r="C208" i="14" a="1"/>
  <c r="C208" i="14" s="1"/>
  <c r="U208" i="14" s="1"/>
  <c r="C209" i="14" a="1"/>
  <c r="C209" i="14" s="1"/>
  <c r="U209" i="14" s="1"/>
  <c r="C210" i="14" a="1"/>
  <c r="C210" i="14" s="1"/>
  <c r="U210" i="14" s="1"/>
  <c r="C211" i="14" a="1"/>
  <c r="C211" i="14" s="1"/>
  <c r="C212" i="14" a="1"/>
  <c r="C212" i="14" s="1"/>
  <c r="U212" i="14" s="1"/>
  <c r="C213" i="14" a="1"/>
  <c r="C213" i="14" s="1"/>
  <c r="U213" i="14" s="1"/>
  <c r="C214" i="14" a="1"/>
  <c r="C214" i="14" s="1"/>
  <c r="U214" i="14" s="1"/>
  <c r="C215" i="14" a="1"/>
  <c r="C215" i="14" s="1"/>
  <c r="U215" i="14" s="1"/>
  <c r="C216" i="14" a="1"/>
  <c r="C216" i="14" s="1"/>
  <c r="U216" i="14" s="1"/>
  <c r="C217" i="14" a="1"/>
  <c r="C217" i="14" s="1"/>
  <c r="U217" i="14" s="1"/>
  <c r="C218" i="14" a="1"/>
  <c r="C218" i="14" s="1"/>
  <c r="U218" i="14" s="1"/>
  <c r="C219" i="14" a="1"/>
  <c r="C219" i="14" s="1"/>
  <c r="C220" i="14" a="1"/>
  <c r="C220" i="14" s="1"/>
  <c r="U220" i="14" s="1"/>
  <c r="C221" i="14" a="1"/>
  <c r="C221" i="14" s="1"/>
  <c r="U221" i="14" s="1"/>
  <c r="C222" i="14" a="1"/>
  <c r="C222" i="14" s="1"/>
  <c r="C223" i="14" a="1"/>
  <c r="C223" i="14" s="1"/>
  <c r="U223" i="14" s="1"/>
  <c r="C224" i="14" a="1"/>
  <c r="C224" i="14" s="1"/>
  <c r="C225" i="14" a="1"/>
  <c r="C225" i="14" s="1"/>
  <c r="U225" i="14" s="1"/>
  <c r="C226" i="14" a="1"/>
  <c r="C226" i="14" s="1"/>
  <c r="C227" i="14" a="1"/>
  <c r="C227" i="14" s="1"/>
  <c r="C228" i="14" a="1"/>
  <c r="C228" i="14" s="1"/>
  <c r="U228" i="14" s="1"/>
  <c r="C229" i="14" a="1"/>
  <c r="C229" i="14" s="1"/>
  <c r="U229" i="14" s="1"/>
  <c r="C230" i="14" a="1"/>
  <c r="C230" i="14" s="1"/>
  <c r="C231" i="14" a="1"/>
  <c r="C231" i="14" s="1"/>
  <c r="U231" i="14" s="1"/>
  <c r="C232" i="14" a="1"/>
  <c r="C232" i="14" s="1"/>
  <c r="U232" i="14" s="1"/>
  <c r="C233" i="14" a="1"/>
  <c r="C233" i="14" s="1"/>
  <c r="C234" i="14" a="1"/>
  <c r="C234" i="14" s="1"/>
  <c r="U234" i="14" s="1"/>
  <c r="C235" i="14" a="1"/>
  <c r="C235" i="14" s="1"/>
  <c r="U235" i="14" s="1"/>
  <c r="C236" i="14" a="1"/>
  <c r="C236" i="14" s="1"/>
  <c r="U236" i="14" s="1"/>
  <c r="C237" i="14" a="1"/>
  <c r="C237" i="14" s="1"/>
  <c r="U237" i="14" s="1"/>
  <c r="C238" i="14" a="1"/>
  <c r="C238" i="14" s="1"/>
  <c r="U238" i="14" s="1"/>
  <c r="C239" i="14" a="1"/>
  <c r="C239" i="14" s="1"/>
  <c r="U239" i="14" s="1"/>
  <c r="C240" i="14" a="1"/>
  <c r="C240" i="14" s="1"/>
  <c r="U240" i="14" s="1"/>
  <c r="C241" i="14" a="1"/>
  <c r="C241" i="14" s="1"/>
  <c r="U241" i="14" s="1"/>
  <c r="C242" i="14" a="1"/>
  <c r="C242" i="14" s="1"/>
  <c r="U242" i="14" s="1"/>
  <c r="O166" i="14" l="1"/>
  <c r="U166" i="14"/>
  <c r="V86" i="14"/>
  <c r="U86" i="14"/>
  <c r="O205" i="14"/>
  <c r="U205" i="14"/>
  <c r="O29" i="14"/>
  <c r="U29" i="14"/>
  <c r="O211" i="14"/>
  <c r="U211" i="14"/>
  <c r="O123" i="14"/>
  <c r="U123" i="14"/>
  <c r="O75" i="14"/>
  <c r="U75" i="14"/>
  <c r="O67" i="14"/>
  <c r="U67" i="14"/>
  <c r="X156" i="14"/>
  <c r="U156" i="14"/>
  <c r="O219" i="14"/>
  <c r="U219" i="14"/>
  <c r="O179" i="14"/>
  <c r="U179" i="14"/>
  <c r="O11" i="14"/>
  <c r="U11" i="14"/>
  <c r="O226" i="14"/>
  <c r="U226" i="14"/>
  <c r="O162" i="14"/>
  <c r="U162" i="14"/>
  <c r="V66" i="14"/>
  <c r="U66" i="14"/>
  <c r="O50" i="14"/>
  <c r="U50" i="14"/>
  <c r="V34" i="14"/>
  <c r="U34" i="14"/>
  <c r="O230" i="14"/>
  <c r="U230" i="14"/>
  <c r="O190" i="14"/>
  <c r="U190" i="14"/>
  <c r="O37" i="14"/>
  <c r="U37" i="14"/>
  <c r="O203" i="14"/>
  <c r="U203" i="14"/>
  <c r="O222" i="14"/>
  <c r="U222" i="14"/>
  <c r="O182" i="14"/>
  <c r="U182" i="14"/>
  <c r="V124" i="14"/>
  <c r="U124" i="14"/>
  <c r="O155" i="14"/>
  <c r="U155" i="14"/>
  <c r="V100" i="14"/>
  <c r="U100" i="14"/>
  <c r="AD227" i="14"/>
  <c r="U227" i="14"/>
  <c r="O187" i="14"/>
  <c r="U187" i="14"/>
  <c r="O233" i="14"/>
  <c r="U233" i="14"/>
  <c r="O169" i="14"/>
  <c r="U169" i="14"/>
  <c r="O25" i="14"/>
  <c r="U25" i="14"/>
  <c r="V224" i="14"/>
  <c r="U224" i="14"/>
  <c r="O87" i="14"/>
  <c r="U87" i="14"/>
  <c r="C8" i="5"/>
  <c r="G15" i="5"/>
  <c r="G14" i="5"/>
  <c r="G13" i="5"/>
  <c r="G16" i="5"/>
  <c r="G17" i="5"/>
  <c r="F13" i="5"/>
  <c r="F15" i="5"/>
  <c r="F17" i="5"/>
  <c r="F14" i="5"/>
  <c r="F16" i="5"/>
  <c r="Q52" i="15"/>
  <c r="Q68" i="15"/>
  <c r="Q132" i="15"/>
  <c r="Q37" i="15"/>
  <c r="Q85" i="15"/>
  <c r="Q117" i="15"/>
  <c r="Q149" i="15"/>
  <c r="Q154" i="15"/>
  <c r="Q133" i="15"/>
  <c r="Q102" i="15"/>
  <c r="Q39" i="15"/>
  <c r="Q56" i="15"/>
  <c r="Q119" i="15"/>
  <c r="Q90" i="15"/>
  <c r="Q25" i="15"/>
  <c r="Q10" i="15"/>
  <c r="Q42" i="15"/>
  <c r="Q107" i="15"/>
  <c r="Q139" i="15"/>
  <c r="Q29" i="15"/>
  <c r="Q61" i="15"/>
  <c r="Q125" i="15"/>
  <c r="Q49" i="15"/>
  <c r="Q87" i="15"/>
  <c r="Q44" i="15"/>
  <c r="Q108" i="15"/>
  <c r="Q156" i="15"/>
  <c r="Q13" i="15"/>
  <c r="Q93" i="15"/>
  <c r="Q97" i="15"/>
  <c r="Q103" i="15"/>
  <c r="Q136" i="15"/>
  <c r="Q14" i="15"/>
  <c r="Q78" i="15"/>
  <c r="Q142" i="15"/>
  <c r="Q113" i="15"/>
  <c r="Q15" i="15"/>
  <c r="Q31" i="15"/>
  <c r="Q47" i="15"/>
  <c r="Q79" i="15"/>
  <c r="Q32" i="15"/>
  <c r="Q112" i="15"/>
  <c r="Q17" i="15"/>
  <c r="Q81" i="15"/>
  <c r="Q34" i="15"/>
  <c r="Q50" i="15"/>
  <c r="Q66" i="15"/>
  <c r="Q82" i="15"/>
  <c r="Q162" i="15"/>
  <c r="Q35" i="15"/>
  <c r="Q99" i="15"/>
  <c r="Q115" i="15"/>
  <c r="Q23" i="15"/>
  <c r="Q237" i="14"/>
  <c r="P237" i="14"/>
  <c r="P217" i="14"/>
  <c r="Q217" i="14"/>
  <c r="P153" i="14"/>
  <c r="Q153" i="14"/>
  <c r="P213" i="14"/>
  <c r="Q213" i="14"/>
  <c r="P7" i="14"/>
  <c r="Q7" i="14"/>
  <c r="P241" i="14"/>
  <c r="Q241" i="14"/>
  <c r="P209" i="14"/>
  <c r="Q209" i="14"/>
  <c r="Q93" i="14"/>
  <c r="P93" i="14"/>
  <c r="Q238" i="14"/>
  <c r="P238" i="14"/>
  <c r="P223" i="14"/>
  <c r="Q223" i="14"/>
  <c r="Q194" i="14"/>
  <c r="P194" i="14"/>
  <c r="Q165" i="14"/>
  <c r="P165" i="14"/>
  <c r="P150" i="14"/>
  <c r="Q150" i="14"/>
  <c r="P134" i="14"/>
  <c r="Q134" i="14"/>
  <c r="P118" i="14"/>
  <c r="Q118" i="14"/>
  <c r="P102" i="14"/>
  <c r="Q102" i="14"/>
  <c r="P87" i="14"/>
  <c r="Q87" i="14"/>
  <c r="P71" i="14"/>
  <c r="Q71" i="14"/>
  <c r="P55" i="14"/>
  <c r="Q55" i="14"/>
  <c r="P40" i="14"/>
  <c r="Q40" i="14"/>
  <c r="P24" i="14"/>
  <c r="Q24" i="14"/>
  <c r="P8" i="14"/>
  <c r="Q8" i="14"/>
  <c r="Q222" i="14"/>
  <c r="P222" i="14"/>
  <c r="Q193" i="14"/>
  <c r="P193" i="14"/>
  <c r="Q180" i="14"/>
  <c r="P180" i="14"/>
  <c r="P164" i="14"/>
  <c r="Q164" i="14"/>
  <c r="Q149" i="14"/>
  <c r="P149" i="14"/>
  <c r="Q133" i="14"/>
  <c r="P133" i="14"/>
  <c r="Q117" i="14"/>
  <c r="P117" i="14"/>
  <c r="Q101" i="14"/>
  <c r="P101" i="14"/>
  <c r="P86" i="14"/>
  <c r="Q86" i="14"/>
  <c r="P70" i="14"/>
  <c r="Q70" i="14"/>
  <c r="P54" i="14"/>
  <c r="Q54" i="14"/>
  <c r="P39" i="14"/>
  <c r="Q39" i="14"/>
  <c r="P23" i="14"/>
  <c r="Q23" i="14"/>
  <c r="Q221" i="14"/>
  <c r="P221" i="14"/>
  <c r="Q208" i="14"/>
  <c r="P208" i="14"/>
  <c r="P192" i="14"/>
  <c r="Q192" i="14"/>
  <c r="P179" i="14"/>
  <c r="Q179" i="14"/>
  <c r="P163" i="14"/>
  <c r="Q163" i="14"/>
  <c r="P148" i="14"/>
  <c r="Q148" i="14"/>
  <c r="P132" i="14"/>
  <c r="Q132" i="14"/>
  <c r="Q116" i="14"/>
  <c r="P116" i="14"/>
  <c r="P100" i="14"/>
  <c r="Q100" i="14"/>
  <c r="Q85" i="14"/>
  <c r="P85" i="14"/>
  <c r="P69" i="14"/>
  <c r="Q69" i="14"/>
  <c r="P53" i="14"/>
  <c r="Q53" i="14"/>
  <c r="P38" i="14"/>
  <c r="Q38" i="14"/>
  <c r="P22" i="14"/>
  <c r="Q22" i="14"/>
  <c r="P236" i="14"/>
  <c r="Q236" i="14"/>
  <c r="P220" i="14"/>
  <c r="Q220" i="14"/>
  <c r="P207" i="14"/>
  <c r="Q207" i="14"/>
  <c r="P191" i="14"/>
  <c r="Q191" i="14"/>
  <c r="P178" i="14"/>
  <c r="Q178" i="14"/>
  <c r="P162" i="14"/>
  <c r="Q162" i="14"/>
  <c r="P147" i="14"/>
  <c r="Q147" i="14"/>
  <c r="Q131" i="14"/>
  <c r="P131" i="14"/>
  <c r="P115" i="14"/>
  <c r="Q115" i="14"/>
  <c r="P99" i="14"/>
  <c r="Q99" i="14"/>
  <c r="P84" i="14"/>
  <c r="Q84" i="14"/>
  <c r="P68" i="14"/>
  <c r="Q68" i="14"/>
  <c r="P52" i="14"/>
  <c r="Q52" i="14"/>
  <c r="P37" i="14"/>
  <c r="Q37" i="14"/>
  <c r="P21" i="14"/>
  <c r="Q21" i="14"/>
  <c r="P6" i="14"/>
  <c r="Q6" i="14"/>
  <c r="P235" i="14"/>
  <c r="Q235" i="14"/>
  <c r="P219" i="14"/>
  <c r="Q219" i="14"/>
  <c r="Q206" i="14"/>
  <c r="P206" i="14"/>
  <c r="Q190" i="14"/>
  <c r="P190" i="14"/>
  <c r="P177" i="14"/>
  <c r="Q177" i="14"/>
  <c r="P161" i="14"/>
  <c r="Q161" i="14"/>
  <c r="Q146" i="14"/>
  <c r="P146" i="14"/>
  <c r="P130" i="14"/>
  <c r="Q130" i="14"/>
  <c r="P114" i="14"/>
  <c r="Q114" i="14"/>
  <c r="Q98" i="14"/>
  <c r="P98" i="14"/>
  <c r="Q83" i="14"/>
  <c r="P83" i="14"/>
  <c r="P67" i="14"/>
  <c r="Q67" i="14"/>
  <c r="P51" i="14"/>
  <c r="Q51" i="14"/>
  <c r="P36" i="14"/>
  <c r="Q36" i="14"/>
  <c r="P20" i="14"/>
  <c r="Q20" i="14"/>
  <c r="P5" i="14"/>
  <c r="Q5" i="14"/>
  <c r="P234" i="14"/>
  <c r="Q234" i="14"/>
  <c r="Q218" i="14"/>
  <c r="P218" i="14"/>
  <c r="Q205" i="14"/>
  <c r="P205" i="14"/>
  <c r="Q189" i="14"/>
  <c r="P189" i="14"/>
  <c r="P176" i="14"/>
  <c r="Q176" i="14"/>
  <c r="P160" i="14"/>
  <c r="Q160" i="14"/>
  <c r="Q145" i="14"/>
  <c r="P145" i="14"/>
  <c r="Q129" i="14"/>
  <c r="P129" i="14"/>
  <c r="P113" i="14"/>
  <c r="Q113" i="14"/>
  <c r="P97" i="14"/>
  <c r="Q97" i="14"/>
  <c r="P82" i="14"/>
  <c r="Q82" i="14"/>
  <c r="P66" i="14"/>
  <c r="Q66" i="14"/>
  <c r="Q50" i="14"/>
  <c r="P50" i="14"/>
  <c r="P35" i="14"/>
  <c r="Q35" i="14"/>
  <c r="P19" i="14"/>
  <c r="Q19" i="14"/>
  <c r="P233" i="14"/>
  <c r="Q233" i="14"/>
  <c r="P204" i="14"/>
  <c r="Q204" i="14"/>
  <c r="P175" i="14"/>
  <c r="Q175" i="14"/>
  <c r="P159" i="14"/>
  <c r="Q159" i="14"/>
  <c r="Q144" i="14"/>
  <c r="P144" i="14"/>
  <c r="P128" i="14"/>
  <c r="Q128" i="14"/>
  <c r="P112" i="14"/>
  <c r="Q112" i="14"/>
  <c r="Q96" i="14"/>
  <c r="P96" i="14"/>
  <c r="Q81" i="14"/>
  <c r="P81" i="14"/>
  <c r="P65" i="14"/>
  <c r="Q65" i="14"/>
  <c r="Q49" i="14"/>
  <c r="P49" i="14"/>
  <c r="P34" i="14"/>
  <c r="Q34" i="14"/>
  <c r="P18" i="14"/>
  <c r="Q18" i="14"/>
  <c r="P232" i="14"/>
  <c r="Q232" i="14"/>
  <c r="P203" i="14"/>
  <c r="Q203" i="14"/>
  <c r="P188" i="14"/>
  <c r="Q188" i="14"/>
  <c r="Q174" i="14"/>
  <c r="P174" i="14"/>
  <c r="Q158" i="14"/>
  <c r="P158" i="14"/>
  <c r="P143" i="14"/>
  <c r="Q143" i="14"/>
  <c r="P127" i="14"/>
  <c r="Q127" i="14"/>
  <c r="P111" i="14"/>
  <c r="Q111" i="14"/>
  <c r="P95" i="14"/>
  <c r="Q95" i="14"/>
  <c r="P80" i="14"/>
  <c r="Q80" i="14"/>
  <c r="P64" i="14"/>
  <c r="Q64" i="14"/>
  <c r="Q48" i="14"/>
  <c r="P48" i="14"/>
  <c r="P33" i="14"/>
  <c r="Q33" i="14"/>
  <c r="P17" i="14"/>
  <c r="Q17" i="14"/>
  <c r="P231" i="14"/>
  <c r="Q231" i="14"/>
  <c r="P216" i="14"/>
  <c r="Q216" i="14"/>
  <c r="P202" i="14"/>
  <c r="Q202" i="14"/>
  <c r="P187" i="14"/>
  <c r="Q187" i="14"/>
  <c r="Q173" i="14"/>
  <c r="P173" i="14"/>
  <c r="Q157" i="14"/>
  <c r="P157" i="14"/>
  <c r="Q142" i="14"/>
  <c r="P142" i="14"/>
  <c r="Q126" i="14"/>
  <c r="P126" i="14"/>
  <c r="Q110" i="14"/>
  <c r="P110" i="14"/>
  <c r="Q94" i="14"/>
  <c r="P94" i="14"/>
  <c r="P79" i="14"/>
  <c r="Q79" i="14"/>
  <c r="P63" i="14"/>
  <c r="Q63" i="14"/>
  <c r="P47" i="14"/>
  <c r="Q47" i="14"/>
  <c r="P32" i="14"/>
  <c r="Q32" i="14"/>
  <c r="Q16" i="14"/>
  <c r="P16" i="14"/>
  <c r="P230" i="14"/>
  <c r="Q230" i="14"/>
  <c r="P215" i="14"/>
  <c r="Q215" i="14"/>
  <c r="P201" i="14"/>
  <c r="Q201" i="14"/>
  <c r="P186" i="14"/>
  <c r="Q186" i="14"/>
  <c r="P172" i="14"/>
  <c r="Q172" i="14"/>
  <c r="P156" i="14"/>
  <c r="Q156" i="14"/>
  <c r="Q141" i="14"/>
  <c r="P141" i="14"/>
  <c r="Q125" i="14"/>
  <c r="P125" i="14"/>
  <c r="Q109" i="14"/>
  <c r="P109" i="14"/>
  <c r="Q78" i="14"/>
  <c r="P78" i="14"/>
  <c r="Q62" i="14"/>
  <c r="P62" i="14"/>
  <c r="Q46" i="14"/>
  <c r="P46" i="14"/>
  <c r="P31" i="14"/>
  <c r="Q31" i="14"/>
  <c r="P15" i="14"/>
  <c r="Q15" i="14"/>
  <c r="Q229" i="14"/>
  <c r="P229" i="14"/>
  <c r="P214" i="14"/>
  <c r="Q214" i="14"/>
  <c r="P200" i="14"/>
  <c r="Q200" i="14"/>
  <c r="P185" i="14"/>
  <c r="Q185" i="14"/>
  <c r="P171" i="14"/>
  <c r="Q171" i="14"/>
  <c r="P155" i="14"/>
  <c r="Q155" i="14"/>
  <c r="P140" i="14"/>
  <c r="Q140" i="14"/>
  <c r="P124" i="14"/>
  <c r="Q124" i="14"/>
  <c r="P108" i="14"/>
  <c r="Q108" i="14"/>
  <c r="Q77" i="14"/>
  <c r="P77" i="14"/>
  <c r="Q61" i="14"/>
  <c r="P61" i="14"/>
  <c r="Q45" i="14"/>
  <c r="P45" i="14"/>
  <c r="Q30" i="14"/>
  <c r="P30" i="14"/>
  <c r="Q14" i="14"/>
  <c r="P14" i="14"/>
  <c r="P242" i="14"/>
  <c r="Q242" i="14"/>
  <c r="P228" i="14"/>
  <c r="Q228" i="14"/>
  <c r="P199" i="14"/>
  <c r="Q199" i="14"/>
  <c r="Q170" i="14"/>
  <c r="P170" i="14"/>
  <c r="Q154" i="14"/>
  <c r="P154" i="14"/>
  <c r="P139" i="14"/>
  <c r="Q139" i="14"/>
  <c r="P123" i="14"/>
  <c r="Q123" i="14"/>
  <c r="P107" i="14"/>
  <c r="Q107" i="14"/>
  <c r="P92" i="14"/>
  <c r="Q92" i="14"/>
  <c r="P76" i="14"/>
  <c r="Q76" i="14"/>
  <c r="P60" i="14"/>
  <c r="Q60" i="14"/>
  <c r="Q29" i="14"/>
  <c r="P29" i="14"/>
  <c r="Q13" i="14"/>
  <c r="P13" i="14"/>
  <c r="Q227" i="14"/>
  <c r="P227" i="14"/>
  <c r="P198" i="14"/>
  <c r="Q198" i="14"/>
  <c r="P184" i="14"/>
  <c r="Q184" i="14"/>
  <c r="P169" i="14"/>
  <c r="Q169" i="14"/>
  <c r="Q138" i="14"/>
  <c r="P138" i="14"/>
  <c r="P122" i="14"/>
  <c r="Q122" i="14"/>
  <c r="P106" i="14"/>
  <c r="Q106" i="14"/>
  <c r="P91" i="14"/>
  <c r="Q91" i="14"/>
  <c r="P75" i="14"/>
  <c r="Q75" i="14"/>
  <c r="P59" i="14"/>
  <c r="Q59" i="14"/>
  <c r="P44" i="14"/>
  <c r="Q44" i="14"/>
  <c r="P28" i="14"/>
  <c r="Q28" i="14"/>
  <c r="P12" i="14"/>
  <c r="Q12" i="14"/>
  <c r="P226" i="14"/>
  <c r="Q226" i="14"/>
  <c r="P212" i="14"/>
  <c r="Q212" i="14"/>
  <c r="Q197" i="14"/>
  <c r="P197" i="14"/>
  <c r="P183" i="14"/>
  <c r="Q183" i="14"/>
  <c r="P168" i="14"/>
  <c r="Q168" i="14"/>
  <c r="P137" i="14"/>
  <c r="Q137" i="14"/>
  <c r="P121" i="14"/>
  <c r="Q121" i="14"/>
  <c r="P105" i="14"/>
  <c r="Q105" i="14"/>
  <c r="P90" i="14"/>
  <c r="Q90" i="14"/>
  <c r="P74" i="14"/>
  <c r="Q74" i="14"/>
  <c r="P58" i="14"/>
  <c r="Q58" i="14"/>
  <c r="P43" i="14"/>
  <c r="Q43" i="14"/>
  <c r="P27" i="14"/>
  <c r="Q27" i="14"/>
  <c r="P11" i="14"/>
  <c r="Q11" i="14"/>
  <c r="P240" i="14"/>
  <c r="Q240" i="14"/>
  <c r="P225" i="14"/>
  <c r="Q225" i="14"/>
  <c r="P211" i="14"/>
  <c r="Q211" i="14"/>
  <c r="P196" i="14"/>
  <c r="Q196" i="14"/>
  <c r="P182" i="14"/>
  <c r="Q182" i="14"/>
  <c r="P167" i="14"/>
  <c r="Q167" i="14"/>
  <c r="P152" i="14"/>
  <c r="Q152" i="14"/>
  <c r="P136" i="14"/>
  <c r="Q136" i="14"/>
  <c r="P120" i="14"/>
  <c r="Q120" i="14"/>
  <c r="P104" i="14"/>
  <c r="Q104" i="14"/>
  <c r="P89" i="14"/>
  <c r="Q89" i="14"/>
  <c r="P73" i="14"/>
  <c r="Q73" i="14"/>
  <c r="P57" i="14"/>
  <c r="Q57" i="14"/>
  <c r="P42" i="14"/>
  <c r="Q42" i="14"/>
  <c r="P26" i="14"/>
  <c r="Q26" i="14"/>
  <c r="P10" i="14"/>
  <c r="Q10" i="14"/>
  <c r="P239" i="14"/>
  <c r="Q239" i="14"/>
  <c r="P224" i="14"/>
  <c r="Q224" i="14"/>
  <c r="P210" i="14"/>
  <c r="Q210" i="14"/>
  <c r="P195" i="14"/>
  <c r="Q195" i="14"/>
  <c r="P181" i="14"/>
  <c r="Q181" i="14"/>
  <c r="P166" i="14"/>
  <c r="Q166" i="14"/>
  <c r="P151" i="14"/>
  <c r="Q151" i="14"/>
  <c r="P135" i="14"/>
  <c r="Q135" i="14"/>
  <c r="P119" i="14"/>
  <c r="Q119" i="14"/>
  <c r="P103" i="14"/>
  <c r="Q103" i="14"/>
  <c r="P88" i="14"/>
  <c r="Q88" i="14"/>
  <c r="P72" i="14"/>
  <c r="Q72" i="14"/>
  <c r="P56" i="14"/>
  <c r="Q56" i="14"/>
  <c r="P41" i="14"/>
  <c r="Q41" i="14"/>
  <c r="P25" i="14"/>
  <c r="Q25" i="14"/>
  <c r="P9" i="14"/>
  <c r="Q9" i="14"/>
  <c r="X188" i="14"/>
  <c r="V211" i="14"/>
  <c r="X221" i="14"/>
  <c r="AD187" i="14"/>
  <c r="X223" i="14"/>
  <c r="AD223" i="14"/>
  <c r="O223" i="14"/>
  <c r="V223" i="14"/>
  <c r="X175" i="14"/>
  <c r="AD175" i="14"/>
  <c r="V175" i="14"/>
  <c r="O175" i="14"/>
  <c r="X119" i="14"/>
  <c r="AD119" i="14"/>
  <c r="V119" i="14"/>
  <c r="X71" i="14"/>
  <c r="AD71" i="14"/>
  <c r="O71" i="14"/>
  <c r="V71" i="14"/>
  <c r="X23" i="14"/>
  <c r="AD23" i="14"/>
  <c r="V23" i="14"/>
  <c r="O23" i="14"/>
  <c r="AD242" i="14"/>
  <c r="V242" i="14"/>
  <c r="X242" i="14"/>
  <c r="O242" i="14"/>
  <c r="AD218" i="14"/>
  <c r="V218" i="14"/>
  <c r="X218" i="14"/>
  <c r="O218" i="14"/>
  <c r="AD202" i="14"/>
  <c r="V202" i="14"/>
  <c r="O202" i="14"/>
  <c r="AD178" i="14"/>
  <c r="V178" i="14"/>
  <c r="X178" i="14"/>
  <c r="O178" i="14"/>
  <c r="AD154" i="14"/>
  <c r="V154" i="14"/>
  <c r="X154" i="14"/>
  <c r="O154" i="14"/>
  <c r="AD130" i="14"/>
  <c r="X130" i="14"/>
  <c r="V130" i="14"/>
  <c r="AD98" i="14"/>
  <c r="X98" i="14"/>
  <c r="V98" i="14"/>
  <c r="X241" i="14"/>
  <c r="AD241" i="14"/>
  <c r="X225" i="14"/>
  <c r="AD225" i="14"/>
  <c r="V225" i="14"/>
  <c r="X209" i="14"/>
  <c r="AD209" i="14"/>
  <c r="V209" i="14"/>
  <c r="V193" i="14"/>
  <c r="X193" i="14"/>
  <c r="AD193" i="14"/>
  <c r="V177" i="14"/>
  <c r="X177" i="14"/>
  <c r="AD177" i="14"/>
  <c r="V161" i="14"/>
  <c r="X161" i="14"/>
  <c r="AD161" i="14"/>
  <c r="O161" i="14"/>
  <c r="V153" i="14"/>
  <c r="X153" i="14"/>
  <c r="AD153" i="14"/>
  <c r="O153" i="14"/>
  <c r="V145" i="14"/>
  <c r="X145" i="14"/>
  <c r="AD145" i="14"/>
  <c r="V137" i="14"/>
  <c r="X137" i="14"/>
  <c r="O137" i="14"/>
  <c r="V129" i="14"/>
  <c r="X129" i="14"/>
  <c r="AD129" i="14"/>
  <c r="O129" i="14"/>
  <c r="V121" i="14"/>
  <c r="X121" i="14"/>
  <c r="AD121" i="14"/>
  <c r="O121" i="14"/>
  <c r="V113" i="14"/>
  <c r="X113" i="14"/>
  <c r="AD113" i="14"/>
  <c r="V105" i="14"/>
  <c r="X105" i="14"/>
  <c r="AD105" i="14"/>
  <c r="O105" i="14"/>
  <c r="V97" i="14"/>
  <c r="X97" i="14"/>
  <c r="AD97" i="14"/>
  <c r="O97" i="14"/>
  <c r="V89" i="14"/>
  <c r="X89" i="14"/>
  <c r="AD89" i="14"/>
  <c r="O89" i="14"/>
  <c r="V81" i="14"/>
  <c r="X81" i="14"/>
  <c r="V73" i="14"/>
  <c r="X73" i="14"/>
  <c r="O73" i="14"/>
  <c r="AD73" i="14"/>
  <c r="V65" i="14"/>
  <c r="X65" i="14"/>
  <c r="AD65" i="14"/>
  <c r="O65" i="14"/>
  <c r="V57" i="14"/>
  <c r="X57" i="14"/>
  <c r="AD57" i="14"/>
  <c r="O57" i="14"/>
  <c r="V49" i="14"/>
  <c r="X49" i="14"/>
  <c r="AD49" i="14"/>
  <c r="O49" i="14"/>
  <c r="V41" i="14"/>
  <c r="X41" i="14"/>
  <c r="AD41" i="14"/>
  <c r="O41" i="14"/>
  <c r="V33" i="14"/>
  <c r="X33" i="14"/>
  <c r="AD33" i="14"/>
  <c r="O33" i="14"/>
  <c r="V25" i="14"/>
  <c r="X25" i="14"/>
  <c r="AD25" i="14"/>
  <c r="V17" i="14"/>
  <c r="X17" i="14"/>
  <c r="AD17" i="14"/>
  <c r="V9" i="14"/>
  <c r="X9" i="14"/>
  <c r="O9" i="14"/>
  <c r="AD9" i="14"/>
  <c r="O130" i="14"/>
  <c r="X29" i="14"/>
  <c r="X191" i="14"/>
  <c r="AD191" i="14"/>
  <c r="V191" i="14"/>
  <c r="O191" i="14"/>
  <c r="X135" i="14"/>
  <c r="AD135" i="14"/>
  <c r="O135" i="14"/>
  <c r="X63" i="14"/>
  <c r="AD63" i="14"/>
  <c r="V63" i="14"/>
  <c r="X7" i="14"/>
  <c r="AD7" i="14"/>
  <c r="V7" i="14"/>
  <c r="O7" i="14"/>
  <c r="AD226" i="14"/>
  <c r="X226" i="14"/>
  <c r="V226" i="14"/>
  <c r="AD194" i="14"/>
  <c r="X194" i="14"/>
  <c r="V194" i="14"/>
  <c r="AD170" i="14"/>
  <c r="V170" i="14"/>
  <c r="O170" i="14"/>
  <c r="AD146" i="14"/>
  <c r="V146" i="14"/>
  <c r="X146" i="14"/>
  <c r="O146" i="14"/>
  <c r="AD122" i="14"/>
  <c r="X122" i="14"/>
  <c r="V122" i="14"/>
  <c r="O122" i="14"/>
  <c r="AD106" i="14"/>
  <c r="V106" i="14"/>
  <c r="O106" i="14"/>
  <c r="X106" i="14"/>
  <c r="AD82" i="14"/>
  <c r="V82" i="14"/>
  <c r="X82" i="14"/>
  <c r="O82" i="14"/>
  <c r="X233" i="14"/>
  <c r="AD233" i="14"/>
  <c r="V233" i="14"/>
  <c r="X217" i="14"/>
  <c r="AD217" i="14"/>
  <c r="O217" i="14"/>
  <c r="V217" i="14"/>
  <c r="X201" i="14"/>
  <c r="V201" i="14"/>
  <c r="AD201" i="14"/>
  <c r="V185" i="14"/>
  <c r="X185" i="14"/>
  <c r="AD185" i="14"/>
  <c r="O185" i="14"/>
  <c r="V169" i="14"/>
  <c r="X169" i="14"/>
  <c r="AD169" i="14"/>
  <c r="AD240" i="14"/>
  <c r="O240" i="14"/>
  <c r="V240" i="14"/>
  <c r="X240" i="14"/>
  <c r="AD232" i="14"/>
  <c r="X232" i="14"/>
  <c r="O232" i="14"/>
  <c r="V232" i="14"/>
  <c r="AD224" i="14"/>
  <c r="X224" i="14"/>
  <c r="O224" i="14"/>
  <c r="X216" i="14"/>
  <c r="AD216" i="14"/>
  <c r="O216" i="14"/>
  <c r="AD208" i="14"/>
  <c r="O208" i="14"/>
  <c r="V208" i="14"/>
  <c r="X208" i="14"/>
  <c r="X200" i="14"/>
  <c r="AD200" i="14"/>
  <c r="O200" i="14"/>
  <c r="V192" i="14"/>
  <c r="AD192" i="14"/>
  <c r="X192" i="14"/>
  <c r="O192" i="14"/>
  <c r="V184" i="14"/>
  <c r="AD184" i="14"/>
  <c r="O184" i="14"/>
  <c r="X184" i="14"/>
  <c r="V176" i="14"/>
  <c r="AD176" i="14"/>
  <c r="O176" i="14"/>
  <c r="X176" i="14"/>
  <c r="V168" i="14"/>
  <c r="AD168" i="14"/>
  <c r="X168" i="14"/>
  <c r="O168" i="14"/>
  <c r="V160" i="14"/>
  <c r="AD160" i="14"/>
  <c r="X160" i="14"/>
  <c r="O160" i="14"/>
  <c r="V152" i="14"/>
  <c r="X152" i="14"/>
  <c r="AD152" i="14"/>
  <c r="O152" i="14"/>
  <c r="V144" i="14"/>
  <c r="AD144" i="14"/>
  <c r="O144" i="14"/>
  <c r="X144" i="14"/>
  <c r="V136" i="14"/>
  <c r="X136" i="14"/>
  <c r="O136" i="14"/>
  <c r="AD136" i="14"/>
  <c r="V128" i="14"/>
  <c r="AD128" i="14"/>
  <c r="X128" i="14"/>
  <c r="O128" i="14"/>
  <c r="V120" i="14"/>
  <c r="AD120" i="14"/>
  <c r="O120" i="14"/>
  <c r="X120" i="14"/>
  <c r="V112" i="14"/>
  <c r="AD112" i="14"/>
  <c r="O112" i="14"/>
  <c r="X112" i="14"/>
  <c r="V104" i="14"/>
  <c r="X104" i="14"/>
  <c r="O104" i="14"/>
  <c r="AD104" i="14"/>
  <c r="V96" i="14"/>
  <c r="X96" i="14"/>
  <c r="O96" i="14"/>
  <c r="AD96" i="14"/>
  <c r="V88" i="14"/>
  <c r="X88" i="14"/>
  <c r="AD88" i="14"/>
  <c r="O88" i="14"/>
  <c r="V80" i="14"/>
  <c r="AD80" i="14"/>
  <c r="O80" i="14"/>
  <c r="X80" i="14"/>
  <c r="V72" i="14"/>
  <c r="X72" i="14"/>
  <c r="O72" i="14"/>
  <c r="AD72" i="14"/>
  <c r="V64" i="14"/>
  <c r="AD64" i="14"/>
  <c r="X64" i="14"/>
  <c r="O64" i="14"/>
  <c r="V56" i="14"/>
  <c r="AD56" i="14"/>
  <c r="O56" i="14"/>
  <c r="X56" i="14"/>
  <c r="V48" i="14"/>
  <c r="AD48" i="14"/>
  <c r="O48" i="14"/>
  <c r="X48" i="14"/>
  <c r="V40" i="14"/>
  <c r="X40" i="14"/>
  <c r="O40" i="14"/>
  <c r="AD40" i="14"/>
  <c r="V32" i="14"/>
  <c r="X32" i="14"/>
  <c r="O32" i="14"/>
  <c r="AD32" i="14"/>
  <c r="V24" i="14"/>
  <c r="X24" i="14"/>
  <c r="AD24" i="14"/>
  <c r="O24" i="14"/>
  <c r="V16" i="14"/>
  <c r="AD16" i="14"/>
  <c r="O16" i="14"/>
  <c r="X16" i="14"/>
  <c r="V8" i="14"/>
  <c r="X8" i="14"/>
  <c r="O8" i="14"/>
  <c r="AD8" i="14"/>
  <c r="O209" i="14"/>
  <c r="O81" i="14"/>
  <c r="V216" i="14"/>
  <c r="X202" i="14"/>
  <c r="X199" i="14"/>
  <c r="AD199" i="14"/>
  <c r="V199" i="14"/>
  <c r="O199" i="14"/>
  <c r="X151" i="14"/>
  <c r="AD151" i="14"/>
  <c r="V151" i="14"/>
  <c r="X87" i="14"/>
  <c r="AD87" i="14"/>
  <c r="V87" i="14"/>
  <c r="X31" i="14"/>
  <c r="AD31" i="14"/>
  <c r="V31" i="14"/>
  <c r="O31" i="14"/>
  <c r="X230" i="14"/>
  <c r="AD230" i="14"/>
  <c r="V230" i="14"/>
  <c r="X198" i="14"/>
  <c r="AD198" i="14"/>
  <c r="V198" i="14"/>
  <c r="X166" i="14"/>
  <c r="V166" i="14"/>
  <c r="AD166" i="14"/>
  <c r="X142" i="14"/>
  <c r="AD142" i="14"/>
  <c r="V142" i="14"/>
  <c r="O142" i="14"/>
  <c r="X134" i="14"/>
  <c r="AD134" i="14"/>
  <c r="V134" i="14"/>
  <c r="X126" i="14"/>
  <c r="V126" i="14"/>
  <c r="O126" i="14"/>
  <c r="AD126" i="14"/>
  <c r="X118" i="14"/>
  <c r="V118" i="14"/>
  <c r="O118" i="14"/>
  <c r="AD118" i="14"/>
  <c r="X110" i="14"/>
  <c r="AD110" i="14"/>
  <c r="V110" i="14"/>
  <c r="O110" i="14"/>
  <c r="X102" i="14"/>
  <c r="AD102" i="14"/>
  <c r="V102" i="14"/>
  <c r="X94" i="14"/>
  <c r="V94" i="14"/>
  <c r="O94" i="14"/>
  <c r="AD94" i="14"/>
  <c r="X86" i="14"/>
  <c r="AD86" i="14"/>
  <c r="O86" i="14"/>
  <c r="X78" i="14"/>
  <c r="AD78" i="14"/>
  <c r="O78" i="14"/>
  <c r="V78" i="14"/>
  <c r="X70" i="14"/>
  <c r="O70" i="14"/>
  <c r="AD70" i="14"/>
  <c r="V70" i="14"/>
  <c r="X62" i="14"/>
  <c r="V62" i="14"/>
  <c r="O62" i="14"/>
  <c r="AD62" i="14"/>
  <c r="X54" i="14"/>
  <c r="V54" i="14"/>
  <c r="O54" i="14"/>
  <c r="AD54" i="14"/>
  <c r="X46" i="14"/>
  <c r="O46" i="14"/>
  <c r="AD46" i="14"/>
  <c r="V46" i="14"/>
  <c r="X38" i="14"/>
  <c r="AD38" i="14"/>
  <c r="V38" i="14"/>
  <c r="O38" i="14"/>
  <c r="X30" i="14"/>
  <c r="O30" i="14"/>
  <c r="V30" i="14"/>
  <c r="X22" i="14"/>
  <c r="AD22" i="14"/>
  <c r="O22" i="14"/>
  <c r="V22" i="14"/>
  <c r="X14" i="14"/>
  <c r="AD14" i="14"/>
  <c r="O14" i="14"/>
  <c r="V14" i="14"/>
  <c r="X6" i="14"/>
  <c r="O6" i="14"/>
  <c r="AD6" i="14"/>
  <c r="V6" i="14"/>
  <c r="C9" i="4"/>
  <c r="O225" i="14"/>
  <c r="O113" i="14"/>
  <c r="O17" i="14"/>
  <c r="V200" i="14"/>
  <c r="X170" i="14"/>
  <c r="AD137" i="14"/>
  <c r="X231" i="14"/>
  <c r="AD231" i="14"/>
  <c r="V231" i="14"/>
  <c r="O231" i="14"/>
  <c r="X159" i="14"/>
  <c r="AD159" i="14"/>
  <c r="V159" i="14"/>
  <c r="O159" i="14"/>
  <c r="X103" i="14"/>
  <c r="AD103" i="14"/>
  <c r="V103" i="14"/>
  <c r="O103" i="14"/>
  <c r="X39" i="14"/>
  <c r="AD39" i="14"/>
  <c r="V39" i="14"/>
  <c r="O39" i="14"/>
  <c r="X238" i="14"/>
  <c r="V238" i="14"/>
  <c r="AD238" i="14"/>
  <c r="O238" i="14"/>
  <c r="X206" i="14"/>
  <c r="V206" i="14"/>
  <c r="AD206" i="14"/>
  <c r="O206" i="14"/>
  <c r="X174" i="14"/>
  <c r="AD174" i="14"/>
  <c r="O174" i="14"/>
  <c r="V174" i="14"/>
  <c r="AD237" i="14"/>
  <c r="X237" i="14"/>
  <c r="AD213" i="14"/>
  <c r="X213" i="14"/>
  <c r="O213" i="14"/>
  <c r="V213" i="14"/>
  <c r="AD205" i="14"/>
  <c r="V205" i="14"/>
  <c r="X205" i="14"/>
  <c r="AD197" i="14"/>
  <c r="X197" i="14"/>
  <c r="V197" i="14"/>
  <c r="O197" i="14"/>
  <c r="AD189" i="14"/>
  <c r="X189" i="14"/>
  <c r="O189" i="14"/>
  <c r="AD181" i="14"/>
  <c r="X181" i="14"/>
  <c r="V181" i="14"/>
  <c r="O181" i="14"/>
  <c r="AD173" i="14"/>
  <c r="X173" i="14"/>
  <c r="V173" i="14"/>
  <c r="AD165" i="14"/>
  <c r="V165" i="14"/>
  <c r="X165" i="14"/>
  <c r="O165" i="14"/>
  <c r="AD157" i="14"/>
  <c r="V157" i="14"/>
  <c r="X157" i="14"/>
  <c r="O157" i="14"/>
  <c r="AD149" i="14"/>
  <c r="V149" i="14"/>
  <c r="O149" i="14"/>
  <c r="X149" i="14"/>
  <c r="AD141" i="14"/>
  <c r="V141" i="14"/>
  <c r="X141" i="14"/>
  <c r="AD133" i="14"/>
  <c r="X133" i="14"/>
  <c r="V133" i="14"/>
  <c r="O133" i="14"/>
  <c r="AD125" i="14"/>
  <c r="X125" i="14"/>
  <c r="V125" i="14"/>
  <c r="O125" i="14"/>
  <c r="AD117" i="14"/>
  <c r="O117" i="14"/>
  <c r="X117" i="14"/>
  <c r="V117" i="14"/>
  <c r="AD109" i="14"/>
  <c r="X109" i="14"/>
  <c r="V109" i="14"/>
  <c r="AD101" i="14"/>
  <c r="V101" i="14"/>
  <c r="X101" i="14"/>
  <c r="O101" i="14"/>
  <c r="AD93" i="14"/>
  <c r="V93" i="14"/>
  <c r="X93" i="14"/>
  <c r="O93" i="14"/>
  <c r="AD85" i="14"/>
  <c r="O85" i="14"/>
  <c r="V85" i="14"/>
  <c r="X85" i="14"/>
  <c r="AD77" i="14"/>
  <c r="V77" i="14"/>
  <c r="X77" i="14"/>
  <c r="O77" i="14"/>
  <c r="AD69" i="14"/>
  <c r="X69" i="14"/>
  <c r="V69" i="14"/>
  <c r="O69" i="14"/>
  <c r="AD61" i="14"/>
  <c r="X61" i="14"/>
  <c r="O61" i="14"/>
  <c r="V61" i="14"/>
  <c r="AD53" i="14"/>
  <c r="X53" i="14"/>
  <c r="O53" i="14"/>
  <c r="AD45" i="14"/>
  <c r="X45" i="14"/>
  <c r="V45" i="14"/>
  <c r="O45" i="14"/>
  <c r="AD37" i="14"/>
  <c r="V37" i="14"/>
  <c r="X37" i="14"/>
  <c r="AD29" i="14"/>
  <c r="V29" i="14"/>
  <c r="AD21" i="14"/>
  <c r="O21" i="14"/>
  <c r="X21" i="14"/>
  <c r="AD13" i="14"/>
  <c r="V13" i="14"/>
  <c r="X13" i="14"/>
  <c r="O13" i="14"/>
  <c r="AD5" i="14"/>
  <c r="V5" i="14"/>
  <c r="X5" i="14"/>
  <c r="O5" i="14"/>
  <c r="O201" i="14"/>
  <c r="O151" i="14"/>
  <c r="O109" i="14"/>
  <c r="O63" i="14"/>
  <c r="V189" i="14"/>
  <c r="V53" i="14"/>
  <c r="AD81" i="14"/>
  <c r="X215" i="14"/>
  <c r="AD215" i="14"/>
  <c r="V215" i="14"/>
  <c r="X167" i="14"/>
  <c r="AD167" i="14"/>
  <c r="O167" i="14"/>
  <c r="X111" i="14"/>
  <c r="AD111" i="14"/>
  <c r="V111" i="14"/>
  <c r="O111" i="14"/>
  <c r="X55" i="14"/>
  <c r="AD55" i="14"/>
  <c r="V55" i="14"/>
  <c r="X222" i="14"/>
  <c r="V222" i="14"/>
  <c r="AD222" i="14"/>
  <c r="X190" i="14"/>
  <c r="V190" i="14"/>
  <c r="AD190" i="14"/>
  <c r="X158" i="14"/>
  <c r="V158" i="14"/>
  <c r="O158" i="14"/>
  <c r="AD158" i="14"/>
  <c r="AD229" i="14"/>
  <c r="X229" i="14"/>
  <c r="O229" i="14"/>
  <c r="AD236" i="14"/>
  <c r="X236" i="14"/>
  <c r="O236" i="14"/>
  <c r="V236" i="14"/>
  <c r="AD220" i="14"/>
  <c r="O220" i="14"/>
  <c r="V220" i="14"/>
  <c r="X220" i="14"/>
  <c r="AD204" i="14"/>
  <c r="O204" i="14"/>
  <c r="V204" i="14"/>
  <c r="X204" i="14"/>
  <c r="AD188" i="14"/>
  <c r="O188" i="14"/>
  <c r="V188" i="14"/>
  <c r="AD172" i="14"/>
  <c r="X172" i="14"/>
  <c r="O172" i="14"/>
  <c r="V172" i="14"/>
  <c r="AD148" i="14"/>
  <c r="X148" i="14"/>
  <c r="O148" i="14"/>
  <c r="V148" i="14"/>
  <c r="AD140" i="14"/>
  <c r="V140" i="14"/>
  <c r="O140" i="14"/>
  <c r="X140" i="14"/>
  <c r="AD132" i="14"/>
  <c r="O132" i="14"/>
  <c r="V132" i="14"/>
  <c r="AD124" i="14"/>
  <c r="O124" i="14"/>
  <c r="X124" i="14"/>
  <c r="AD116" i="14"/>
  <c r="V116" i="14"/>
  <c r="O116" i="14"/>
  <c r="X116" i="14"/>
  <c r="AD108" i="14"/>
  <c r="X108" i="14"/>
  <c r="O108" i="14"/>
  <c r="V108" i="14"/>
  <c r="AD100" i="14"/>
  <c r="O100" i="14"/>
  <c r="X100" i="14"/>
  <c r="AD92" i="14"/>
  <c r="O92" i="14"/>
  <c r="X92" i="14"/>
  <c r="V92" i="14"/>
  <c r="AD84" i="14"/>
  <c r="X84" i="14"/>
  <c r="O84" i="14"/>
  <c r="V84" i="14"/>
  <c r="AD76" i="14"/>
  <c r="V76" i="14"/>
  <c r="O76" i="14"/>
  <c r="X76" i="14"/>
  <c r="AD68" i="14"/>
  <c r="O68" i="14"/>
  <c r="V68" i="14"/>
  <c r="X68" i="14"/>
  <c r="AD60" i="14"/>
  <c r="O60" i="14"/>
  <c r="V60" i="14"/>
  <c r="X60" i="14"/>
  <c r="AD52" i="14"/>
  <c r="V52" i="14"/>
  <c r="O52" i="14"/>
  <c r="X52" i="14"/>
  <c r="AD44" i="14"/>
  <c r="X44" i="14"/>
  <c r="O44" i="14"/>
  <c r="V44" i="14"/>
  <c r="AD36" i="14"/>
  <c r="O36" i="14"/>
  <c r="X36" i="14"/>
  <c r="V36" i="14"/>
  <c r="AD28" i="14"/>
  <c r="O28" i="14"/>
  <c r="X28" i="14"/>
  <c r="V28" i="14"/>
  <c r="X20" i="14"/>
  <c r="AD20" i="14"/>
  <c r="O20" i="14"/>
  <c r="V20" i="14"/>
  <c r="X12" i="14"/>
  <c r="AD12" i="14"/>
  <c r="O12" i="14"/>
  <c r="O241" i="14"/>
  <c r="O198" i="14"/>
  <c r="O177" i="14"/>
  <c r="O145" i="14"/>
  <c r="O102" i="14"/>
  <c r="O55" i="14"/>
  <c r="V241" i="14"/>
  <c r="V167" i="14"/>
  <c r="X132" i="14"/>
  <c r="AD30" i="14"/>
  <c r="X239" i="14"/>
  <c r="AD239" i="14"/>
  <c r="V239" i="14"/>
  <c r="O239" i="14"/>
  <c r="X183" i="14"/>
  <c r="AD183" i="14"/>
  <c r="V183" i="14"/>
  <c r="X127" i="14"/>
  <c r="AD127" i="14"/>
  <c r="V127" i="14"/>
  <c r="O127" i="14"/>
  <c r="X79" i="14"/>
  <c r="AD79" i="14"/>
  <c r="V79" i="14"/>
  <c r="O79" i="14"/>
  <c r="X15" i="14"/>
  <c r="AD15" i="14"/>
  <c r="V15" i="14"/>
  <c r="O15" i="14"/>
  <c r="O183" i="14"/>
  <c r="O119" i="14"/>
  <c r="X214" i="14"/>
  <c r="AD214" i="14"/>
  <c r="V214" i="14"/>
  <c r="X182" i="14"/>
  <c r="AD182" i="14"/>
  <c r="V182" i="14"/>
  <c r="X150" i="14"/>
  <c r="AD150" i="14"/>
  <c r="V150" i="14"/>
  <c r="O150" i="14"/>
  <c r="AD221" i="14"/>
  <c r="V221" i="14"/>
  <c r="O221" i="14"/>
  <c r="AD228" i="14"/>
  <c r="O228" i="14"/>
  <c r="X228" i="14"/>
  <c r="V228" i="14"/>
  <c r="AD212" i="14"/>
  <c r="X212" i="14"/>
  <c r="O212" i="14"/>
  <c r="V212" i="14"/>
  <c r="AD196" i="14"/>
  <c r="O196" i="14"/>
  <c r="V196" i="14"/>
  <c r="X196" i="14"/>
  <c r="AD180" i="14"/>
  <c r="V180" i="14"/>
  <c r="O180" i="14"/>
  <c r="X180" i="14"/>
  <c r="AD164" i="14"/>
  <c r="O164" i="14"/>
  <c r="X164" i="14"/>
  <c r="V164" i="14"/>
  <c r="AD156" i="14"/>
  <c r="O156" i="14"/>
  <c r="V235" i="14"/>
  <c r="AD235" i="14"/>
  <c r="X227" i="14"/>
  <c r="O227" i="14"/>
  <c r="V227" i="14"/>
  <c r="X219" i="14"/>
  <c r="V219" i="14"/>
  <c r="AD219" i="14"/>
  <c r="X211" i="14"/>
  <c r="AD211" i="14"/>
  <c r="X203" i="14"/>
  <c r="AD203" i="14"/>
  <c r="V203" i="14"/>
  <c r="V195" i="14"/>
  <c r="AD195" i="14"/>
  <c r="X195" i="14"/>
  <c r="O195" i="14"/>
  <c r="V187" i="14"/>
  <c r="X187" i="14"/>
  <c r="V179" i="14"/>
  <c r="X179" i="14"/>
  <c r="AD179" i="14"/>
  <c r="V171" i="14"/>
  <c r="AD171" i="14"/>
  <c r="X171" i="14"/>
  <c r="V163" i="14"/>
  <c r="AD163" i="14"/>
  <c r="O163" i="14"/>
  <c r="X163" i="14"/>
  <c r="V155" i="14"/>
  <c r="X155" i="14"/>
  <c r="AD155" i="14"/>
  <c r="AD147" i="14"/>
  <c r="V147" i="14"/>
  <c r="X147" i="14"/>
  <c r="O147" i="14"/>
  <c r="AD139" i="14"/>
  <c r="V139" i="14"/>
  <c r="X139" i="14"/>
  <c r="O139" i="14"/>
  <c r="AD131" i="14"/>
  <c r="V131" i="14"/>
  <c r="O131" i="14"/>
  <c r="X131" i="14"/>
  <c r="AD123" i="14"/>
  <c r="V123" i="14"/>
  <c r="X123" i="14"/>
  <c r="AD115" i="14"/>
  <c r="V115" i="14"/>
  <c r="X115" i="14"/>
  <c r="O115" i="14"/>
  <c r="AD107" i="14"/>
  <c r="V107" i="14"/>
  <c r="X107" i="14"/>
  <c r="O107" i="14"/>
  <c r="AD99" i="14"/>
  <c r="V99" i="14"/>
  <c r="O99" i="14"/>
  <c r="AD91" i="14"/>
  <c r="V91" i="14"/>
  <c r="X91" i="14"/>
  <c r="AD83" i="14"/>
  <c r="V83" i="14"/>
  <c r="X83" i="14"/>
  <c r="O83" i="14"/>
  <c r="AD75" i="14"/>
  <c r="V75" i="14"/>
  <c r="X75" i="14"/>
  <c r="AD67" i="14"/>
  <c r="V67" i="14"/>
  <c r="AD59" i="14"/>
  <c r="V59" i="14"/>
  <c r="X59" i="14"/>
  <c r="O59" i="14"/>
  <c r="AD51" i="14"/>
  <c r="V51" i="14"/>
  <c r="X51" i="14"/>
  <c r="O51" i="14"/>
  <c r="AD43" i="14"/>
  <c r="V43" i="14"/>
  <c r="X43" i="14"/>
  <c r="O43" i="14"/>
  <c r="AD35" i="14"/>
  <c r="V35" i="14"/>
  <c r="O35" i="14"/>
  <c r="X35" i="14"/>
  <c r="AD27" i="14"/>
  <c r="V27" i="14"/>
  <c r="X27" i="14"/>
  <c r="O27" i="14"/>
  <c r="AD19" i="14"/>
  <c r="V19" i="14"/>
  <c r="X19" i="14"/>
  <c r="O19" i="14"/>
  <c r="AD11" i="14"/>
  <c r="V11" i="14"/>
  <c r="X11" i="14"/>
  <c r="O237" i="14"/>
  <c r="O215" i="14"/>
  <c r="O194" i="14"/>
  <c r="O173" i="14"/>
  <c r="O141" i="14"/>
  <c r="O98" i="14"/>
  <c r="V237" i="14"/>
  <c r="V156" i="14"/>
  <c r="V21" i="14"/>
  <c r="X99" i="14"/>
  <c r="X207" i="14"/>
  <c r="AD207" i="14"/>
  <c r="V207" i="14"/>
  <c r="O207" i="14"/>
  <c r="X143" i="14"/>
  <c r="AD143" i="14"/>
  <c r="V143" i="14"/>
  <c r="O143" i="14"/>
  <c r="X95" i="14"/>
  <c r="AD95" i="14"/>
  <c r="V95" i="14"/>
  <c r="O95" i="14"/>
  <c r="X47" i="14"/>
  <c r="AD47" i="14"/>
  <c r="O47" i="14"/>
  <c r="V47" i="14"/>
  <c r="AD234" i="14"/>
  <c r="V234" i="14"/>
  <c r="O234" i="14"/>
  <c r="X234" i="14"/>
  <c r="AD210" i="14"/>
  <c r="V210" i="14"/>
  <c r="X210" i="14"/>
  <c r="O210" i="14"/>
  <c r="AD186" i="14"/>
  <c r="X186" i="14"/>
  <c r="V186" i="14"/>
  <c r="O186" i="14"/>
  <c r="AD162" i="14"/>
  <c r="X162" i="14"/>
  <c r="V162" i="14"/>
  <c r="AD138" i="14"/>
  <c r="O138" i="14"/>
  <c r="X138" i="14"/>
  <c r="V138" i="14"/>
  <c r="AD114" i="14"/>
  <c r="V114" i="14"/>
  <c r="X114" i="14"/>
  <c r="O114" i="14"/>
  <c r="AD90" i="14"/>
  <c r="V90" i="14"/>
  <c r="X90" i="14"/>
  <c r="O90" i="14"/>
  <c r="AD74" i="14"/>
  <c r="X74" i="14"/>
  <c r="V74" i="14"/>
  <c r="O74" i="14"/>
  <c r="AD66" i="14"/>
  <c r="X66" i="14"/>
  <c r="O66" i="14"/>
  <c r="AD58" i="14"/>
  <c r="X58" i="14"/>
  <c r="V58" i="14"/>
  <c r="O58" i="14"/>
  <c r="AD50" i="14"/>
  <c r="V50" i="14"/>
  <c r="X50" i="14"/>
  <c r="AD42" i="14"/>
  <c r="V42" i="14"/>
  <c r="X42" i="14"/>
  <c r="AD34" i="14"/>
  <c r="X34" i="14"/>
  <c r="O34" i="14"/>
  <c r="AD26" i="14"/>
  <c r="V26" i="14"/>
  <c r="X26" i="14"/>
  <c r="O26" i="14"/>
  <c r="AD18" i="14"/>
  <c r="X18" i="14"/>
  <c r="V18" i="14"/>
  <c r="O18" i="14"/>
  <c r="AD10" i="14"/>
  <c r="X10" i="14"/>
  <c r="V10" i="14"/>
  <c r="O10" i="14"/>
  <c r="O235" i="14"/>
  <c r="O214" i="14"/>
  <c r="O193" i="14"/>
  <c r="O171" i="14"/>
  <c r="O134" i="14"/>
  <c r="O91" i="14"/>
  <c r="O42" i="14"/>
  <c r="V229" i="14"/>
  <c r="V135" i="14"/>
  <c r="X235" i="14"/>
  <c r="X67" i="14"/>
  <c r="N6" i="16" a="1"/>
  <c r="N6" i="16" s="1"/>
  <c r="N7" i="16" a="1"/>
  <c r="N7" i="16" s="1"/>
  <c r="N8" i="16" a="1"/>
  <c r="N8" i="16" s="1"/>
  <c r="N9" i="16" a="1"/>
  <c r="N9" i="16" s="1"/>
  <c r="N10" i="16" a="1"/>
  <c r="N10" i="16" s="1"/>
  <c r="N11" i="16" a="1"/>
  <c r="N11" i="16" s="1"/>
  <c r="N12" i="16" a="1"/>
  <c r="N12" i="16" s="1"/>
  <c r="N13" i="16" a="1"/>
  <c r="N13" i="16" s="1"/>
  <c r="N14" i="16" a="1"/>
  <c r="N14" i="16" s="1"/>
  <c r="N15" i="16" a="1"/>
  <c r="N15" i="16" s="1"/>
  <c r="N16" i="16" a="1"/>
  <c r="N16" i="16" s="1"/>
  <c r="N17" i="16" a="1"/>
  <c r="N17" i="16" s="1"/>
  <c r="N18" i="16" a="1"/>
  <c r="N18" i="16" s="1"/>
  <c r="N19" i="16" a="1"/>
  <c r="N19" i="16" s="1"/>
  <c r="N20" i="16" a="1"/>
  <c r="N20" i="16" s="1"/>
  <c r="N21" i="16" a="1"/>
  <c r="N21" i="16" s="1"/>
  <c r="N22" i="16" a="1"/>
  <c r="N22" i="16" s="1"/>
  <c r="N23" i="16" a="1"/>
  <c r="N23" i="16" s="1"/>
  <c r="N24" i="16" a="1"/>
  <c r="N24" i="16" s="1"/>
  <c r="N25" i="16" a="1"/>
  <c r="N25" i="16" s="1"/>
  <c r="N26" i="16" a="1"/>
  <c r="N26" i="16" s="1"/>
  <c r="N27" i="16" a="1"/>
  <c r="N27" i="16" s="1"/>
  <c r="N28" i="16" a="1"/>
  <c r="N28" i="16" s="1"/>
  <c r="N29" i="16" a="1"/>
  <c r="N29" i="16" s="1"/>
  <c r="L6" i="16" a="1"/>
  <c r="L6" i="16" s="1"/>
  <c r="Q6" i="16" s="1"/>
  <c r="L7" i="16" a="1"/>
  <c r="L7" i="16" s="1"/>
  <c r="Q7" i="16" s="1"/>
  <c r="L8" i="16" a="1"/>
  <c r="L8" i="16" s="1"/>
  <c r="Q8" i="16" s="1"/>
  <c r="L9" i="16" a="1"/>
  <c r="L9" i="16" s="1"/>
  <c r="Q9" i="16" s="1"/>
  <c r="L10" i="16" a="1"/>
  <c r="L10" i="16" s="1"/>
  <c r="Q10" i="16" s="1"/>
  <c r="L11" i="16" a="1"/>
  <c r="L11" i="16" s="1"/>
  <c r="Q11" i="16" s="1"/>
  <c r="L12" i="16" a="1"/>
  <c r="L12" i="16" s="1"/>
  <c r="Q12" i="16" s="1"/>
  <c r="L13" i="16" a="1"/>
  <c r="L13" i="16" s="1"/>
  <c r="Q13" i="16" s="1"/>
  <c r="L14" i="16" a="1"/>
  <c r="L14" i="16" s="1"/>
  <c r="Q14" i="16" s="1"/>
  <c r="L15" i="16" a="1"/>
  <c r="L15" i="16" s="1"/>
  <c r="Q15" i="16" s="1"/>
  <c r="L16" i="16" a="1"/>
  <c r="L16" i="16" s="1"/>
  <c r="Q16" i="16" s="1"/>
  <c r="L17" i="16" a="1"/>
  <c r="L17" i="16" s="1"/>
  <c r="Q17" i="16" s="1"/>
  <c r="L18" i="16" a="1"/>
  <c r="L18" i="16" s="1"/>
  <c r="Q18" i="16" s="1"/>
  <c r="L19" i="16" a="1"/>
  <c r="L19" i="16" s="1"/>
  <c r="Q19" i="16" s="1"/>
  <c r="L20" i="16" a="1"/>
  <c r="L20" i="16" s="1"/>
  <c r="Q20" i="16" s="1"/>
  <c r="L21" i="16" a="1"/>
  <c r="L21" i="16" s="1"/>
  <c r="Q21" i="16" s="1"/>
  <c r="L22" i="16" a="1"/>
  <c r="L22" i="16" s="1"/>
  <c r="Q22" i="16" s="1"/>
  <c r="L23" i="16" a="1"/>
  <c r="L23" i="16" s="1"/>
  <c r="Q23" i="16" s="1"/>
  <c r="L24" i="16" a="1"/>
  <c r="L24" i="16" s="1"/>
  <c r="Q24" i="16" s="1"/>
  <c r="L25" i="16" a="1"/>
  <c r="L25" i="16" s="1"/>
  <c r="Q25" i="16" s="1"/>
  <c r="L26" i="16" a="1"/>
  <c r="L26" i="16" s="1"/>
  <c r="Q26" i="16" s="1"/>
  <c r="L27" i="16" a="1"/>
  <c r="L27" i="16" s="1"/>
  <c r="Q27" i="16" s="1"/>
  <c r="L28" i="16" a="1"/>
  <c r="L28" i="16" s="1"/>
  <c r="Q28" i="16" s="1"/>
  <c r="L29" i="16" a="1"/>
  <c r="L29" i="16" s="1"/>
  <c r="Q29" i="16" s="1"/>
  <c r="K6" i="16" a="1"/>
  <c r="K6" i="16" s="1"/>
  <c r="K7" i="16" a="1"/>
  <c r="K7" i="16" s="1"/>
  <c r="K8" i="16" a="1"/>
  <c r="K8" i="16" s="1"/>
  <c r="K9" i="16" a="1"/>
  <c r="K9" i="16" s="1"/>
  <c r="K10" i="16" a="1"/>
  <c r="K10" i="16" s="1"/>
  <c r="K11" i="16" a="1"/>
  <c r="K11" i="16" s="1"/>
  <c r="K12" i="16" a="1"/>
  <c r="K12" i="16" s="1"/>
  <c r="K13" i="16" a="1"/>
  <c r="K13" i="16" s="1"/>
  <c r="K14" i="16" a="1"/>
  <c r="K14" i="16" s="1"/>
  <c r="K15" i="16" a="1"/>
  <c r="K15" i="16" s="1"/>
  <c r="K16" i="16" a="1"/>
  <c r="K16" i="16" s="1"/>
  <c r="K17" i="16" a="1"/>
  <c r="K17" i="16" s="1"/>
  <c r="K18" i="16" a="1"/>
  <c r="K18" i="16" s="1"/>
  <c r="K19" i="16" a="1"/>
  <c r="K19" i="16" s="1"/>
  <c r="K20" i="16" a="1"/>
  <c r="K20" i="16" s="1"/>
  <c r="K21" i="16" a="1"/>
  <c r="K21" i="16" s="1"/>
  <c r="K22" i="16" a="1"/>
  <c r="K22" i="16" s="1"/>
  <c r="K23" i="16" a="1"/>
  <c r="K23" i="16" s="1"/>
  <c r="K24" i="16" a="1"/>
  <c r="K24" i="16" s="1"/>
  <c r="K25" i="16" a="1"/>
  <c r="K25" i="16" s="1"/>
  <c r="K26" i="16" a="1"/>
  <c r="K26" i="16" s="1"/>
  <c r="K27" i="16" a="1"/>
  <c r="K27" i="16" s="1"/>
  <c r="K28" i="16" a="1"/>
  <c r="K28" i="16" s="1"/>
  <c r="K29" i="16" a="1"/>
  <c r="K29" i="16" s="1"/>
  <c r="J6" i="16" a="1"/>
  <c r="J6" i="16" s="1"/>
  <c r="J7" i="16" a="1"/>
  <c r="J7" i="16" s="1"/>
  <c r="J8" i="16" a="1"/>
  <c r="J8" i="16" s="1"/>
  <c r="J9" i="16" a="1"/>
  <c r="J9" i="16" s="1"/>
  <c r="J10" i="16" a="1"/>
  <c r="J10" i="16" s="1"/>
  <c r="J11" i="16" a="1"/>
  <c r="J11" i="16" s="1"/>
  <c r="J12" i="16" a="1"/>
  <c r="J12" i="16" s="1"/>
  <c r="J13" i="16" a="1"/>
  <c r="J13" i="16" s="1"/>
  <c r="J14" i="16" a="1"/>
  <c r="J14" i="16" s="1"/>
  <c r="J15" i="16" a="1"/>
  <c r="J15" i="16" s="1"/>
  <c r="J16" i="16" a="1"/>
  <c r="J16" i="16" s="1"/>
  <c r="S16" i="16" s="1"/>
  <c r="J17" i="16" a="1"/>
  <c r="J17" i="16" s="1"/>
  <c r="S17" i="16" s="1"/>
  <c r="J18" i="16" a="1"/>
  <c r="J18" i="16" s="1"/>
  <c r="S18" i="16" s="1"/>
  <c r="J19" i="16" a="1"/>
  <c r="J19" i="16" s="1"/>
  <c r="S19" i="16" s="1"/>
  <c r="J20" i="16" a="1"/>
  <c r="J20" i="16" s="1"/>
  <c r="S20" i="16" s="1"/>
  <c r="J21" i="16" a="1"/>
  <c r="J21" i="16" s="1"/>
  <c r="S21" i="16" s="1"/>
  <c r="J22" i="16" a="1"/>
  <c r="J22" i="16" s="1"/>
  <c r="S22" i="16" s="1"/>
  <c r="J23" i="16" a="1"/>
  <c r="J23" i="16" s="1"/>
  <c r="S23" i="16" s="1"/>
  <c r="J24" i="16" a="1"/>
  <c r="J24" i="16" s="1"/>
  <c r="S24" i="16" s="1"/>
  <c r="J25" i="16" a="1"/>
  <c r="J25" i="16" s="1"/>
  <c r="S25" i="16" s="1"/>
  <c r="J26" i="16" a="1"/>
  <c r="J26" i="16" s="1"/>
  <c r="S26" i="16" s="1"/>
  <c r="J27" i="16" a="1"/>
  <c r="J27" i="16" s="1"/>
  <c r="S27" i="16" s="1"/>
  <c r="J28" i="16" a="1"/>
  <c r="J28" i="16" s="1"/>
  <c r="S28" i="16" s="1"/>
  <c r="J29" i="16" a="1"/>
  <c r="J29" i="16" s="1"/>
  <c r="S29" i="16" s="1"/>
  <c r="I6" i="16" a="1"/>
  <c r="I6" i="16" s="1"/>
  <c r="D8" i="5" s="1"/>
  <c r="I7" i="16" a="1"/>
  <c r="I7" i="16" s="1"/>
  <c r="D9" i="5" s="1"/>
  <c r="I8" i="16" a="1"/>
  <c r="I8" i="16" s="1"/>
  <c r="D10" i="5" s="1"/>
  <c r="I9" i="16" a="1"/>
  <c r="I9" i="16" s="1"/>
  <c r="D11" i="5" s="1"/>
  <c r="I10" i="16" a="1"/>
  <c r="I10" i="16" s="1"/>
  <c r="D12" i="5" s="1"/>
  <c r="I11" i="16" a="1"/>
  <c r="I11" i="16" s="1"/>
  <c r="D13" i="5" s="1"/>
  <c r="I12" i="16" a="1"/>
  <c r="I12" i="16" s="1"/>
  <c r="D14" i="5" s="1"/>
  <c r="I13" i="16" a="1"/>
  <c r="I13" i="16" s="1"/>
  <c r="D15" i="5" s="1"/>
  <c r="I14" i="16" a="1"/>
  <c r="I14" i="16" s="1"/>
  <c r="D16" i="5" s="1"/>
  <c r="I15" i="16" a="1"/>
  <c r="I15" i="16" s="1"/>
  <c r="D17" i="5" s="1"/>
  <c r="I16" i="16" a="1"/>
  <c r="I16" i="16" s="1"/>
  <c r="I17" i="16" a="1"/>
  <c r="I17" i="16" s="1"/>
  <c r="I18" i="16" a="1"/>
  <c r="I18" i="16" s="1"/>
  <c r="I19" i="16" a="1"/>
  <c r="I19" i="16" s="1"/>
  <c r="I20" i="16" a="1"/>
  <c r="I20" i="16" s="1"/>
  <c r="I21" i="16" a="1"/>
  <c r="I21" i="16" s="1"/>
  <c r="I22" i="16" a="1"/>
  <c r="I22" i="16" s="1"/>
  <c r="I23" i="16" a="1"/>
  <c r="I23" i="16" s="1"/>
  <c r="I24" i="16" a="1"/>
  <c r="I24" i="16" s="1"/>
  <c r="I25" i="16" a="1"/>
  <c r="I25" i="16" s="1"/>
  <c r="I26" i="16" a="1"/>
  <c r="I26" i="16" s="1"/>
  <c r="I27" i="16" a="1"/>
  <c r="I27" i="16" s="1"/>
  <c r="I28" i="16" a="1"/>
  <c r="I28" i="16" s="1"/>
  <c r="I29" i="16" a="1"/>
  <c r="I29" i="16" s="1"/>
  <c r="G6" i="16" a="1"/>
  <c r="G6" i="16" s="1"/>
  <c r="R6" i="16" s="1"/>
  <c r="G7" i="16" a="1"/>
  <c r="G7" i="16" s="1"/>
  <c r="R7" i="16" s="1"/>
  <c r="G8" i="16" a="1"/>
  <c r="G8" i="16" s="1"/>
  <c r="R8" i="16" s="1"/>
  <c r="G9" i="16" a="1"/>
  <c r="G9" i="16" s="1"/>
  <c r="R9" i="16" s="1"/>
  <c r="R10" i="16"/>
  <c r="G11" i="16" a="1"/>
  <c r="G11" i="16" s="1"/>
  <c r="R11" i="16" s="1"/>
  <c r="G12" i="16" a="1"/>
  <c r="G12" i="16" s="1"/>
  <c r="R12" i="16" s="1"/>
  <c r="G13" i="16" a="1"/>
  <c r="G13" i="16" s="1"/>
  <c r="R13" i="16" s="1"/>
  <c r="G14" i="16" a="1"/>
  <c r="G14" i="16" s="1"/>
  <c r="R14" i="16" s="1"/>
  <c r="G15" i="16" a="1"/>
  <c r="G15" i="16" s="1"/>
  <c r="R15" i="16" s="1"/>
  <c r="G16" i="16" a="1"/>
  <c r="G16" i="16" s="1"/>
  <c r="R16" i="16" s="1"/>
  <c r="G17" i="16" a="1"/>
  <c r="G17" i="16" s="1"/>
  <c r="R17" i="16" s="1"/>
  <c r="G18" i="16" a="1"/>
  <c r="G18" i="16" s="1"/>
  <c r="R18" i="16" s="1"/>
  <c r="G19" i="16" a="1"/>
  <c r="G19" i="16" s="1"/>
  <c r="R19" i="16" s="1"/>
  <c r="G20" i="16" a="1"/>
  <c r="G20" i="16" s="1"/>
  <c r="R20" i="16" s="1"/>
  <c r="G21" i="16" a="1"/>
  <c r="G21" i="16" s="1"/>
  <c r="R21" i="16" s="1"/>
  <c r="G22" i="16" a="1"/>
  <c r="G22" i="16" s="1"/>
  <c r="R22" i="16" s="1"/>
  <c r="G23" i="16" a="1"/>
  <c r="G23" i="16" s="1"/>
  <c r="R23" i="16" s="1"/>
  <c r="G24" i="16" a="1"/>
  <c r="G24" i="16" s="1"/>
  <c r="R24" i="16" s="1"/>
  <c r="G25" i="16" a="1"/>
  <c r="G25" i="16" s="1"/>
  <c r="R25" i="16" s="1"/>
  <c r="G26" i="16" a="1"/>
  <c r="G26" i="16" s="1"/>
  <c r="R26" i="16" s="1"/>
  <c r="G27" i="16" a="1"/>
  <c r="G27" i="16" s="1"/>
  <c r="R27" i="16" s="1"/>
  <c r="G28" i="16" a="1"/>
  <c r="G28" i="16" s="1"/>
  <c r="R28" i="16" s="1"/>
  <c r="G29" i="16" a="1"/>
  <c r="G29" i="16" s="1"/>
  <c r="R29" i="16" s="1"/>
  <c r="C7" i="16" a="1"/>
  <c r="C7" i="16" s="1"/>
  <c r="C8" i="16" a="1"/>
  <c r="C8" i="16" s="1"/>
  <c r="C9" i="16" a="1"/>
  <c r="C9" i="16" s="1"/>
  <c r="C10" i="16" a="1"/>
  <c r="C10" i="16" s="1"/>
  <c r="C11" i="16" a="1"/>
  <c r="C11" i="16" s="1"/>
  <c r="C12" i="16" a="1"/>
  <c r="C12" i="16" s="1"/>
  <c r="C13" i="16" a="1"/>
  <c r="C13" i="16" s="1"/>
  <c r="C14" i="16" a="1"/>
  <c r="C14" i="16" s="1"/>
  <c r="C15" i="16" a="1"/>
  <c r="C15" i="16" s="1"/>
  <c r="C16" i="16" a="1"/>
  <c r="C16" i="16" s="1"/>
  <c r="C17" i="16" a="1"/>
  <c r="C17" i="16" s="1"/>
  <c r="C18" i="16" a="1"/>
  <c r="C18" i="16" s="1"/>
  <c r="C19" i="16" a="1"/>
  <c r="C19" i="16" s="1"/>
  <c r="C20" i="16" a="1"/>
  <c r="C20" i="16" s="1"/>
  <c r="C21" i="16" a="1"/>
  <c r="C21" i="16" s="1"/>
  <c r="C22" i="16" a="1"/>
  <c r="C22" i="16" s="1"/>
  <c r="C23" i="16" a="1"/>
  <c r="C23" i="16" s="1"/>
  <c r="C24" i="16" a="1"/>
  <c r="C24" i="16" s="1"/>
  <c r="C25" i="16" a="1"/>
  <c r="C25" i="16" s="1"/>
  <c r="C26" i="16" a="1"/>
  <c r="C26" i="16" s="1"/>
  <c r="C27" i="16" a="1"/>
  <c r="C27" i="16" s="1"/>
  <c r="C28" i="16" a="1"/>
  <c r="C28" i="16" s="1"/>
  <c r="C29" i="16" a="1"/>
  <c r="C29" i="16" s="1"/>
  <c r="I6" i="15" a="1"/>
  <c r="I6" i="15" s="1"/>
  <c r="I7" i="15" a="1"/>
  <c r="I7" i="15" s="1"/>
  <c r="I8" i="15" a="1"/>
  <c r="I8" i="15" s="1"/>
  <c r="I9" i="15" a="1"/>
  <c r="I9" i="15" s="1"/>
  <c r="I10" i="15" a="1"/>
  <c r="I10" i="15" s="1"/>
  <c r="I11" i="15" a="1"/>
  <c r="I11" i="15" s="1"/>
  <c r="I12" i="15" a="1"/>
  <c r="I12" i="15" s="1"/>
  <c r="I13" i="15" a="1"/>
  <c r="I13" i="15" s="1"/>
  <c r="I14" i="15" a="1"/>
  <c r="I14" i="15" s="1"/>
  <c r="I15" i="15" a="1"/>
  <c r="I15" i="15" s="1"/>
  <c r="I16" i="15" a="1"/>
  <c r="I16" i="15" s="1"/>
  <c r="I17" i="15" a="1"/>
  <c r="I17" i="15" s="1"/>
  <c r="I18" i="15" a="1"/>
  <c r="I18" i="15" s="1"/>
  <c r="I19" i="15" a="1"/>
  <c r="I19" i="15" s="1"/>
  <c r="I20" i="15" a="1"/>
  <c r="I20" i="15" s="1"/>
  <c r="I21" i="15" a="1"/>
  <c r="I21" i="15" s="1"/>
  <c r="I22" i="15" a="1"/>
  <c r="I22" i="15" s="1"/>
  <c r="I23" i="15" a="1"/>
  <c r="I23" i="15" s="1"/>
  <c r="I24" i="15" a="1"/>
  <c r="I24" i="15" s="1"/>
  <c r="I25" i="15" a="1"/>
  <c r="I25" i="15" s="1"/>
  <c r="I26" i="15" a="1"/>
  <c r="I26" i="15" s="1"/>
  <c r="I27" i="15" a="1"/>
  <c r="I27" i="15" s="1"/>
  <c r="I28" i="15" a="1"/>
  <c r="I28" i="15" s="1"/>
  <c r="I29" i="15" a="1"/>
  <c r="I29" i="15" s="1"/>
  <c r="I30" i="15" a="1"/>
  <c r="I30" i="15" s="1"/>
  <c r="I31" i="15" a="1"/>
  <c r="I31" i="15" s="1"/>
  <c r="I32" i="15" a="1"/>
  <c r="I32" i="15" s="1"/>
  <c r="I33" i="15" a="1"/>
  <c r="I33" i="15" s="1"/>
  <c r="I34" i="15" a="1"/>
  <c r="I34" i="15" s="1"/>
  <c r="I35" i="15" a="1"/>
  <c r="I35" i="15" s="1"/>
  <c r="I36" i="15" a="1"/>
  <c r="I36" i="15" s="1"/>
  <c r="I37" i="15" a="1"/>
  <c r="I37" i="15" s="1"/>
  <c r="I38" i="15" a="1"/>
  <c r="I38" i="15" s="1"/>
  <c r="I39" i="15" a="1"/>
  <c r="I39" i="15" s="1"/>
  <c r="I40" i="15" a="1"/>
  <c r="I40" i="15" s="1"/>
  <c r="I41" i="15" a="1"/>
  <c r="I41" i="15" s="1"/>
  <c r="I42" i="15" a="1"/>
  <c r="I42" i="15" s="1"/>
  <c r="I43" i="15" a="1"/>
  <c r="I43" i="15" s="1"/>
  <c r="I44" i="15" a="1"/>
  <c r="I44" i="15" s="1"/>
  <c r="I45" i="15" a="1"/>
  <c r="I45" i="15" s="1"/>
  <c r="I46" i="15" a="1"/>
  <c r="I46" i="15" s="1"/>
  <c r="I47" i="15" a="1"/>
  <c r="I47" i="15" s="1"/>
  <c r="I48" i="15" a="1"/>
  <c r="I48" i="15" s="1"/>
  <c r="I49" i="15" a="1"/>
  <c r="I49" i="15" s="1"/>
  <c r="I50" i="15" a="1"/>
  <c r="I50" i="15" s="1"/>
  <c r="I51" i="15" a="1"/>
  <c r="I51" i="15" s="1"/>
  <c r="I52" i="15" a="1"/>
  <c r="I52" i="15" s="1"/>
  <c r="I53" i="15" a="1"/>
  <c r="I53" i="15" s="1"/>
  <c r="I54" i="15" a="1"/>
  <c r="I54" i="15" s="1"/>
  <c r="I55" i="15" a="1"/>
  <c r="I55" i="15" s="1"/>
  <c r="I56" i="15" a="1"/>
  <c r="I56" i="15" s="1"/>
  <c r="I57" i="15" a="1"/>
  <c r="I57" i="15" s="1"/>
  <c r="I58" i="15" a="1"/>
  <c r="I58" i="15" s="1"/>
  <c r="I59" i="15" a="1"/>
  <c r="I59" i="15" s="1"/>
  <c r="I60" i="15" a="1"/>
  <c r="I60" i="15" s="1"/>
  <c r="I61" i="15" a="1"/>
  <c r="I61" i="15" s="1"/>
  <c r="I62" i="15" a="1"/>
  <c r="I62" i="15" s="1"/>
  <c r="I63" i="15" a="1"/>
  <c r="I63" i="15" s="1"/>
  <c r="I64" i="15" a="1"/>
  <c r="I64" i="15" s="1"/>
  <c r="I65" i="15" a="1"/>
  <c r="I65" i="15" s="1"/>
  <c r="I66" i="15" a="1"/>
  <c r="I66" i="15" s="1"/>
  <c r="I67" i="15" a="1"/>
  <c r="I67" i="15" s="1"/>
  <c r="I68" i="15" a="1"/>
  <c r="I68" i="15" s="1"/>
  <c r="I69" i="15" a="1"/>
  <c r="I69" i="15" s="1"/>
  <c r="I70" i="15" a="1"/>
  <c r="I70" i="15" s="1"/>
  <c r="I71" i="15" a="1"/>
  <c r="I71" i="15" s="1"/>
  <c r="I72" i="15" a="1"/>
  <c r="I72" i="15" s="1"/>
  <c r="I73" i="15" a="1"/>
  <c r="I73" i="15" s="1"/>
  <c r="I74" i="15" a="1"/>
  <c r="I74" i="15" s="1"/>
  <c r="I75" i="15" a="1"/>
  <c r="I75" i="15" s="1"/>
  <c r="I76" i="15" a="1"/>
  <c r="I76" i="15" s="1"/>
  <c r="I77" i="15" a="1"/>
  <c r="I77" i="15" s="1"/>
  <c r="I78" i="15" a="1"/>
  <c r="I78" i="15" s="1"/>
  <c r="I79" i="15" a="1"/>
  <c r="I79" i="15" s="1"/>
  <c r="I80" i="15" a="1"/>
  <c r="I80" i="15" s="1"/>
  <c r="I81" i="15" a="1"/>
  <c r="I81" i="15" s="1"/>
  <c r="I82" i="15" a="1"/>
  <c r="I82" i="15" s="1"/>
  <c r="I83" i="15" a="1"/>
  <c r="I83" i="15" s="1"/>
  <c r="I84" i="15" a="1"/>
  <c r="I84" i="15" s="1"/>
  <c r="I85" i="15" a="1"/>
  <c r="I85" i="15" s="1"/>
  <c r="I86" i="15" a="1"/>
  <c r="I86" i="15" s="1"/>
  <c r="I87" i="15" a="1"/>
  <c r="I87" i="15" s="1"/>
  <c r="I88" i="15" a="1"/>
  <c r="I88" i="15" s="1"/>
  <c r="I89" i="15" a="1"/>
  <c r="I89" i="15" s="1"/>
  <c r="I90" i="15" a="1"/>
  <c r="I90" i="15" s="1"/>
  <c r="I91" i="15" a="1"/>
  <c r="I91" i="15" s="1"/>
  <c r="I92" i="15" a="1"/>
  <c r="I92" i="15" s="1"/>
  <c r="I93" i="15" a="1"/>
  <c r="I93" i="15" s="1"/>
  <c r="I94" i="15" a="1"/>
  <c r="I94" i="15" s="1"/>
  <c r="I95" i="15" a="1"/>
  <c r="I95" i="15" s="1"/>
  <c r="I96" i="15" a="1"/>
  <c r="I96" i="15" s="1"/>
  <c r="I97" i="15" a="1"/>
  <c r="I97" i="15" s="1"/>
  <c r="I98" i="15" a="1"/>
  <c r="I98" i="15" s="1"/>
  <c r="I99" i="15" a="1"/>
  <c r="I99" i="15" s="1"/>
  <c r="I100" i="15" a="1"/>
  <c r="I100" i="15" s="1"/>
  <c r="I101" i="15" a="1"/>
  <c r="I101" i="15" s="1"/>
  <c r="I102" i="15" a="1"/>
  <c r="I102" i="15" s="1"/>
  <c r="I103" i="15" a="1"/>
  <c r="I103" i="15" s="1"/>
  <c r="I104" i="15" a="1"/>
  <c r="I104" i="15" s="1"/>
  <c r="I105" i="15" a="1"/>
  <c r="I105" i="15" s="1"/>
  <c r="I106" i="15" a="1"/>
  <c r="I106" i="15" s="1"/>
  <c r="I107" i="15" a="1"/>
  <c r="I107" i="15" s="1"/>
  <c r="I108" i="15" a="1"/>
  <c r="I108" i="15" s="1"/>
  <c r="I109" i="15" a="1"/>
  <c r="I109" i="15" s="1"/>
  <c r="I110" i="15" a="1"/>
  <c r="I110" i="15" s="1"/>
  <c r="I111" i="15" a="1"/>
  <c r="I111" i="15" s="1"/>
  <c r="I112" i="15" a="1"/>
  <c r="I112" i="15" s="1"/>
  <c r="I113" i="15" a="1"/>
  <c r="I113" i="15" s="1"/>
  <c r="I114" i="15" a="1"/>
  <c r="I114" i="15" s="1"/>
  <c r="I115" i="15" a="1"/>
  <c r="I115" i="15" s="1"/>
  <c r="I116" i="15" a="1"/>
  <c r="I116" i="15" s="1"/>
  <c r="I117" i="15" a="1"/>
  <c r="I117" i="15" s="1"/>
  <c r="I118" i="15" a="1"/>
  <c r="I118" i="15" s="1"/>
  <c r="I119" i="15" a="1"/>
  <c r="I119" i="15" s="1"/>
  <c r="I120" i="15" a="1"/>
  <c r="I120" i="15" s="1"/>
  <c r="I121" i="15" a="1"/>
  <c r="I121" i="15" s="1"/>
  <c r="I122" i="15" a="1"/>
  <c r="I122" i="15" s="1"/>
  <c r="I123" i="15" a="1"/>
  <c r="I123" i="15" s="1"/>
  <c r="I124" i="15" a="1"/>
  <c r="I124" i="15" s="1"/>
  <c r="I125" i="15" a="1"/>
  <c r="I125" i="15" s="1"/>
  <c r="I126" i="15" a="1"/>
  <c r="I126" i="15" s="1"/>
  <c r="I127" i="15" a="1"/>
  <c r="I127" i="15" s="1"/>
  <c r="I128" i="15" a="1"/>
  <c r="I128" i="15" s="1"/>
  <c r="I129" i="15" a="1"/>
  <c r="I129" i="15" s="1"/>
  <c r="I130" i="15" a="1"/>
  <c r="I130" i="15" s="1"/>
  <c r="I131" i="15" a="1"/>
  <c r="I131" i="15" s="1"/>
  <c r="I132" i="15" a="1"/>
  <c r="I132" i="15" s="1"/>
  <c r="I133" i="15" a="1"/>
  <c r="I133" i="15" s="1"/>
  <c r="I134" i="15" a="1"/>
  <c r="I134" i="15" s="1"/>
  <c r="I135" i="15" a="1"/>
  <c r="I135" i="15" s="1"/>
  <c r="I136" i="15" a="1"/>
  <c r="I136" i="15" s="1"/>
  <c r="I137" i="15" a="1"/>
  <c r="I137" i="15" s="1"/>
  <c r="I138" i="15" a="1"/>
  <c r="I138" i="15" s="1"/>
  <c r="I139" i="15" a="1"/>
  <c r="I139" i="15" s="1"/>
  <c r="I140" i="15" a="1"/>
  <c r="I140" i="15" s="1"/>
  <c r="I141" i="15" a="1"/>
  <c r="I141" i="15" s="1"/>
  <c r="I142" i="15" a="1"/>
  <c r="I142" i="15" s="1"/>
  <c r="I143" i="15" a="1"/>
  <c r="I143" i="15" s="1"/>
  <c r="I144" i="15" a="1"/>
  <c r="I144" i="15" s="1"/>
  <c r="I145" i="15" a="1"/>
  <c r="I145" i="15" s="1"/>
  <c r="I146" i="15" a="1"/>
  <c r="I146" i="15" s="1"/>
  <c r="I147" i="15" a="1"/>
  <c r="I147" i="15" s="1"/>
  <c r="I148" i="15" a="1"/>
  <c r="I148" i="15" s="1"/>
  <c r="I149" i="15" a="1"/>
  <c r="I149" i="15" s="1"/>
  <c r="I150" i="15" a="1"/>
  <c r="I150" i="15" s="1"/>
  <c r="I151" i="15" a="1"/>
  <c r="I151" i="15" s="1"/>
  <c r="I152" i="15" a="1"/>
  <c r="I152" i="15" s="1"/>
  <c r="I153" i="15" a="1"/>
  <c r="I153" i="15" s="1"/>
  <c r="I154" i="15" a="1"/>
  <c r="I154" i="15" s="1"/>
  <c r="I155" i="15" a="1"/>
  <c r="I155" i="15" s="1"/>
  <c r="I156" i="15" a="1"/>
  <c r="I156" i="15" s="1"/>
  <c r="I157" i="15" a="1"/>
  <c r="I157" i="15" s="1"/>
  <c r="I158" i="15" a="1"/>
  <c r="I158" i="15" s="1"/>
  <c r="I159" i="15" a="1"/>
  <c r="I159" i="15" s="1"/>
  <c r="I160" i="15" a="1"/>
  <c r="I160" i="15" s="1"/>
  <c r="I161" i="15" a="1"/>
  <c r="I161" i="15" s="1"/>
  <c r="I162" i="15" a="1"/>
  <c r="I162" i="15" s="1"/>
  <c r="I163" i="15" a="1"/>
  <c r="I163" i="15" s="1"/>
  <c r="I164" i="15" a="1"/>
  <c r="I164" i="15" s="1"/>
  <c r="I165" i="15" a="1"/>
  <c r="I165" i="15" s="1"/>
  <c r="J6" i="15" a="1"/>
  <c r="J6" i="15" s="1"/>
  <c r="J7" i="15" a="1"/>
  <c r="J7" i="15" s="1"/>
  <c r="J8" i="15" a="1"/>
  <c r="J8" i="15" s="1"/>
  <c r="J9" i="15" a="1"/>
  <c r="J9" i="15" s="1"/>
  <c r="J10" i="15" a="1"/>
  <c r="J10" i="15" s="1"/>
  <c r="J11" i="15" a="1"/>
  <c r="J11" i="15" s="1"/>
  <c r="J12" i="15" a="1"/>
  <c r="J12" i="15" s="1"/>
  <c r="J13" i="15" a="1"/>
  <c r="J13" i="15" s="1"/>
  <c r="J14" i="15" a="1"/>
  <c r="J14" i="15" s="1"/>
  <c r="J15" i="15" a="1"/>
  <c r="J15" i="15" s="1"/>
  <c r="J16" i="15" a="1"/>
  <c r="J16" i="15"/>
  <c r="J17" i="15" a="1"/>
  <c r="J17" i="15" s="1"/>
  <c r="J18" i="15" a="1"/>
  <c r="J18" i="15" s="1"/>
  <c r="J19" i="15" a="1"/>
  <c r="J19" i="15" s="1"/>
  <c r="J20" i="15" a="1"/>
  <c r="J20" i="15" s="1"/>
  <c r="J21" i="15" a="1"/>
  <c r="J21" i="15" s="1"/>
  <c r="J22" i="15" a="1"/>
  <c r="J22" i="15" s="1"/>
  <c r="J23" i="15" a="1"/>
  <c r="J23" i="15" s="1"/>
  <c r="J24" i="15" a="1"/>
  <c r="J24" i="15" s="1"/>
  <c r="J25" i="15" a="1"/>
  <c r="J25" i="15" s="1"/>
  <c r="J26" i="15" a="1"/>
  <c r="J26" i="15" s="1"/>
  <c r="J27" i="15" a="1"/>
  <c r="J27" i="15" s="1"/>
  <c r="J28" i="15" a="1"/>
  <c r="J28" i="15" s="1"/>
  <c r="J29" i="15" a="1"/>
  <c r="J29" i="15" s="1"/>
  <c r="J30" i="15" a="1"/>
  <c r="J30" i="15" s="1"/>
  <c r="J31" i="15" a="1"/>
  <c r="J31" i="15" s="1"/>
  <c r="J32" i="15" a="1"/>
  <c r="J32" i="15" s="1"/>
  <c r="J33" i="15" a="1"/>
  <c r="J33" i="15" s="1"/>
  <c r="J34" i="15" a="1"/>
  <c r="J34" i="15" s="1"/>
  <c r="J35" i="15" a="1"/>
  <c r="J35" i="15" s="1"/>
  <c r="J36" i="15" a="1"/>
  <c r="J36" i="15" s="1"/>
  <c r="J37" i="15" a="1"/>
  <c r="J37" i="15" s="1"/>
  <c r="J38" i="15" a="1"/>
  <c r="J38" i="15" s="1"/>
  <c r="J39" i="15" a="1"/>
  <c r="J39" i="15" s="1"/>
  <c r="J40" i="15" a="1"/>
  <c r="J40" i="15" s="1"/>
  <c r="J41" i="15" a="1"/>
  <c r="J41" i="15" s="1"/>
  <c r="J42" i="15" a="1"/>
  <c r="J42" i="15" s="1"/>
  <c r="J43" i="15" a="1"/>
  <c r="J43" i="15" s="1"/>
  <c r="J44" i="15" a="1"/>
  <c r="J44" i="15" s="1"/>
  <c r="J45" i="15" a="1"/>
  <c r="J45" i="15" s="1"/>
  <c r="J46" i="15" a="1"/>
  <c r="J46" i="15" s="1"/>
  <c r="J47" i="15" a="1"/>
  <c r="J47" i="15" s="1"/>
  <c r="J48" i="15" a="1"/>
  <c r="J48" i="15" s="1"/>
  <c r="J49" i="15" a="1"/>
  <c r="J49" i="15" s="1"/>
  <c r="J50" i="15" a="1"/>
  <c r="J50" i="15" s="1"/>
  <c r="J51" i="15" a="1"/>
  <c r="J51" i="15" s="1"/>
  <c r="J52" i="15" a="1"/>
  <c r="J52" i="15" s="1"/>
  <c r="J53" i="15" a="1"/>
  <c r="J53" i="15" s="1"/>
  <c r="J54" i="15" a="1"/>
  <c r="J54" i="15" s="1"/>
  <c r="J55" i="15" a="1"/>
  <c r="J55" i="15" s="1"/>
  <c r="J56" i="15" a="1"/>
  <c r="J56" i="15" s="1"/>
  <c r="J57" i="15" a="1"/>
  <c r="J57" i="15" s="1"/>
  <c r="J58" i="15" a="1"/>
  <c r="J58" i="15" s="1"/>
  <c r="J59" i="15" a="1"/>
  <c r="J59" i="15" s="1"/>
  <c r="J60" i="15" a="1"/>
  <c r="J60" i="15" s="1"/>
  <c r="J61" i="15" a="1"/>
  <c r="J61" i="15" s="1"/>
  <c r="J62" i="15" a="1"/>
  <c r="J62" i="15" s="1"/>
  <c r="J63" i="15" a="1"/>
  <c r="J63" i="15" s="1"/>
  <c r="J64" i="15" a="1"/>
  <c r="J64" i="15" s="1"/>
  <c r="J65" i="15" a="1"/>
  <c r="J65" i="15" s="1"/>
  <c r="J66" i="15" a="1"/>
  <c r="J66" i="15" s="1"/>
  <c r="J67" i="15" a="1"/>
  <c r="J67" i="15" s="1"/>
  <c r="J68" i="15" a="1"/>
  <c r="J68" i="15" s="1"/>
  <c r="J69" i="15" a="1"/>
  <c r="J69" i="15" s="1"/>
  <c r="J70" i="15" a="1"/>
  <c r="J70" i="15" s="1"/>
  <c r="J71" i="15" a="1"/>
  <c r="J71" i="15" s="1"/>
  <c r="J72" i="15" a="1"/>
  <c r="J72" i="15" s="1"/>
  <c r="J73" i="15" a="1"/>
  <c r="J73" i="15" s="1"/>
  <c r="J74" i="15" a="1"/>
  <c r="J74" i="15" s="1"/>
  <c r="J75" i="15" a="1"/>
  <c r="J75" i="15" s="1"/>
  <c r="J76" i="15" a="1"/>
  <c r="J76" i="15" s="1"/>
  <c r="J77" i="15" a="1"/>
  <c r="J77" i="15" s="1"/>
  <c r="J78" i="15" a="1"/>
  <c r="J78" i="15" s="1"/>
  <c r="J79" i="15" a="1"/>
  <c r="J79" i="15" s="1"/>
  <c r="J80" i="15" a="1"/>
  <c r="J80" i="15" s="1"/>
  <c r="J81" i="15" a="1"/>
  <c r="J81" i="15" s="1"/>
  <c r="J82" i="15" a="1"/>
  <c r="J82" i="15" s="1"/>
  <c r="J83" i="15" a="1"/>
  <c r="J83" i="15" s="1"/>
  <c r="J84" i="15" a="1"/>
  <c r="J84" i="15" s="1"/>
  <c r="J85" i="15" a="1"/>
  <c r="J85" i="15" s="1"/>
  <c r="J86" i="15" a="1"/>
  <c r="J86" i="15" s="1"/>
  <c r="J87" i="15" a="1"/>
  <c r="J87" i="15" s="1"/>
  <c r="J88" i="15" a="1"/>
  <c r="J88" i="15" s="1"/>
  <c r="J89" i="15" a="1"/>
  <c r="J89" i="15" s="1"/>
  <c r="J90" i="15" a="1"/>
  <c r="J90" i="15" s="1"/>
  <c r="J91" i="15" a="1"/>
  <c r="J91" i="15" s="1"/>
  <c r="J92" i="15" a="1"/>
  <c r="J92" i="15" s="1"/>
  <c r="J93" i="15" a="1"/>
  <c r="J93" i="15" s="1"/>
  <c r="J94" i="15" a="1"/>
  <c r="J94" i="15" s="1"/>
  <c r="J95" i="15" a="1"/>
  <c r="J95" i="15" s="1"/>
  <c r="J96" i="15" a="1"/>
  <c r="J96" i="15" s="1"/>
  <c r="J97" i="15" a="1"/>
  <c r="J97" i="15" s="1"/>
  <c r="J98" i="15" a="1"/>
  <c r="J98" i="15" s="1"/>
  <c r="J99" i="15" a="1"/>
  <c r="J99" i="15" s="1"/>
  <c r="J100" i="15" a="1"/>
  <c r="J100" i="15" s="1"/>
  <c r="J101" i="15" a="1"/>
  <c r="J101" i="15" s="1"/>
  <c r="J102" i="15" a="1"/>
  <c r="J102" i="15" s="1"/>
  <c r="J103" i="15" a="1"/>
  <c r="J103" i="15" s="1"/>
  <c r="J104" i="15" a="1"/>
  <c r="J104" i="15" s="1"/>
  <c r="J105" i="15" a="1"/>
  <c r="J105" i="15" s="1"/>
  <c r="J106" i="15" a="1"/>
  <c r="J106" i="15" s="1"/>
  <c r="J107" i="15" a="1"/>
  <c r="J107" i="15" s="1"/>
  <c r="J108" i="15" a="1"/>
  <c r="J108" i="15" s="1"/>
  <c r="J109" i="15" a="1"/>
  <c r="J109" i="15" s="1"/>
  <c r="J110" i="15" a="1"/>
  <c r="J110" i="15" s="1"/>
  <c r="J111" i="15" a="1"/>
  <c r="J111" i="15" s="1"/>
  <c r="J112" i="15" a="1"/>
  <c r="J112" i="15" s="1"/>
  <c r="J113" i="15" a="1"/>
  <c r="J113" i="15" s="1"/>
  <c r="J114" i="15" a="1"/>
  <c r="J114" i="15" s="1"/>
  <c r="J115" i="15" a="1"/>
  <c r="J115" i="15" s="1"/>
  <c r="J116" i="15" a="1"/>
  <c r="J116" i="15" s="1"/>
  <c r="J117" i="15" a="1"/>
  <c r="J117" i="15" s="1"/>
  <c r="J118" i="15" a="1"/>
  <c r="J118" i="15" s="1"/>
  <c r="J119" i="15" a="1"/>
  <c r="J119" i="15" s="1"/>
  <c r="J120" i="15" a="1"/>
  <c r="J120" i="15" s="1"/>
  <c r="J121" i="15" a="1"/>
  <c r="J121" i="15" s="1"/>
  <c r="J122" i="15" a="1"/>
  <c r="J122" i="15" s="1"/>
  <c r="J123" i="15" a="1"/>
  <c r="J123" i="15" s="1"/>
  <c r="J124" i="15" a="1"/>
  <c r="J124" i="15" s="1"/>
  <c r="J125" i="15" a="1"/>
  <c r="J125" i="15" s="1"/>
  <c r="J126" i="15" a="1"/>
  <c r="J126" i="15" s="1"/>
  <c r="J127" i="15" a="1"/>
  <c r="J127" i="15" s="1"/>
  <c r="J128" i="15" a="1"/>
  <c r="J128" i="15" s="1"/>
  <c r="J129" i="15" a="1"/>
  <c r="J129" i="15" s="1"/>
  <c r="J130" i="15" a="1"/>
  <c r="J130" i="15" s="1"/>
  <c r="J131" i="15" a="1"/>
  <c r="J131" i="15" s="1"/>
  <c r="J132" i="15" a="1"/>
  <c r="J132" i="15" s="1"/>
  <c r="J133" i="15" a="1"/>
  <c r="J133" i="15" s="1"/>
  <c r="J134" i="15" a="1"/>
  <c r="J134" i="15" s="1"/>
  <c r="J135" i="15" a="1"/>
  <c r="J135" i="15" s="1"/>
  <c r="J136" i="15" a="1"/>
  <c r="J136" i="15" s="1"/>
  <c r="J137" i="15" a="1"/>
  <c r="J137" i="15" s="1"/>
  <c r="J138" i="15" a="1"/>
  <c r="J138" i="15" s="1"/>
  <c r="J139" i="15" a="1"/>
  <c r="J139" i="15" s="1"/>
  <c r="J140" i="15" a="1"/>
  <c r="J140" i="15" s="1"/>
  <c r="J141" i="15" a="1"/>
  <c r="J141" i="15" s="1"/>
  <c r="J142" i="15" a="1"/>
  <c r="J142" i="15" s="1"/>
  <c r="J143" i="15" a="1"/>
  <c r="J143" i="15" s="1"/>
  <c r="J144" i="15" a="1"/>
  <c r="J144" i="15" s="1"/>
  <c r="J145" i="15" a="1"/>
  <c r="J145" i="15" s="1"/>
  <c r="J146" i="15" a="1"/>
  <c r="J146" i="15" s="1"/>
  <c r="J147" i="15" a="1"/>
  <c r="J147" i="15" s="1"/>
  <c r="J148" i="15" a="1"/>
  <c r="J148" i="15" s="1"/>
  <c r="J149" i="15" a="1"/>
  <c r="J149" i="15" s="1"/>
  <c r="J150" i="15" a="1"/>
  <c r="J150" i="15" s="1"/>
  <c r="J151" i="15" a="1"/>
  <c r="J151" i="15" s="1"/>
  <c r="J152" i="15" a="1"/>
  <c r="J152" i="15" s="1"/>
  <c r="J153" i="15" a="1"/>
  <c r="J153" i="15" s="1"/>
  <c r="J154" i="15" a="1"/>
  <c r="J154" i="15" s="1"/>
  <c r="J155" i="15" a="1"/>
  <c r="J155" i="15" s="1"/>
  <c r="J156" i="15" a="1"/>
  <c r="J156" i="15" s="1"/>
  <c r="J157" i="15" a="1"/>
  <c r="J157" i="15" s="1"/>
  <c r="J158" i="15" a="1"/>
  <c r="J158" i="15" s="1"/>
  <c r="J159" i="15" a="1"/>
  <c r="J159" i="15" s="1"/>
  <c r="J160" i="15" a="1"/>
  <c r="J160" i="15" s="1"/>
  <c r="J161" i="15" a="1"/>
  <c r="J161" i="15" s="1"/>
  <c r="J162" i="15" a="1"/>
  <c r="J162" i="15" s="1"/>
  <c r="J163" i="15" a="1"/>
  <c r="J163" i="15" s="1"/>
  <c r="J164" i="15" a="1"/>
  <c r="J164" i="15" s="1"/>
  <c r="J165" i="15" a="1"/>
  <c r="J165" i="15" s="1"/>
  <c r="L6" i="15" a="1"/>
  <c r="L6" i="15" s="1"/>
  <c r="L7" i="15" a="1"/>
  <c r="L7" i="15" s="1"/>
  <c r="L8" i="15" a="1"/>
  <c r="L8" i="15" s="1"/>
  <c r="L9" i="15" a="1"/>
  <c r="L9" i="15" s="1"/>
  <c r="L10" i="15" a="1"/>
  <c r="L10" i="15" s="1"/>
  <c r="L11" i="15" a="1"/>
  <c r="L11" i="15" s="1"/>
  <c r="L12" i="15" a="1"/>
  <c r="L12" i="15" s="1"/>
  <c r="L13" i="15" a="1"/>
  <c r="L13" i="15" s="1"/>
  <c r="L14" i="15" a="1"/>
  <c r="L14" i="15"/>
  <c r="L15" i="15" a="1"/>
  <c r="L15" i="15" s="1"/>
  <c r="L16" i="15" a="1"/>
  <c r="L16" i="15" s="1"/>
  <c r="L17" i="15" a="1"/>
  <c r="L17" i="15" s="1"/>
  <c r="L18" i="15" a="1"/>
  <c r="L18" i="15" s="1"/>
  <c r="L19" i="15" a="1"/>
  <c r="L19" i="15" s="1"/>
  <c r="L20" i="15" a="1"/>
  <c r="L20" i="15" s="1"/>
  <c r="L21" i="15" a="1"/>
  <c r="L21" i="15" s="1"/>
  <c r="L22" i="15" a="1"/>
  <c r="L22" i="15" s="1"/>
  <c r="L23" i="15" a="1"/>
  <c r="L23" i="15" s="1"/>
  <c r="L24" i="15" a="1"/>
  <c r="L24" i="15" s="1"/>
  <c r="L25" i="15" a="1"/>
  <c r="L25" i="15" s="1"/>
  <c r="L26" i="15" a="1"/>
  <c r="L26" i="15" s="1"/>
  <c r="L27" i="15" a="1"/>
  <c r="L27" i="15" s="1"/>
  <c r="L28" i="15" a="1"/>
  <c r="L28" i="15" s="1"/>
  <c r="L29" i="15" a="1"/>
  <c r="L29" i="15" s="1"/>
  <c r="L30" i="15" a="1"/>
  <c r="L30" i="15" s="1"/>
  <c r="L31" i="15" a="1"/>
  <c r="L31" i="15" s="1"/>
  <c r="L32" i="15" a="1"/>
  <c r="L32" i="15" s="1"/>
  <c r="L33" i="15" a="1"/>
  <c r="L33" i="15" s="1"/>
  <c r="L34" i="15" a="1"/>
  <c r="L34" i="15" s="1"/>
  <c r="L35" i="15" a="1"/>
  <c r="L35" i="15" s="1"/>
  <c r="L36" i="15" a="1"/>
  <c r="L36" i="15" s="1"/>
  <c r="L37" i="15" a="1"/>
  <c r="L37" i="15" s="1"/>
  <c r="L38" i="15" a="1"/>
  <c r="L38" i="15" s="1"/>
  <c r="L39" i="15" a="1"/>
  <c r="L39" i="15" s="1"/>
  <c r="L40" i="15" a="1"/>
  <c r="L40" i="15" s="1"/>
  <c r="L41" i="15" a="1"/>
  <c r="L41" i="15" s="1"/>
  <c r="L42" i="15" a="1"/>
  <c r="L42" i="15" s="1"/>
  <c r="L43" i="15" a="1"/>
  <c r="L43" i="15" s="1"/>
  <c r="L44" i="15" a="1"/>
  <c r="L44" i="15" s="1"/>
  <c r="L45" i="15" a="1"/>
  <c r="L45" i="15" s="1"/>
  <c r="L46" i="15" a="1"/>
  <c r="L46" i="15" s="1"/>
  <c r="L47" i="15" a="1"/>
  <c r="L47" i="15" s="1"/>
  <c r="L48" i="15" a="1"/>
  <c r="L48" i="15" s="1"/>
  <c r="L49" i="15" a="1"/>
  <c r="L49" i="15" s="1"/>
  <c r="L50" i="15" a="1"/>
  <c r="L50" i="15" s="1"/>
  <c r="L51" i="15" a="1"/>
  <c r="L51" i="15" s="1"/>
  <c r="L52" i="15" a="1"/>
  <c r="L52" i="15" s="1"/>
  <c r="L53" i="15" a="1"/>
  <c r="L53" i="15" s="1"/>
  <c r="L54" i="15" a="1"/>
  <c r="L54" i="15" s="1"/>
  <c r="L55" i="15" a="1"/>
  <c r="L55" i="15" s="1"/>
  <c r="L56" i="15" a="1"/>
  <c r="L56" i="15" s="1"/>
  <c r="L57" i="15" a="1"/>
  <c r="L57" i="15" s="1"/>
  <c r="L58" i="15" a="1"/>
  <c r="L58" i="15" s="1"/>
  <c r="L59" i="15" a="1"/>
  <c r="L59" i="15" s="1"/>
  <c r="L60" i="15" a="1"/>
  <c r="L60" i="15" s="1"/>
  <c r="L61" i="15" a="1"/>
  <c r="L61" i="15" s="1"/>
  <c r="L62" i="15" a="1"/>
  <c r="L62" i="15" s="1"/>
  <c r="L63" i="15" a="1"/>
  <c r="L63" i="15" s="1"/>
  <c r="L64" i="15" a="1"/>
  <c r="L64" i="15" s="1"/>
  <c r="L65" i="15" a="1"/>
  <c r="L65" i="15" s="1"/>
  <c r="L66" i="15" a="1"/>
  <c r="L66" i="15" s="1"/>
  <c r="L67" i="15" a="1"/>
  <c r="L67" i="15" s="1"/>
  <c r="L68" i="15" a="1"/>
  <c r="L68" i="15" s="1"/>
  <c r="L69" i="15" a="1"/>
  <c r="L69" i="15" s="1"/>
  <c r="L70" i="15" a="1"/>
  <c r="L70" i="15" s="1"/>
  <c r="L71" i="15" a="1"/>
  <c r="L71" i="15" s="1"/>
  <c r="L72" i="15" a="1"/>
  <c r="L72" i="15" s="1"/>
  <c r="L73" i="15" a="1"/>
  <c r="L73" i="15" s="1"/>
  <c r="L74" i="15" a="1"/>
  <c r="L74" i="15" s="1"/>
  <c r="L75" i="15" a="1"/>
  <c r="L75" i="15" s="1"/>
  <c r="L76" i="15" a="1"/>
  <c r="L76" i="15" s="1"/>
  <c r="L77" i="15" a="1"/>
  <c r="L77" i="15" s="1"/>
  <c r="L78" i="15" a="1"/>
  <c r="L78" i="15" s="1"/>
  <c r="L79" i="15" a="1"/>
  <c r="L79" i="15" s="1"/>
  <c r="L80" i="15" a="1"/>
  <c r="L80" i="15" s="1"/>
  <c r="L81" i="15" a="1"/>
  <c r="L81" i="15" s="1"/>
  <c r="L82" i="15" a="1"/>
  <c r="L82" i="15" s="1"/>
  <c r="L83" i="15" a="1"/>
  <c r="L83" i="15" s="1"/>
  <c r="L84" i="15" a="1"/>
  <c r="L84" i="15" s="1"/>
  <c r="L85" i="15" a="1"/>
  <c r="L85" i="15" s="1"/>
  <c r="L86" i="15" a="1"/>
  <c r="L86" i="15" s="1"/>
  <c r="L87" i="15" a="1"/>
  <c r="L87" i="15" s="1"/>
  <c r="L88" i="15" a="1"/>
  <c r="L88" i="15" s="1"/>
  <c r="L89" i="15" a="1"/>
  <c r="L89" i="15" s="1"/>
  <c r="L90" i="15" a="1"/>
  <c r="L90" i="15" s="1"/>
  <c r="L91" i="15" a="1"/>
  <c r="L91" i="15" s="1"/>
  <c r="L92" i="15" a="1"/>
  <c r="L92" i="15" s="1"/>
  <c r="L93" i="15" a="1"/>
  <c r="L93" i="15" s="1"/>
  <c r="L94" i="15" a="1"/>
  <c r="L94" i="15" s="1"/>
  <c r="L95" i="15" a="1"/>
  <c r="L95" i="15" s="1"/>
  <c r="L96" i="15" a="1"/>
  <c r="L96" i="15" s="1"/>
  <c r="L97" i="15" a="1"/>
  <c r="L97" i="15" s="1"/>
  <c r="L98" i="15" a="1"/>
  <c r="L98" i="15" s="1"/>
  <c r="L99" i="15" a="1"/>
  <c r="L99" i="15" s="1"/>
  <c r="L100" i="15" a="1"/>
  <c r="L100" i="15" s="1"/>
  <c r="L101" i="15" a="1"/>
  <c r="L101" i="15" s="1"/>
  <c r="L102" i="15" a="1"/>
  <c r="L102" i="15" s="1"/>
  <c r="L103" i="15" a="1"/>
  <c r="L103" i="15" s="1"/>
  <c r="L104" i="15" a="1"/>
  <c r="L104" i="15" s="1"/>
  <c r="L105" i="15" a="1"/>
  <c r="L105" i="15" s="1"/>
  <c r="L106" i="15" a="1"/>
  <c r="L106" i="15" s="1"/>
  <c r="L107" i="15" a="1"/>
  <c r="L107" i="15" s="1"/>
  <c r="L108" i="15" a="1"/>
  <c r="L108" i="15" s="1"/>
  <c r="L109" i="15" a="1"/>
  <c r="L109" i="15" s="1"/>
  <c r="L110" i="15" a="1"/>
  <c r="L110" i="15" s="1"/>
  <c r="L111" i="15" a="1"/>
  <c r="L111" i="15" s="1"/>
  <c r="L112" i="15" a="1"/>
  <c r="L112" i="15" s="1"/>
  <c r="L113" i="15" a="1"/>
  <c r="L113" i="15" s="1"/>
  <c r="L114" i="15" a="1"/>
  <c r="L114" i="15" s="1"/>
  <c r="L115" i="15" a="1"/>
  <c r="L115" i="15" s="1"/>
  <c r="L116" i="15" a="1"/>
  <c r="L116" i="15" s="1"/>
  <c r="L117" i="15" a="1"/>
  <c r="L117" i="15" s="1"/>
  <c r="L118" i="15" a="1"/>
  <c r="L118" i="15" s="1"/>
  <c r="L119" i="15" a="1"/>
  <c r="L119" i="15" s="1"/>
  <c r="L120" i="15" a="1"/>
  <c r="L120" i="15" s="1"/>
  <c r="L121" i="15" a="1"/>
  <c r="L121" i="15" s="1"/>
  <c r="L122" i="15" a="1"/>
  <c r="L122" i="15" s="1"/>
  <c r="L123" i="15" a="1"/>
  <c r="L123" i="15" s="1"/>
  <c r="L124" i="15" a="1"/>
  <c r="L124" i="15" s="1"/>
  <c r="L125" i="15" a="1"/>
  <c r="L125" i="15" s="1"/>
  <c r="L126" i="15" a="1"/>
  <c r="L126" i="15" s="1"/>
  <c r="L127" i="15" a="1"/>
  <c r="L127" i="15" s="1"/>
  <c r="L128" i="15" a="1"/>
  <c r="L128" i="15" s="1"/>
  <c r="L129" i="15" a="1"/>
  <c r="L129" i="15" s="1"/>
  <c r="L130" i="15" a="1"/>
  <c r="L130" i="15" s="1"/>
  <c r="L131" i="15" a="1"/>
  <c r="L131" i="15" s="1"/>
  <c r="L132" i="15" a="1"/>
  <c r="L132" i="15" s="1"/>
  <c r="L133" i="15" a="1"/>
  <c r="L133" i="15" s="1"/>
  <c r="L134" i="15" a="1"/>
  <c r="L134" i="15" s="1"/>
  <c r="L135" i="15" a="1"/>
  <c r="L135" i="15" s="1"/>
  <c r="L136" i="15" a="1"/>
  <c r="L136" i="15" s="1"/>
  <c r="L137" i="15" a="1"/>
  <c r="L137" i="15" s="1"/>
  <c r="L138" i="15" a="1"/>
  <c r="L138" i="15" s="1"/>
  <c r="L139" i="15" a="1"/>
  <c r="L139" i="15" s="1"/>
  <c r="L140" i="15" a="1"/>
  <c r="L140" i="15" s="1"/>
  <c r="L141" i="15" a="1"/>
  <c r="L141" i="15" s="1"/>
  <c r="L142" i="15" a="1"/>
  <c r="L142" i="15" s="1"/>
  <c r="L143" i="15" a="1"/>
  <c r="L143" i="15" s="1"/>
  <c r="L144" i="15" a="1"/>
  <c r="L144" i="15" s="1"/>
  <c r="L145" i="15" a="1"/>
  <c r="L145" i="15" s="1"/>
  <c r="L146" i="15" a="1"/>
  <c r="L146" i="15" s="1"/>
  <c r="L147" i="15" a="1"/>
  <c r="L147" i="15" s="1"/>
  <c r="L148" i="15" a="1"/>
  <c r="L148" i="15" s="1"/>
  <c r="L149" i="15" a="1"/>
  <c r="L149" i="15" s="1"/>
  <c r="L150" i="15" a="1"/>
  <c r="L150" i="15" s="1"/>
  <c r="L151" i="15" a="1"/>
  <c r="L151" i="15" s="1"/>
  <c r="L152" i="15" a="1"/>
  <c r="L152" i="15" s="1"/>
  <c r="L153" i="15" a="1"/>
  <c r="L153" i="15" s="1"/>
  <c r="L154" i="15" a="1"/>
  <c r="L154" i="15" s="1"/>
  <c r="L155" i="15" a="1"/>
  <c r="L155" i="15" s="1"/>
  <c r="L156" i="15" a="1"/>
  <c r="L156" i="15" s="1"/>
  <c r="L157" i="15" a="1"/>
  <c r="L157" i="15" s="1"/>
  <c r="L158" i="15" a="1"/>
  <c r="L158" i="15" s="1"/>
  <c r="L159" i="15" a="1"/>
  <c r="L159" i="15" s="1"/>
  <c r="L160" i="15" a="1"/>
  <c r="L160" i="15" s="1"/>
  <c r="L161" i="15" a="1"/>
  <c r="L161" i="15" s="1"/>
  <c r="L162" i="15" a="1"/>
  <c r="L162" i="15" s="1"/>
  <c r="L163" i="15" a="1"/>
  <c r="L163" i="15" s="1"/>
  <c r="L164" i="15" a="1"/>
  <c r="L164" i="15" s="1"/>
  <c r="L165" i="15" a="1"/>
  <c r="L165" i="15" s="1"/>
  <c r="M6" i="15" a="1"/>
  <c r="M6" i="15" s="1"/>
  <c r="M7" i="15" a="1"/>
  <c r="M7" i="15" s="1"/>
  <c r="M8" i="15" a="1"/>
  <c r="M8" i="15" s="1"/>
  <c r="M9" i="15" a="1"/>
  <c r="M9" i="15" s="1"/>
  <c r="M10" i="15" a="1"/>
  <c r="M10" i="15"/>
  <c r="M11" i="15" a="1"/>
  <c r="M11" i="15" s="1"/>
  <c r="M12" i="15" a="1"/>
  <c r="M12" i="15" s="1"/>
  <c r="M13" i="15" a="1"/>
  <c r="M13" i="15" s="1"/>
  <c r="M14" i="15" a="1"/>
  <c r="M14" i="15" s="1"/>
  <c r="M15" i="15" a="1"/>
  <c r="M15" i="15" s="1"/>
  <c r="M16" i="15" a="1"/>
  <c r="M16" i="15" s="1"/>
  <c r="M17" i="15" a="1"/>
  <c r="M17" i="15" s="1"/>
  <c r="M18" i="15" a="1"/>
  <c r="M18" i="15" s="1"/>
  <c r="M19" i="15" a="1"/>
  <c r="M19" i="15" s="1"/>
  <c r="M20" i="15" a="1"/>
  <c r="M20" i="15" s="1"/>
  <c r="M21" i="15" a="1"/>
  <c r="M21" i="15" s="1"/>
  <c r="M22" i="15" a="1"/>
  <c r="M22" i="15" s="1"/>
  <c r="M23" i="15" a="1"/>
  <c r="M23" i="15" s="1"/>
  <c r="M24" i="15" a="1"/>
  <c r="M24" i="15" s="1"/>
  <c r="M25" i="15" a="1"/>
  <c r="M25" i="15" s="1"/>
  <c r="M26" i="15" a="1"/>
  <c r="M26" i="15" s="1"/>
  <c r="M27" i="15" a="1"/>
  <c r="M27" i="15" s="1"/>
  <c r="M28" i="15" a="1"/>
  <c r="M28" i="15" s="1"/>
  <c r="M29" i="15" a="1"/>
  <c r="M29" i="15" s="1"/>
  <c r="M30" i="15" a="1"/>
  <c r="M30" i="15" s="1"/>
  <c r="M31" i="15" a="1"/>
  <c r="M31" i="15" s="1"/>
  <c r="M32" i="15" a="1"/>
  <c r="M32" i="15" s="1"/>
  <c r="M33" i="15" a="1"/>
  <c r="M33" i="15" s="1"/>
  <c r="M34" i="15" a="1"/>
  <c r="M34" i="15" s="1"/>
  <c r="M35" i="15" a="1"/>
  <c r="M35" i="15" s="1"/>
  <c r="M36" i="15" a="1"/>
  <c r="M36" i="15" s="1"/>
  <c r="M37" i="15" a="1"/>
  <c r="M37" i="15" s="1"/>
  <c r="M38" i="15" a="1"/>
  <c r="M38" i="15" s="1"/>
  <c r="M39" i="15" a="1"/>
  <c r="M39" i="15" s="1"/>
  <c r="M40" i="15" a="1"/>
  <c r="M40" i="15" s="1"/>
  <c r="M41" i="15" a="1"/>
  <c r="M41" i="15" s="1"/>
  <c r="M42" i="15" a="1"/>
  <c r="M42" i="15" s="1"/>
  <c r="M43" i="15" a="1"/>
  <c r="M43" i="15" s="1"/>
  <c r="M44" i="15" a="1"/>
  <c r="M44" i="15" s="1"/>
  <c r="M45" i="15" a="1"/>
  <c r="M45" i="15" s="1"/>
  <c r="M46" i="15" a="1"/>
  <c r="M46" i="15" s="1"/>
  <c r="M47" i="15" a="1"/>
  <c r="M47" i="15" s="1"/>
  <c r="M48" i="15" a="1"/>
  <c r="M48" i="15" s="1"/>
  <c r="M49" i="15" a="1"/>
  <c r="M49" i="15" s="1"/>
  <c r="M50" i="15" a="1"/>
  <c r="M50" i="15" s="1"/>
  <c r="M51" i="15" a="1"/>
  <c r="M51" i="15" s="1"/>
  <c r="M52" i="15" a="1"/>
  <c r="M52" i="15" s="1"/>
  <c r="M53" i="15" a="1"/>
  <c r="M53" i="15" s="1"/>
  <c r="M54" i="15" a="1"/>
  <c r="M54" i="15" s="1"/>
  <c r="M55" i="15" a="1"/>
  <c r="M55" i="15" s="1"/>
  <c r="M56" i="15" a="1"/>
  <c r="M56" i="15" s="1"/>
  <c r="M57" i="15" a="1"/>
  <c r="M57" i="15" s="1"/>
  <c r="M58" i="15" a="1"/>
  <c r="M58" i="15" s="1"/>
  <c r="M59" i="15" a="1"/>
  <c r="M59" i="15" s="1"/>
  <c r="M60" i="15" a="1"/>
  <c r="M60" i="15" s="1"/>
  <c r="M61" i="15" a="1"/>
  <c r="M61" i="15" s="1"/>
  <c r="M62" i="15" a="1"/>
  <c r="M62" i="15" s="1"/>
  <c r="M63" i="15" a="1"/>
  <c r="M63" i="15" s="1"/>
  <c r="M64" i="15" a="1"/>
  <c r="M64" i="15" s="1"/>
  <c r="M65" i="15" a="1"/>
  <c r="M65" i="15" s="1"/>
  <c r="M66" i="15" a="1"/>
  <c r="M66" i="15" s="1"/>
  <c r="M67" i="15" a="1"/>
  <c r="M67" i="15" s="1"/>
  <c r="M68" i="15" a="1"/>
  <c r="M68" i="15" s="1"/>
  <c r="M69" i="15" a="1"/>
  <c r="M69" i="15" s="1"/>
  <c r="M70" i="15" a="1"/>
  <c r="M70" i="15" s="1"/>
  <c r="M71" i="15" a="1"/>
  <c r="M71" i="15" s="1"/>
  <c r="M72" i="15" a="1"/>
  <c r="M72" i="15" s="1"/>
  <c r="M73" i="15" a="1"/>
  <c r="M73" i="15" s="1"/>
  <c r="M74" i="15" a="1"/>
  <c r="M74" i="15" s="1"/>
  <c r="M75" i="15" a="1"/>
  <c r="M75" i="15" s="1"/>
  <c r="M76" i="15" a="1"/>
  <c r="M76" i="15" s="1"/>
  <c r="M77" i="15" a="1"/>
  <c r="M77" i="15" s="1"/>
  <c r="M78" i="15" a="1"/>
  <c r="M78" i="15" s="1"/>
  <c r="M79" i="15" a="1"/>
  <c r="M79" i="15" s="1"/>
  <c r="M80" i="15" a="1"/>
  <c r="M80" i="15" s="1"/>
  <c r="M81" i="15" a="1"/>
  <c r="M81" i="15" s="1"/>
  <c r="M82" i="15" a="1"/>
  <c r="M82" i="15" s="1"/>
  <c r="M83" i="15" a="1"/>
  <c r="M83" i="15" s="1"/>
  <c r="M84" i="15" a="1"/>
  <c r="M84" i="15" s="1"/>
  <c r="M85" i="15" a="1"/>
  <c r="M85" i="15" s="1"/>
  <c r="M86" i="15" a="1"/>
  <c r="M86" i="15" s="1"/>
  <c r="M87" i="15" a="1"/>
  <c r="M87" i="15" s="1"/>
  <c r="M88" i="15" a="1"/>
  <c r="M88" i="15" s="1"/>
  <c r="M89" i="15" a="1"/>
  <c r="M89" i="15" s="1"/>
  <c r="M90" i="15" a="1"/>
  <c r="M90" i="15" s="1"/>
  <c r="M91" i="15" a="1"/>
  <c r="M91" i="15" s="1"/>
  <c r="M92" i="15" a="1"/>
  <c r="M92" i="15" s="1"/>
  <c r="M93" i="15" a="1"/>
  <c r="M93" i="15" s="1"/>
  <c r="M94" i="15" a="1"/>
  <c r="M94" i="15" s="1"/>
  <c r="M95" i="15" a="1"/>
  <c r="M95" i="15" s="1"/>
  <c r="M96" i="15" a="1"/>
  <c r="M96" i="15" s="1"/>
  <c r="M97" i="15" a="1"/>
  <c r="M97" i="15" s="1"/>
  <c r="M98" i="15" a="1"/>
  <c r="M98" i="15" s="1"/>
  <c r="M99" i="15" a="1"/>
  <c r="M99" i="15" s="1"/>
  <c r="M100" i="15" a="1"/>
  <c r="M100" i="15" s="1"/>
  <c r="M101" i="15" a="1"/>
  <c r="M101" i="15" s="1"/>
  <c r="M102" i="15" a="1"/>
  <c r="M102" i="15" s="1"/>
  <c r="M103" i="15" a="1"/>
  <c r="M103" i="15" s="1"/>
  <c r="M104" i="15" a="1"/>
  <c r="M104" i="15" s="1"/>
  <c r="M105" i="15" a="1"/>
  <c r="M105" i="15" s="1"/>
  <c r="M106" i="15" a="1"/>
  <c r="M106" i="15" s="1"/>
  <c r="M107" i="15" a="1"/>
  <c r="M107" i="15" s="1"/>
  <c r="M108" i="15" a="1"/>
  <c r="M108" i="15" s="1"/>
  <c r="M109" i="15" a="1"/>
  <c r="M109" i="15" s="1"/>
  <c r="M110" i="15" a="1"/>
  <c r="M110" i="15" s="1"/>
  <c r="M111" i="15" a="1"/>
  <c r="M111" i="15" s="1"/>
  <c r="M112" i="15" a="1"/>
  <c r="M112" i="15" s="1"/>
  <c r="M113" i="15" a="1"/>
  <c r="M113" i="15" s="1"/>
  <c r="M114" i="15" a="1"/>
  <c r="M114" i="15" s="1"/>
  <c r="M115" i="15" a="1"/>
  <c r="M115" i="15" s="1"/>
  <c r="M116" i="15" a="1"/>
  <c r="M116" i="15" s="1"/>
  <c r="M117" i="15" a="1"/>
  <c r="M117" i="15" s="1"/>
  <c r="M118" i="15" a="1"/>
  <c r="M118" i="15" s="1"/>
  <c r="M119" i="15" a="1"/>
  <c r="M119" i="15" s="1"/>
  <c r="M120" i="15" a="1"/>
  <c r="M120" i="15" s="1"/>
  <c r="M121" i="15" a="1"/>
  <c r="M121" i="15" s="1"/>
  <c r="M122" i="15" a="1"/>
  <c r="M122" i="15" s="1"/>
  <c r="M123" i="15" a="1"/>
  <c r="M123" i="15" s="1"/>
  <c r="M124" i="15" a="1"/>
  <c r="M124" i="15" s="1"/>
  <c r="M125" i="15" a="1"/>
  <c r="M125" i="15" s="1"/>
  <c r="M126" i="15" a="1"/>
  <c r="M126" i="15" s="1"/>
  <c r="M127" i="15" a="1"/>
  <c r="M127" i="15" s="1"/>
  <c r="M128" i="15" a="1"/>
  <c r="M128" i="15" s="1"/>
  <c r="M129" i="15" a="1"/>
  <c r="M129" i="15" s="1"/>
  <c r="M130" i="15" a="1"/>
  <c r="M130" i="15" s="1"/>
  <c r="M131" i="15" a="1"/>
  <c r="M131" i="15" s="1"/>
  <c r="M132" i="15" a="1"/>
  <c r="M132" i="15" s="1"/>
  <c r="M133" i="15" a="1"/>
  <c r="M133" i="15" s="1"/>
  <c r="M134" i="15" a="1"/>
  <c r="M134" i="15" s="1"/>
  <c r="M135" i="15" a="1"/>
  <c r="M135" i="15" s="1"/>
  <c r="M136" i="15" a="1"/>
  <c r="M136" i="15" s="1"/>
  <c r="M137" i="15" a="1"/>
  <c r="M137" i="15" s="1"/>
  <c r="M138" i="15" a="1"/>
  <c r="M138" i="15" s="1"/>
  <c r="M139" i="15" a="1"/>
  <c r="M139" i="15" s="1"/>
  <c r="M140" i="15" a="1"/>
  <c r="M140" i="15" s="1"/>
  <c r="M141" i="15" a="1"/>
  <c r="M141" i="15" s="1"/>
  <c r="M142" i="15" a="1"/>
  <c r="M142" i="15" s="1"/>
  <c r="M143" i="15" a="1"/>
  <c r="M143" i="15" s="1"/>
  <c r="M144" i="15" a="1"/>
  <c r="M144" i="15" s="1"/>
  <c r="M145" i="15" a="1"/>
  <c r="M145" i="15" s="1"/>
  <c r="M146" i="15" a="1"/>
  <c r="M146" i="15" s="1"/>
  <c r="M147" i="15" a="1"/>
  <c r="M147" i="15" s="1"/>
  <c r="M148" i="15" a="1"/>
  <c r="M148" i="15" s="1"/>
  <c r="M149" i="15" a="1"/>
  <c r="M149" i="15" s="1"/>
  <c r="M150" i="15" a="1"/>
  <c r="M150" i="15" s="1"/>
  <c r="M151" i="15" a="1"/>
  <c r="M151" i="15" s="1"/>
  <c r="M152" i="15" a="1"/>
  <c r="M152" i="15" s="1"/>
  <c r="M153" i="15" a="1"/>
  <c r="M153" i="15" s="1"/>
  <c r="M154" i="15" a="1"/>
  <c r="M154" i="15" s="1"/>
  <c r="M155" i="15" a="1"/>
  <c r="M155" i="15" s="1"/>
  <c r="M156" i="15" a="1"/>
  <c r="M156" i="15" s="1"/>
  <c r="M157" i="15" a="1"/>
  <c r="M157" i="15" s="1"/>
  <c r="M158" i="15" a="1"/>
  <c r="M158" i="15" s="1"/>
  <c r="M159" i="15" a="1"/>
  <c r="M159" i="15" s="1"/>
  <c r="M160" i="15" a="1"/>
  <c r="M160" i="15" s="1"/>
  <c r="M161" i="15" a="1"/>
  <c r="M161" i="15" s="1"/>
  <c r="M162" i="15" a="1"/>
  <c r="M162" i="15" s="1"/>
  <c r="M163" i="15" a="1"/>
  <c r="M163" i="15" s="1"/>
  <c r="M164" i="15" a="1"/>
  <c r="M164" i="15" s="1"/>
  <c r="M165" i="15" a="1"/>
  <c r="M165" i="15" s="1"/>
  <c r="K6" i="15" a="1"/>
  <c r="K6" i="15" s="1"/>
  <c r="K7" i="15" a="1"/>
  <c r="K7" i="15" s="1"/>
  <c r="K8" i="15" a="1"/>
  <c r="K8" i="15" s="1"/>
  <c r="K9" i="15" a="1"/>
  <c r="K9" i="15" s="1"/>
  <c r="K10" i="15" a="1"/>
  <c r="K10" i="15" s="1"/>
  <c r="K11" i="15" a="1"/>
  <c r="K11" i="15" s="1"/>
  <c r="K12" i="15" a="1"/>
  <c r="K12" i="15" s="1"/>
  <c r="K13" i="15" a="1"/>
  <c r="K13" i="15" s="1"/>
  <c r="K14" i="15" a="1"/>
  <c r="K14" i="15" s="1"/>
  <c r="K15" i="15" a="1"/>
  <c r="K15" i="15" s="1"/>
  <c r="K16" i="15" a="1"/>
  <c r="K16" i="15" s="1"/>
  <c r="K17" i="15" a="1"/>
  <c r="K17" i="15" s="1"/>
  <c r="K18" i="15" a="1"/>
  <c r="K18" i="15" s="1"/>
  <c r="K19" i="15" a="1"/>
  <c r="K19" i="15" s="1"/>
  <c r="K20" i="15" a="1"/>
  <c r="K20" i="15" s="1"/>
  <c r="K21" i="15" a="1"/>
  <c r="K21" i="15" s="1"/>
  <c r="K22" i="15" a="1"/>
  <c r="K22" i="15" s="1"/>
  <c r="K23" i="15" a="1"/>
  <c r="K23" i="15" s="1"/>
  <c r="K24" i="15" a="1"/>
  <c r="K24" i="15" s="1"/>
  <c r="K25" i="15" a="1"/>
  <c r="K25" i="15" s="1"/>
  <c r="K26" i="15" a="1"/>
  <c r="K26" i="15" s="1"/>
  <c r="K27" i="15" a="1"/>
  <c r="K27" i="15" s="1"/>
  <c r="K28" i="15" a="1"/>
  <c r="K28" i="15" s="1"/>
  <c r="K29" i="15" a="1"/>
  <c r="K29" i="15" s="1"/>
  <c r="K30" i="15" a="1"/>
  <c r="K30" i="15" s="1"/>
  <c r="K31" i="15" a="1"/>
  <c r="K31" i="15" s="1"/>
  <c r="K32" i="15" a="1"/>
  <c r="K32" i="15" s="1"/>
  <c r="K33" i="15" a="1"/>
  <c r="K33" i="15" s="1"/>
  <c r="K34" i="15" a="1"/>
  <c r="K34" i="15" s="1"/>
  <c r="K35" i="15" a="1"/>
  <c r="K35" i="15" s="1"/>
  <c r="K36" i="15" a="1"/>
  <c r="K36" i="15" s="1"/>
  <c r="K37" i="15" a="1"/>
  <c r="K37" i="15" s="1"/>
  <c r="K38" i="15" a="1"/>
  <c r="K38" i="15" s="1"/>
  <c r="K39" i="15" a="1"/>
  <c r="K39" i="15" s="1"/>
  <c r="K40" i="15" a="1"/>
  <c r="K40" i="15" s="1"/>
  <c r="K41" i="15" a="1"/>
  <c r="K41" i="15" s="1"/>
  <c r="K42" i="15" a="1"/>
  <c r="K42" i="15" s="1"/>
  <c r="K43" i="15" a="1"/>
  <c r="K43" i="15" s="1"/>
  <c r="K44" i="15" a="1"/>
  <c r="K44" i="15" s="1"/>
  <c r="K45" i="15" a="1"/>
  <c r="K45" i="15" s="1"/>
  <c r="K46" i="15" a="1"/>
  <c r="K46" i="15" s="1"/>
  <c r="K47" i="15" a="1"/>
  <c r="K47" i="15" s="1"/>
  <c r="K48" i="15" a="1"/>
  <c r="K48" i="15" s="1"/>
  <c r="K49" i="15" a="1"/>
  <c r="K49" i="15" s="1"/>
  <c r="K50" i="15" a="1"/>
  <c r="K50" i="15" s="1"/>
  <c r="K51" i="15" a="1"/>
  <c r="K51" i="15" s="1"/>
  <c r="K52" i="15" a="1"/>
  <c r="K52" i="15" s="1"/>
  <c r="K53" i="15" a="1"/>
  <c r="K53" i="15" s="1"/>
  <c r="K54" i="15" a="1"/>
  <c r="K54" i="15" s="1"/>
  <c r="K55" i="15" a="1"/>
  <c r="K55" i="15" s="1"/>
  <c r="K56" i="15" a="1"/>
  <c r="K56" i="15" s="1"/>
  <c r="K57" i="15" a="1"/>
  <c r="K57" i="15" s="1"/>
  <c r="K58" i="15" a="1"/>
  <c r="K58" i="15" s="1"/>
  <c r="K59" i="15" a="1"/>
  <c r="K59" i="15" s="1"/>
  <c r="K60" i="15" a="1"/>
  <c r="K60" i="15" s="1"/>
  <c r="K61" i="15" a="1"/>
  <c r="K61" i="15" s="1"/>
  <c r="K62" i="15" a="1"/>
  <c r="K62" i="15" s="1"/>
  <c r="K63" i="15" a="1"/>
  <c r="K63" i="15" s="1"/>
  <c r="K64" i="15" a="1"/>
  <c r="K64" i="15" s="1"/>
  <c r="K65" i="15" a="1"/>
  <c r="K65" i="15" s="1"/>
  <c r="K66" i="15" a="1"/>
  <c r="K66" i="15" s="1"/>
  <c r="K67" i="15" a="1"/>
  <c r="K67" i="15" s="1"/>
  <c r="K68" i="15" a="1"/>
  <c r="K68" i="15" s="1"/>
  <c r="K69" i="15" a="1"/>
  <c r="K69" i="15" s="1"/>
  <c r="K70" i="15" a="1"/>
  <c r="K70" i="15" s="1"/>
  <c r="K71" i="15" a="1"/>
  <c r="K71" i="15" s="1"/>
  <c r="K72" i="15" a="1"/>
  <c r="K72" i="15" s="1"/>
  <c r="K73" i="15" a="1"/>
  <c r="K73" i="15" s="1"/>
  <c r="K74" i="15" a="1"/>
  <c r="K74" i="15" s="1"/>
  <c r="K75" i="15" a="1"/>
  <c r="K75" i="15" s="1"/>
  <c r="K76" i="15" a="1"/>
  <c r="K76" i="15" s="1"/>
  <c r="K77" i="15" a="1"/>
  <c r="K77" i="15" s="1"/>
  <c r="K78" i="15" a="1"/>
  <c r="K78" i="15" s="1"/>
  <c r="K79" i="15" a="1"/>
  <c r="K79" i="15" s="1"/>
  <c r="K80" i="15" a="1"/>
  <c r="K80" i="15" s="1"/>
  <c r="K81" i="15" a="1"/>
  <c r="K81" i="15" s="1"/>
  <c r="K82" i="15" a="1"/>
  <c r="K82" i="15" s="1"/>
  <c r="K83" i="15" a="1"/>
  <c r="K83" i="15" s="1"/>
  <c r="K84" i="15" a="1"/>
  <c r="K84" i="15" s="1"/>
  <c r="K85" i="15" a="1"/>
  <c r="K85" i="15" s="1"/>
  <c r="K86" i="15" a="1"/>
  <c r="K86" i="15" s="1"/>
  <c r="K87" i="15" a="1"/>
  <c r="K87" i="15" s="1"/>
  <c r="K88" i="15" a="1"/>
  <c r="K88" i="15" s="1"/>
  <c r="K89" i="15" a="1"/>
  <c r="K89" i="15" s="1"/>
  <c r="K90" i="15" a="1"/>
  <c r="K90" i="15" s="1"/>
  <c r="K91" i="15" a="1"/>
  <c r="K91" i="15" s="1"/>
  <c r="K92" i="15" a="1"/>
  <c r="K92" i="15" s="1"/>
  <c r="K93" i="15" a="1"/>
  <c r="K93" i="15" s="1"/>
  <c r="K94" i="15" a="1"/>
  <c r="K94" i="15" s="1"/>
  <c r="K95" i="15" a="1"/>
  <c r="K95" i="15" s="1"/>
  <c r="K96" i="15" a="1"/>
  <c r="K96" i="15" s="1"/>
  <c r="K97" i="15" a="1"/>
  <c r="K97" i="15" s="1"/>
  <c r="K98" i="15" a="1"/>
  <c r="K98" i="15" s="1"/>
  <c r="K99" i="15" a="1"/>
  <c r="K99" i="15" s="1"/>
  <c r="K100" i="15" a="1"/>
  <c r="K100" i="15" s="1"/>
  <c r="K101" i="15" a="1"/>
  <c r="K101" i="15" s="1"/>
  <c r="K102" i="15" a="1"/>
  <c r="K102" i="15" s="1"/>
  <c r="K103" i="15" a="1"/>
  <c r="K103" i="15" s="1"/>
  <c r="K104" i="15" a="1"/>
  <c r="K104" i="15" s="1"/>
  <c r="K105" i="15" a="1"/>
  <c r="K105" i="15" s="1"/>
  <c r="K106" i="15" a="1"/>
  <c r="K106" i="15" s="1"/>
  <c r="K107" i="15" a="1"/>
  <c r="K107" i="15" s="1"/>
  <c r="K108" i="15" a="1"/>
  <c r="K108" i="15" s="1"/>
  <c r="K109" i="15" a="1"/>
  <c r="K109" i="15" s="1"/>
  <c r="K110" i="15" a="1"/>
  <c r="K110" i="15" s="1"/>
  <c r="K111" i="15" a="1"/>
  <c r="K111" i="15" s="1"/>
  <c r="K112" i="15" a="1"/>
  <c r="K112" i="15" s="1"/>
  <c r="K113" i="15" a="1"/>
  <c r="K113" i="15" s="1"/>
  <c r="K114" i="15" a="1"/>
  <c r="K114" i="15" s="1"/>
  <c r="K115" i="15" a="1"/>
  <c r="K115" i="15" s="1"/>
  <c r="K116" i="15" a="1"/>
  <c r="K116" i="15" s="1"/>
  <c r="K117" i="15" a="1"/>
  <c r="K117" i="15" s="1"/>
  <c r="K118" i="15" a="1"/>
  <c r="K118" i="15" s="1"/>
  <c r="K119" i="15" a="1"/>
  <c r="K119" i="15" s="1"/>
  <c r="K120" i="15" a="1"/>
  <c r="K120" i="15" s="1"/>
  <c r="K121" i="15" a="1"/>
  <c r="K121" i="15" s="1"/>
  <c r="K122" i="15" a="1"/>
  <c r="K122" i="15" s="1"/>
  <c r="K123" i="15" a="1"/>
  <c r="K123" i="15" s="1"/>
  <c r="K124" i="15" a="1"/>
  <c r="K124" i="15" s="1"/>
  <c r="K125" i="15" a="1"/>
  <c r="K125" i="15" s="1"/>
  <c r="K126" i="15" a="1"/>
  <c r="K126" i="15" s="1"/>
  <c r="K127" i="15" a="1"/>
  <c r="K127" i="15" s="1"/>
  <c r="K128" i="15" a="1"/>
  <c r="K128" i="15" s="1"/>
  <c r="K129" i="15" a="1"/>
  <c r="K129" i="15" s="1"/>
  <c r="K130" i="15" a="1"/>
  <c r="K130" i="15" s="1"/>
  <c r="K131" i="15" a="1"/>
  <c r="K131" i="15" s="1"/>
  <c r="K132" i="15" a="1"/>
  <c r="K132" i="15" s="1"/>
  <c r="K133" i="15" a="1"/>
  <c r="K133" i="15" s="1"/>
  <c r="K134" i="15" a="1"/>
  <c r="K134" i="15" s="1"/>
  <c r="K135" i="15" a="1"/>
  <c r="K135" i="15" s="1"/>
  <c r="K136" i="15" a="1"/>
  <c r="K136" i="15" s="1"/>
  <c r="K137" i="15" a="1"/>
  <c r="K137" i="15" s="1"/>
  <c r="K138" i="15" a="1"/>
  <c r="K138" i="15" s="1"/>
  <c r="K139" i="15" a="1"/>
  <c r="K139" i="15" s="1"/>
  <c r="K140" i="15" a="1"/>
  <c r="K140" i="15" s="1"/>
  <c r="K141" i="15" a="1"/>
  <c r="K141" i="15" s="1"/>
  <c r="K142" i="15" a="1"/>
  <c r="K142" i="15" s="1"/>
  <c r="K143" i="15" a="1"/>
  <c r="K143" i="15" s="1"/>
  <c r="K144" i="15" a="1"/>
  <c r="K144" i="15" s="1"/>
  <c r="K145" i="15" a="1"/>
  <c r="K145" i="15" s="1"/>
  <c r="K146" i="15" a="1"/>
  <c r="K146" i="15" s="1"/>
  <c r="K147" i="15" a="1"/>
  <c r="K147" i="15" s="1"/>
  <c r="K148" i="15" a="1"/>
  <c r="K148" i="15" s="1"/>
  <c r="K149" i="15" a="1"/>
  <c r="K149" i="15" s="1"/>
  <c r="K150" i="15" a="1"/>
  <c r="K150" i="15" s="1"/>
  <c r="K151" i="15" a="1"/>
  <c r="K151" i="15" s="1"/>
  <c r="K152" i="15" a="1"/>
  <c r="K152" i="15" s="1"/>
  <c r="K153" i="15" a="1"/>
  <c r="K153" i="15" s="1"/>
  <c r="K154" i="15" a="1"/>
  <c r="K154" i="15" s="1"/>
  <c r="K155" i="15" a="1"/>
  <c r="K155" i="15" s="1"/>
  <c r="K156" i="15" a="1"/>
  <c r="K156" i="15" s="1"/>
  <c r="K157" i="15" a="1"/>
  <c r="K157" i="15" s="1"/>
  <c r="K158" i="15" a="1"/>
  <c r="K158" i="15" s="1"/>
  <c r="K159" i="15" a="1"/>
  <c r="K159" i="15" s="1"/>
  <c r="K160" i="15" a="1"/>
  <c r="K160" i="15" s="1"/>
  <c r="K161" i="15" a="1"/>
  <c r="K161" i="15" s="1"/>
  <c r="K162" i="15" a="1"/>
  <c r="K162" i="15" s="1"/>
  <c r="K163" i="15" a="1"/>
  <c r="K163" i="15" s="1"/>
  <c r="K164" i="15" a="1"/>
  <c r="K164" i="15" s="1"/>
  <c r="K165" i="15" a="1"/>
  <c r="K165" i="15" s="1"/>
  <c r="H6" i="15" a="1"/>
  <c r="H6" i="15"/>
  <c r="H7" i="15" a="1"/>
  <c r="H7" i="15" s="1"/>
  <c r="H8" i="15" a="1"/>
  <c r="H8" i="15" s="1"/>
  <c r="H9" i="15" a="1"/>
  <c r="H9" i="15" s="1"/>
  <c r="H10" i="15" a="1"/>
  <c r="H10" i="15" s="1"/>
  <c r="H11" i="15" a="1"/>
  <c r="H11" i="15" s="1"/>
  <c r="H12" i="15" a="1"/>
  <c r="H12" i="15" s="1"/>
  <c r="H13" i="15" a="1"/>
  <c r="H13" i="15" s="1"/>
  <c r="H14" i="15" a="1"/>
  <c r="H14" i="15" s="1"/>
  <c r="H15" i="15" a="1"/>
  <c r="H15" i="15" s="1"/>
  <c r="H16" i="15" a="1"/>
  <c r="H16" i="15" s="1"/>
  <c r="H17" i="15" a="1"/>
  <c r="H17" i="15" s="1"/>
  <c r="H18" i="15" a="1"/>
  <c r="H18" i="15" s="1"/>
  <c r="H19" i="15" a="1"/>
  <c r="H19" i="15" s="1"/>
  <c r="H20" i="15" a="1"/>
  <c r="H20" i="15" s="1"/>
  <c r="H21" i="15" a="1"/>
  <c r="H21" i="15" s="1"/>
  <c r="H22" i="15" a="1"/>
  <c r="H22" i="15" s="1"/>
  <c r="H23" i="15" a="1"/>
  <c r="H23" i="15" s="1"/>
  <c r="H24" i="15" a="1"/>
  <c r="H24" i="15" s="1"/>
  <c r="H25" i="15" a="1"/>
  <c r="H25" i="15" s="1"/>
  <c r="H26" i="15" a="1"/>
  <c r="H26" i="15" s="1"/>
  <c r="H27" i="15" a="1"/>
  <c r="H27" i="15" s="1"/>
  <c r="H28" i="15" a="1"/>
  <c r="H28" i="15" s="1"/>
  <c r="H29" i="15" a="1"/>
  <c r="H29" i="15" s="1"/>
  <c r="H30" i="15" a="1"/>
  <c r="H30" i="15" s="1"/>
  <c r="H31" i="15" a="1"/>
  <c r="H31" i="15" s="1"/>
  <c r="H32" i="15" a="1"/>
  <c r="H32" i="15" s="1"/>
  <c r="H33" i="15" a="1"/>
  <c r="H33" i="15" s="1"/>
  <c r="H34" i="15" a="1"/>
  <c r="H34" i="15" s="1"/>
  <c r="H35" i="15" a="1"/>
  <c r="H35" i="15" s="1"/>
  <c r="H36" i="15" a="1"/>
  <c r="H36" i="15" s="1"/>
  <c r="H37" i="15" a="1"/>
  <c r="H37" i="15" s="1"/>
  <c r="H38" i="15" a="1"/>
  <c r="H38" i="15" s="1"/>
  <c r="H39" i="15" a="1"/>
  <c r="H39" i="15" s="1"/>
  <c r="H40" i="15" a="1"/>
  <c r="H40" i="15" s="1"/>
  <c r="H41" i="15" a="1"/>
  <c r="H41" i="15" s="1"/>
  <c r="H42" i="15" a="1"/>
  <c r="H42" i="15" s="1"/>
  <c r="H43" i="15" a="1"/>
  <c r="H43" i="15" s="1"/>
  <c r="H44" i="15" a="1"/>
  <c r="H44" i="15" s="1"/>
  <c r="H45" i="15" a="1"/>
  <c r="H45" i="15" s="1"/>
  <c r="H46" i="15" a="1"/>
  <c r="H46" i="15" s="1"/>
  <c r="H47" i="15" a="1"/>
  <c r="H47" i="15" s="1"/>
  <c r="H48" i="15" a="1"/>
  <c r="H48" i="15" s="1"/>
  <c r="H49" i="15" a="1"/>
  <c r="H49" i="15" s="1"/>
  <c r="H50" i="15" a="1"/>
  <c r="H50" i="15" s="1"/>
  <c r="H51" i="15" a="1"/>
  <c r="H51" i="15" s="1"/>
  <c r="H52" i="15" a="1"/>
  <c r="H52" i="15" s="1"/>
  <c r="H53" i="15" a="1"/>
  <c r="H53" i="15" s="1"/>
  <c r="H54" i="15" a="1"/>
  <c r="H54" i="15" s="1"/>
  <c r="H55" i="15" a="1"/>
  <c r="H55" i="15" s="1"/>
  <c r="H56" i="15" a="1"/>
  <c r="H56" i="15" s="1"/>
  <c r="H57" i="15" a="1"/>
  <c r="H57" i="15" s="1"/>
  <c r="H58" i="15" a="1"/>
  <c r="H58" i="15" s="1"/>
  <c r="H59" i="15" a="1"/>
  <c r="H59" i="15" s="1"/>
  <c r="H60" i="15" a="1"/>
  <c r="H60" i="15" s="1"/>
  <c r="H61" i="15" a="1"/>
  <c r="H61" i="15" s="1"/>
  <c r="H62" i="15" a="1"/>
  <c r="H62" i="15" s="1"/>
  <c r="H63" i="15" a="1"/>
  <c r="H63" i="15" s="1"/>
  <c r="H64" i="15" a="1"/>
  <c r="H64" i="15" s="1"/>
  <c r="H65" i="15" a="1"/>
  <c r="H65" i="15" s="1"/>
  <c r="H66" i="15" a="1"/>
  <c r="H66" i="15" s="1"/>
  <c r="H67" i="15" a="1"/>
  <c r="H67" i="15" s="1"/>
  <c r="H68" i="15" a="1"/>
  <c r="H68" i="15" s="1"/>
  <c r="H69" i="15" a="1"/>
  <c r="H69" i="15" s="1"/>
  <c r="H70" i="15" a="1"/>
  <c r="H70" i="15" s="1"/>
  <c r="H71" i="15" a="1"/>
  <c r="H71" i="15" s="1"/>
  <c r="H72" i="15" a="1"/>
  <c r="H72" i="15" s="1"/>
  <c r="H73" i="15" a="1"/>
  <c r="H73" i="15" s="1"/>
  <c r="H74" i="15" a="1"/>
  <c r="H74" i="15" s="1"/>
  <c r="H75" i="15" a="1"/>
  <c r="H75" i="15" s="1"/>
  <c r="H76" i="15" a="1"/>
  <c r="H76" i="15" s="1"/>
  <c r="H77" i="15" a="1"/>
  <c r="H77" i="15" s="1"/>
  <c r="H78" i="15" a="1"/>
  <c r="H78" i="15" s="1"/>
  <c r="H79" i="15" a="1"/>
  <c r="H79" i="15" s="1"/>
  <c r="H80" i="15" a="1"/>
  <c r="H80" i="15" s="1"/>
  <c r="H81" i="15" a="1"/>
  <c r="H81" i="15" s="1"/>
  <c r="H82" i="15" a="1"/>
  <c r="H82" i="15" s="1"/>
  <c r="H83" i="15" a="1"/>
  <c r="H83" i="15" s="1"/>
  <c r="H84" i="15" a="1"/>
  <c r="H84" i="15" s="1"/>
  <c r="H85" i="15" a="1"/>
  <c r="H85" i="15" s="1"/>
  <c r="H86" i="15" a="1"/>
  <c r="H86" i="15" s="1"/>
  <c r="H87" i="15" a="1"/>
  <c r="H87" i="15" s="1"/>
  <c r="H88" i="15" a="1"/>
  <c r="H88" i="15" s="1"/>
  <c r="H89" i="15" a="1"/>
  <c r="H89" i="15" s="1"/>
  <c r="H90" i="15" a="1"/>
  <c r="H90" i="15" s="1"/>
  <c r="H91" i="15" a="1"/>
  <c r="H91" i="15" s="1"/>
  <c r="H92" i="15" a="1"/>
  <c r="H92" i="15" s="1"/>
  <c r="H93" i="15" a="1"/>
  <c r="H93" i="15" s="1"/>
  <c r="H94" i="15" a="1"/>
  <c r="H94" i="15" s="1"/>
  <c r="H95" i="15" a="1"/>
  <c r="H95" i="15" s="1"/>
  <c r="H96" i="15" a="1"/>
  <c r="H96" i="15" s="1"/>
  <c r="H97" i="15" a="1"/>
  <c r="H97" i="15" s="1"/>
  <c r="H98" i="15" a="1"/>
  <c r="H98" i="15" s="1"/>
  <c r="H99" i="15" a="1"/>
  <c r="H99" i="15" s="1"/>
  <c r="H100" i="15" a="1"/>
  <c r="H100" i="15" s="1"/>
  <c r="H101" i="15" a="1"/>
  <c r="H101" i="15" s="1"/>
  <c r="H102" i="15" a="1"/>
  <c r="H102" i="15" s="1"/>
  <c r="H103" i="15" a="1"/>
  <c r="H103" i="15" s="1"/>
  <c r="H104" i="15" a="1"/>
  <c r="H104" i="15" s="1"/>
  <c r="H105" i="15" a="1"/>
  <c r="H105" i="15" s="1"/>
  <c r="H106" i="15" a="1"/>
  <c r="H106" i="15" s="1"/>
  <c r="H107" i="15" a="1"/>
  <c r="H107" i="15" s="1"/>
  <c r="H108" i="15" a="1"/>
  <c r="H108" i="15" s="1"/>
  <c r="H109" i="15" a="1"/>
  <c r="H109" i="15" s="1"/>
  <c r="H110" i="15" a="1"/>
  <c r="H110" i="15" s="1"/>
  <c r="H111" i="15" a="1"/>
  <c r="H111" i="15" s="1"/>
  <c r="H112" i="15" a="1"/>
  <c r="H112" i="15" s="1"/>
  <c r="H113" i="15" a="1"/>
  <c r="H113" i="15" s="1"/>
  <c r="H114" i="15" a="1"/>
  <c r="H114" i="15" s="1"/>
  <c r="H115" i="15" a="1"/>
  <c r="H115" i="15" s="1"/>
  <c r="H116" i="15" a="1"/>
  <c r="H116" i="15" s="1"/>
  <c r="H117" i="15" a="1"/>
  <c r="H117" i="15" s="1"/>
  <c r="H118" i="15" a="1"/>
  <c r="H118" i="15" s="1"/>
  <c r="H119" i="15" a="1"/>
  <c r="H119" i="15" s="1"/>
  <c r="H120" i="15" a="1"/>
  <c r="H120" i="15" s="1"/>
  <c r="H121" i="15" a="1"/>
  <c r="H121" i="15" s="1"/>
  <c r="H122" i="15" a="1"/>
  <c r="H122" i="15" s="1"/>
  <c r="H123" i="15" a="1"/>
  <c r="H123" i="15" s="1"/>
  <c r="H124" i="15" a="1"/>
  <c r="H124" i="15" s="1"/>
  <c r="H125" i="15" a="1"/>
  <c r="H125" i="15" s="1"/>
  <c r="H126" i="15" a="1"/>
  <c r="H126" i="15" s="1"/>
  <c r="H127" i="15" a="1"/>
  <c r="H127" i="15" s="1"/>
  <c r="H128" i="15" a="1"/>
  <c r="H128" i="15" s="1"/>
  <c r="H129" i="15" a="1"/>
  <c r="H129" i="15" s="1"/>
  <c r="H130" i="15" a="1"/>
  <c r="H130" i="15" s="1"/>
  <c r="H131" i="15" a="1"/>
  <c r="H131" i="15" s="1"/>
  <c r="H132" i="15" a="1"/>
  <c r="H132" i="15" s="1"/>
  <c r="H133" i="15" a="1"/>
  <c r="H133" i="15" s="1"/>
  <c r="H134" i="15" a="1"/>
  <c r="H134" i="15" s="1"/>
  <c r="H135" i="15" a="1"/>
  <c r="H135" i="15" s="1"/>
  <c r="H136" i="15" a="1"/>
  <c r="H136" i="15" s="1"/>
  <c r="H137" i="15" a="1"/>
  <c r="H137" i="15" s="1"/>
  <c r="H138" i="15" a="1"/>
  <c r="H138" i="15" s="1"/>
  <c r="H139" i="15" a="1"/>
  <c r="H139" i="15" s="1"/>
  <c r="H140" i="15" a="1"/>
  <c r="H140" i="15" s="1"/>
  <c r="H141" i="15" a="1"/>
  <c r="H141" i="15" s="1"/>
  <c r="H142" i="15" a="1"/>
  <c r="H142" i="15" s="1"/>
  <c r="H143" i="15" a="1"/>
  <c r="H143" i="15" s="1"/>
  <c r="H144" i="15" a="1"/>
  <c r="H144" i="15" s="1"/>
  <c r="H145" i="15" a="1"/>
  <c r="H145" i="15" s="1"/>
  <c r="H146" i="15" a="1"/>
  <c r="H146" i="15" s="1"/>
  <c r="H147" i="15" a="1"/>
  <c r="H147" i="15" s="1"/>
  <c r="H148" i="15" a="1"/>
  <c r="H148" i="15" s="1"/>
  <c r="H149" i="15" a="1"/>
  <c r="H149" i="15" s="1"/>
  <c r="H150" i="15" a="1"/>
  <c r="H150" i="15" s="1"/>
  <c r="H151" i="15" a="1"/>
  <c r="H151" i="15" s="1"/>
  <c r="H152" i="15" a="1"/>
  <c r="H152" i="15" s="1"/>
  <c r="H153" i="15" a="1"/>
  <c r="H153" i="15" s="1"/>
  <c r="H154" i="15" a="1"/>
  <c r="H154" i="15" s="1"/>
  <c r="H155" i="15" a="1"/>
  <c r="H155" i="15" s="1"/>
  <c r="H156" i="15" a="1"/>
  <c r="H156" i="15" s="1"/>
  <c r="H157" i="15" a="1"/>
  <c r="H157" i="15" s="1"/>
  <c r="H158" i="15" a="1"/>
  <c r="H158" i="15" s="1"/>
  <c r="H159" i="15" a="1"/>
  <c r="H159" i="15" s="1"/>
  <c r="H160" i="15" a="1"/>
  <c r="H160" i="15" s="1"/>
  <c r="H161" i="15" a="1"/>
  <c r="H161" i="15" s="1"/>
  <c r="H162" i="15" a="1"/>
  <c r="H162" i="15" s="1"/>
  <c r="H163" i="15" a="1"/>
  <c r="H163" i="15" s="1"/>
  <c r="H164" i="15" a="1"/>
  <c r="H164" i="15" s="1"/>
  <c r="H165" i="15" a="1"/>
  <c r="H165" i="15" s="1"/>
  <c r="G6" i="15" a="1"/>
  <c r="G6" i="15" s="1"/>
  <c r="G7" i="15" a="1"/>
  <c r="G7" i="15" s="1"/>
  <c r="G8" i="15" a="1"/>
  <c r="G8" i="15" s="1"/>
  <c r="G9" i="15" a="1"/>
  <c r="G9" i="15" s="1"/>
  <c r="G10" i="15" a="1"/>
  <c r="G10" i="15" s="1"/>
  <c r="G11" i="15" a="1"/>
  <c r="G11" i="15" s="1"/>
  <c r="G12" i="15" a="1"/>
  <c r="G12" i="15" s="1"/>
  <c r="G13" i="15" a="1"/>
  <c r="G13" i="15" s="1"/>
  <c r="G14" i="15" a="1"/>
  <c r="G14" i="15" s="1"/>
  <c r="G15" i="15" a="1"/>
  <c r="G15" i="15" s="1"/>
  <c r="G16" i="15" a="1"/>
  <c r="G16" i="15" s="1"/>
  <c r="G17" i="15" a="1"/>
  <c r="G17" i="15" s="1"/>
  <c r="G18" i="15" a="1"/>
  <c r="G18" i="15" s="1"/>
  <c r="G19" i="15" a="1"/>
  <c r="G19" i="15" s="1"/>
  <c r="G20" i="15" a="1"/>
  <c r="G20" i="15" s="1"/>
  <c r="G21" i="15" a="1"/>
  <c r="G21" i="15" s="1"/>
  <c r="G22" i="15" a="1"/>
  <c r="G22" i="15" s="1"/>
  <c r="G23" i="15" a="1"/>
  <c r="G23" i="15" s="1"/>
  <c r="G24" i="15" a="1"/>
  <c r="G24" i="15" s="1"/>
  <c r="G25" i="15" a="1"/>
  <c r="G25" i="15" s="1"/>
  <c r="G26" i="15" a="1"/>
  <c r="G26" i="15" s="1"/>
  <c r="G27" i="15" a="1"/>
  <c r="G27" i="15" s="1"/>
  <c r="G28" i="15" a="1"/>
  <c r="G28" i="15" s="1"/>
  <c r="G29" i="15" a="1"/>
  <c r="G29" i="15" s="1"/>
  <c r="G30" i="15" a="1"/>
  <c r="G30" i="15" s="1"/>
  <c r="G31" i="15" a="1"/>
  <c r="G31" i="15" s="1"/>
  <c r="G32" i="15" a="1"/>
  <c r="G32" i="15" s="1"/>
  <c r="G33" i="15" a="1"/>
  <c r="G33" i="15" s="1"/>
  <c r="G34" i="15" a="1"/>
  <c r="G34" i="15" s="1"/>
  <c r="G35" i="15" a="1"/>
  <c r="G35" i="15" s="1"/>
  <c r="G36" i="15" a="1"/>
  <c r="G36" i="15" s="1"/>
  <c r="G37" i="15" a="1"/>
  <c r="G37" i="15" s="1"/>
  <c r="G38" i="15" a="1"/>
  <c r="G38" i="15" s="1"/>
  <c r="G39" i="15" a="1"/>
  <c r="G39" i="15" s="1"/>
  <c r="G40" i="15" a="1"/>
  <c r="G40" i="15" s="1"/>
  <c r="G41" i="15" a="1"/>
  <c r="G41" i="15" s="1"/>
  <c r="G42" i="15" a="1"/>
  <c r="G42" i="15" s="1"/>
  <c r="G43" i="15" a="1"/>
  <c r="G43" i="15" s="1"/>
  <c r="G44" i="15" a="1"/>
  <c r="G44" i="15" s="1"/>
  <c r="G45" i="15" a="1"/>
  <c r="G45" i="15" s="1"/>
  <c r="G46" i="15" a="1"/>
  <c r="G46" i="15" s="1"/>
  <c r="G47" i="15" a="1"/>
  <c r="G47" i="15" s="1"/>
  <c r="G48" i="15" a="1"/>
  <c r="G48" i="15" s="1"/>
  <c r="G49" i="15" a="1"/>
  <c r="G49" i="15" s="1"/>
  <c r="G50" i="15" a="1"/>
  <c r="G50" i="15" s="1"/>
  <c r="G51" i="15" a="1"/>
  <c r="G51" i="15" s="1"/>
  <c r="G52" i="15" a="1"/>
  <c r="G52" i="15" s="1"/>
  <c r="G53" i="15" a="1"/>
  <c r="G53" i="15" s="1"/>
  <c r="G54" i="15" a="1"/>
  <c r="G54" i="15" s="1"/>
  <c r="G55" i="15" a="1"/>
  <c r="G55" i="15" s="1"/>
  <c r="G56" i="15" a="1"/>
  <c r="G56" i="15" s="1"/>
  <c r="G57" i="15" a="1"/>
  <c r="G57" i="15" s="1"/>
  <c r="G58" i="15" a="1"/>
  <c r="G58" i="15" s="1"/>
  <c r="G59" i="15" a="1"/>
  <c r="G59" i="15" s="1"/>
  <c r="G60" i="15" a="1"/>
  <c r="G60" i="15" s="1"/>
  <c r="G61" i="15" a="1"/>
  <c r="G61" i="15" s="1"/>
  <c r="G62" i="15" a="1"/>
  <c r="G62" i="15" s="1"/>
  <c r="G63" i="15" a="1"/>
  <c r="G63" i="15" s="1"/>
  <c r="G64" i="15" a="1"/>
  <c r="G64" i="15" s="1"/>
  <c r="G65" i="15" a="1"/>
  <c r="G65" i="15" s="1"/>
  <c r="G66" i="15" a="1"/>
  <c r="G66" i="15" s="1"/>
  <c r="G67" i="15" a="1"/>
  <c r="G67" i="15" s="1"/>
  <c r="G68" i="15" a="1"/>
  <c r="G68" i="15" s="1"/>
  <c r="G69" i="15" a="1"/>
  <c r="G69" i="15" s="1"/>
  <c r="G70" i="15" a="1"/>
  <c r="G70" i="15" s="1"/>
  <c r="G71" i="15" a="1"/>
  <c r="G71" i="15" s="1"/>
  <c r="G72" i="15" a="1"/>
  <c r="G72" i="15" s="1"/>
  <c r="G73" i="15" a="1"/>
  <c r="G73" i="15" s="1"/>
  <c r="G74" i="15" a="1"/>
  <c r="G74" i="15" s="1"/>
  <c r="G75" i="15" a="1"/>
  <c r="G75" i="15" s="1"/>
  <c r="G76" i="15" a="1"/>
  <c r="G76" i="15" s="1"/>
  <c r="G77" i="15" a="1"/>
  <c r="G77" i="15" s="1"/>
  <c r="G78" i="15" a="1"/>
  <c r="G78" i="15" s="1"/>
  <c r="G79" i="15" a="1"/>
  <c r="G79" i="15" s="1"/>
  <c r="G80" i="15" a="1"/>
  <c r="G80" i="15" s="1"/>
  <c r="G81" i="15" a="1"/>
  <c r="G81" i="15" s="1"/>
  <c r="G82" i="15" a="1"/>
  <c r="G82" i="15" s="1"/>
  <c r="G83" i="15" a="1"/>
  <c r="G83" i="15" s="1"/>
  <c r="G84" i="15" a="1"/>
  <c r="G84" i="15" s="1"/>
  <c r="G85" i="15" a="1"/>
  <c r="G85" i="15" s="1"/>
  <c r="G86" i="15" a="1"/>
  <c r="G86" i="15" s="1"/>
  <c r="G87" i="15" a="1"/>
  <c r="G87" i="15" s="1"/>
  <c r="G88" i="15" a="1"/>
  <c r="G88" i="15" s="1"/>
  <c r="G89" i="15" a="1"/>
  <c r="G89" i="15" s="1"/>
  <c r="G90" i="15" a="1"/>
  <c r="G90" i="15" s="1"/>
  <c r="G91" i="15" a="1"/>
  <c r="G91" i="15" s="1"/>
  <c r="G92" i="15" a="1"/>
  <c r="G92" i="15" s="1"/>
  <c r="G93" i="15" a="1"/>
  <c r="G93" i="15" s="1"/>
  <c r="G94" i="15" a="1"/>
  <c r="G94" i="15" s="1"/>
  <c r="G95" i="15" a="1"/>
  <c r="G95" i="15" s="1"/>
  <c r="G96" i="15" a="1"/>
  <c r="G96" i="15" s="1"/>
  <c r="G97" i="15" a="1"/>
  <c r="G97" i="15" s="1"/>
  <c r="G98" i="15" a="1"/>
  <c r="G98" i="15" s="1"/>
  <c r="G99" i="15" a="1"/>
  <c r="G99" i="15" s="1"/>
  <c r="G100" i="15" a="1"/>
  <c r="G100" i="15" s="1"/>
  <c r="G101" i="15" a="1"/>
  <c r="G101" i="15" s="1"/>
  <c r="G102" i="15" a="1"/>
  <c r="G102" i="15" s="1"/>
  <c r="G103" i="15" a="1"/>
  <c r="G103" i="15" s="1"/>
  <c r="G104" i="15" a="1"/>
  <c r="G104" i="15" s="1"/>
  <c r="G105" i="15" a="1"/>
  <c r="G105" i="15" s="1"/>
  <c r="G106" i="15" a="1"/>
  <c r="G106" i="15" s="1"/>
  <c r="G107" i="15" a="1"/>
  <c r="G107" i="15" s="1"/>
  <c r="G108" i="15" a="1"/>
  <c r="G108" i="15" s="1"/>
  <c r="G109" i="15" a="1"/>
  <c r="G109" i="15" s="1"/>
  <c r="G110" i="15" a="1"/>
  <c r="G110" i="15" s="1"/>
  <c r="G111" i="15" a="1"/>
  <c r="G111" i="15" s="1"/>
  <c r="G112" i="15" a="1"/>
  <c r="G112" i="15" s="1"/>
  <c r="G113" i="15" a="1"/>
  <c r="G113" i="15" s="1"/>
  <c r="G114" i="15" a="1"/>
  <c r="G114" i="15" s="1"/>
  <c r="G115" i="15" a="1"/>
  <c r="G115" i="15" s="1"/>
  <c r="G116" i="15" a="1"/>
  <c r="G116" i="15" s="1"/>
  <c r="G117" i="15" a="1"/>
  <c r="G117" i="15" s="1"/>
  <c r="G118" i="15" a="1"/>
  <c r="G118" i="15" s="1"/>
  <c r="G119" i="15" a="1"/>
  <c r="G119" i="15" s="1"/>
  <c r="G120" i="15" a="1"/>
  <c r="G120" i="15" s="1"/>
  <c r="G121" i="15" a="1"/>
  <c r="G121" i="15" s="1"/>
  <c r="G122" i="15" a="1"/>
  <c r="G122" i="15" s="1"/>
  <c r="G123" i="15" a="1"/>
  <c r="G123" i="15" s="1"/>
  <c r="G124" i="15" a="1"/>
  <c r="G124" i="15" s="1"/>
  <c r="G125" i="15" a="1"/>
  <c r="G125" i="15" s="1"/>
  <c r="G126" i="15" a="1"/>
  <c r="G126" i="15" s="1"/>
  <c r="G127" i="15" a="1"/>
  <c r="G127" i="15" s="1"/>
  <c r="G128" i="15" a="1"/>
  <c r="G128" i="15" s="1"/>
  <c r="G129" i="15" a="1"/>
  <c r="G129" i="15" s="1"/>
  <c r="G130" i="15" a="1"/>
  <c r="G130" i="15" s="1"/>
  <c r="G131" i="15" a="1"/>
  <c r="G131" i="15" s="1"/>
  <c r="G132" i="15" a="1"/>
  <c r="G132" i="15" s="1"/>
  <c r="G133" i="15" a="1"/>
  <c r="G133" i="15" s="1"/>
  <c r="G134" i="15" a="1"/>
  <c r="G134" i="15" s="1"/>
  <c r="G135" i="15" a="1"/>
  <c r="G135" i="15" s="1"/>
  <c r="G136" i="15" a="1"/>
  <c r="G136" i="15" s="1"/>
  <c r="G137" i="15" a="1"/>
  <c r="G137" i="15" s="1"/>
  <c r="G138" i="15" a="1"/>
  <c r="G138" i="15" s="1"/>
  <c r="G139" i="15" a="1"/>
  <c r="G139" i="15" s="1"/>
  <c r="G140" i="15" a="1"/>
  <c r="G140" i="15" s="1"/>
  <c r="G141" i="15" a="1"/>
  <c r="G141" i="15" s="1"/>
  <c r="G142" i="15" a="1"/>
  <c r="G142" i="15" s="1"/>
  <c r="G143" i="15" a="1"/>
  <c r="G143" i="15" s="1"/>
  <c r="G144" i="15" a="1"/>
  <c r="G144" i="15" s="1"/>
  <c r="G145" i="15" a="1"/>
  <c r="G145" i="15" s="1"/>
  <c r="G146" i="15" a="1"/>
  <c r="G146" i="15" s="1"/>
  <c r="G147" i="15" a="1"/>
  <c r="G147" i="15" s="1"/>
  <c r="G148" i="15" a="1"/>
  <c r="G148" i="15" s="1"/>
  <c r="G149" i="15" a="1"/>
  <c r="G149" i="15" s="1"/>
  <c r="G150" i="15" a="1"/>
  <c r="G150" i="15" s="1"/>
  <c r="G151" i="15" a="1"/>
  <c r="G151" i="15" s="1"/>
  <c r="G152" i="15" a="1"/>
  <c r="G152" i="15" s="1"/>
  <c r="G153" i="15" a="1"/>
  <c r="G153" i="15" s="1"/>
  <c r="G154" i="15" a="1"/>
  <c r="G154" i="15" s="1"/>
  <c r="G155" i="15" a="1"/>
  <c r="G155" i="15" s="1"/>
  <c r="G156" i="15" a="1"/>
  <c r="G156" i="15" s="1"/>
  <c r="G157" i="15" a="1"/>
  <c r="G157" i="15" s="1"/>
  <c r="G158" i="15" a="1"/>
  <c r="G158" i="15" s="1"/>
  <c r="G159" i="15" a="1"/>
  <c r="G159" i="15" s="1"/>
  <c r="G160" i="15" a="1"/>
  <c r="G160" i="15" s="1"/>
  <c r="G161" i="15" a="1"/>
  <c r="G161" i="15" s="1"/>
  <c r="G162" i="15" a="1"/>
  <c r="G162" i="15" s="1"/>
  <c r="G163" i="15" a="1"/>
  <c r="G163" i="15" s="1"/>
  <c r="G164" i="15" a="1"/>
  <c r="G164" i="15" s="1"/>
  <c r="G165" i="15" a="1"/>
  <c r="G165" i="15" s="1"/>
  <c r="F6" i="15" a="1"/>
  <c r="F6" i="15" s="1"/>
  <c r="F7" i="15" a="1"/>
  <c r="F7" i="15" s="1"/>
  <c r="F8" i="15" a="1"/>
  <c r="F8" i="15" s="1"/>
  <c r="F9" i="15" a="1"/>
  <c r="F9" i="15" s="1"/>
  <c r="F10" i="15" a="1"/>
  <c r="F10" i="15" s="1"/>
  <c r="F11" i="15" a="1"/>
  <c r="F11" i="15" s="1"/>
  <c r="F12" i="15" a="1"/>
  <c r="F12" i="15" s="1"/>
  <c r="F13" i="15" a="1"/>
  <c r="F13" i="15" s="1"/>
  <c r="F14" i="15" a="1"/>
  <c r="F14" i="15" s="1"/>
  <c r="F15" i="15" a="1"/>
  <c r="F15" i="15" s="1"/>
  <c r="F16" i="15" a="1"/>
  <c r="F16" i="15" s="1"/>
  <c r="F17" i="15" a="1"/>
  <c r="F17" i="15" s="1"/>
  <c r="F18" i="15" a="1"/>
  <c r="F18" i="15" s="1"/>
  <c r="F19" i="15" a="1"/>
  <c r="F19" i="15" s="1"/>
  <c r="F20" i="15" a="1"/>
  <c r="F20" i="15" s="1"/>
  <c r="F21" i="15" a="1"/>
  <c r="F21" i="15" s="1"/>
  <c r="F22" i="15" a="1"/>
  <c r="F22" i="15" s="1"/>
  <c r="F23" i="15" a="1"/>
  <c r="F23" i="15" s="1"/>
  <c r="F24" i="15" a="1"/>
  <c r="F24" i="15" s="1"/>
  <c r="F25" i="15" a="1"/>
  <c r="F25" i="15" s="1"/>
  <c r="F26" i="15" a="1"/>
  <c r="F26" i="15" s="1"/>
  <c r="F27" i="15" a="1"/>
  <c r="F27" i="15" s="1"/>
  <c r="F28" i="15" a="1"/>
  <c r="F28" i="15" s="1"/>
  <c r="F29" i="15" a="1"/>
  <c r="F29" i="15" s="1"/>
  <c r="F30" i="15" a="1"/>
  <c r="F30" i="15" s="1"/>
  <c r="F31" i="15" a="1"/>
  <c r="F31" i="15" s="1"/>
  <c r="F32" i="15" a="1"/>
  <c r="F32" i="15" s="1"/>
  <c r="F33" i="15" a="1"/>
  <c r="F33" i="15" s="1"/>
  <c r="F34" i="15" a="1"/>
  <c r="F34" i="15" s="1"/>
  <c r="F35" i="15" a="1"/>
  <c r="F35" i="15" s="1"/>
  <c r="F36" i="15" a="1"/>
  <c r="F36" i="15" s="1"/>
  <c r="F37" i="15" a="1"/>
  <c r="F37" i="15" s="1"/>
  <c r="F38" i="15" a="1"/>
  <c r="F38" i="15" s="1"/>
  <c r="F39" i="15" a="1"/>
  <c r="F39" i="15" s="1"/>
  <c r="F40" i="15" a="1"/>
  <c r="F40" i="15" s="1"/>
  <c r="F41" i="15" a="1"/>
  <c r="F41" i="15" s="1"/>
  <c r="F42" i="15" a="1"/>
  <c r="F42" i="15" s="1"/>
  <c r="F43" i="15" a="1"/>
  <c r="F43" i="15" s="1"/>
  <c r="F44" i="15" a="1"/>
  <c r="F44" i="15" s="1"/>
  <c r="F45" i="15" a="1"/>
  <c r="F45" i="15" s="1"/>
  <c r="F46" i="15" a="1"/>
  <c r="F46" i="15" s="1"/>
  <c r="F47" i="15" a="1"/>
  <c r="F47" i="15" s="1"/>
  <c r="F48" i="15" a="1"/>
  <c r="F48" i="15" s="1"/>
  <c r="F49" i="15" a="1"/>
  <c r="F49" i="15" s="1"/>
  <c r="F50" i="15" a="1"/>
  <c r="F50" i="15" s="1"/>
  <c r="F51" i="15" a="1"/>
  <c r="F51" i="15" s="1"/>
  <c r="F52" i="15" a="1"/>
  <c r="F52" i="15" s="1"/>
  <c r="F53" i="15" a="1"/>
  <c r="F53" i="15" s="1"/>
  <c r="F54" i="15" a="1"/>
  <c r="F54" i="15" s="1"/>
  <c r="F55" i="15" a="1"/>
  <c r="F55" i="15" s="1"/>
  <c r="F56" i="15" a="1"/>
  <c r="F56" i="15" s="1"/>
  <c r="F57" i="15" a="1"/>
  <c r="F57" i="15" s="1"/>
  <c r="F58" i="15" a="1"/>
  <c r="F58" i="15" s="1"/>
  <c r="F59" i="15" a="1"/>
  <c r="F59" i="15" s="1"/>
  <c r="F60" i="15" a="1"/>
  <c r="F60" i="15" s="1"/>
  <c r="F61" i="15" a="1"/>
  <c r="F61" i="15" s="1"/>
  <c r="F62" i="15" a="1"/>
  <c r="F62" i="15" s="1"/>
  <c r="F63" i="15" a="1"/>
  <c r="F63" i="15" s="1"/>
  <c r="F64" i="15" a="1"/>
  <c r="F64" i="15" s="1"/>
  <c r="F65" i="15" a="1"/>
  <c r="F65" i="15" s="1"/>
  <c r="F66" i="15" a="1"/>
  <c r="F66" i="15" s="1"/>
  <c r="F67" i="15" a="1"/>
  <c r="F67" i="15" s="1"/>
  <c r="F68" i="15" a="1"/>
  <c r="F68" i="15" s="1"/>
  <c r="F69" i="15" a="1"/>
  <c r="F69" i="15" s="1"/>
  <c r="F70" i="15" a="1"/>
  <c r="F70" i="15" s="1"/>
  <c r="F71" i="15" a="1"/>
  <c r="F71" i="15" s="1"/>
  <c r="F72" i="15" a="1"/>
  <c r="F72" i="15" s="1"/>
  <c r="F73" i="15" a="1"/>
  <c r="F73" i="15" s="1"/>
  <c r="F74" i="15" a="1"/>
  <c r="F74" i="15" s="1"/>
  <c r="F75" i="15" a="1"/>
  <c r="F75" i="15" s="1"/>
  <c r="F76" i="15" a="1"/>
  <c r="F76" i="15" s="1"/>
  <c r="F77" i="15" a="1"/>
  <c r="F77" i="15" s="1"/>
  <c r="F78" i="15" a="1"/>
  <c r="F78" i="15" s="1"/>
  <c r="F79" i="15" a="1"/>
  <c r="F79" i="15" s="1"/>
  <c r="F80" i="15" a="1"/>
  <c r="F80" i="15" s="1"/>
  <c r="F81" i="15" a="1"/>
  <c r="F81" i="15" s="1"/>
  <c r="F82" i="15" a="1"/>
  <c r="F82" i="15" s="1"/>
  <c r="F83" i="15" a="1"/>
  <c r="F83" i="15" s="1"/>
  <c r="F84" i="15" a="1"/>
  <c r="F84" i="15" s="1"/>
  <c r="F85" i="15" a="1"/>
  <c r="F85" i="15" s="1"/>
  <c r="F86" i="15" a="1"/>
  <c r="F86" i="15" s="1"/>
  <c r="F87" i="15" a="1"/>
  <c r="F87" i="15" s="1"/>
  <c r="F88" i="15" a="1"/>
  <c r="F88" i="15" s="1"/>
  <c r="F89" i="15" a="1"/>
  <c r="F89" i="15" s="1"/>
  <c r="F90" i="15" a="1"/>
  <c r="F90" i="15" s="1"/>
  <c r="F91" i="15" a="1"/>
  <c r="F91" i="15" s="1"/>
  <c r="F92" i="15" a="1"/>
  <c r="F92" i="15" s="1"/>
  <c r="F93" i="15" a="1"/>
  <c r="F93" i="15" s="1"/>
  <c r="F94" i="15" a="1"/>
  <c r="F94" i="15" s="1"/>
  <c r="F95" i="15" a="1"/>
  <c r="F95" i="15" s="1"/>
  <c r="F96" i="15" a="1"/>
  <c r="F96" i="15" s="1"/>
  <c r="F97" i="15" a="1"/>
  <c r="F97" i="15" s="1"/>
  <c r="F98" i="15" a="1"/>
  <c r="F98" i="15" s="1"/>
  <c r="F99" i="15" a="1"/>
  <c r="F99" i="15" s="1"/>
  <c r="F100" i="15" a="1"/>
  <c r="F100" i="15" s="1"/>
  <c r="F101" i="15" a="1"/>
  <c r="F101" i="15" s="1"/>
  <c r="F102" i="15" a="1"/>
  <c r="F102" i="15" s="1"/>
  <c r="F103" i="15" a="1"/>
  <c r="F103" i="15" s="1"/>
  <c r="F104" i="15" a="1"/>
  <c r="F104" i="15" s="1"/>
  <c r="F105" i="15" a="1"/>
  <c r="F105" i="15" s="1"/>
  <c r="F106" i="15" a="1"/>
  <c r="F106" i="15" s="1"/>
  <c r="F107" i="15" a="1"/>
  <c r="F107" i="15" s="1"/>
  <c r="F108" i="15" a="1"/>
  <c r="F108" i="15" s="1"/>
  <c r="F109" i="15" a="1"/>
  <c r="F109" i="15" s="1"/>
  <c r="F110" i="15" a="1"/>
  <c r="F110" i="15" s="1"/>
  <c r="F111" i="15" a="1"/>
  <c r="F111" i="15" s="1"/>
  <c r="F112" i="15" a="1"/>
  <c r="F112" i="15" s="1"/>
  <c r="F113" i="15" a="1"/>
  <c r="F113" i="15" s="1"/>
  <c r="F114" i="15" a="1"/>
  <c r="F114" i="15" s="1"/>
  <c r="F115" i="15" a="1"/>
  <c r="F115" i="15" s="1"/>
  <c r="F116" i="15" a="1"/>
  <c r="F116" i="15" s="1"/>
  <c r="F117" i="15" a="1"/>
  <c r="F117" i="15" s="1"/>
  <c r="F118" i="15" a="1"/>
  <c r="F118" i="15" s="1"/>
  <c r="F119" i="15" a="1"/>
  <c r="F119" i="15" s="1"/>
  <c r="F120" i="15" a="1"/>
  <c r="F120" i="15" s="1"/>
  <c r="F121" i="15" a="1"/>
  <c r="F121" i="15" s="1"/>
  <c r="F122" i="15" a="1"/>
  <c r="F122" i="15" s="1"/>
  <c r="F123" i="15" a="1"/>
  <c r="F123" i="15" s="1"/>
  <c r="F124" i="15" a="1"/>
  <c r="F124" i="15" s="1"/>
  <c r="F125" i="15" a="1"/>
  <c r="F125" i="15" s="1"/>
  <c r="F126" i="15" a="1"/>
  <c r="F126" i="15" s="1"/>
  <c r="F127" i="15" a="1"/>
  <c r="F127" i="15" s="1"/>
  <c r="F128" i="15" a="1"/>
  <c r="F128" i="15" s="1"/>
  <c r="F129" i="15" a="1"/>
  <c r="F129" i="15" s="1"/>
  <c r="F130" i="15" a="1"/>
  <c r="F130" i="15" s="1"/>
  <c r="F131" i="15" a="1"/>
  <c r="F131" i="15" s="1"/>
  <c r="F132" i="15" a="1"/>
  <c r="F132" i="15" s="1"/>
  <c r="F133" i="15" a="1"/>
  <c r="F133" i="15" s="1"/>
  <c r="F134" i="15" a="1"/>
  <c r="F134" i="15" s="1"/>
  <c r="F135" i="15" a="1"/>
  <c r="F135" i="15" s="1"/>
  <c r="F136" i="15" a="1"/>
  <c r="F136" i="15" s="1"/>
  <c r="F137" i="15" a="1"/>
  <c r="F137" i="15" s="1"/>
  <c r="F138" i="15" a="1"/>
  <c r="F138" i="15" s="1"/>
  <c r="F139" i="15" a="1"/>
  <c r="F139" i="15" s="1"/>
  <c r="F140" i="15" a="1"/>
  <c r="F140" i="15" s="1"/>
  <c r="F141" i="15" a="1"/>
  <c r="F141" i="15" s="1"/>
  <c r="F142" i="15" a="1"/>
  <c r="F142" i="15" s="1"/>
  <c r="F143" i="15" a="1"/>
  <c r="F143" i="15" s="1"/>
  <c r="F144" i="15" a="1"/>
  <c r="F144" i="15" s="1"/>
  <c r="F145" i="15" a="1"/>
  <c r="F145" i="15" s="1"/>
  <c r="F146" i="15" a="1"/>
  <c r="F146" i="15" s="1"/>
  <c r="F147" i="15" a="1"/>
  <c r="F147" i="15" s="1"/>
  <c r="F148" i="15" a="1"/>
  <c r="F148" i="15" s="1"/>
  <c r="F149" i="15" a="1"/>
  <c r="F149" i="15" s="1"/>
  <c r="F150" i="15" a="1"/>
  <c r="F150" i="15" s="1"/>
  <c r="F151" i="15" a="1"/>
  <c r="F151" i="15" s="1"/>
  <c r="F152" i="15" a="1"/>
  <c r="F152" i="15" s="1"/>
  <c r="F153" i="15" a="1"/>
  <c r="F153" i="15" s="1"/>
  <c r="F154" i="15" a="1"/>
  <c r="F154" i="15" s="1"/>
  <c r="F155" i="15" a="1"/>
  <c r="F155" i="15" s="1"/>
  <c r="F156" i="15" a="1"/>
  <c r="F156" i="15" s="1"/>
  <c r="F157" i="15" a="1"/>
  <c r="F157" i="15" s="1"/>
  <c r="F158" i="15" a="1"/>
  <c r="F158" i="15" s="1"/>
  <c r="F159" i="15" a="1"/>
  <c r="F159" i="15" s="1"/>
  <c r="F160" i="15" a="1"/>
  <c r="F160" i="15" s="1"/>
  <c r="F161" i="15" a="1"/>
  <c r="F161" i="15" s="1"/>
  <c r="F162" i="15" a="1"/>
  <c r="F162" i="15" s="1"/>
  <c r="F163" i="15" a="1"/>
  <c r="F163" i="15" s="1"/>
  <c r="F164" i="15" a="1"/>
  <c r="F164" i="15" s="1"/>
  <c r="F165" i="15" a="1"/>
  <c r="F165" i="15" s="1"/>
  <c r="E6" i="15" a="1"/>
  <c r="E6" i="15" s="1"/>
  <c r="E7" i="15" a="1"/>
  <c r="E7" i="15" s="1"/>
  <c r="E8" i="15" a="1"/>
  <c r="E8" i="15" s="1"/>
  <c r="E9" i="15" a="1"/>
  <c r="E9" i="15" s="1"/>
  <c r="E10" i="15" a="1"/>
  <c r="E10" i="15" s="1"/>
  <c r="E11" i="15" a="1"/>
  <c r="E11" i="15" s="1"/>
  <c r="E12" i="15" a="1"/>
  <c r="E12" i="15" s="1"/>
  <c r="E13" i="15" a="1"/>
  <c r="E13" i="15" s="1"/>
  <c r="E14" i="15" a="1"/>
  <c r="E14" i="15" s="1"/>
  <c r="E15" i="15" a="1"/>
  <c r="E15" i="15" s="1"/>
  <c r="E16" i="15" a="1"/>
  <c r="E16" i="15" s="1"/>
  <c r="E17" i="15" a="1"/>
  <c r="E17" i="15" s="1"/>
  <c r="E18" i="15" a="1"/>
  <c r="E18" i="15" s="1"/>
  <c r="E19" i="15" a="1"/>
  <c r="E19" i="15" s="1"/>
  <c r="E20" i="15" a="1"/>
  <c r="E20" i="15" s="1"/>
  <c r="E21" i="15" a="1"/>
  <c r="E21" i="15" s="1"/>
  <c r="E22" i="15" a="1"/>
  <c r="E22" i="15" s="1"/>
  <c r="E23" i="15" a="1"/>
  <c r="E23" i="15" s="1"/>
  <c r="E24" i="15" a="1"/>
  <c r="E24" i="15" s="1"/>
  <c r="E25" i="15" a="1"/>
  <c r="E25" i="15" s="1"/>
  <c r="E26" i="15" a="1"/>
  <c r="E26" i="15" s="1"/>
  <c r="E27" i="15" a="1"/>
  <c r="E27" i="15" s="1"/>
  <c r="E28" i="15" a="1"/>
  <c r="E28" i="15" s="1"/>
  <c r="E29" i="15" a="1"/>
  <c r="E29" i="15" s="1"/>
  <c r="E30" i="15" a="1"/>
  <c r="E30" i="15" s="1"/>
  <c r="E31" i="15" a="1"/>
  <c r="E31" i="15" s="1"/>
  <c r="E32" i="15" a="1"/>
  <c r="E32" i="15" s="1"/>
  <c r="E33" i="15" a="1"/>
  <c r="E33" i="15" s="1"/>
  <c r="E34" i="15" a="1"/>
  <c r="E34" i="15" s="1"/>
  <c r="E35" i="15" a="1"/>
  <c r="E35" i="15" s="1"/>
  <c r="E36" i="15" a="1"/>
  <c r="E36" i="15" s="1"/>
  <c r="E37" i="15" a="1"/>
  <c r="E37" i="15" s="1"/>
  <c r="E38" i="15" a="1"/>
  <c r="E38" i="15" s="1"/>
  <c r="E39" i="15" a="1"/>
  <c r="E39" i="15" s="1"/>
  <c r="E40" i="15" a="1"/>
  <c r="E40" i="15" s="1"/>
  <c r="E41" i="15" a="1"/>
  <c r="E41" i="15" s="1"/>
  <c r="E42" i="15" a="1"/>
  <c r="E42" i="15" s="1"/>
  <c r="E43" i="15" a="1"/>
  <c r="E43" i="15" s="1"/>
  <c r="E44" i="15" a="1"/>
  <c r="E44" i="15" s="1"/>
  <c r="E45" i="15" a="1"/>
  <c r="E45" i="15" s="1"/>
  <c r="E46" i="15" a="1"/>
  <c r="E46" i="15" s="1"/>
  <c r="E47" i="15" a="1"/>
  <c r="E47" i="15" s="1"/>
  <c r="E48" i="15" a="1"/>
  <c r="E48" i="15" s="1"/>
  <c r="E49" i="15" a="1"/>
  <c r="E49" i="15" s="1"/>
  <c r="E50" i="15" a="1"/>
  <c r="E50" i="15" s="1"/>
  <c r="E51" i="15" a="1"/>
  <c r="E51" i="15" s="1"/>
  <c r="E52" i="15" a="1"/>
  <c r="E52" i="15" s="1"/>
  <c r="E53" i="15" a="1"/>
  <c r="E53" i="15" s="1"/>
  <c r="E54" i="15" a="1"/>
  <c r="E54" i="15" s="1"/>
  <c r="E55" i="15" a="1"/>
  <c r="E55" i="15" s="1"/>
  <c r="E56" i="15" a="1"/>
  <c r="E56" i="15" s="1"/>
  <c r="E57" i="15" a="1"/>
  <c r="E57" i="15" s="1"/>
  <c r="E58" i="15" a="1"/>
  <c r="E58" i="15" s="1"/>
  <c r="E59" i="15" a="1"/>
  <c r="E59" i="15" s="1"/>
  <c r="E60" i="15" a="1"/>
  <c r="E60" i="15" s="1"/>
  <c r="E61" i="15" a="1"/>
  <c r="E61" i="15" s="1"/>
  <c r="E62" i="15" a="1"/>
  <c r="E62" i="15" s="1"/>
  <c r="E63" i="15" a="1"/>
  <c r="E63" i="15" s="1"/>
  <c r="E64" i="15" a="1"/>
  <c r="E64" i="15" s="1"/>
  <c r="E65" i="15" a="1"/>
  <c r="E65" i="15" s="1"/>
  <c r="E66" i="15" a="1"/>
  <c r="E66" i="15" s="1"/>
  <c r="E67" i="15" a="1"/>
  <c r="E67" i="15" s="1"/>
  <c r="E68" i="15" a="1"/>
  <c r="E68" i="15" s="1"/>
  <c r="E69" i="15" a="1"/>
  <c r="E69" i="15" s="1"/>
  <c r="E70" i="15" a="1"/>
  <c r="E70" i="15" s="1"/>
  <c r="E71" i="15" a="1"/>
  <c r="E71" i="15" s="1"/>
  <c r="E72" i="15" a="1"/>
  <c r="E72" i="15" s="1"/>
  <c r="E73" i="15" a="1"/>
  <c r="E73" i="15" s="1"/>
  <c r="E74" i="15" a="1"/>
  <c r="E74" i="15" s="1"/>
  <c r="E75" i="15" a="1"/>
  <c r="E75" i="15" s="1"/>
  <c r="E76" i="15" a="1"/>
  <c r="E76" i="15" s="1"/>
  <c r="E77" i="15" a="1"/>
  <c r="E77" i="15" s="1"/>
  <c r="E78" i="15" a="1"/>
  <c r="E78" i="15" s="1"/>
  <c r="E79" i="15" a="1"/>
  <c r="E79" i="15" s="1"/>
  <c r="E80" i="15" a="1"/>
  <c r="E80" i="15" s="1"/>
  <c r="E81" i="15" a="1"/>
  <c r="E81" i="15" s="1"/>
  <c r="E82" i="15" a="1"/>
  <c r="E82" i="15" s="1"/>
  <c r="E83" i="15" a="1"/>
  <c r="E83" i="15" s="1"/>
  <c r="E84" i="15" a="1"/>
  <c r="E84" i="15" s="1"/>
  <c r="E85" i="15" a="1"/>
  <c r="E85" i="15" s="1"/>
  <c r="E86" i="15" a="1"/>
  <c r="E86" i="15" s="1"/>
  <c r="E87" i="15" a="1"/>
  <c r="E87" i="15" s="1"/>
  <c r="E88" i="15" a="1"/>
  <c r="E88" i="15" s="1"/>
  <c r="E89" i="15" a="1"/>
  <c r="E89" i="15" s="1"/>
  <c r="E90" i="15" a="1"/>
  <c r="E90" i="15" s="1"/>
  <c r="E91" i="15" a="1"/>
  <c r="E91" i="15" s="1"/>
  <c r="E92" i="15" a="1"/>
  <c r="E92" i="15" s="1"/>
  <c r="E93" i="15" a="1"/>
  <c r="E93" i="15" s="1"/>
  <c r="E94" i="15" a="1"/>
  <c r="E94" i="15" s="1"/>
  <c r="E95" i="15" a="1"/>
  <c r="E95" i="15" s="1"/>
  <c r="E96" i="15" a="1"/>
  <c r="E96" i="15" s="1"/>
  <c r="E97" i="15" a="1"/>
  <c r="E97" i="15" s="1"/>
  <c r="E98" i="15" a="1"/>
  <c r="E98" i="15" s="1"/>
  <c r="E99" i="15" a="1"/>
  <c r="E99" i="15" s="1"/>
  <c r="E100" i="15" a="1"/>
  <c r="E100" i="15" s="1"/>
  <c r="E101" i="15" a="1"/>
  <c r="E101" i="15" s="1"/>
  <c r="E102" i="15" a="1"/>
  <c r="E102" i="15" s="1"/>
  <c r="E103" i="15" a="1"/>
  <c r="E103" i="15" s="1"/>
  <c r="E104" i="15" a="1"/>
  <c r="E104" i="15" s="1"/>
  <c r="E105" i="15" a="1"/>
  <c r="E105" i="15" s="1"/>
  <c r="E106" i="15" a="1"/>
  <c r="E106" i="15" s="1"/>
  <c r="E107" i="15" a="1"/>
  <c r="E107" i="15" s="1"/>
  <c r="E108" i="15" a="1"/>
  <c r="E108" i="15" s="1"/>
  <c r="E109" i="15" a="1"/>
  <c r="E109" i="15" s="1"/>
  <c r="E110" i="15" a="1"/>
  <c r="E110" i="15" s="1"/>
  <c r="E111" i="15" a="1"/>
  <c r="E111" i="15" s="1"/>
  <c r="E112" i="15" a="1"/>
  <c r="E112" i="15" s="1"/>
  <c r="E113" i="15" a="1"/>
  <c r="E113" i="15" s="1"/>
  <c r="E114" i="15" a="1"/>
  <c r="E114" i="15" s="1"/>
  <c r="E115" i="15" a="1"/>
  <c r="E115" i="15" s="1"/>
  <c r="E116" i="15" a="1"/>
  <c r="E116" i="15" s="1"/>
  <c r="E117" i="15" a="1"/>
  <c r="E117" i="15" s="1"/>
  <c r="E118" i="15" a="1"/>
  <c r="E118" i="15" s="1"/>
  <c r="E119" i="15" a="1"/>
  <c r="E119" i="15" s="1"/>
  <c r="E120" i="15" a="1"/>
  <c r="E120" i="15" s="1"/>
  <c r="E121" i="15" a="1"/>
  <c r="E121" i="15" s="1"/>
  <c r="E122" i="15" a="1"/>
  <c r="E122" i="15" s="1"/>
  <c r="E123" i="15" a="1"/>
  <c r="E123" i="15" s="1"/>
  <c r="E124" i="15" a="1"/>
  <c r="E124" i="15" s="1"/>
  <c r="E125" i="15" a="1"/>
  <c r="E125" i="15" s="1"/>
  <c r="E126" i="15" a="1"/>
  <c r="E126" i="15" s="1"/>
  <c r="E127" i="15" a="1"/>
  <c r="E127" i="15" s="1"/>
  <c r="E128" i="15" a="1"/>
  <c r="E128" i="15" s="1"/>
  <c r="E129" i="15" a="1"/>
  <c r="E129" i="15" s="1"/>
  <c r="E130" i="15" a="1"/>
  <c r="E130" i="15" s="1"/>
  <c r="E131" i="15" a="1"/>
  <c r="E131" i="15" s="1"/>
  <c r="E132" i="15" a="1"/>
  <c r="E132" i="15" s="1"/>
  <c r="E133" i="15" a="1"/>
  <c r="E133" i="15" s="1"/>
  <c r="E134" i="15" a="1"/>
  <c r="E134" i="15" s="1"/>
  <c r="E135" i="15" a="1"/>
  <c r="E135" i="15" s="1"/>
  <c r="E136" i="15" a="1"/>
  <c r="E136" i="15" s="1"/>
  <c r="E137" i="15" a="1"/>
  <c r="E137" i="15" s="1"/>
  <c r="E138" i="15" a="1"/>
  <c r="E138" i="15" s="1"/>
  <c r="E139" i="15" a="1"/>
  <c r="E139" i="15" s="1"/>
  <c r="E140" i="15" a="1"/>
  <c r="E140" i="15" s="1"/>
  <c r="E141" i="15" a="1"/>
  <c r="E141" i="15" s="1"/>
  <c r="E142" i="15" a="1"/>
  <c r="E142" i="15" s="1"/>
  <c r="E143" i="15" a="1"/>
  <c r="E143" i="15" s="1"/>
  <c r="E144" i="15" a="1"/>
  <c r="E144" i="15" s="1"/>
  <c r="E145" i="15" a="1"/>
  <c r="E145" i="15" s="1"/>
  <c r="E146" i="15" a="1"/>
  <c r="E146" i="15" s="1"/>
  <c r="E147" i="15" a="1"/>
  <c r="E147" i="15" s="1"/>
  <c r="E148" i="15" a="1"/>
  <c r="E148" i="15" s="1"/>
  <c r="E149" i="15" a="1"/>
  <c r="E149" i="15" s="1"/>
  <c r="E150" i="15" a="1"/>
  <c r="E150" i="15" s="1"/>
  <c r="E151" i="15" a="1"/>
  <c r="E151" i="15" s="1"/>
  <c r="E152" i="15" a="1"/>
  <c r="E152" i="15" s="1"/>
  <c r="E153" i="15" a="1"/>
  <c r="E153" i="15" s="1"/>
  <c r="E154" i="15" a="1"/>
  <c r="E154" i="15" s="1"/>
  <c r="E155" i="15" a="1"/>
  <c r="E155" i="15" s="1"/>
  <c r="E156" i="15" a="1"/>
  <c r="E156" i="15" s="1"/>
  <c r="E157" i="15" a="1"/>
  <c r="E157" i="15" s="1"/>
  <c r="E158" i="15" a="1"/>
  <c r="E158" i="15" s="1"/>
  <c r="E159" i="15" a="1"/>
  <c r="E159" i="15" s="1"/>
  <c r="E160" i="15" a="1"/>
  <c r="E160" i="15" s="1"/>
  <c r="E161" i="15" a="1"/>
  <c r="E161" i="15" s="1"/>
  <c r="E162" i="15" a="1"/>
  <c r="E162" i="15" s="1"/>
  <c r="E163" i="15" a="1"/>
  <c r="E163" i="15" s="1"/>
  <c r="E164" i="15" a="1"/>
  <c r="E164" i="15" s="1"/>
  <c r="E165" i="15" a="1"/>
  <c r="E165" i="15" s="1"/>
  <c r="D6" i="15" a="1"/>
  <c r="D6" i="15" s="1"/>
  <c r="D7" i="15" a="1"/>
  <c r="D7" i="15" s="1"/>
  <c r="D8" i="15" a="1"/>
  <c r="D8" i="15" s="1"/>
  <c r="D9" i="15" a="1"/>
  <c r="D9" i="15" s="1"/>
  <c r="D10" i="15" a="1"/>
  <c r="D10" i="15" s="1"/>
  <c r="D11" i="15" a="1"/>
  <c r="D11" i="15" s="1"/>
  <c r="D12" i="15" a="1"/>
  <c r="D12" i="15" s="1"/>
  <c r="D13" i="15" a="1"/>
  <c r="D13" i="15" s="1"/>
  <c r="D14" i="15" a="1"/>
  <c r="D14" i="15" s="1"/>
  <c r="D15" i="15" a="1"/>
  <c r="D15" i="15" s="1"/>
  <c r="D16" i="15" a="1"/>
  <c r="D16" i="15" s="1"/>
  <c r="D17" i="15" a="1"/>
  <c r="D17" i="15" s="1"/>
  <c r="D18" i="15" a="1"/>
  <c r="D18" i="15" s="1"/>
  <c r="D19" i="15" a="1"/>
  <c r="D19" i="15" s="1"/>
  <c r="D20" i="15" a="1"/>
  <c r="D20" i="15" s="1"/>
  <c r="D21" i="15" a="1"/>
  <c r="D21" i="15" s="1"/>
  <c r="D22" i="15" a="1"/>
  <c r="D22" i="15" s="1"/>
  <c r="D23" i="15" a="1"/>
  <c r="D23" i="15" s="1"/>
  <c r="D24" i="15" a="1"/>
  <c r="D24" i="15" s="1"/>
  <c r="D25" i="15" a="1"/>
  <c r="D25" i="15" s="1"/>
  <c r="D26" i="15" a="1"/>
  <c r="D26" i="15" s="1"/>
  <c r="D27" i="15" a="1"/>
  <c r="D27" i="15" s="1"/>
  <c r="D28" i="15" a="1"/>
  <c r="D28" i="15" s="1"/>
  <c r="D29" i="15" a="1"/>
  <c r="D29" i="15" s="1"/>
  <c r="D30" i="15" a="1"/>
  <c r="D30" i="15" s="1"/>
  <c r="D31" i="15" a="1"/>
  <c r="D31" i="15" s="1"/>
  <c r="D32" i="15" a="1"/>
  <c r="D32" i="15" s="1"/>
  <c r="D33" i="15" a="1"/>
  <c r="D33" i="15" s="1"/>
  <c r="D34" i="15" a="1"/>
  <c r="D34" i="15" s="1"/>
  <c r="D35" i="15" a="1"/>
  <c r="D35" i="15" s="1"/>
  <c r="D36" i="15" a="1"/>
  <c r="D36" i="15" s="1"/>
  <c r="D37" i="15" a="1"/>
  <c r="D37" i="15" s="1"/>
  <c r="D38" i="15" a="1"/>
  <c r="D38" i="15" s="1"/>
  <c r="D39" i="15" a="1"/>
  <c r="D39" i="15" s="1"/>
  <c r="D40" i="15" a="1"/>
  <c r="D40" i="15" s="1"/>
  <c r="D41" i="15" a="1"/>
  <c r="D41" i="15" s="1"/>
  <c r="D42" i="15" a="1"/>
  <c r="D42" i="15" s="1"/>
  <c r="D43" i="15" a="1"/>
  <c r="D43" i="15" s="1"/>
  <c r="D44" i="15" a="1"/>
  <c r="D44" i="15" s="1"/>
  <c r="D45" i="15" a="1"/>
  <c r="D45" i="15" s="1"/>
  <c r="D46" i="15" a="1"/>
  <c r="D46" i="15" s="1"/>
  <c r="D47" i="15" a="1"/>
  <c r="D47" i="15" s="1"/>
  <c r="D48" i="15" a="1"/>
  <c r="D48" i="15" s="1"/>
  <c r="D49" i="15" a="1"/>
  <c r="D49" i="15" s="1"/>
  <c r="D50" i="15" a="1"/>
  <c r="D50" i="15" s="1"/>
  <c r="D51" i="15" a="1"/>
  <c r="D51" i="15" s="1"/>
  <c r="D52" i="15" a="1"/>
  <c r="D52" i="15" s="1"/>
  <c r="D53" i="15" a="1"/>
  <c r="D53" i="15" s="1"/>
  <c r="D54" i="15" a="1"/>
  <c r="D54" i="15" s="1"/>
  <c r="D55" i="15" a="1"/>
  <c r="D55" i="15" s="1"/>
  <c r="D56" i="15" a="1"/>
  <c r="D56" i="15" s="1"/>
  <c r="D57" i="15" a="1"/>
  <c r="D57" i="15" s="1"/>
  <c r="D58" i="15" a="1"/>
  <c r="D58" i="15" s="1"/>
  <c r="D59" i="15" a="1"/>
  <c r="D59" i="15" s="1"/>
  <c r="D60" i="15" a="1"/>
  <c r="D60" i="15" s="1"/>
  <c r="D61" i="15" a="1"/>
  <c r="D61" i="15" s="1"/>
  <c r="D62" i="15" a="1"/>
  <c r="D62" i="15" s="1"/>
  <c r="D63" i="15" a="1"/>
  <c r="D63" i="15" s="1"/>
  <c r="D64" i="15" a="1"/>
  <c r="D64" i="15" s="1"/>
  <c r="D65" i="15" a="1"/>
  <c r="D65" i="15" s="1"/>
  <c r="D66" i="15" a="1"/>
  <c r="D66" i="15" s="1"/>
  <c r="D67" i="15" a="1"/>
  <c r="D67" i="15" s="1"/>
  <c r="D68" i="15" a="1"/>
  <c r="D68" i="15" s="1"/>
  <c r="D69" i="15" a="1"/>
  <c r="D69" i="15" s="1"/>
  <c r="D70" i="15" a="1"/>
  <c r="D70" i="15" s="1"/>
  <c r="D71" i="15" a="1"/>
  <c r="D71" i="15" s="1"/>
  <c r="D72" i="15" a="1"/>
  <c r="D72" i="15" s="1"/>
  <c r="D73" i="15" a="1"/>
  <c r="D73" i="15" s="1"/>
  <c r="D74" i="15" a="1"/>
  <c r="D74" i="15" s="1"/>
  <c r="D75" i="15" a="1"/>
  <c r="D75" i="15" s="1"/>
  <c r="D76" i="15" a="1"/>
  <c r="D76" i="15" s="1"/>
  <c r="D77" i="15" a="1"/>
  <c r="D77" i="15" s="1"/>
  <c r="D78" i="15" a="1"/>
  <c r="D78" i="15" s="1"/>
  <c r="D79" i="15" a="1"/>
  <c r="D79" i="15" s="1"/>
  <c r="D80" i="15" a="1"/>
  <c r="D80" i="15" s="1"/>
  <c r="D81" i="15" a="1"/>
  <c r="D81" i="15" s="1"/>
  <c r="D82" i="15" a="1"/>
  <c r="D82" i="15" s="1"/>
  <c r="D83" i="15" a="1"/>
  <c r="D83" i="15" s="1"/>
  <c r="D84" i="15" a="1"/>
  <c r="D84" i="15" s="1"/>
  <c r="D85" i="15" a="1"/>
  <c r="D85" i="15" s="1"/>
  <c r="D86" i="15" a="1"/>
  <c r="D86" i="15" s="1"/>
  <c r="D87" i="15" a="1"/>
  <c r="D87" i="15" s="1"/>
  <c r="D88" i="15" a="1"/>
  <c r="D88" i="15" s="1"/>
  <c r="D89" i="15" a="1"/>
  <c r="D89" i="15" s="1"/>
  <c r="D90" i="15" a="1"/>
  <c r="D90" i="15" s="1"/>
  <c r="D91" i="15" a="1"/>
  <c r="D91" i="15" s="1"/>
  <c r="D92" i="15" a="1"/>
  <c r="D92" i="15" s="1"/>
  <c r="D93" i="15" a="1"/>
  <c r="D93" i="15" s="1"/>
  <c r="D94" i="15" a="1"/>
  <c r="D94" i="15" s="1"/>
  <c r="D95" i="15" a="1"/>
  <c r="D95" i="15" s="1"/>
  <c r="D96" i="15" a="1"/>
  <c r="D96" i="15" s="1"/>
  <c r="D97" i="15" a="1"/>
  <c r="D97" i="15" s="1"/>
  <c r="D98" i="15" a="1"/>
  <c r="D98" i="15" s="1"/>
  <c r="D99" i="15" a="1"/>
  <c r="D99" i="15" s="1"/>
  <c r="D100" i="15" a="1"/>
  <c r="D100" i="15" s="1"/>
  <c r="D101" i="15" a="1"/>
  <c r="D101" i="15" s="1"/>
  <c r="D102" i="15" a="1"/>
  <c r="D102" i="15" s="1"/>
  <c r="D103" i="15" a="1"/>
  <c r="D103" i="15" s="1"/>
  <c r="D104" i="15" a="1"/>
  <c r="D104" i="15" s="1"/>
  <c r="D105" i="15" a="1"/>
  <c r="D105" i="15" s="1"/>
  <c r="D106" i="15" a="1"/>
  <c r="D106" i="15" s="1"/>
  <c r="D107" i="15" a="1"/>
  <c r="D107" i="15" s="1"/>
  <c r="D108" i="15" a="1"/>
  <c r="D108" i="15" s="1"/>
  <c r="D109" i="15" a="1"/>
  <c r="D109" i="15" s="1"/>
  <c r="D110" i="15" a="1"/>
  <c r="D110" i="15" s="1"/>
  <c r="D111" i="15" a="1"/>
  <c r="D111" i="15" s="1"/>
  <c r="D112" i="15" a="1"/>
  <c r="D112" i="15" s="1"/>
  <c r="D113" i="15" a="1"/>
  <c r="D113" i="15" s="1"/>
  <c r="D114" i="15" a="1"/>
  <c r="D114" i="15" s="1"/>
  <c r="D115" i="15" a="1"/>
  <c r="D115" i="15" s="1"/>
  <c r="D116" i="15" a="1"/>
  <c r="D116" i="15" s="1"/>
  <c r="D117" i="15" a="1"/>
  <c r="D117" i="15" s="1"/>
  <c r="D118" i="15" a="1"/>
  <c r="D118" i="15" s="1"/>
  <c r="D119" i="15" a="1"/>
  <c r="D119" i="15" s="1"/>
  <c r="D120" i="15" a="1"/>
  <c r="D120" i="15" s="1"/>
  <c r="D121" i="15" a="1"/>
  <c r="D121" i="15" s="1"/>
  <c r="D122" i="15" a="1"/>
  <c r="D122" i="15" s="1"/>
  <c r="D123" i="15" a="1"/>
  <c r="D123" i="15" s="1"/>
  <c r="D124" i="15" a="1"/>
  <c r="D124" i="15" s="1"/>
  <c r="D125" i="15" a="1"/>
  <c r="D125" i="15" s="1"/>
  <c r="D126" i="15" a="1"/>
  <c r="D126" i="15" s="1"/>
  <c r="D127" i="15" a="1"/>
  <c r="D127" i="15" s="1"/>
  <c r="D128" i="15" a="1"/>
  <c r="D128" i="15" s="1"/>
  <c r="D129" i="15" a="1"/>
  <c r="D129" i="15" s="1"/>
  <c r="D130" i="15" a="1"/>
  <c r="D130" i="15" s="1"/>
  <c r="D131" i="15" a="1"/>
  <c r="D131" i="15" s="1"/>
  <c r="D132" i="15" a="1"/>
  <c r="D132" i="15" s="1"/>
  <c r="D133" i="15" a="1"/>
  <c r="D133" i="15" s="1"/>
  <c r="D134" i="15" a="1"/>
  <c r="D134" i="15" s="1"/>
  <c r="D135" i="15" a="1"/>
  <c r="D135" i="15" s="1"/>
  <c r="D136" i="15" a="1"/>
  <c r="D136" i="15" s="1"/>
  <c r="D137" i="15" a="1"/>
  <c r="D137" i="15" s="1"/>
  <c r="D138" i="15" a="1"/>
  <c r="D138" i="15" s="1"/>
  <c r="D139" i="15" a="1"/>
  <c r="D139" i="15" s="1"/>
  <c r="D140" i="15" a="1"/>
  <c r="D140" i="15" s="1"/>
  <c r="D141" i="15" a="1"/>
  <c r="D141" i="15" s="1"/>
  <c r="D142" i="15" a="1"/>
  <c r="D142" i="15" s="1"/>
  <c r="D143" i="15" a="1"/>
  <c r="D143" i="15" s="1"/>
  <c r="D144" i="15" a="1"/>
  <c r="D144" i="15" s="1"/>
  <c r="D145" i="15" a="1"/>
  <c r="D145" i="15" s="1"/>
  <c r="D146" i="15" a="1"/>
  <c r="D146" i="15" s="1"/>
  <c r="D147" i="15" a="1"/>
  <c r="D147" i="15" s="1"/>
  <c r="D148" i="15" a="1"/>
  <c r="D148" i="15" s="1"/>
  <c r="D149" i="15" a="1"/>
  <c r="D149" i="15" s="1"/>
  <c r="D150" i="15" a="1"/>
  <c r="D150" i="15" s="1"/>
  <c r="D151" i="15" a="1"/>
  <c r="D151" i="15" s="1"/>
  <c r="D152" i="15" a="1"/>
  <c r="D152" i="15" s="1"/>
  <c r="D153" i="15" a="1"/>
  <c r="D153" i="15" s="1"/>
  <c r="D154" i="15" a="1"/>
  <c r="D154" i="15" s="1"/>
  <c r="D155" i="15" a="1"/>
  <c r="D155" i="15" s="1"/>
  <c r="D156" i="15" a="1"/>
  <c r="D156" i="15" s="1"/>
  <c r="D157" i="15" a="1"/>
  <c r="D157" i="15" s="1"/>
  <c r="D158" i="15" a="1"/>
  <c r="D158" i="15" s="1"/>
  <c r="D159" i="15" a="1"/>
  <c r="D159" i="15" s="1"/>
  <c r="D160" i="15" a="1"/>
  <c r="D160" i="15" s="1"/>
  <c r="D161" i="15" a="1"/>
  <c r="D161" i="15" s="1"/>
  <c r="D162" i="15" a="1"/>
  <c r="D162" i="15" s="1"/>
  <c r="D163" i="15" a="1"/>
  <c r="D163" i="15" s="1"/>
  <c r="D164" i="15" a="1"/>
  <c r="D164" i="15" s="1"/>
  <c r="D165" i="15" a="1"/>
  <c r="D165" i="15" s="1"/>
  <c r="C6" i="15" a="1"/>
  <c r="C6" i="15" s="1"/>
  <c r="C7" i="15" a="1"/>
  <c r="C7" i="15" s="1"/>
  <c r="C8" i="15" a="1"/>
  <c r="C8" i="15" s="1"/>
  <c r="C9" i="15" a="1"/>
  <c r="C9" i="15" s="1"/>
  <c r="C10" i="15" a="1"/>
  <c r="C10" i="15" s="1"/>
  <c r="C11" i="15" a="1"/>
  <c r="C11" i="15" s="1"/>
  <c r="C12" i="15" a="1"/>
  <c r="C12" i="15" s="1"/>
  <c r="C13" i="15" a="1"/>
  <c r="C13" i="15" s="1"/>
  <c r="C14" i="15" a="1"/>
  <c r="C14" i="15" s="1"/>
  <c r="C15" i="15" a="1"/>
  <c r="C15" i="15" s="1"/>
  <c r="C16" i="15" a="1"/>
  <c r="C16" i="15" s="1"/>
  <c r="C17" i="15" a="1"/>
  <c r="C17" i="15" s="1"/>
  <c r="C18" i="15" a="1"/>
  <c r="C18" i="15" s="1"/>
  <c r="C19" i="15" a="1"/>
  <c r="C19" i="15" s="1"/>
  <c r="C20" i="15" a="1"/>
  <c r="C20" i="15" s="1"/>
  <c r="C21" i="15" a="1"/>
  <c r="C21" i="15" s="1"/>
  <c r="C22" i="15" a="1"/>
  <c r="C22" i="15" s="1"/>
  <c r="C23" i="15" a="1"/>
  <c r="C23" i="15" s="1"/>
  <c r="C24" i="15" a="1"/>
  <c r="C24" i="15" s="1"/>
  <c r="C25" i="15" a="1"/>
  <c r="C25" i="15" s="1"/>
  <c r="C26" i="15" a="1"/>
  <c r="C26" i="15" s="1"/>
  <c r="C27" i="15" a="1"/>
  <c r="C27" i="15" s="1"/>
  <c r="C28" i="15" a="1"/>
  <c r="C28" i="15" s="1"/>
  <c r="C29" i="15" a="1"/>
  <c r="C29" i="15" s="1"/>
  <c r="C30" i="15" a="1"/>
  <c r="C30" i="15" s="1"/>
  <c r="C31" i="15" a="1"/>
  <c r="C31" i="15" s="1"/>
  <c r="C32" i="15" a="1"/>
  <c r="C32" i="15" s="1"/>
  <c r="C33" i="15" a="1"/>
  <c r="C33" i="15" s="1"/>
  <c r="C34" i="15" a="1"/>
  <c r="C34" i="15" s="1"/>
  <c r="C35" i="15" a="1"/>
  <c r="C35" i="15" s="1"/>
  <c r="C36" i="15" a="1"/>
  <c r="C36" i="15"/>
  <c r="C37" i="15" a="1"/>
  <c r="C37" i="15" s="1"/>
  <c r="C38" i="15" a="1"/>
  <c r="C38" i="15" s="1"/>
  <c r="C39" i="15" a="1"/>
  <c r="C39" i="15" s="1"/>
  <c r="C40" i="15" a="1"/>
  <c r="C40" i="15" s="1"/>
  <c r="C41" i="15" a="1"/>
  <c r="C41" i="15" s="1"/>
  <c r="C42" i="15" a="1"/>
  <c r="C42" i="15" s="1"/>
  <c r="C43" i="15" a="1"/>
  <c r="C43" i="15" s="1"/>
  <c r="C44" i="15" a="1"/>
  <c r="C44" i="15" s="1"/>
  <c r="C45" i="15" a="1"/>
  <c r="C45" i="15" s="1"/>
  <c r="C46" i="15" a="1"/>
  <c r="C46" i="15" s="1"/>
  <c r="C47" i="15" a="1"/>
  <c r="C47" i="15" s="1"/>
  <c r="C48" i="15" a="1"/>
  <c r="C48" i="15" s="1"/>
  <c r="C49" i="15" a="1"/>
  <c r="C49" i="15" s="1"/>
  <c r="C50" i="15" a="1"/>
  <c r="C50" i="15" s="1"/>
  <c r="C51" i="15" a="1"/>
  <c r="C51" i="15" s="1"/>
  <c r="C52" i="15" a="1"/>
  <c r="C52" i="15" s="1"/>
  <c r="C53" i="15" a="1"/>
  <c r="C53" i="15" s="1"/>
  <c r="C54" i="15" a="1"/>
  <c r="C54" i="15" s="1"/>
  <c r="C55" i="15" a="1"/>
  <c r="C55" i="15" s="1"/>
  <c r="C56" i="15" a="1"/>
  <c r="C56" i="15" s="1"/>
  <c r="C57" i="15" a="1"/>
  <c r="C57" i="15" s="1"/>
  <c r="C58" i="15" a="1"/>
  <c r="C58" i="15" s="1"/>
  <c r="C59" i="15" a="1"/>
  <c r="C59" i="15" s="1"/>
  <c r="C60" i="15" a="1"/>
  <c r="C60" i="15" s="1"/>
  <c r="C61" i="15" a="1"/>
  <c r="C61" i="15" s="1"/>
  <c r="C62" i="15" a="1"/>
  <c r="C62" i="15" s="1"/>
  <c r="C63" i="15" a="1"/>
  <c r="C63" i="15" s="1"/>
  <c r="C64" i="15" a="1"/>
  <c r="C64" i="15" s="1"/>
  <c r="C65" i="15" a="1"/>
  <c r="C65" i="15" s="1"/>
  <c r="C66" i="15" a="1"/>
  <c r="C66" i="15" s="1"/>
  <c r="C67" i="15" a="1"/>
  <c r="C67" i="15" s="1"/>
  <c r="C68" i="15" a="1"/>
  <c r="C68" i="15" s="1"/>
  <c r="C69" i="15" a="1"/>
  <c r="C69" i="15" s="1"/>
  <c r="C70" i="15" a="1"/>
  <c r="C70" i="15" s="1"/>
  <c r="C71" i="15" a="1"/>
  <c r="C71" i="15" s="1"/>
  <c r="C72" i="15" a="1"/>
  <c r="C72" i="15" s="1"/>
  <c r="C73" i="15" a="1"/>
  <c r="C73" i="15" s="1"/>
  <c r="C74" i="15" a="1"/>
  <c r="C74" i="15" s="1"/>
  <c r="C75" i="15" a="1"/>
  <c r="C75" i="15" s="1"/>
  <c r="C76" i="15" a="1"/>
  <c r="C76" i="15" s="1"/>
  <c r="C77" i="15" a="1"/>
  <c r="C77" i="15" s="1"/>
  <c r="C78" i="15" a="1"/>
  <c r="C78" i="15" s="1"/>
  <c r="C79" i="15" a="1"/>
  <c r="C79" i="15" s="1"/>
  <c r="C80" i="15" a="1"/>
  <c r="C80" i="15" s="1"/>
  <c r="C81" i="15" a="1"/>
  <c r="C81" i="15" s="1"/>
  <c r="C82" i="15" a="1"/>
  <c r="C82" i="15" s="1"/>
  <c r="C83" i="15" a="1"/>
  <c r="C83" i="15" s="1"/>
  <c r="C84" i="15" a="1"/>
  <c r="C84" i="15" s="1"/>
  <c r="C85" i="15" a="1"/>
  <c r="C85" i="15" s="1"/>
  <c r="C86" i="15" a="1"/>
  <c r="C86" i="15" s="1"/>
  <c r="C87" i="15" a="1"/>
  <c r="C87" i="15" s="1"/>
  <c r="C88" i="15" a="1"/>
  <c r="C88" i="15" s="1"/>
  <c r="C89" i="15" a="1"/>
  <c r="C89" i="15" s="1"/>
  <c r="C90" i="15" a="1"/>
  <c r="C90" i="15" s="1"/>
  <c r="C91" i="15" a="1"/>
  <c r="C91" i="15" s="1"/>
  <c r="C92" i="15" a="1"/>
  <c r="C92" i="15" s="1"/>
  <c r="C93" i="15" a="1"/>
  <c r="C93" i="15" s="1"/>
  <c r="C94" i="15" a="1"/>
  <c r="C94" i="15" s="1"/>
  <c r="C95" i="15" a="1"/>
  <c r="C95" i="15" s="1"/>
  <c r="C96" i="15" a="1"/>
  <c r="C96" i="15" s="1"/>
  <c r="C97" i="15" a="1"/>
  <c r="C97" i="15" s="1"/>
  <c r="C98" i="15" a="1"/>
  <c r="C98" i="15" s="1"/>
  <c r="C99" i="15" a="1"/>
  <c r="C99" i="15" s="1"/>
  <c r="C100" i="15" a="1"/>
  <c r="C100" i="15" s="1"/>
  <c r="C101" i="15" a="1"/>
  <c r="C101" i="15" s="1"/>
  <c r="C102" i="15" a="1"/>
  <c r="C102" i="15" s="1"/>
  <c r="C103" i="15" a="1"/>
  <c r="C103" i="15" s="1"/>
  <c r="C104" i="15" a="1"/>
  <c r="C104" i="15" s="1"/>
  <c r="C105" i="15" a="1"/>
  <c r="C105" i="15" s="1"/>
  <c r="C106" i="15" a="1"/>
  <c r="C106" i="15" s="1"/>
  <c r="C107" i="15" a="1"/>
  <c r="C107" i="15" s="1"/>
  <c r="C108" i="15" a="1"/>
  <c r="C108" i="15" s="1"/>
  <c r="C109" i="15" a="1"/>
  <c r="C109" i="15" s="1"/>
  <c r="C110" i="15" a="1"/>
  <c r="C110" i="15" s="1"/>
  <c r="C111" i="15" a="1"/>
  <c r="C111" i="15" s="1"/>
  <c r="C112" i="15" a="1"/>
  <c r="C112" i="15" s="1"/>
  <c r="C113" i="15" a="1"/>
  <c r="C113" i="15" s="1"/>
  <c r="C114" i="15" a="1"/>
  <c r="C114" i="15" s="1"/>
  <c r="C115" i="15" a="1"/>
  <c r="C115" i="15" s="1"/>
  <c r="C116" i="15" a="1"/>
  <c r="C116" i="15" s="1"/>
  <c r="C117" i="15" a="1"/>
  <c r="C117" i="15" s="1"/>
  <c r="C118" i="15" a="1"/>
  <c r="C118" i="15" s="1"/>
  <c r="C119" i="15" a="1"/>
  <c r="C119" i="15" s="1"/>
  <c r="C120" i="15" a="1"/>
  <c r="C120" i="15" s="1"/>
  <c r="C121" i="15" a="1"/>
  <c r="C121" i="15" s="1"/>
  <c r="C122" i="15" a="1"/>
  <c r="C122" i="15" s="1"/>
  <c r="C123" i="15" a="1"/>
  <c r="C123" i="15" s="1"/>
  <c r="C124" i="15" a="1"/>
  <c r="C124" i="15" s="1"/>
  <c r="C125" i="15" a="1"/>
  <c r="C125" i="15" s="1"/>
  <c r="C126" i="15" a="1"/>
  <c r="C126" i="15" s="1"/>
  <c r="C127" i="15" a="1"/>
  <c r="C127" i="15" s="1"/>
  <c r="C128" i="15" a="1"/>
  <c r="C128" i="15" s="1"/>
  <c r="C129" i="15" a="1"/>
  <c r="C129" i="15" s="1"/>
  <c r="C130" i="15" a="1"/>
  <c r="C130" i="15" s="1"/>
  <c r="C131" i="15" a="1"/>
  <c r="C131" i="15" s="1"/>
  <c r="C132" i="15" a="1"/>
  <c r="C132" i="15" s="1"/>
  <c r="C133" i="15" a="1"/>
  <c r="C133" i="15" s="1"/>
  <c r="C134" i="15" a="1"/>
  <c r="C134" i="15" s="1"/>
  <c r="C135" i="15" a="1"/>
  <c r="C135" i="15" s="1"/>
  <c r="C136" i="15" a="1"/>
  <c r="C136" i="15" s="1"/>
  <c r="C137" i="15" a="1"/>
  <c r="C137" i="15" s="1"/>
  <c r="C138" i="15" a="1"/>
  <c r="C138" i="15" s="1"/>
  <c r="C139" i="15" a="1"/>
  <c r="C139" i="15" s="1"/>
  <c r="C140" i="15" a="1"/>
  <c r="C140" i="15" s="1"/>
  <c r="C141" i="15" a="1"/>
  <c r="C141" i="15" s="1"/>
  <c r="C142" i="15" a="1"/>
  <c r="C142" i="15" s="1"/>
  <c r="C143" i="15" a="1"/>
  <c r="C143" i="15" s="1"/>
  <c r="C144" i="15" a="1"/>
  <c r="C144" i="15" s="1"/>
  <c r="C145" i="15" a="1"/>
  <c r="C145" i="15" s="1"/>
  <c r="C146" i="15" a="1"/>
  <c r="C146" i="15" s="1"/>
  <c r="C147" i="15" a="1"/>
  <c r="C147" i="15" s="1"/>
  <c r="C148" i="15" a="1"/>
  <c r="C148" i="15" s="1"/>
  <c r="C149" i="15" a="1"/>
  <c r="C149" i="15" s="1"/>
  <c r="C150" i="15" a="1"/>
  <c r="C150" i="15" s="1"/>
  <c r="C151" i="15" a="1"/>
  <c r="C151" i="15" s="1"/>
  <c r="C152" i="15" a="1"/>
  <c r="C152" i="15" s="1"/>
  <c r="C153" i="15" a="1"/>
  <c r="C153" i="15" s="1"/>
  <c r="C154" i="15" a="1"/>
  <c r="C154" i="15" s="1"/>
  <c r="C155" i="15" a="1"/>
  <c r="C155" i="15" s="1"/>
  <c r="C156" i="15" a="1"/>
  <c r="C156" i="15" s="1"/>
  <c r="C157" i="15" a="1"/>
  <c r="C157" i="15" s="1"/>
  <c r="C158" i="15" a="1"/>
  <c r="C158" i="15" s="1"/>
  <c r="C159" i="15" a="1"/>
  <c r="C159" i="15" s="1"/>
  <c r="C160" i="15" a="1"/>
  <c r="C160" i="15" s="1"/>
  <c r="C161" i="15" a="1"/>
  <c r="C161" i="15" s="1"/>
  <c r="C162" i="15" a="1"/>
  <c r="C162" i="15" s="1"/>
  <c r="C163" i="15" a="1"/>
  <c r="C163" i="15" s="1"/>
  <c r="C164" i="15" a="1"/>
  <c r="C164" i="15" s="1"/>
  <c r="C165" i="15" a="1"/>
  <c r="C165" i="15" s="1"/>
  <c r="C11" i="4" l="1"/>
  <c r="D9" i="4"/>
  <c r="H11" i="5"/>
  <c r="S9" i="16"/>
  <c r="H10" i="5"/>
  <c r="S8" i="16"/>
  <c r="H9" i="5"/>
  <c r="S7" i="16"/>
  <c r="H8" i="5"/>
  <c r="S6" i="16"/>
  <c r="H17" i="5"/>
  <c r="S15" i="16"/>
  <c r="H16" i="5"/>
  <c r="S14" i="16"/>
  <c r="H15" i="5"/>
  <c r="S13" i="16"/>
  <c r="H14" i="5"/>
  <c r="S12" i="16"/>
  <c r="H13" i="5"/>
  <c r="S11" i="16"/>
  <c r="H12" i="5"/>
  <c r="S10" i="16"/>
  <c r="C70" i="4"/>
  <c r="D70" i="4" s="1"/>
  <c r="E70" i="4" s="1"/>
  <c r="C69" i="4"/>
  <c r="C6" i="4"/>
  <c r="D6" i="4" s="1"/>
  <c r="AA55" i="14"/>
  <c r="AB55" i="14"/>
  <c r="AC55" i="14"/>
  <c r="AA56" i="14"/>
  <c r="AB56" i="14"/>
  <c r="AC56" i="14"/>
  <c r="AA57" i="14"/>
  <c r="AB57" i="14"/>
  <c r="AC57" i="14"/>
  <c r="AA58" i="14"/>
  <c r="AB58" i="14"/>
  <c r="AC58" i="14"/>
  <c r="AA59" i="14"/>
  <c r="AB59" i="14"/>
  <c r="AC59" i="14"/>
  <c r="AA60" i="14"/>
  <c r="AB60" i="14"/>
  <c r="AC60" i="14"/>
  <c r="AA61" i="14"/>
  <c r="AB61" i="14"/>
  <c r="AC61" i="14"/>
  <c r="AA62" i="14"/>
  <c r="AB62" i="14"/>
  <c r="AC62" i="14"/>
  <c r="AA63" i="14"/>
  <c r="AB63" i="14"/>
  <c r="AC63" i="14"/>
  <c r="AA64" i="14"/>
  <c r="AB64" i="14"/>
  <c r="AC64" i="14"/>
  <c r="AA65" i="14"/>
  <c r="AB65" i="14"/>
  <c r="AC65" i="14"/>
  <c r="AA66" i="14"/>
  <c r="AB66" i="14"/>
  <c r="AC66" i="14"/>
  <c r="AA67" i="14"/>
  <c r="AB67" i="14"/>
  <c r="AC67" i="14"/>
  <c r="AA68" i="14"/>
  <c r="AB68" i="14"/>
  <c r="AC68" i="14"/>
  <c r="AA69" i="14"/>
  <c r="AB69" i="14"/>
  <c r="AC69" i="14"/>
  <c r="AA70" i="14"/>
  <c r="AB70" i="14"/>
  <c r="AC70" i="14"/>
  <c r="AA71" i="14"/>
  <c r="AB71" i="14"/>
  <c r="AC71" i="14"/>
  <c r="AA72" i="14"/>
  <c r="AB72" i="14"/>
  <c r="AC72" i="14"/>
  <c r="AA73" i="14"/>
  <c r="AB73" i="14"/>
  <c r="AC73" i="14"/>
  <c r="AA74" i="14"/>
  <c r="AB74" i="14"/>
  <c r="AC74" i="14"/>
  <c r="AA75" i="14"/>
  <c r="AB75" i="14"/>
  <c r="AC75" i="14"/>
  <c r="AA76" i="14"/>
  <c r="AB76" i="14"/>
  <c r="AC76" i="14"/>
  <c r="AA77" i="14"/>
  <c r="AB77" i="14"/>
  <c r="AC77" i="14"/>
  <c r="AA78" i="14"/>
  <c r="AB78" i="14"/>
  <c r="AC78" i="14"/>
  <c r="AA79" i="14"/>
  <c r="AB79" i="14"/>
  <c r="AC79" i="14"/>
  <c r="AA80" i="14"/>
  <c r="AB80" i="14"/>
  <c r="AC80" i="14"/>
  <c r="AA81" i="14"/>
  <c r="AB81" i="14"/>
  <c r="AC81" i="14"/>
  <c r="AA82" i="14"/>
  <c r="AB82" i="14"/>
  <c r="AC82" i="14"/>
  <c r="AA83" i="14"/>
  <c r="AB83" i="14"/>
  <c r="AC83" i="14"/>
  <c r="AA84" i="14"/>
  <c r="AB84" i="14"/>
  <c r="AC84" i="14"/>
  <c r="AA85" i="14"/>
  <c r="AB85" i="14"/>
  <c r="AC85" i="14"/>
  <c r="AA86" i="14"/>
  <c r="AB86" i="14"/>
  <c r="AC86" i="14"/>
  <c r="AA87" i="14"/>
  <c r="AB87" i="14"/>
  <c r="AC87" i="14"/>
  <c r="AA88" i="14"/>
  <c r="AB88" i="14"/>
  <c r="AC88" i="14"/>
  <c r="AA89" i="14"/>
  <c r="AB89" i="14"/>
  <c r="AC89" i="14"/>
  <c r="AA90" i="14"/>
  <c r="AB90" i="14"/>
  <c r="AC90" i="14"/>
  <c r="AA91" i="14"/>
  <c r="AB91" i="14"/>
  <c r="AC91" i="14"/>
  <c r="AA92" i="14"/>
  <c r="AB92" i="14"/>
  <c r="AC92" i="14"/>
  <c r="AA93" i="14"/>
  <c r="AB93" i="14"/>
  <c r="AC93" i="14"/>
  <c r="AA94" i="14"/>
  <c r="AB94" i="14"/>
  <c r="AC94" i="14"/>
  <c r="AA95" i="14"/>
  <c r="AB95" i="14"/>
  <c r="AC95" i="14"/>
  <c r="AA96" i="14"/>
  <c r="AB96" i="14"/>
  <c r="AC96" i="14"/>
  <c r="AA97" i="14"/>
  <c r="AB97" i="14"/>
  <c r="AC97" i="14"/>
  <c r="AA98" i="14"/>
  <c r="AB98" i="14"/>
  <c r="AC98" i="14"/>
  <c r="AA99" i="14"/>
  <c r="AB99" i="14"/>
  <c r="AC99" i="14"/>
  <c r="AA100" i="14"/>
  <c r="AB100" i="14"/>
  <c r="AC100" i="14"/>
  <c r="AA101" i="14"/>
  <c r="AB101" i="14"/>
  <c r="AC101" i="14"/>
  <c r="AA102" i="14"/>
  <c r="AB102" i="14"/>
  <c r="AC102" i="14"/>
  <c r="AA103" i="14"/>
  <c r="AB103" i="14"/>
  <c r="AC103" i="14"/>
  <c r="AA104" i="14"/>
  <c r="AB104" i="14"/>
  <c r="AC104" i="14"/>
  <c r="AA105" i="14"/>
  <c r="AB105" i="14"/>
  <c r="AC105" i="14"/>
  <c r="AA106" i="14"/>
  <c r="AB106" i="14"/>
  <c r="AC106" i="14"/>
  <c r="AA107" i="14"/>
  <c r="AB107" i="14"/>
  <c r="AC107" i="14"/>
  <c r="AA108" i="14"/>
  <c r="AB108" i="14"/>
  <c r="AC108" i="14"/>
  <c r="AA109" i="14"/>
  <c r="AB109" i="14"/>
  <c r="AC109" i="14"/>
  <c r="AA110" i="14"/>
  <c r="AB110" i="14"/>
  <c r="AC110" i="14"/>
  <c r="AA111" i="14"/>
  <c r="AB111" i="14"/>
  <c r="AC111" i="14"/>
  <c r="AA112" i="14"/>
  <c r="AB112" i="14"/>
  <c r="AC112" i="14"/>
  <c r="AA113" i="14"/>
  <c r="AB113" i="14"/>
  <c r="AC113" i="14"/>
  <c r="AA114" i="14"/>
  <c r="AB114" i="14"/>
  <c r="AC114" i="14"/>
  <c r="AA115" i="14"/>
  <c r="AB115" i="14"/>
  <c r="AC115" i="14"/>
  <c r="AA116" i="14"/>
  <c r="AB116" i="14"/>
  <c r="AC116" i="14"/>
  <c r="AA117" i="14"/>
  <c r="AB117" i="14"/>
  <c r="AC117" i="14"/>
  <c r="AA118" i="14"/>
  <c r="AB118" i="14"/>
  <c r="AC118" i="14"/>
  <c r="AA119" i="14"/>
  <c r="AB119" i="14"/>
  <c r="AC119" i="14"/>
  <c r="AA120" i="14"/>
  <c r="AB120" i="14"/>
  <c r="AC120" i="14"/>
  <c r="AA121" i="14"/>
  <c r="AB121" i="14"/>
  <c r="AC121" i="14"/>
  <c r="AA122" i="14"/>
  <c r="AB122" i="14"/>
  <c r="AC122" i="14"/>
  <c r="AA123" i="14"/>
  <c r="AB123" i="14"/>
  <c r="AC123" i="14"/>
  <c r="AA124" i="14"/>
  <c r="AB124" i="14"/>
  <c r="AC124" i="14"/>
  <c r="AA125" i="14"/>
  <c r="AB125" i="14"/>
  <c r="AC125" i="14"/>
  <c r="AA126" i="14"/>
  <c r="AB126" i="14"/>
  <c r="AC126" i="14"/>
  <c r="AA127" i="14"/>
  <c r="AB127" i="14"/>
  <c r="AC127" i="14"/>
  <c r="AA128" i="14"/>
  <c r="AB128" i="14"/>
  <c r="AC128" i="14"/>
  <c r="AA129" i="14"/>
  <c r="AB129" i="14"/>
  <c r="AC129" i="14"/>
  <c r="AA130" i="14"/>
  <c r="AB130" i="14"/>
  <c r="AC130" i="14"/>
  <c r="AA131" i="14"/>
  <c r="AB131" i="14"/>
  <c r="AC131" i="14"/>
  <c r="AA132" i="14"/>
  <c r="AB132" i="14"/>
  <c r="AC132" i="14"/>
  <c r="AA133" i="14"/>
  <c r="AB133" i="14"/>
  <c r="AC133" i="14"/>
  <c r="AA134" i="14"/>
  <c r="AB134" i="14"/>
  <c r="AC134" i="14"/>
  <c r="AA135" i="14"/>
  <c r="AB135" i="14"/>
  <c r="AC135" i="14"/>
  <c r="AA136" i="14"/>
  <c r="AB136" i="14"/>
  <c r="AC136" i="14"/>
  <c r="AA137" i="14"/>
  <c r="AB137" i="14"/>
  <c r="AC137" i="14"/>
  <c r="AA138" i="14"/>
  <c r="AB138" i="14"/>
  <c r="AC138" i="14"/>
  <c r="AA139" i="14"/>
  <c r="AB139" i="14"/>
  <c r="AC139" i="14"/>
  <c r="AA140" i="14"/>
  <c r="AB140" i="14"/>
  <c r="AC140" i="14"/>
  <c r="AA141" i="14"/>
  <c r="AB141" i="14"/>
  <c r="AC141" i="14"/>
  <c r="AA142" i="14"/>
  <c r="AB142" i="14"/>
  <c r="AC142" i="14"/>
  <c r="AA143" i="14"/>
  <c r="AB143" i="14"/>
  <c r="AC143" i="14"/>
  <c r="AA144" i="14"/>
  <c r="AB144" i="14"/>
  <c r="AC144" i="14"/>
  <c r="AA145" i="14"/>
  <c r="AB145" i="14"/>
  <c r="AC145" i="14"/>
  <c r="AA146" i="14"/>
  <c r="AB146" i="14"/>
  <c r="AC146" i="14"/>
  <c r="AA147" i="14"/>
  <c r="AB147" i="14"/>
  <c r="AC147" i="14"/>
  <c r="AA148" i="14"/>
  <c r="AB148" i="14"/>
  <c r="AC148" i="14"/>
  <c r="AA149" i="14"/>
  <c r="AB149" i="14"/>
  <c r="AC149" i="14"/>
  <c r="AA150" i="14"/>
  <c r="AB150" i="14"/>
  <c r="AC150" i="14"/>
  <c r="AA151" i="14"/>
  <c r="AB151" i="14"/>
  <c r="AC151" i="14"/>
  <c r="AA152" i="14"/>
  <c r="AB152" i="14"/>
  <c r="AC152" i="14"/>
  <c r="AA153" i="14"/>
  <c r="AB153" i="14"/>
  <c r="AC153" i="14"/>
  <c r="AA154" i="14"/>
  <c r="AB154" i="14"/>
  <c r="AC154" i="14"/>
  <c r="AA155" i="14"/>
  <c r="AB155" i="14"/>
  <c r="AC155" i="14"/>
  <c r="AA156" i="14"/>
  <c r="AB156" i="14"/>
  <c r="AC156" i="14"/>
  <c r="AA157" i="14"/>
  <c r="AB157" i="14"/>
  <c r="AC157" i="14"/>
  <c r="AA158" i="14"/>
  <c r="AB158" i="14"/>
  <c r="AC158" i="14"/>
  <c r="AA159" i="14"/>
  <c r="AB159" i="14"/>
  <c r="AC159" i="14"/>
  <c r="AA160" i="14"/>
  <c r="AB160" i="14"/>
  <c r="AC160" i="14"/>
  <c r="AA161" i="14"/>
  <c r="AB161" i="14"/>
  <c r="AC161" i="14"/>
  <c r="AA162" i="14"/>
  <c r="AB162" i="14"/>
  <c r="AC162" i="14"/>
  <c r="AA163" i="14"/>
  <c r="AB163" i="14"/>
  <c r="AC163" i="14"/>
  <c r="AA164" i="14"/>
  <c r="AB164" i="14"/>
  <c r="AC164" i="14"/>
  <c r="AA165" i="14"/>
  <c r="AB165" i="14"/>
  <c r="AC165" i="14"/>
  <c r="AA166" i="14"/>
  <c r="AB166" i="14"/>
  <c r="AC166" i="14"/>
  <c r="AA167" i="14"/>
  <c r="AB167" i="14"/>
  <c r="AC167" i="14"/>
  <c r="AA168" i="14"/>
  <c r="AB168" i="14"/>
  <c r="AC168" i="14"/>
  <c r="AA169" i="14"/>
  <c r="AB169" i="14"/>
  <c r="AC169" i="14"/>
  <c r="AA170" i="14"/>
  <c r="AB170" i="14"/>
  <c r="AC170" i="14"/>
  <c r="AA171" i="14"/>
  <c r="AB171" i="14"/>
  <c r="AC171" i="14"/>
  <c r="AA172" i="14"/>
  <c r="AB172" i="14"/>
  <c r="AC172" i="14"/>
  <c r="AA173" i="14"/>
  <c r="AB173" i="14"/>
  <c r="AC173" i="14"/>
  <c r="AA174" i="14"/>
  <c r="AB174" i="14"/>
  <c r="AC174" i="14"/>
  <c r="AA175" i="14"/>
  <c r="AB175" i="14"/>
  <c r="AC175" i="14"/>
  <c r="AA176" i="14"/>
  <c r="AB176" i="14"/>
  <c r="AC176" i="14"/>
  <c r="AA177" i="14"/>
  <c r="AB177" i="14"/>
  <c r="AC177" i="14"/>
  <c r="AA178" i="14"/>
  <c r="AB178" i="14"/>
  <c r="AC178" i="14"/>
  <c r="AA179" i="14"/>
  <c r="AB179" i="14"/>
  <c r="AC179" i="14"/>
  <c r="AA180" i="14"/>
  <c r="AB180" i="14"/>
  <c r="AC180" i="14"/>
  <c r="AA181" i="14"/>
  <c r="AB181" i="14"/>
  <c r="AC181" i="14"/>
  <c r="AA182" i="14"/>
  <c r="AB182" i="14"/>
  <c r="AC182" i="14"/>
  <c r="AA183" i="14"/>
  <c r="AB183" i="14"/>
  <c r="AC183" i="14"/>
  <c r="AA184" i="14"/>
  <c r="AB184" i="14"/>
  <c r="AC184" i="14"/>
  <c r="AA185" i="14"/>
  <c r="AB185" i="14"/>
  <c r="AC185" i="14"/>
  <c r="AA186" i="14"/>
  <c r="AB186" i="14"/>
  <c r="AC186" i="14"/>
  <c r="AA187" i="14"/>
  <c r="AB187" i="14"/>
  <c r="AC187" i="14"/>
  <c r="AA188" i="14"/>
  <c r="AB188" i="14"/>
  <c r="AC188" i="14"/>
  <c r="AA189" i="14"/>
  <c r="AB189" i="14"/>
  <c r="AC189" i="14"/>
  <c r="AA190" i="14"/>
  <c r="AB190" i="14"/>
  <c r="AC190" i="14"/>
  <c r="AA191" i="14"/>
  <c r="AB191" i="14"/>
  <c r="AC191" i="14"/>
  <c r="AA192" i="14"/>
  <c r="AB192" i="14"/>
  <c r="AC192" i="14"/>
  <c r="AA193" i="14"/>
  <c r="AB193" i="14"/>
  <c r="AC193" i="14"/>
  <c r="AA194" i="14"/>
  <c r="AB194" i="14"/>
  <c r="AC194" i="14"/>
  <c r="AA195" i="14"/>
  <c r="AB195" i="14"/>
  <c r="AC195" i="14"/>
  <c r="AA196" i="14"/>
  <c r="AB196" i="14"/>
  <c r="AC196" i="14"/>
  <c r="AA197" i="14"/>
  <c r="AB197" i="14"/>
  <c r="AC197" i="14"/>
  <c r="AA198" i="14"/>
  <c r="AB198" i="14"/>
  <c r="AC198" i="14"/>
  <c r="AA199" i="14"/>
  <c r="AB199" i="14"/>
  <c r="AC199" i="14"/>
  <c r="AA200" i="14"/>
  <c r="AB200" i="14"/>
  <c r="AC200" i="14"/>
  <c r="AA201" i="14"/>
  <c r="AB201" i="14"/>
  <c r="AC201" i="14"/>
  <c r="AA202" i="14"/>
  <c r="AB202" i="14"/>
  <c r="AC202" i="14"/>
  <c r="AA203" i="14"/>
  <c r="AB203" i="14"/>
  <c r="AC203" i="14"/>
  <c r="AA204" i="14"/>
  <c r="AB204" i="14"/>
  <c r="AC204" i="14"/>
  <c r="AA205" i="14"/>
  <c r="AB205" i="14"/>
  <c r="AC205" i="14"/>
  <c r="AA206" i="14"/>
  <c r="AB206" i="14"/>
  <c r="AC206" i="14"/>
  <c r="AA207" i="14"/>
  <c r="AB207" i="14"/>
  <c r="AC207" i="14"/>
  <c r="AA208" i="14"/>
  <c r="AB208" i="14"/>
  <c r="AC208" i="14"/>
  <c r="AA209" i="14"/>
  <c r="AB209" i="14"/>
  <c r="AC209" i="14"/>
  <c r="AA210" i="14"/>
  <c r="AB210" i="14"/>
  <c r="AC210" i="14"/>
  <c r="AA211" i="14"/>
  <c r="AB211" i="14"/>
  <c r="AC211" i="14"/>
  <c r="AA212" i="14"/>
  <c r="AB212" i="14"/>
  <c r="AC212" i="14"/>
  <c r="AA213" i="14"/>
  <c r="AB213" i="14"/>
  <c r="AC213" i="14"/>
  <c r="AA214" i="14"/>
  <c r="AB214" i="14"/>
  <c r="AC214" i="14"/>
  <c r="AA215" i="14"/>
  <c r="AB215" i="14"/>
  <c r="AC215" i="14"/>
  <c r="AA216" i="14"/>
  <c r="AB216" i="14"/>
  <c r="AC216" i="14"/>
  <c r="AA217" i="14"/>
  <c r="AB217" i="14"/>
  <c r="AC217" i="14"/>
  <c r="AA218" i="14"/>
  <c r="AB218" i="14"/>
  <c r="AC218" i="14"/>
  <c r="AA219" i="14"/>
  <c r="AB219" i="14"/>
  <c r="AC219" i="14"/>
  <c r="AA220" i="14"/>
  <c r="AB220" i="14"/>
  <c r="AC220" i="14"/>
  <c r="AA221" i="14"/>
  <c r="AB221" i="14"/>
  <c r="AC221" i="14"/>
  <c r="AA222" i="14"/>
  <c r="AB222" i="14"/>
  <c r="AC222" i="14"/>
  <c r="AA223" i="14"/>
  <c r="AB223" i="14"/>
  <c r="AC223" i="14"/>
  <c r="AA224" i="14"/>
  <c r="AB224" i="14"/>
  <c r="AC224" i="14"/>
  <c r="AA225" i="14"/>
  <c r="AB225" i="14"/>
  <c r="AC225" i="14"/>
  <c r="AA226" i="14"/>
  <c r="AB226" i="14"/>
  <c r="AC226" i="14"/>
  <c r="AA227" i="14"/>
  <c r="AB227" i="14"/>
  <c r="AC227" i="14"/>
  <c r="AA228" i="14"/>
  <c r="AB228" i="14"/>
  <c r="AC228" i="14"/>
  <c r="AA229" i="14"/>
  <c r="AB229" i="14"/>
  <c r="AC229" i="14"/>
  <c r="AA230" i="14"/>
  <c r="AB230" i="14"/>
  <c r="AC230" i="14"/>
  <c r="AA231" i="14"/>
  <c r="AB231" i="14"/>
  <c r="AC231" i="14"/>
  <c r="AA232" i="14"/>
  <c r="AB232" i="14"/>
  <c r="AC232" i="14"/>
  <c r="AA233" i="14"/>
  <c r="AB233" i="14"/>
  <c r="AC233" i="14"/>
  <c r="AA234" i="14"/>
  <c r="AB234" i="14"/>
  <c r="AC234" i="14"/>
  <c r="AA235" i="14"/>
  <c r="AB235" i="14"/>
  <c r="AC235" i="14"/>
  <c r="AA236" i="14"/>
  <c r="AB236" i="14"/>
  <c r="AC236" i="14"/>
  <c r="AA237" i="14"/>
  <c r="AB237" i="14"/>
  <c r="AC237" i="14"/>
  <c r="AA238" i="14"/>
  <c r="AB238" i="14"/>
  <c r="AC238" i="14"/>
  <c r="AA239" i="14"/>
  <c r="AB239" i="14"/>
  <c r="AC239" i="14"/>
  <c r="AA240" i="14"/>
  <c r="AB240" i="14"/>
  <c r="AC240" i="14"/>
  <c r="AA241" i="14"/>
  <c r="AB241" i="14"/>
  <c r="AC241" i="14"/>
  <c r="AA242" i="14"/>
  <c r="AB242" i="14"/>
  <c r="AC242" i="14"/>
  <c r="AC5" i="14"/>
  <c r="AC6" i="14"/>
  <c r="AC7" i="14"/>
  <c r="AC8" i="14"/>
  <c r="AC9" i="14"/>
  <c r="AC10" i="14"/>
  <c r="AC11" i="14"/>
  <c r="AC12" i="14"/>
  <c r="AC13" i="14"/>
  <c r="AC14" i="14"/>
  <c r="AC15" i="14"/>
  <c r="AC16" i="14"/>
  <c r="AC17" i="14"/>
  <c r="AC18" i="14"/>
  <c r="AC19" i="14"/>
  <c r="AC20" i="14"/>
  <c r="AC21" i="14"/>
  <c r="AC22" i="14"/>
  <c r="AC23" i="14"/>
  <c r="AC24" i="14"/>
  <c r="AC25" i="14"/>
  <c r="AC26" i="14"/>
  <c r="AC27" i="14"/>
  <c r="AC28" i="14"/>
  <c r="AC29" i="14"/>
  <c r="AC30" i="14"/>
  <c r="AC31" i="14"/>
  <c r="AC32" i="14"/>
  <c r="AC33" i="14"/>
  <c r="AC34" i="14"/>
  <c r="AC35" i="14"/>
  <c r="AC36" i="14"/>
  <c r="AC37" i="14"/>
  <c r="AC38" i="14"/>
  <c r="AC39" i="14"/>
  <c r="AC40" i="14"/>
  <c r="AC41" i="14"/>
  <c r="AC42" i="14"/>
  <c r="AC43" i="14"/>
  <c r="AC44" i="14"/>
  <c r="AC45" i="14"/>
  <c r="AC46" i="14"/>
  <c r="AC47" i="14"/>
  <c r="AC48" i="14"/>
  <c r="AC49" i="14"/>
  <c r="AC50" i="14"/>
  <c r="AC51" i="14"/>
  <c r="AC52" i="14"/>
  <c r="AC53" i="14"/>
  <c r="AC54" i="14"/>
  <c r="AB5" i="14"/>
  <c r="AB6" i="14"/>
  <c r="AB7" i="14"/>
  <c r="AB8" i="14"/>
  <c r="AB9" i="14"/>
  <c r="AB10" i="14"/>
  <c r="AB11" i="14"/>
  <c r="AB12" i="14"/>
  <c r="AB13" i="14"/>
  <c r="AB14" i="14"/>
  <c r="AB15" i="14"/>
  <c r="AB16" i="14"/>
  <c r="AB17" i="14"/>
  <c r="AB18" i="14"/>
  <c r="AB19" i="14"/>
  <c r="AB20" i="14"/>
  <c r="AB21" i="14"/>
  <c r="AB22" i="14"/>
  <c r="AB23" i="14"/>
  <c r="AB24" i="14"/>
  <c r="AB25" i="14"/>
  <c r="AB26" i="14"/>
  <c r="AB27" i="14"/>
  <c r="AB28" i="14"/>
  <c r="AB29" i="14"/>
  <c r="AB30" i="14"/>
  <c r="AB31" i="14"/>
  <c r="AB32" i="14"/>
  <c r="AB33" i="14"/>
  <c r="AB34" i="14"/>
  <c r="AB35" i="14"/>
  <c r="AB36" i="14"/>
  <c r="AB37" i="14"/>
  <c r="AB38" i="14"/>
  <c r="AB39" i="14"/>
  <c r="AB40" i="14"/>
  <c r="AB41" i="14"/>
  <c r="AB42" i="14"/>
  <c r="AB43" i="14"/>
  <c r="AB44" i="14"/>
  <c r="AB45" i="14"/>
  <c r="AB46" i="14"/>
  <c r="AB47" i="14"/>
  <c r="AB48" i="14"/>
  <c r="AB49" i="14"/>
  <c r="AB50" i="14"/>
  <c r="AB51" i="14"/>
  <c r="AB52" i="14"/>
  <c r="AB53" i="14"/>
  <c r="AB54" i="14"/>
  <c r="AA5" i="14"/>
  <c r="AA6" i="14"/>
  <c r="AA7" i="14"/>
  <c r="AA8" i="14"/>
  <c r="AA9" i="14"/>
  <c r="AA10" i="14"/>
  <c r="AA11" i="14"/>
  <c r="AA12" i="14"/>
  <c r="AA13" i="14"/>
  <c r="AA14" i="14"/>
  <c r="AA15" i="14"/>
  <c r="AA16" i="14"/>
  <c r="AA17" i="14"/>
  <c r="AA18" i="14"/>
  <c r="AA19" i="14"/>
  <c r="AA20" i="14"/>
  <c r="AA21" i="14"/>
  <c r="AA22" i="14"/>
  <c r="AA23" i="14"/>
  <c r="AA24" i="14"/>
  <c r="AA25" i="14"/>
  <c r="AA26" i="14"/>
  <c r="AA27" i="14"/>
  <c r="AA28" i="14"/>
  <c r="AA29" i="14"/>
  <c r="AA30" i="14"/>
  <c r="AA31" i="14"/>
  <c r="AA32" i="14"/>
  <c r="AA33" i="14"/>
  <c r="AA34" i="14"/>
  <c r="AA35" i="14"/>
  <c r="AA36" i="14"/>
  <c r="AA37" i="14"/>
  <c r="AA38" i="14"/>
  <c r="AA39" i="14"/>
  <c r="AA40" i="14"/>
  <c r="AA41" i="14"/>
  <c r="AA42" i="14"/>
  <c r="AA43" i="14"/>
  <c r="AA44" i="14"/>
  <c r="AA45" i="14"/>
  <c r="AA46" i="14"/>
  <c r="AA47" i="14"/>
  <c r="AA48" i="14"/>
  <c r="AA49" i="14"/>
  <c r="AA50" i="14"/>
  <c r="AA51" i="14"/>
  <c r="AA52" i="14"/>
  <c r="AA53" i="14"/>
  <c r="AA54" i="14"/>
  <c r="F9" i="13" l="1"/>
  <c r="F58" i="13"/>
  <c r="C15" i="3" s="1"/>
  <c r="J20" i="5"/>
  <c r="K20" i="5" s="1"/>
  <c r="L20" i="5" s="1"/>
  <c r="D11" i="4"/>
  <c r="E9" i="4"/>
  <c r="E6" i="4"/>
  <c r="D69" i="4"/>
  <c r="W33" i="14"/>
  <c r="W17" i="14"/>
  <c r="W15" i="14"/>
  <c r="W7" i="14"/>
  <c r="W21" i="14"/>
  <c r="W13" i="14"/>
  <c r="W19" i="14"/>
  <c r="W9" i="14"/>
  <c r="W10" i="14"/>
  <c r="C33" i="11"/>
  <c r="C7" i="12"/>
  <c r="R6" i="15"/>
  <c r="R7" i="15"/>
  <c r="R8" i="15"/>
  <c r="R9" i="15"/>
  <c r="R10" i="15"/>
  <c r="R11" i="15"/>
  <c r="R12" i="15"/>
  <c r="R13" i="15"/>
  <c r="R14" i="15"/>
  <c r="R15" i="15"/>
  <c r="R17" i="15"/>
  <c r="R18" i="15"/>
  <c r="R19" i="15"/>
  <c r="R20" i="15"/>
  <c r="R21" i="15"/>
  <c r="R22" i="15"/>
  <c r="R23" i="15"/>
  <c r="R24" i="15"/>
  <c r="R25" i="15"/>
  <c r="R26" i="15"/>
  <c r="R27" i="15"/>
  <c r="R28" i="15"/>
  <c r="R29" i="15"/>
  <c r="R31" i="15"/>
  <c r="R32" i="15"/>
  <c r="R33" i="15"/>
  <c r="R34" i="15"/>
  <c r="R35" i="15"/>
  <c r="R36" i="15"/>
  <c r="R37" i="15"/>
  <c r="R38" i="15"/>
  <c r="R39"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100" i="15"/>
  <c r="R101" i="15"/>
  <c r="R102" i="15"/>
  <c r="R103" i="15"/>
  <c r="R104" i="15"/>
  <c r="R105" i="15"/>
  <c r="R106" i="15"/>
  <c r="R107" i="15"/>
  <c r="R108" i="15"/>
  <c r="R109" i="15"/>
  <c r="R110" i="15"/>
  <c r="R111" i="15"/>
  <c r="R112" i="15"/>
  <c r="R113" i="15"/>
  <c r="R114" i="15"/>
  <c r="R115" i="15"/>
  <c r="R116" i="15"/>
  <c r="R117" i="15"/>
  <c r="R118" i="15"/>
  <c r="R119" i="15"/>
  <c r="R120" i="15"/>
  <c r="R121" i="15"/>
  <c r="R122" i="15"/>
  <c r="R123" i="15"/>
  <c r="R124" i="15"/>
  <c r="R125" i="15"/>
  <c r="R126" i="15"/>
  <c r="R127" i="15"/>
  <c r="R128" i="15"/>
  <c r="R129" i="15"/>
  <c r="R130" i="15"/>
  <c r="R131" i="15"/>
  <c r="R132" i="15"/>
  <c r="R133" i="15"/>
  <c r="R134" i="15"/>
  <c r="R136" i="15"/>
  <c r="R137" i="15"/>
  <c r="R138" i="15"/>
  <c r="R139" i="15"/>
  <c r="R140" i="15"/>
  <c r="R141" i="15"/>
  <c r="R142" i="15"/>
  <c r="R144" i="15"/>
  <c r="R145" i="15"/>
  <c r="R146" i="15"/>
  <c r="R147" i="15"/>
  <c r="R148" i="15"/>
  <c r="R149" i="15"/>
  <c r="R150" i="15"/>
  <c r="R151" i="15"/>
  <c r="R152" i="15"/>
  <c r="R153" i="15"/>
  <c r="R154" i="15"/>
  <c r="R155" i="15"/>
  <c r="R156" i="15"/>
  <c r="R158" i="15"/>
  <c r="R159" i="15"/>
  <c r="R160" i="15"/>
  <c r="R161" i="15"/>
  <c r="R162" i="15"/>
  <c r="R163" i="15"/>
  <c r="R164" i="15"/>
  <c r="R165" i="15"/>
  <c r="H24" i="5"/>
  <c r="G9" i="13" l="1"/>
  <c r="G58" i="13"/>
  <c r="C16" i="3" s="1"/>
  <c r="E11" i="4"/>
  <c r="G45" i="13"/>
  <c r="E69" i="4"/>
  <c r="D33" i="11"/>
  <c r="E33" i="11" s="1"/>
  <c r="D7" i="12"/>
  <c r="E7" i="12" s="1"/>
  <c r="W25" i="14"/>
  <c r="W29" i="14"/>
  <c r="W8" i="14"/>
  <c r="C10" i="12"/>
  <c r="W5" i="14"/>
  <c r="W11" i="14"/>
  <c r="W23" i="14"/>
  <c r="C72" i="4"/>
  <c r="W6" i="14"/>
  <c r="W27" i="14"/>
  <c r="W31" i="14"/>
  <c r="C71" i="4"/>
  <c r="D71" i="4" s="1"/>
  <c r="E71" i="4" s="1"/>
  <c r="W35" i="14"/>
  <c r="W12" i="14"/>
  <c r="I88" i="4"/>
  <c r="V12" i="14" s="1"/>
  <c r="H9" i="13" l="1"/>
  <c r="H45" i="13" s="1"/>
  <c r="H58" i="13"/>
  <c r="C17" i="3" s="1"/>
  <c r="F8" i="5"/>
  <c r="E36" i="5"/>
  <c r="G46" i="13"/>
  <c r="F10" i="5" s="1"/>
  <c r="D72" i="4"/>
  <c r="I89" i="4"/>
  <c r="I90" i="4" s="1"/>
  <c r="I91" i="4" s="1"/>
  <c r="D10" i="12"/>
  <c r="E10" i="12" s="1"/>
  <c r="W37" i="14"/>
  <c r="W14" i="14"/>
  <c r="H46" i="13" l="1"/>
  <c r="G10" i="5" s="1"/>
  <c r="E72" i="4"/>
  <c r="F36" i="5"/>
  <c r="G8" i="5"/>
  <c r="G47" i="13"/>
  <c r="I92" i="4"/>
  <c r="I93" i="4" s="1"/>
  <c r="W16" i="14"/>
  <c r="W39" i="14"/>
  <c r="H47" i="13" l="1"/>
  <c r="G36" i="5"/>
  <c r="G48" i="13"/>
  <c r="G49" i="13" s="1"/>
  <c r="F12" i="5" s="1"/>
  <c r="I94" i="4"/>
  <c r="W18" i="14"/>
  <c r="W41" i="14"/>
  <c r="D92" i="4"/>
  <c r="C92" i="4"/>
  <c r="C93" i="4" s="1"/>
  <c r="H48" i="13" l="1"/>
  <c r="H49" i="13" s="1"/>
  <c r="G11" i="5"/>
  <c r="G50" i="13"/>
  <c r="F9" i="5"/>
  <c r="F11" i="5"/>
  <c r="R74" i="15"/>
  <c r="R157" i="15"/>
  <c r="R30" i="15"/>
  <c r="R143" i="15"/>
  <c r="R16" i="15"/>
  <c r="R135" i="15"/>
  <c r="R40" i="15"/>
  <c r="W43" i="14"/>
  <c r="W20" i="14"/>
  <c r="D93" i="4"/>
  <c r="D94" i="4" s="1"/>
  <c r="C94" i="4"/>
  <c r="J24" i="5" l="1"/>
  <c r="K24" i="5" s="1"/>
  <c r="L24" i="5" s="1"/>
  <c r="G9" i="5"/>
  <c r="K19" i="5"/>
  <c r="P19" i="5" s="1"/>
  <c r="P20" i="5"/>
  <c r="G12" i="5"/>
  <c r="H50" i="13"/>
  <c r="G51" i="13"/>
  <c r="G52" i="13" s="1"/>
  <c r="G53" i="13" s="1"/>
  <c r="W45" i="14"/>
  <c r="W22" i="14"/>
  <c r="D95" i="4"/>
  <c r="C95" i="4"/>
  <c r="C96" i="4" s="1"/>
  <c r="L19" i="5" l="1"/>
  <c r="Q19" i="5" s="1"/>
  <c r="Q20" i="5"/>
  <c r="H51" i="13"/>
  <c r="H52" i="13" s="1"/>
  <c r="G54" i="13"/>
  <c r="W24" i="14"/>
  <c r="W47" i="14"/>
  <c r="D96" i="4"/>
  <c r="D97" i="4" s="1"/>
  <c r="C97" i="4"/>
  <c r="C98" i="4" s="1"/>
  <c r="H53" i="13" l="1"/>
  <c r="H54" i="13" s="1"/>
  <c r="W49" i="14"/>
  <c r="W26" i="14"/>
  <c r="D98" i="4"/>
  <c r="C99" i="4"/>
  <c r="C100" i="4" s="1"/>
  <c r="D99" i="4" l="1"/>
  <c r="D100" i="4" s="1"/>
  <c r="W28" i="14"/>
  <c r="W51" i="14"/>
  <c r="C63" i="4" l="1"/>
  <c r="D63" i="4" s="1"/>
  <c r="E63" i="4" s="1"/>
  <c r="W53" i="14"/>
  <c r="W30" i="14"/>
  <c r="W32" i="14" l="1"/>
  <c r="W55" i="14"/>
  <c r="W57" i="14" l="1"/>
  <c r="W34" i="14"/>
  <c r="D64" i="4"/>
  <c r="E64" i="4"/>
  <c r="C64" i="4"/>
  <c r="W36" i="14" l="1"/>
  <c r="W59" i="14"/>
  <c r="W38" i="14" l="1"/>
  <c r="W61" i="14"/>
  <c r="F35" i="6"/>
  <c r="G35" i="6"/>
  <c r="H35" i="6"/>
  <c r="I35" i="6"/>
  <c r="J35" i="6"/>
  <c r="K35" i="6"/>
  <c r="L35" i="6"/>
  <c r="M35" i="6"/>
  <c r="N35" i="6"/>
  <c r="O35" i="6"/>
  <c r="P35" i="6"/>
  <c r="Q35" i="6"/>
  <c r="R35" i="6"/>
  <c r="S35" i="6"/>
  <c r="T35" i="6"/>
  <c r="U35" i="6"/>
  <c r="V35" i="6"/>
  <c r="W35" i="6"/>
  <c r="X35" i="6"/>
  <c r="Y35" i="6"/>
  <c r="Z35" i="6"/>
  <c r="AA35" i="6"/>
  <c r="AB35" i="6"/>
  <c r="AC35" i="6"/>
  <c r="AD35" i="6"/>
  <c r="AE35" i="6"/>
  <c r="AF35" i="6"/>
  <c r="AG35" i="6"/>
  <c r="AH35" i="6"/>
  <c r="AI35" i="6"/>
  <c r="AJ35" i="6"/>
  <c r="AK35" i="6"/>
  <c r="AL35" i="6"/>
  <c r="AM35" i="6"/>
  <c r="AN35" i="6"/>
  <c r="AO35" i="6"/>
  <c r="AP35" i="6"/>
  <c r="AQ35" i="6"/>
  <c r="AR35" i="6"/>
  <c r="AS35" i="6"/>
  <c r="AT35" i="6"/>
  <c r="AU35" i="6"/>
  <c r="AV35" i="6"/>
  <c r="AW35" i="6"/>
  <c r="AX35" i="6"/>
  <c r="AY35" i="6"/>
  <c r="AZ35" i="6"/>
  <c r="BA35" i="6"/>
  <c r="BB35" i="6"/>
  <c r="BC35" i="6"/>
  <c r="BD35" i="6"/>
  <c r="BE35" i="6"/>
  <c r="BF35" i="6"/>
  <c r="BG35" i="6"/>
  <c r="BH35" i="6"/>
  <c r="BI35" i="6"/>
  <c r="BJ35" i="6"/>
  <c r="BK35" i="6"/>
  <c r="BL35" i="6"/>
  <c r="F36" i="6"/>
  <c r="G36" i="6"/>
  <c r="H36" i="6"/>
  <c r="I36" i="6"/>
  <c r="J36" i="6"/>
  <c r="K36" i="6"/>
  <c r="L36" i="6"/>
  <c r="M36" i="6"/>
  <c r="N36" i="6"/>
  <c r="O36" i="6"/>
  <c r="P36" i="6"/>
  <c r="Q36" i="6"/>
  <c r="R36" i="6"/>
  <c r="S36" i="6"/>
  <c r="T36" i="6"/>
  <c r="U36" i="6"/>
  <c r="V36" i="6"/>
  <c r="W36" i="6"/>
  <c r="X36" i="6"/>
  <c r="Y36" i="6"/>
  <c r="Z36" i="6"/>
  <c r="AA36" i="6"/>
  <c r="AB36" i="6"/>
  <c r="AC36" i="6"/>
  <c r="AD36" i="6"/>
  <c r="AE36" i="6"/>
  <c r="AF36" i="6"/>
  <c r="AG36" i="6"/>
  <c r="AH36" i="6"/>
  <c r="AI36" i="6"/>
  <c r="AJ36" i="6"/>
  <c r="AK36" i="6"/>
  <c r="AL36" i="6"/>
  <c r="AM36" i="6"/>
  <c r="AN36" i="6"/>
  <c r="AO36" i="6"/>
  <c r="AP36" i="6"/>
  <c r="AQ36" i="6"/>
  <c r="AR36" i="6"/>
  <c r="AS36" i="6"/>
  <c r="AT36" i="6"/>
  <c r="AU36" i="6"/>
  <c r="AV36" i="6"/>
  <c r="AW36" i="6"/>
  <c r="AX36" i="6"/>
  <c r="AY36" i="6"/>
  <c r="AZ36" i="6"/>
  <c r="BA36" i="6"/>
  <c r="BB36" i="6"/>
  <c r="BC36" i="6"/>
  <c r="BD36" i="6"/>
  <c r="BE36" i="6"/>
  <c r="BF36" i="6"/>
  <c r="BG36" i="6"/>
  <c r="BH36" i="6"/>
  <c r="BI36" i="6"/>
  <c r="BJ36" i="6"/>
  <c r="BK36" i="6"/>
  <c r="BL36" i="6"/>
  <c r="E35" i="6"/>
  <c r="E36" i="6"/>
  <c r="W63" i="14" l="1"/>
  <c r="W40" i="14"/>
  <c r="W42" i="14" l="1"/>
  <c r="W65" i="14"/>
  <c r="W67" i="14" l="1"/>
  <c r="W44" i="14"/>
  <c r="W69" i="14" l="1"/>
  <c r="W46" i="14"/>
  <c r="F39" i="3"/>
  <c r="G39" i="3" s="1"/>
  <c r="H39" i="3" s="1"/>
  <c r="I39" i="3" s="1"/>
  <c r="H29" i="3"/>
  <c r="G29" i="3"/>
  <c r="F29" i="3"/>
  <c r="G32" i="3"/>
  <c r="H32" i="3"/>
  <c r="F32" i="3"/>
  <c r="W48" i="14" l="1"/>
  <c r="W71" i="14"/>
  <c r="I32" i="3"/>
  <c r="E39" i="11"/>
  <c r="D39" i="11"/>
  <c r="C39" i="11"/>
  <c r="E38" i="11"/>
  <c r="D38" i="11"/>
  <c r="C38" i="11"/>
  <c r="C40" i="5"/>
  <c r="C38" i="5"/>
  <c r="E40" i="5" l="1"/>
  <c r="E42" i="5" s="1"/>
  <c r="F40" i="5"/>
  <c r="G40" i="5"/>
  <c r="E38" i="5"/>
  <c r="F38" i="5"/>
  <c r="G38" i="5"/>
  <c r="W73" i="14"/>
  <c r="W50" i="14"/>
  <c r="W52" i="14" l="1"/>
  <c r="W75" i="14"/>
  <c r="C37" i="11"/>
  <c r="G42" i="5" l="1"/>
  <c r="F42" i="5"/>
  <c r="D50" i="5" s="1"/>
  <c r="W54" i="14"/>
  <c r="W77" i="14"/>
  <c r="C50" i="5"/>
  <c r="D37" i="11"/>
  <c r="W79" i="14" l="1"/>
  <c r="W56" i="14"/>
  <c r="E50" i="5"/>
  <c r="E37" i="11"/>
  <c r="W58" i="14" l="1"/>
  <c r="W81" i="14"/>
  <c r="C13" i="7"/>
  <c r="C10" i="7"/>
  <c r="C12" i="7"/>
  <c r="C11" i="7"/>
  <c r="D21" i="7"/>
  <c r="C21" i="7" s="1"/>
  <c r="C24" i="7" s="1"/>
  <c r="E177" i="6"/>
  <c r="F177" i="6"/>
  <c r="G177" i="6"/>
  <c r="H177" i="6"/>
  <c r="I177" i="6"/>
  <c r="J177" i="6"/>
  <c r="K177" i="6"/>
  <c r="L177" i="6"/>
  <c r="M177" i="6"/>
  <c r="N177" i="6"/>
  <c r="O177" i="6"/>
  <c r="P177" i="6"/>
  <c r="Q177" i="6"/>
  <c r="R177" i="6"/>
  <c r="S177" i="6"/>
  <c r="T177" i="6"/>
  <c r="U177" i="6"/>
  <c r="V177" i="6"/>
  <c r="W177" i="6"/>
  <c r="X177" i="6"/>
  <c r="Y177" i="6"/>
  <c r="Z177" i="6"/>
  <c r="AA177" i="6"/>
  <c r="AB177" i="6"/>
  <c r="AC177" i="6"/>
  <c r="AD177" i="6"/>
  <c r="AE177" i="6"/>
  <c r="AF177" i="6"/>
  <c r="AG177" i="6"/>
  <c r="AH177" i="6"/>
  <c r="AI177" i="6"/>
  <c r="AJ177" i="6"/>
  <c r="AK177" i="6"/>
  <c r="AL177" i="6"/>
  <c r="AM177" i="6"/>
  <c r="AN177" i="6"/>
  <c r="AO177" i="6"/>
  <c r="AP177" i="6"/>
  <c r="AQ177" i="6"/>
  <c r="AR177" i="6"/>
  <c r="D177" i="6"/>
  <c r="W83" i="14" l="1"/>
  <c r="W60" i="14"/>
  <c r="C23" i="7"/>
  <c r="D25" i="7"/>
  <c r="D24" i="7"/>
  <c r="C25" i="7"/>
  <c r="D23" i="7"/>
  <c r="D3" i="7"/>
  <c r="E21" i="7"/>
  <c r="W62" i="14" l="1"/>
  <c r="W85" i="14"/>
  <c r="E25" i="7"/>
  <c r="E24" i="7"/>
  <c r="E23" i="7"/>
  <c r="E3" i="7"/>
  <c r="F21" i="7"/>
  <c r="W64" i="14" l="1"/>
  <c r="W87" i="14"/>
  <c r="F25" i="7"/>
  <c r="F24" i="7"/>
  <c r="F23" i="7"/>
  <c r="G21" i="7"/>
  <c r="F3" i="7"/>
  <c r="W89" i="14" l="1"/>
  <c r="W66" i="14"/>
  <c r="G25" i="7"/>
  <c r="G24" i="7"/>
  <c r="G23" i="7"/>
  <c r="H21" i="7"/>
  <c r="G3" i="7"/>
  <c r="W68" i="14" l="1"/>
  <c r="W91" i="14"/>
  <c r="H25" i="7"/>
  <c r="H24" i="7"/>
  <c r="H23" i="7"/>
  <c r="I21" i="7"/>
  <c r="H3" i="7"/>
  <c r="W70" i="14" l="1"/>
  <c r="W93" i="14"/>
  <c r="I25" i="7"/>
  <c r="I24" i="7"/>
  <c r="I23" i="7"/>
  <c r="J21" i="7"/>
  <c r="I3" i="7"/>
  <c r="W72" i="14" l="1"/>
  <c r="W95" i="14"/>
  <c r="J23" i="7"/>
  <c r="J25" i="7"/>
  <c r="J24" i="7"/>
  <c r="K21" i="7"/>
  <c r="J3" i="7"/>
  <c r="W74" i="14" l="1"/>
  <c r="W97" i="14"/>
  <c r="K25" i="7"/>
  <c r="K23" i="7"/>
  <c r="K24" i="7"/>
  <c r="L21" i="7"/>
  <c r="K3" i="7"/>
  <c r="W99" i="14" l="1"/>
  <c r="W76" i="14"/>
  <c r="L25" i="7"/>
  <c r="L23" i="7"/>
  <c r="L24" i="7"/>
  <c r="M21" i="7"/>
  <c r="L3" i="7"/>
  <c r="W101" i="14" l="1"/>
  <c r="W78" i="14"/>
  <c r="M25" i="7"/>
  <c r="M23" i="7"/>
  <c r="M24" i="7"/>
  <c r="N21" i="7"/>
  <c r="M3" i="7"/>
  <c r="W80" i="14" l="1"/>
  <c r="W103" i="14"/>
  <c r="N23" i="7"/>
  <c r="N24" i="7"/>
  <c r="N25" i="7"/>
  <c r="O21" i="7"/>
  <c r="N3" i="7"/>
  <c r="W82" i="14" l="1"/>
  <c r="W105" i="14"/>
  <c r="O23" i="7"/>
  <c r="O25" i="7"/>
  <c r="O24" i="7"/>
  <c r="P21" i="7"/>
  <c r="O3" i="7"/>
  <c r="W84" i="14" l="1"/>
  <c r="W107" i="14"/>
  <c r="P23" i="7"/>
  <c r="P24" i="7"/>
  <c r="P25" i="7"/>
  <c r="Q21" i="7"/>
  <c r="P3" i="7"/>
  <c r="W109" i="14" l="1"/>
  <c r="W86" i="14"/>
  <c r="Q23" i="7"/>
  <c r="Q25" i="7"/>
  <c r="Q24" i="7"/>
  <c r="R21" i="7"/>
  <c r="Q3" i="7"/>
  <c r="W88" i="14" l="1"/>
  <c r="W111" i="14"/>
  <c r="R24" i="7"/>
  <c r="R23" i="7"/>
  <c r="R25" i="7"/>
  <c r="S21" i="7"/>
  <c r="R3" i="7"/>
  <c r="W113" i="14" l="1"/>
  <c r="W90" i="14"/>
  <c r="S24" i="7"/>
  <c r="S23" i="7"/>
  <c r="S25" i="7"/>
  <c r="T21" i="7"/>
  <c r="S3" i="7"/>
  <c r="W92" i="14" l="1"/>
  <c r="W115" i="14"/>
  <c r="T25" i="7"/>
  <c r="T24" i="7"/>
  <c r="T23" i="7"/>
  <c r="U21" i="7"/>
  <c r="T3" i="7"/>
  <c r="W117" i="14" l="1"/>
  <c r="W94" i="14"/>
  <c r="U24" i="7"/>
  <c r="U23" i="7"/>
  <c r="U25" i="7"/>
  <c r="V21" i="7"/>
  <c r="U3" i="7"/>
  <c r="W96" i="14" l="1"/>
  <c r="W119" i="14"/>
  <c r="V25" i="7"/>
  <c r="V24" i="7"/>
  <c r="V23" i="7"/>
  <c r="W21" i="7"/>
  <c r="V3" i="7"/>
  <c r="W98" i="14" l="1"/>
  <c r="W121" i="14"/>
  <c r="W25" i="7"/>
  <c r="W24" i="7"/>
  <c r="W23" i="7"/>
  <c r="X21" i="7"/>
  <c r="W3" i="7"/>
  <c r="W100" i="14" l="1"/>
  <c r="W123" i="14"/>
  <c r="X25" i="7"/>
  <c r="X24" i="7"/>
  <c r="X23" i="7"/>
  <c r="Y21" i="7"/>
  <c r="X3" i="7"/>
  <c r="W102" i="14" l="1"/>
  <c r="W125" i="14"/>
  <c r="Y25" i="7"/>
  <c r="Y24" i="7"/>
  <c r="Y23" i="7"/>
  <c r="Z21" i="7"/>
  <c r="Y3" i="7"/>
  <c r="W127" i="14" l="1"/>
  <c r="W104" i="14"/>
  <c r="Z25" i="7"/>
  <c r="Z23" i="7"/>
  <c r="Z24" i="7"/>
  <c r="AA21" i="7"/>
  <c r="Z3" i="7"/>
  <c r="W106" i="14" l="1"/>
  <c r="W129" i="14"/>
  <c r="AA25" i="7"/>
  <c r="AA23" i="7"/>
  <c r="AA24" i="7"/>
  <c r="AB21" i="7"/>
  <c r="AA3" i="7"/>
  <c r="W131" i="14" l="1"/>
  <c r="W108" i="14"/>
  <c r="AB23" i="7"/>
  <c r="AB25" i="7"/>
  <c r="AB24" i="7"/>
  <c r="AC21" i="7"/>
  <c r="AB3" i="7"/>
  <c r="W110" i="14" l="1"/>
  <c r="W133" i="14"/>
  <c r="AC23" i="7"/>
  <c r="AC25" i="7"/>
  <c r="AC24" i="7"/>
  <c r="AD21" i="7"/>
  <c r="AC3" i="7"/>
  <c r="W112" i="14" l="1"/>
  <c r="W135" i="14"/>
  <c r="AD23" i="7"/>
  <c r="AD25" i="7"/>
  <c r="AD24" i="7"/>
  <c r="AE21" i="7"/>
  <c r="AD3" i="7"/>
  <c r="W114" i="14" l="1"/>
  <c r="W137" i="14"/>
  <c r="AE24" i="7"/>
  <c r="AE23" i="7"/>
  <c r="AE25" i="7"/>
  <c r="AF21" i="7"/>
  <c r="AE3" i="7"/>
  <c r="W139" i="14" l="1"/>
  <c r="W116" i="14"/>
  <c r="AF23" i="7"/>
  <c r="AF24" i="7"/>
  <c r="AF25" i="7"/>
  <c r="AG21" i="7"/>
  <c r="AF3" i="7"/>
  <c r="W118" i="14" l="1"/>
  <c r="W141" i="14"/>
  <c r="AG23" i="7"/>
  <c r="AG24" i="7"/>
  <c r="AG25" i="7"/>
  <c r="AH21" i="7"/>
  <c r="AG3" i="7"/>
  <c r="W120" i="14" l="1"/>
  <c r="W143" i="14"/>
  <c r="AH24" i="7"/>
  <c r="AH23" i="7"/>
  <c r="AH25" i="7"/>
  <c r="AI21" i="7"/>
  <c r="AH3" i="7"/>
  <c r="W122" i="14" l="1"/>
  <c r="W145" i="14"/>
  <c r="AI24" i="7"/>
  <c r="AI23" i="7"/>
  <c r="AI25" i="7"/>
  <c r="AJ21" i="7"/>
  <c r="AI3" i="7"/>
  <c r="W147" i="14" l="1"/>
  <c r="W124" i="14"/>
  <c r="AJ24" i="7"/>
  <c r="AJ25" i="7"/>
  <c r="AJ23" i="7"/>
  <c r="AK21" i="7"/>
  <c r="AJ3" i="7"/>
  <c r="W149" i="14" l="1"/>
  <c r="W126" i="14"/>
  <c r="AK24" i="7"/>
  <c r="AK25" i="7"/>
  <c r="AK23" i="7"/>
  <c r="AL21" i="7"/>
  <c r="AK3" i="7"/>
  <c r="W128" i="14" l="1"/>
  <c r="W151" i="14"/>
  <c r="AL25" i="7"/>
  <c r="AL24" i="7"/>
  <c r="AL23" i="7"/>
  <c r="AM21" i="7"/>
  <c r="AL3" i="7"/>
  <c r="W130" i="14" l="1"/>
  <c r="W153" i="14"/>
  <c r="AM25" i="7"/>
  <c r="AM24" i="7"/>
  <c r="AM23" i="7"/>
  <c r="AN21" i="7"/>
  <c r="AM3" i="7"/>
  <c r="W155" i="14" l="1"/>
  <c r="W132" i="14"/>
  <c r="AN25" i="7"/>
  <c r="AN24" i="7"/>
  <c r="AN23" i="7"/>
  <c r="AO21" i="7"/>
  <c r="AN3" i="7"/>
  <c r="W134" i="14" l="1"/>
  <c r="W157" i="14"/>
  <c r="AO25" i="7"/>
  <c r="AO24" i="7"/>
  <c r="AO23" i="7"/>
  <c r="AP21" i="7"/>
  <c r="AO3" i="7"/>
  <c r="W136" i="14" l="1"/>
  <c r="W159" i="14"/>
  <c r="AP25" i="7"/>
  <c r="AP24" i="7"/>
  <c r="AP23" i="7"/>
  <c r="AQ21" i="7"/>
  <c r="AP3" i="7"/>
  <c r="W161" i="14" l="1"/>
  <c r="W138" i="14"/>
  <c r="AQ25" i="7"/>
  <c r="AQ23" i="7"/>
  <c r="AQ24" i="7"/>
  <c r="AR21" i="7"/>
  <c r="AQ3" i="7"/>
  <c r="W140" i="14" l="1"/>
  <c r="W163" i="14"/>
  <c r="AR25" i="7"/>
  <c r="AR23" i="7"/>
  <c r="AR24" i="7"/>
  <c r="AS21" i="7"/>
  <c r="AR3" i="7"/>
  <c r="W142" i="14" l="1"/>
  <c r="W165" i="14"/>
  <c r="AS25" i="7"/>
  <c r="AS23" i="7"/>
  <c r="AS24" i="7"/>
  <c r="AT21" i="7"/>
  <c r="AS3" i="7"/>
  <c r="W167" i="14" l="1"/>
  <c r="W144" i="14"/>
  <c r="AT23" i="7"/>
  <c r="AT24" i="7"/>
  <c r="AT25" i="7"/>
  <c r="AU21" i="7"/>
  <c r="AT3" i="7"/>
  <c r="W146" i="14" l="1"/>
  <c r="W169" i="14"/>
  <c r="AU23" i="7"/>
  <c r="AU24" i="7"/>
  <c r="AU25" i="7"/>
  <c r="AV21" i="7"/>
  <c r="AU3" i="7"/>
  <c r="W171" i="14" l="1"/>
  <c r="W148" i="14"/>
  <c r="AV23" i="7"/>
  <c r="AV25" i="7"/>
  <c r="AV24" i="7"/>
  <c r="AW21" i="7"/>
  <c r="AV3" i="7"/>
  <c r="W173" i="14" l="1"/>
  <c r="W150" i="14"/>
  <c r="AW24" i="7"/>
  <c r="AW23" i="7"/>
  <c r="AW25" i="7"/>
  <c r="AX21" i="7"/>
  <c r="AW3" i="7"/>
  <c r="W152" i="14" l="1"/>
  <c r="W175" i="14"/>
  <c r="AX24" i="7"/>
  <c r="AX23" i="7"/>
  <c r="AX25" i="7"/>
  <c r="AY21" i="7"/>
  <c r="AX3" i="7"/>
  <c r="W154" i="14" l="1"/>
  <c r="W177" i="14"/>
  <c r="AY24" i="7"/>
  <c r="AY23" i="7"/>
  <c r="AY25" i="7"/>
  <c r="AZ21" i="7"/>
  <c r="AY3" i="7"/>
  <c r="W179" i="14" l="1"/>
  <c r="W156" i="14"/>
  <c r="AZ24" i="7"/>
  <c r="AZ25" i="7"/>
  <c r="AZ23" i="7"/>
  <c r="BA21" i="7"/>
  <c r="AZ3" i="7"/>
  <c r="W181" i="14" l="1"/>
  <c r="W158" i="14"/>
  <c r="BA24" i="7"/>
  <c r="BA25" i="7"/>
  <c r="BA23" i="7"/>
  <c r="BB21" i="7"/>
  <c r="BA3" i="7"/>
  <c r="W160" i="14" l="1"/>
  <c r="W183" i="14"/>
  <c r="BB25" i="7"/>
  <c r="BB24" i="7"/>
  <c r="BB23" i="7"/>
  <c r="BC21" i="7"/>
  <c r="BB3" i="7"/>
  <c r="W185" i="14" l="1"/>
  <c r="W162" i="14"/>
  <c r="BC25" i="7"/>
  <c r="BC24" i="7"/>
  <c r="BC23" i="7"/>
  <c r="BD21" i="7"/>
  <c r="BC3" i="7"/>
  <c r="W164" i="14" l="1"/>
  <c r="W187" i="14"/>
  <c r="BD25" i="7"/>
  <c r="BD24" i="7"/>
  <c r="BD23" i="7"/>
  <c r="BE21" i="7"/>
  <c r="BD3" i="7"/>
  <c r="W189" i="14" l="1"/>
  <c r="W166" i="14"/>
  <c r="BE25" i="7"/>
  <c r="BE24" i="7"/>
  <c r="BE23" i="7"/>
  <c r="BF21" i="7"/>
  <c r="BE3" i="7"/>
  <c r="W168" i="14" l="1"/>
  <c r="W191" i="14"/>
  <c r="BF25" i="7"/>
  <c r="BF23" i="7"/>
  <c r="BF24" i="7"/>
  <c r="BG21" i="7"/>
  <c r="BF3" i="7"/>
  <c r="W193" i="14" l="1"/>
  <c r="W170" i="14"/>
  <c r="BG25" i="7"/>
  <c r="BG24" i="7"/>
  <c r="BG23" i="7"/>
  <c r="BH21" i="7"/>
  <c r="BG3" i="7"/>
  <c r="W172" i="14" l="1"/>
  <c r="W195" i="14"/>
  <c r="BH23" i="7"/>
  <c r="BH25" i="7"/>
  <c r="BH24" i="7"/>
  <c r="BI21" i="7"/>
  <c r="BH3" i="7"/>
  <c r="W197" i="14" l="1"/>
  <c r="W174" i="14"/>
  <c r="BI23" i="7"/>
  <c r="BI25" i="7"/>
  <c r="BI24" i="7"/>
  <c r="BJ21" i="7"/>
  <c r="BI3" i="7"/>
  <c r="W176" i="14" l="1"/>
  <c r="W199" i="14"/>
  <c r="BJ24" i="7"/>
  <c r="BJ23" i="7"/>
  <c r="BJ25" i="7"/>
  <c r="BK21" i="7"/>
  <c r="BJ3" i="7"/>
  <c r="W201" i="14" l="1"/>
  <c r="W178" i="14"/>
  <c r="BK23" i="7"/>
  <c r="BK24" i="7"/>
  <c r="BK25" i="7"/>
  <c r="BK3" i="7"/>
  <c r="W180" i="14" l="1"/>
  <c r="W203" i="14"/>
  <c r="G6" i="13"/>
  <c r="H6" i="13"/>
  <c r="F6" i="13"/>
  <c r="W205" i="14" l="1"/>
  <c r="W182" i="14"/>
  <c r="W184" i="14" l="1"/>
  <c r="W207" i="14"/>
  <c r="D5" i="12"/>
  <c r="E5" i="12"/>
  <c r="C5" i="12"/>
  <c r="D5" i="11"/>
  <c r="E5" i="11"/>
  <c r="E32" i="11" s="1"/>
  <c r="C5" i="11"/>
  <c r="C32" i="11" l="1"/>
  <c r="D32" i="11"/>
  <c r="W209" i="14"/>
  <c r="W186" i="14"/>
  <c r="W188" i="14" l="1"/>
  <c r="W211" i="14"/>
  <c r="D54" i="6"/>
  <c r="D55" i="6" s="1"/>
  <c r="E54" i="6"/>
  <c r="E55" i="6" s="1"/>
  <c r="F54" i="6"/>
  <c r="F55" i="6" s="1"/>
  <c r="G54" i="6"/>
  <c r="G55" i="6" s="1"/>
  <c r="H54" i="6"/>
  <c r="H55" i="6" s="1"/>
  <c r="I54" i="6"/>
  <c r="I55" i="6" s="1"/>
  <c r="J54" i="6"/>
  <c r="J55" i="6" s="1"/>
  <c r="K54" i="6"/>
  <c r="K55" i="6" s="1"/>
  <c r="L54" i="6"/>
  <c r="L55" i="6" s="1"/>
  <c r="M54" i="6"/>
  <c r="M55" i="6" s="1"/>
  <c r="N54" i="6"/>
  <c r="N55" i="6" s="1"/>
  <c r="O54" i="6"/>
  <c r="O55" i="6" s="1"/>
  <c r="P54" i="6"/>
  <c r="P55" i="6" s="1"/>
  <c r="Q54" i="6"/>
  <c r="Q55" i="6" s="1"/>
  <c r="R54" i="6"/>
  <c r="R55" i="6" s="1"/>
  <c r="S54" i="6"/>
  <c r="S55" i="6" s="1"/>
  <c r="T54" i="6"/>
  <c r="T55" i="6" s="1"/>
  <c r="U54" i="6"/>
  <c r="U55" i="6" s="1"/>
  <c r="V54" i="6"/>
  <c r="V55" i="6" s="1"/>
  <c r="W54" i="6"/>
  <c r="W55" i="6" s="1"/>
  <c r="X54" i="6"/>
  <c r="X55" i="6" s="1"/>
  <c r="Y54" i="6"/>
  <c r="Y55" i="6" s="1"/>
  <c r="Z54" i="6"/>
  <c r="Z55" i="6" s="1"/>
  <c r="AA54" i="6"/>
  <c r="AA55" i="6" s="1"/>
  <c r="AB54" i="6"/>
  <c r="AB55" i="6" s="1"/>
  <c r="AC54" i="6"/>
  <c r="AC55" i="6" s="1"/>
  <c r="AD54" i="6"/>
  <c r="AD55" i="6" s="1"/>
  <c r="AE54" i="6"/>
  <c r="AE55" i="6" s="1"/>
  <c r="AF54" i="6"/>
  <c r="AF55" i="6" s="1"/>
  <c r="AG54" i="6"/>
  <c r="AG55" i="6" s="1"/>
  <c r="AH54" i="6"/>
  <c r="AH55" i="6" s="1"/>
  <c r="AI54" i="6"/>
  <c r="AI55" i="6" s="1"/>
  <c r="AJ54" i="6"/>
  <c r="AJ55" i="6" s="1"/>
  <c r="AK54" i="6"/>
  <c r="AK55" i="6" s="1"/>
  <c r="AL54" i="6"/>
  <c r="AL55" i="6" s="1"/>
  <c r="AM54" i="6"/>
  <c r="AM55" i="6" s="1"/>
  <c r="AN54" i="6"/>
  <c r="AN55" i="6" s="1"/>
  <c r="AO54" i="6"/>
  <c r="AO55" i="6" s="1"/>
  <c r="AP54" i="6"/>
  <c r="AP55" i="6" s="1"/>
  <c r="AQ54" i="6"/>
  <c r="AQ55" i="6" s="1"/>
  <c r="AR54" i="6"/>
  <c r="AR55" i="6" s="1"/>
  <c r="AS54" i="6"/>
  <c r="AS55" i="6" s="1"/>
  <c r="AT54" i="6"/>
  <c r="AT55" i="6" s="1"/>
  <c r="AU54" i="6"/>
  <c r="AU55" i="6" s="1"/>
  <c r="AV54" i="6"/>
  <c r="AV55" i="6" s="1"/>
  <c r="AW54" i="6"/>
  <c r="AW55" i="6" s="1"/>
  <c r="AX54" i="6"/>
  <c r="AX55" i="6" s="1"/>
  <c r="AY54" i="6"/>
  <c r="AY55" i="6" s="1"/>
  <c r="AZ54" i="6"/>
  <c r="AZ55" i="6" s="1"/>
  <c r="BA54" i="6"/>
  <c r="BA55" i="6" s="1"/>
  <c r="BB54" i="6"/>
  <c r="BB55" i="6" s="1"/>
  <c r="BC54" i="6"/>
  <c r="BC55" i="6" s="1"/>
  <c r="BD54" i="6"/>
  <c r="BD55" i="6" s="1"/>
  <c r="BE54" i="6"/>
  <c r="BE55" i="6" s="1"/>
  <c r="BF54" i="6"/>
  <c r="BF55" i="6" s="1"/>
  <c r="BG54" i="6"/>
  <c r="BG55" i="6" s="1"/>
  <c r="BH54" i="6"/>
  <c r="BH55" i="6" s="1"/>
  <c r="BI54" i="6"/>
  <c r="BI55" i="6" s="1"/>
  <c r="BJ54" i="6"/>
  <c r="BJ55" i="6" s="1"/>
  <c r="BK54" i="6"/>
  <c r="BK55" i="6" s="1"/>
  <c r="BL54" i="6"/>
  <c r="BL55" i="6" s="1"/>
  <c r="E57" i="8"/>
  <c r="E58" i="8"/>
  <c r="E59" i="8"/>
  <c r="D59" i="8"/>
  <c r="D58" i="8"/>
  <c r="D57" i="8"/>
  <c r="E53" i="8"/>
  <c r="E54" i="8"/>
  <c r="D54" i="8"/>
  <c r="D53" i="8"/>
  <c r="E52" i="8"/>
  <c r="D52" i="8"/>
  <c r="C49" i="8"/>
  <c r="C48" i="8"/>
  <c r="C47" i="8"/>
  <c r="C40" i="6"/>
  <c r="C39" i="6"/>
  <c r="H59" i="8" l="1"/>
  <c r="W213" i="14"/>
  <c r="W190" i="14"/>
  <c r="L54" i="8"/>
  <c r="Q57" i="8"/>
  <c r="Q53" i="8"/>
  <c r="L58" i="8"/>
  <c r="W52" i="8"/>
  <c r="P53" i="8"/>
  <c r="K58" i="8"/>
  <c r="F59" i="8"/>
  <c r="V52" i="8"/>
  <c r="O53" i="8"/>
  <c r="J58" i="8"/>
  <c r="U52" i="8"/>
  <c r="N53" i="8"/>
  <c r="I58" i="8"/>
  <c r="T52" i="8"/>
  <c r="J52" i="8"/>
  <c r="P57" i="8"/>
  <c r="G52" i="8"/>
  <c r="O57" i="8"/>
  <c r="F52" i="8"/>
  <c r="N57" i="8"/>
  <c r="X59" i="8"/>
  <c r="M57" i="8"/>
  <c r="W59" i="8"/>
  <c r="V59" i="8"/>
  <c r="M54" i="8"/>
  <c r="U59" i="8"/>
  <c r="K54" i="8"/>
  <c r="G59" i="8"/>
  <c r="J54" i="8"/>
  <c r="T53" i="8"/>
  <c r="S52" i="8"/>
  <c r="I54" i="8"/>
  <c r="M53" i="8"/>
  <c r="T59" i="8"/>
  <c r="X58" i="8"/>
  <c r="H58" i="8"/>
  <c r="L57" i="8"/>
  <c r="R52" i="8"/>
  <c r="X54" i="8"/>
  <c r="H54" i="8"/>
  <c r="L53" i="8"/>
  <c r="S59" i="8"/>
  <c r="W58" i="8"/>
  <c r="G58" i="8"/>
  <c r="K57" i="8"/>
  <c r="Q52" i="8"/>
  <c r="W54" i="8"/>
  <c r="G54" i="8"/>
  <c r="K53" i="8"/>
  <c r="R59" i="8"/>
  <c r="V58" i="8"/>
  <c r="F58" i="8"/>
  <c r="J57" i="8"/>
  <c r="P52" i="8"/>
  <c r="V54" i="8"/>
  <c r="F54" i="8"/>
  <c r="J53" i="8"/>
  <c r="Q59" i="8"/>
  <c r="U58" i="8"/>
  <c r="I57" i="8"/>
  <c r="O52" i="8"/>
  <c r="U54" i="8"/>
  <c r="I53" i="8"/>
  <c r="P59" i="8"/>
  <c r="T58" i="8"/>
  <c r="X57" i="8"/>
  <c r="H57" i="8"/>
  <c r="N52" i="8"/>
  <c r="T54" i="8"/>
  <c r="X53" i="8"/>
  <c r="H53" i="8"/>
  <c r="O59" i="8"/>
  <c r="S58" i="8"/>
  <c r="W57" i="8"/>
  <c r="G57" i="8"/>
  <c r="M52" i="8"/>
  <c r="S54" i="8"/>
  <c r="W53" i="8"/>
  <c r="G53" i="8"/>
  <c r="N59" i="8"/>
  <c r="R58" i="8"/>
  <c r="V57" i="8"/>
  <c r="F57" i="8"/>
  <c r="L52" i="8"/>
  <c r="R54" i="8"/>
  <c r="V53" i="8"/>
  <c r="F53" i="8"/>
  <c r="M59" i="8"/>
  <c r="Q58" i="8"/>
  <c r="U57" i="8"/>
  <c r="K52" i="8"/>
  <c r="Q54" i="8"/>
  <c r="U53" i="8"/>
  <c r="L59" i="8"/>
  <c r="P58" i="8"/>
  <c r="T57" i="8"/>
  <c r="K59" i="8"/>
  <c r="O58" i="8"/>
  <c r="S57" i="8"/>
  <c r="P54" i="8"/>
  <c r="I52" i="8"/>
  <c r="O54" i="8"/>
  <c r="S53" i="8"/>
  <c r="J59" i="8"/>
  <c r="N58" i="8"/>
  <c r="R57" i="8"/>
  <c r="X52" i="8"/>
  <c r="H52" i="8"/>
  <c r="N54" i="8"/>
  <c r="R53" i="8"/>
  <c r="I59" i="8"/>
  <c r="M58" i="8"/>
  <c r="W192" i="14" l="1"/>
  <c r="W215" i="14"/>
  <c r="E5" i="6"/>
  <c r="E43" i="6" s="1"/>
  <c r="E50" i="6" l="1"/>
  <c r="E49" i="6"/>
  <c r="E48" i="6"/>
  <c r="E45" i="6"/>
  <c r="E44" i="6"/>
  <c r="W217" i="14"/>
  <c r="W194" i="14"/>
  <c r="E6" i="6"/>
  <c r="E7" i="6"/>
  <c r="D4" i="7" s="1"/>
  <c r="E8" i="6"/>
  <c r="D5" i="6"/>
  <c r="F5" i="6"/>
  <c r="F50" i="6" l="1"/>
  <c r="F49" i="6"/>
  <c r="F48" i="6"/>
  <c r="F45" i="6"/>
  <c r="F44" i="6"/>
  <c r="F43" i="6"/>
  <c r="E93" i="6"/>
  <c r="E64" i="6"/>
  <c r="E63" i="6"/>
  <c r="E76" i="6"/>
  <c r="E100" i="6" s="1"/>
  <c r="W196" i="14"/>
  <c r="W219" i="14"/>
  <c r="E71" i="6"/>
  <c r="D11" i="6"/>
  <c r="D5" i="7"/>
  <c r="D10" i="6"/>
  <c r="E4" i="6"/>
  <c r="D2" i="7" s="1"/>
  <c r="D9" i="6"/>
  <c r="E15" i="6"/>
  <c r="G5" i="6"/>
  <c r="F6" i="6"/>
  <c r="F7" i="6"/>
  <c r="E4" i="7" s="1"/>
  <c r="F8" i="6"/>
  <c r="D28" i="7" l="1"/>
  <c r="E29" i="6"/>
  <c r="E33" i="6" s="1"/>
  <c r="F93" i="6"/>
  <c r="G49" i="6"/>
  <c r="G48" i="6"/>
  <c r="G45" i="6"/>
  <c r="G44" i="6"/>
  <c r="G43" i="6"/>
  <c r="G50" i="6"/>
  <c r="D88" i="6"/>
  <c r="D118" i="6" s="1"/>
  <c r="F64" i="6"/>
  <c r="F63" i="6"/>
  <c r="F76" i="6"/>
  <c r="F100" i="6" s="1"/>
  <c r="W221" i="14"/>
  <c r="W198" i="14"/>
  <c r="E109" i="6"/>
  <c r="D29" i="7"/>
  <c r="D30" i="7"/>
  <c r="F71" i="6"/>
  <c r="E11" i="6"/>
  <c r="E5" i="7"/>
  <c r="E10" i="6"/>
  <c r="F4" i="6"/>
  <c r="E2" i="7" s="1"/>
  <c r="F15" i="6"/>
  <c r="F29" i="6" s="1"/>
  <c r="E9" i="6"/>
  <c r="H5" i="6"/>
  <c r="G6" i="6"/>
  <c r="G7" i="6"/>
  <c r="F4" i="7" s="1"/>
  <c r="G8" i="6"/>
  <c r="G93" i="6" l="1"/>
  <c r="H49" i="6"/>
  <c r="H48" i="6"/>
  <c r="H45" i="6"/>
  <c r="H44" i="6"/>
  <c r="H43" i="6"/>
  <c r="H50" i="6"/>
  <c r="E88" i="6"/>
  <c r="F109" i="6"/>
  <c r="D119" i="6"/>
  <c r="G64" i="6"/>
  <c r="G63" i="6"/>
  <c r="G76" i="6"/>
  <c r="G100" i="6" s="1"/>
  <c r="W200" i="14"/>
  <c r="W223" i="14"/>
  <c r="E29" i="7"/>
  <c r="E28" i="7"/>
  <c r="E30" i="7"/>
  <c r="D108" i="6"/>
  <c r="G71" i="6"/>
  <c r="F11" i="6"/>
  <c r="F5" i="7"/>
  <c r="G4" i="6"/>
  <c r="F2" i="7" s="1"/>
  <c r="F33" i="6"/>
  <c r="G15" i="6"/>
  <c r="G29" i="6" s="1"/>
  <c r="F10" i="6"/>
  <c r="I5" i="6"/>
  <c r="H6" i="6"/>
  <c r="H7" i="6"/>
  <c r="G4" i="7" s="1"/>
  <c r="H8" i="6"/>
  <c r="F9" i="6"/>
  <c r="F88" i="6" l="1"/>
  <c r="I49" i="6"/>
  <c r="I44" i="6"/>
  <c r="I48" i="6"/>
  <c r="I45" i="6"/>
  <c r="I43" i="6"/>
  <c r="I50" i="6"/>
  <c r="H93" i="6"/>
  <c r="E108" i="6"/>
  <c r="G109" i="6"/>
  <c r="H64" i="6"/>
  <c r="H63" i="6"/>
  <c r="H76" i="6"/>
  <c r="H100" i="6" s="1"/>
  <c r="W225" i="14"/>
  <c r="W202" i="14"/>
  <c r="E70" i="6"/>
  <c r="D53" i="7"/>
  <c r="F28" i="7"/>
  <c r="F30" i="7"/>
  <c r="F29" i="7"/>
  <c r="G33" i="6"/>
  <c r="H71" i="6"/>
  <c r="G11" i="6"/>
  <c r="G5" i="7"/>
  <c r="H4" i="6"/>
  <c r="G2" i="7" s="1"/>
  <c r="J5" i="6"/>
  <c r="I6" i="6"/>
  <c r="I7" i="6"/>
  <c r="H4" i="7" s="1"/>
  <c r="I8" i="6"/>
  <c r="G9" i="6"/>
  <c r="H15" i="6"/>
  <c r="H29" i="6" s="1"/>
  <c r="G10" i="6"/>
  <c r="G88" i="6" l="1"/>
  <c r="I93" i="6"/>
  <c r="J48" i="6"/>
  <c r="J44" i="6"/>
  <c r="J45" i="6"/>
  <c r="J43" i="6"/>
  <c r="J49" i="6"/>
  <c r="J50" i="6"/>
  <c r="F108" i="6"/>
  <c r="H109" i="6"/>
  <c r="I64" i="6"/>
  <c r="I63" i="6"/>
  <c r="I76" i="6"/>
  <c r="I100" i="6" s="1"/>
  <c r="W204" i="14"/>
  <c r="W227" i="14"/>
  <c r="G29" i="7"/>
  <c r="G28" i="7"/>
  <c r="G30" i="7"/>
  <c r="I71" i="6"/>
  <c r="H11" i="6"/>
  <c r="H5" i="7"/>
  <c r="H10" i="6"/>
  <c r="I4" i="6"/>
  <c r="H2" i="7" s="1"/>
  <c r="E53" i="7"/>
  <c r="F70" i="6"/>
  <c r="I15" i="6"/>
  <c r="I29" i="6" s="1"/>
  <c r="H9" i="6"/>
  <c r="K5" i="6"/>
  <c r="J6" i="6"/>
  <c r="J7" i="6"/>
  <c r="I4" i="7" s="1"/>
  <c r="J8" i="6"/>
  <c r="K45" i="6" l="1"/>
  <c r="K44" i="6"/>
  <c r="K43" i="6"/>
  <c r="K49" i="6"/>
  <c r="K48" i="6"/>
  <c r="K50" i="6"/>
  <c r="H33" i="6"/>
  <c r="H70" i="6" s="1"/>
  <c r="J93" i="6"/>
  <c r="H88" i="6"/>
  <c r="G108" i="6"/>
  <c r="I109" i="6"/>
  <c r="J64" i="6"/>
  <c r="J63" i="6"/>
  <c r="J76" i="6"/>
  <c r="J100" i="6" s="1"/>
  <c r="W229" i="14"/>
  <c r="W206" i="14"/>
  <c r="G70" i="6"/>
  <c r="F53" i="7"/>
  <c r="H29" i="7"/>
  <c r="H28" i="7"/>
  <c r="H30" i="7"/>
  <c r="J71" i="6"/>
  <c r="I11" i="6"/>
  <c r="I5" i="7"/>
  <c r="I10" i="6"/>
  <c r="J4" i="6"/>
  <c r="I2" i="7" s="1"/>
  <c r="I33" i="6"/>
  <c r="L5" i="6"/>
  <c r="K6" i="6"/>
  <c r="K7" i="6"/>
  <c r="J4" i="7" s="1"/>
  <c r="K8" i="6"/>
  <c r="J15" i="6"/>
  <c r="J29" i="6" s="1"/>
  <c r="I9" i="6"/>
  <c r="K93" i="6" l="1"/>
  <c r="I88" i="6"/>
  <c r="L44" i="6"/>
  <c r="L43" i="6"/>
  <c r="L48" i="6"/>
  <c r="L50" i="6"/>
  <c r="L45" i="6"/>
  <c r="L49" i="6"/>
  <c r="H108" i="6"/>
  <c r="J109" i="6"/>
  <c r="K64" i="6"/>
  <c r="K63" i="6"/>
  <c r="K76" i="6"/>
  <c r="K100" i="6" s="1"/>
  <c r="W208" i="14"/>
  <c r="W231" i="14"/>
  <c r="G53" i="7"/>
  <c r="I29" i="7"/>
  <c r="I28" i="7"/>
  <c r="I30" i="7"/>
  <c r="J33" i="6"/>
  <c r="K71" i="6"/>
  <c r="J11" i="6"/>
  <c r="J5" i="7"/>
  <c r="J10" i="6"/>
  <c r="K4" i="6"/>
  <c r="J2" i="7" s="1"/>
  <c r="K15" i="6"/>
  <c r="K29" i="6" s="1"/>
  <c r="J9" i="6"/>
  <c r="M5" i="6"/>
  <c r="L6" i="6"/>
  <c r="L7" i="6"/>
  <c r="K4" i="7" s="1"/>
  <c r="L8" i="6"/>
  <c r="L93" i="6" l="1"/>
  <c r="J88" i="6"/>
  <c r="M44" i="6"/>
  <c r="M45" i="6"/>
  <c r="M50" i="6"/>
  <c r="M49" i="6"/>
  <c r="M43" i="6"/>
  <c r="M48" i="6"/>
  <c r="I108" i="6"/>
  <c r="K109" i="6"/>
  <c r="L64" i="6"/>
  <c r="L63" i="6"/>
  <c r="L76" i="6"/>
  <c r="L100" i="6" s="1"/>
  <c r="W233" i="14"/>
  <c r="W210" i="14"/>
  <c r="J29" i="7"/>
  <c r="J28" i="7"/>
  <c r="J30" i="7"/>
  <c r="K33" i="6"/>
  <c r="L71" i="6"/>
  <c r="K11" i="6"/>
  <c r="K5" i="7"/>
  <c r="K10" i="6"/>
  <c r="L4" i="6"/>
  <c r="K2" i="7" s="1"/>
  <c r="I70" i="6"/>
  <c r="N5" i="6"/>
  <c r="M6" i="6"/>
  <c r="M7" i="6"/>
  <c r="L4" i="7" s="1"/>
  <c r="M8" i="6"/>
  <c r="K9" i="6"/>
  <c r="L15" i="6"/>
  <c r="L29" i="6" s="1"/>
  <c r="K88" i="6" l="1"/>
  <c r="M93" i="6"/>
  <c r="N49" i="6"/>
  <c r="N50" i="6"/>
  <c r="N43" i="6"/>
  <c r="N44" i="6"/>
  <c r="N48" i="6"/>
  <c r="N45" i="6"/>
  <c r="J108" i="6"/>
  <c r="L109" i="6"/>
  <c r="M64" i="6"/>
  <c r="M63" i="6"/>
  <c r="M76" i="6"/>
  <c r="M100" i="6" s="1"/>
  <c r="W212" i="14"/>
  <c r="W235" i="14"/>
  <c r="J70" i="6"/>
  <c r="H53" i="7"/>
  <c r="I53" i="7"/>
  <c r="K29" i="7"/>
  <c r="K28" i="7"/>
  <c r="K30" i="7"/>
  <c r="L33" i="6"/>
  <c r="M71" i="6"/>
  <c r="L11" i="6"/>
  <c r="L5" i="7"/>
  <c r="L10" i="6"/>
  <c r="M4" i="6"/>
  <c r="L2" i="7" s="1"/>
  <c r="L9" i="6"/>
  <c r="M15" i="6"/>
  <c r="M29" i="6" s="1"/>
  <c r="O5" i="6"/>
  <c r="N8" i="6"/>
  <c r="N6" i="6"/>
  <c r="N7" i="6"/>
  <c r="M4" i="7" s="1"/>
  <c r="N93" i="6" l="1"/>
  <c r="L88" i="6"/>
  <c r="O50" i="6"/>
  <c r="O48" i="6"/>
  <c r="O49" i="6"/>
  <c r="O45" i="6"/>
  <c r="O44" i="6"/>
  <c r="O43" i="6"/>
  <c r="K108" i="6"/>
  <c r="M109" i="6"/>
  <c r="N64" i="6"/>
  <c r="N63" i="6"/>
  <c r="N76" i="6"/>
  <c r="N100" i="6" s="1"/>
  <c r="W237" i="14"/>
  <c r="W214" i="14"/>
  <c r="K70" i="6"/>
  <c r="J53" i="7"/>
  <c r="L30" i="7"/>
  <c r="L29" i="7"/>
  <c r="L28" i="7"/>
  <c r="M33" i="6"/>
  <c r="N71" i="6"/>
  <c r="M11" i="6"/>
  <c r="M5" i="7"/>
  <c r="M10" i="6"/>
  <c r="N4" i="6"/>
  <c r="M2" i="7" s="1"/>
  <c r="P5" i="6"/>
  <c r="O8" i="6"/>
  <c r="O6" i="6"/>
  <c r="O7" i="6"/>
  <c r="N4" i="7" s="1"/>
  <c r="M9" i="6"/>
  <c r="N15" i="6"/>
  <c r="N29" i="6" s="1"/>
  <c r="M88" i="6" l="1"/>
  <c r="O93" i="6"/>
  <c r="P50" i="6"/>
  <c r="P49" i="6"/>
  <c r="P48" i="6"/>
  <c r="P45" i="6"/>
  <c r="P44" i="6"/>
  <c r="P43" i="6"/>
  <c r="L108" i="6"/>
  <c r="N109" i="6"/>
  <c r="O64" i="6"/>
  <c r="O63" i="6"/>
  <c r="O76" i="6"/>
  <c r="O100" i="6" s="1"/>
  <c r="W216" i="14"/>
  <c r="W239" i="14"/>
  <c r="L70" i="6"/>
  <c r="K53" i="7"/>
  <c r="M30" i="7"/>
  <c r="M29" i="7"/>
  <c r="M28" i="7"/>
  <c r="N33" i="6"/>
  <c r="O71" i="6"/>
  <c r="N11" i="6"/>
  <c r="N5" i="7"/>
  <c r="N10" i="6"/>
  <c r="O4" i="6"/>
  <c r="N2" i="7" s="1"/>
  <c r="N9" i="6"/>
  <c r="O15" i="6"/>
  <c r="O29" i="6" s="1"/>
  <c r="Q5" i="6"/>
  <c r="P8" i="6"/>
  <c r="P6" i="6"/>
  <c r="P7" i="6"/>
  <c r="O4" i="7" s="1"/>
  <c r="P93" i="6" l="1"/>
  <c r="Q50" i="6"/>
  <c r="Q49" i="6"/>
  <c r="Q43" i="6"/>
  <c r="Q48" i="6"/>
  <c r="Q44" i="6"/>
  <c r="Q45" i="6"/>
  <c r="N88" i="6"/>
  <c r="M108" i="6"/>
  <c r="O109" i="6"/>
  <c r="P64" i="6"/>
  <c r="P63" i="6"/>
  <c r="P76" i="6"/>
  <c r="P100" i="6" s="1"/>
  <c r="W241" i="14"/>
  <c r="W218" i="14"/>
  <c r="M70" i="6"/>
  <c r="L53" i="7"/>
  <c r="N30" i="7"/>
  <c r="N29" i="7"/>
  <c r="N28" i="7"/>
  <c r="O33" i="6"/>
  <c r="P71" i="6"/>
  <c r="O11" i="6"/>
  <c r="O5" i="7"/>
  <c r="O10" i="6"/>
  <c r="P4" i="6"/>
  <c r="O2" i="7" s="1"/>
  <c r="O9" i="6"/>
  <c r="P15" i="6"/>
  <c r="P29" i="6" s="1"/>
  <c r="R5" i="6"/>
  <c r="Q8" i="6"/>
  <c r="Q6" i="6"/>
  <c r="Q7" i="6"/>
  <c r="P4" i="7" s="1"/>
  <c r="R50" i="6" l="1"/>
  <c r="R49" i="6"/>
  <c r="R48" i="6"/>
  <c r="R45" i="6"/>
  <c r="R44" i="6"/>
  <c r="R43" i="6"/>
  <c r="Q93" i="6"/>
  <c r="O88" i="6"/>
  <c r="P109" i="6"/>
  <c r="N108" i="6"/>
  <c r="Q64" i="6"/>
  <c r="Q63" i="6"/>
  <c r="Q76" i="6"/>
  <c r="Q100" i="6" s="1"/>
  <c r="W220" i="14"/>
  <c r="N70" i="6"/>
  <c r="M53" i="7"/>
  <c r="O30" i="7"/>
  <c r="O29" i="7"/>
  <c r="O28" i="7"/>
  <c r="P33" i="6"/>
  <c r="Q71" i="6"/>
  <c r="P11" i="6"/>
  <c r="P5" i="7"/>
  <c r="P10" i="6"/>
  <c r="Q4" i="6"/>
  <c r="P2" i="7" s="1"/>
  <c r="P9" i="6"/>
  <c r="Q15" i="6"/>
  <c r="Q29" i="6" s="1"/>
  <c r="S5" i="6"/>
  <c r="R7" i="6"/>
  <c r="Q4" i="7" s="1"/>
  <c r="R8" i="6"/>
  <c r="R6" i="6"/>
  <c r="P88" i="6" l="1"/>
  <c r="R93" i="6"/>
  <c r="S50" i="6"/>
  <c r="S49" i="6"/>
  <c r="S48" i="6"/>
  <c r="S45" i="6"/>
  <c r="S44" i="6"/>
  <c r="S43" i="6"/>
  <c r="Q109" i="6"/>
  <c r="O108" i="6"/>
  <c r="R64" i="6"/>
  <c r="R63" i="6"/>
  <c r="R76" i="6"/>
  <c r="R100" i="6" s="1"/>
  <c r="W222" i="14"/>
  <c r="O70" i="6"/>
  <c r="N53" i="7"/>
  <c r="P30" i="7"/>
  <c r="P29" i="7"/>
  <c r="P28" i="7"/>
  <c r="R71" i="6"/>
  <c r="Q11" i="6"/>
  <c r="Q5" i="7"/>
  <c r="Q10" i="6"/>
  <c r="R4" i="6"/>
  <c r="Q2" i="7" s="1"/>
  <c r="Q33" i="6"/>
  <c r="Q9" i="6"/>
  <c r="R15" i="6"/>
  <c r="R29" i="6" s="1"/>
  <c r="T5" i="6"/>
  <c r="S7" i="6"/>
  <c r="R4" i="7" s="1"/>
  <c r="S8" i="6"/>
  <c r="S6" i="6"/>
  <c r="S93" i="6" l="1"/>
  <c r="T50" i="6"/>
  <c r="T49" i="6"/>
  <c r="T48" i="6"/>
  <c r="T45" i="6"/>
  <c r="T44" i="6"/>
  <c r="T43" i="6"/>
  <c r="Q88" i="6"/>
  <c r="P108" i="6"/>
  <c r="R109" i="6"/>
  <c r="S64" i="6"/>
  <c r="S63" i="6"/>
  <c r="S76" i="6"/>
  <c r="S100" i="6" s="1"/>
  <c r="W224" i="14"/>
  <c r="P70" i="6"/>
  <c r="O53" i="7"/>
  <c r="Q30" i="7"/>
  <c r="Q29" i="7"/>
  <c r="Q28" i="7"/>
  <c r="S71" i="6"/>
  <c r="R11" i="6"/>
  <c r="R5" i="7"/>
  <c r="R10" i="6"/>
  <c r="S4" i="6"/>
  <c r="R2" i="7" s="1"/>
  <c r="R33" i="6"/>
  <c r="R9" i="6"/>
  <c r="S15" i="6"/>
  <c r="S29" i="6" s="1"/>
  <c r="U5" i="6"/>
  <c r="T7" i="6"/>
  <c r="S4" i="7" s="1"/>
  <c r="T8" i="6"/>
  <c r="T6" i="6"/>
  <c r="U43" i="6" l="1"/>
  <c r="T93" i="6"/>
  <c r="U50" i="6"/>
  <c r="U49" i="6"/>
  <c r="U48" i="6"/>
  <c r="U45" i="6"/>
  <c r="U44" i="6"/>
  <c r="R88" i="6"/>
  <c r="Q108" i="6"/>
  <c r="S109" i="6"/>
  <c r="T64" i="6"/>
  <c r="T63" i="6"/>
  <c r="T76" i="6"/>
  <c r="T100" i="6" s="1"/>
  <c r="W226" i="14"/>
  <c r="R28" i="7"/>
  <c r="R30" i="7"/>
  <c r="R29" i="7"/>
  <c r="S33" i="6"/>
  <c r="T71" i="6"/>
  <c r="S11" i="6"/>
  <c r="S5" i="7"/>
  <c r="S10" i="6"/>
  <c r="T4" i="6"/>
  <c r="S2" i="7" s="1"/>
  <c r="Q70" i="6"/>
  <c r="S9" i="6"/>
  <c r="T15" i="6"/>
  <c r="T29" i="6" s="1"/>
  <c r="V5" i="6"/>
  <c r="U7" i="6"/>
  <c r="T4" i="7" s="1"/>
  <c r="U8" i="6"/>
  <c r="U6" i="6"/>
  <c r="S88" i="6" l="1"/>
  <c r="V44" i="6"/>
  <c r="V45" i="6"/>
  <c r="V48" i="6"/>
  <c r="V50" i="6"/>
  <c r="U93" i="6"/>
  <c r="V43" i="6"/>
  <c r="V49" i="6"/>
  <c r="R108" i="6"/>
  <c r="T109" i="6"/>
  <c r="U64" i="6"/>
  <c r="U63" i="6"/>
  <c r="U76" i="6"/>
  <c r="U100" i="6" s="1"/>
  <c r="W228" i="14"/>
  <c r="P53" i="7"/>
  <c r="S28" i="7"/>
  <c r="S30" i="7"/>
  <c r="S29" i="7"/>
  <c r="U71" i="6"/>
  <c r="T11" i="6"/>
  <c r="T5" i="7"/>
  <c r="T10" i="6"/>
  <c r="U4" i="6"/>
  <c r="T2" i="7" s="1"/>
  <c r="Q53" i="7"/>
  <c r="R53" i="7"/>
  <c r="R70" i="6"/>
  <c r="T33" i="6"/>
  <c r="T9" i="6"/>
  <c r="U15" i="6"/>
  <c r="U29" i="6" s="1"/>
  <c r="W5" i="6"/>
  <c r="W44" i="6" s="1"/>
  <c r="V6" i="6"/>
  <c r="V7" i="6"/>
  <c r="U4" i="7" s="1"/>
  <c r="V8" i="6"/>
  <c r="T88" i="6" l="1"/>
  <c r="W50" i="6"/>
  <c r="W43" i="6"/>
  <c r="W48" i="6"/>
  <c r="W45" i="6"/>
  <c r="V93" i="6"/>
  <c r="W49" i="6"/>
  <c r="S108" i="6"/>
  <c r="U109" i="6"/>
  <c r="V64" i="6"/>
  <c r="V63" i="6"/>
  <c r="V76" i="6"/>
  <c r="V100" i="6" s="1"/>
  <c r="W230" i="14"/>
  <c r="S70" i="6"/>
  <c r="T28" i="7"/>
  <c r="T29" i="7"/>
  <c r="T30" i="7"/>
  <c r="V71" i="6"/>
  <c r="U11" i="6"/>
  <c r="U5" i="7"/>
  <c r="U10" i="6"/>
  <c r="V4" i="6"/>
  <c r="U2" i="7" s="1"/>
  <c r="U33" i="6"/>
  <c r="U9" i="6"/>
  <c r="V15" i="6"/>
  <c r="V29" i="6" s="1"/>
  <c r="X5" i="6"/>
  <c r="W6" i="6"/>
  <c r="W7" i="6"/>
  <c r="V4" i="7" s="1"/>
  <c r="W8" i="6"/>
  <c r="X43" i="6" l="1"/>
  <c r="X49" i="6"/>
  <c r="X45" i="6"/>
  <c r="X48" i="6"/>
  <c r="X50" i="6"/>
  <c r="W93" i="6"/>
  <c r="U88" i="6"/>
  <c r="X44" i="6"/>
  <c r="V109" i="6"/>
  <c r="T108" i="6"/>
  <c r="W64" i="6"/>
  <c r="W63" i="6"/>
  <c r="W76" i="6"/>
  <c r="W100" i="6" s="1"/>
  <c r="W232" i="14"/>
  <c r="U28" i="7"/>
  <c r="U30" i="7"/>
  <c r="U29" i="7"/>
  <c r="W71" i="6"/>
  <c r="V11" i="6"/>
  <c r="V5" i="7"/>
  <c r="V10" i="6"/>
  <c r="W4" i="6"/>
  <c r="V2" i="7" s="1"/>
  <c r="S53" i="7"/>
  <c r="T70" i="6"/>
  <c r="V33" i="6"/>
  <c r="Y5" i="6"/>
  <c r="X6" i="6"/>
  <c r="X7" i="6"/>
  <c r="W4" i="7" s="1"/>
  <c r="X8" i="6"/>
  <c r="V9" i="6"/>
  <c r="W15" i="6"/>
  <c r="W29" i="6" s="1"/>
  <c r="V88" i="6" l="1"/>
  <c r="Y45" i="6"/>
  <c r="Y44" i="6"/>
  <c r="Y50" i="6"/>
  <c r="Y48" i="6"/>
  <c r="Y49" i="6"/>
  <c r="X93" i="6"/>
  <c r="Y43" i="6"/>
  <c r="U108" i="6"/>
  <c r="W109" i="6"/>
  <c r="X64" i="6"/>
  <c r="X63" i="6"/>
  <c r="X76" i="6"/>
  <c r="X100" i="6" s="1"/>
  <c r="W234" i="14"/>
  <c r="V28" i="7"/>
  <c r="V30" i="7"/>
  <c r="V29" i="7"/>
  <c r="X71" i="6"/>
  <c r="W11" i="6"/>
  <c r="W5" i="7"/>
  <c r="W10" i="6"/>
  <c r="X4" i="6"/>
  <c r="W2" i="7" s="1"/>
  <c r="U70" i="6"/>
  <c r="W33" i="6"/>
  <c r="X15" i="6"/>
  <c r="X29" i="6" s="1"/>
  <c r="W9" i="6"/>
  <c r="Z5" i="6"/>
  <c r="Y6" i="6"/>
  <c r="Y7" i="6"/>
  <c r="X4" i="7" s="1"/>
  <c r="Y8" i="6"/>
  <c r="Z44" i="6" l="1"/>
  <c r="Z43" i="6"/>
  <c r="W88" i="6"/>
  <c r="Z49" i="6"/>
  <c r="Y93" i="6"/>
  <c r="Z48" i="6"/>
  <c r="Z50" i="6"/>
  <c r="Z45" i="6"/>
  <c r="V108" i="6"/>
  <c r="X109" i="6"/>
  <c r="Y64" i="6"/>
  <c r="Y63" i="6"/>
  <c r="Y76" i="6"/>
  <c r="Y100" i="6" s="1"/>
  <c r="W236" i="14"/>
  <c r="T53" i="7"/>
  <c r="W29" i="7"/>
  <c r="W28" i="7"/>
  <c r="W30" i="7"/>
  <c r="X33" i="6"/>
  <c r="Y71" i="6"/>
  <c r="X11" i="6"/>
  <c r="X5" i="7"/>
  <c r="X10" i="6"/>
  <c r="Y4" i="6"/>
  <c r="X2" i="7" s="1"/>
  <c r="U53" i="7"/>
  <c r="V70" i="6"/>
  <c r="AA5" i="6"/>
  <c r="Z6" i="6"/>
  <c r="Z7" i="6"/>
  <c r="Y4" i="7" s="1"/>
  <c r="Z8" i="6"/>
  <c r="Y15" i="6"/>
  <c r="Y29" i="6" s="1"/>
  <c r="X9" i="6"/>
  <c r="AA43" i="6" l="1"/>
  <c r="X88" i="6"/>
  <c r="AA48" i="6"/>
  <c r="AA49" i="6"/>
  <c r="AA45" i="6"/>
  <c r="AA50" i="6"/>
  <c r="Z93" i="6"/>
  <c r="AA44" i="6"/>
  <c r="Y109" i="6"/>
  <c r="W108" i="6"/>
  <c r="Z64" i="6"/>
  <c r="Z63" i="6"/>
  <c r="Z76" i="6"/>
  <c r="Z100" i="6" s="1"/>
  <c r="W238" i="14"/>
  <c r="X29" i="7"/>
  <c r="X28" i="7"/>
  <c r="X30" i="7"/>
  <c r="Z71" i="6"/>
  <c r="Y11" i="6"/>
  <c r="Y5" i="7"/>
  <c r="Y10" i="6"/>
  <c r="Z4" i="6"/>
  <c r="Y2" i="7" s="1"/>
  <c r="Y33" i="6"/>
  <c r="V53" i="7"/>
  <c r="W70" i="6"/>
  <c r="Z15" i="6"/>
  <c r="Z29" i="6" s="1"/>
  <c r="Y9" i="6"/>
  <c r="AB5" i="6"/>
  <c r="AA6" i="6"/>
  <c r="AA7" i="6"/>
  <c r="Z4" i="7" s="1"/>
  <c r="AA8" i="6"/>
  <c r="AB50" i="6" l="1"/>
  <c r="AB45" i="6"/>
  <c r="AB49" i="6"/>
  <c r="AB44" i="6"/>
  <c r="AA93" i="6"/>
  <c r="AB48" i="6"/>
  <c r="Y88" i="6"/>
  <c r="AB43" i="6"/>
  <c r="Z109" i="6"/>
  <c r="X108" i="6"/>
  <c r="AA64" i="6"/>
  <c r="AA63" i="6"/>
  <c r="AA76" i="6"/>
  <c r="AA100" i="6" s="1"/>
  <c r="W240" i="14"/>
  <c r="X70" i="6"/>
  <c r="W53" i="7"/>
  <c r="Y29" i="7"/>
  <c r="Y28" i="7"/>
  <c r="Y30" i="7"/>
  <c r="AA71" i="6"/>
  <c r="Z11" i="6"/>
  <c r="Z5" i="7"/>
  <c r="Z10" i="6"/>
  <c r="AA4" i="6"/>
  <c r="Z2" i="7" s="1"/>
  <c r="Z33" i="6"/>
  <c r="AC5" i="6"/>
  <c r="AC45" i="6" s="1"/>
  <c r="AB6" i="6"/>
  <c r="AB7" i="6"/>
  <c r="AA4" i="7" s="1"/>
  <c r="AB8" i="6"/>
  <c r="AA15" i="6"/>
  <c r="AA29" i="6" s="1"/>
  <c r="Z9" i="6"/>
  <c r="AC48" i="6" l="1"/>
  <c r="AC43" i="6"/>
  <c r="AC49" i="6"/>
  <c r="Z88" i="6"/>
  <c r="AC50" i="6"/>
  <c r="AB93" i="6"/>
  <c r="AC44" i="6"/>
  <c r="AA109" i="6"/>
  <c r="Y108" i="6"/>
  <c r="AB64" i="6"/>
  <c r="AB63" i="6"/>
  <c r="AB76" i="6"/>
  <c r="AB100" i="6" s="1"/>
  <c r="C9" i="12"/>
  <c r="D9" i="12" s="1"/>
  <c r="E9" i="12" s="1"/>
  <c r="W242" i="14"/>
  <c r="C7" i="4" s="1"/>
  <c r="Y70" i="6"/>
  <c r="Z29" i="7"/>
  <c r="Z28" i="7"/>
  <c r="Z30" i="7"/>
  <c r="AB71" i="6"/>
  <c r="AA11" i="6"/>
  <c r="AA5" i="7"/>
  <c r="AA10" i="6"/>
  <c r="AB4" i="6"/>
  <c r="AA2" i="7" s="1"/>
  <c r="AA33" i="6"/>
  <c r="AA9" i="6"/>
  <c r="AB15" i="6"/>
  <c r="AB29" i="6" s="1"/>
  <c r="AD5" i="6"/>
  <c r="AC6" i="6"/>
  <c r="AC7" i="6"/>
  <c r="AB4" i="7" s="1"/>
  <c r="AC8" i="6"/>
  <c r="AD50" i="6" l="1"/>
  <c r="AD44" i="6"/>
  <c r="AC93" i="6"/>
  <c r="AD48" i="6"/>
  <c r="AA88" i="6"/>
  <c r="AD49" i="6"/>
  <c r="AD43" i="6"/>
  <c r="AD45" i="6"/>
  <c r="Z108" i="6"/>
  <c r="AB109" i="6"/>
  <c r="AC64" i="6"/>
  <c r="AC63" i="6"/>
  <c r="AC76" i="6"/>
  <c r="AC100" i="6" s="1"/>
  <c r="C8" i="12"/>
  <c r="D7" i="4"/>
  <c r="Z70" i="6"/>
  <c r="X53" i="7"/>
  <c r="AA29" i="7"/>
  <c r="AA28" i="7"/>
  <c r="AA30" i="7"/>
  <c r="AC71" i="6"/>
  <c r="AB11" i="6"/>
  <c r="AB5" i="7"/>
  <c r="AC4" i="6"/>
  <c r="AB2" i="7" s="1"/>
  <c r="AB33" i="6"/>
  <c r="AE5" i="6"/>
  <c r="AD8" i="6"/>
  <c r="AD6" i="6"/>
  <c r="AD7" i="6"/>
  <c r="AC4" i="7" s="1"/>
  <c r="AB10" i="6"/>
  <c r="AB9" i="6"/>
  <c r="AC15" i="6"/>
  <c r="AC29" i="6" s="1"/>
  <c r="AB88" i="6" l="1"/>
  <c r="AE45" i="6"/>
  <c r="AE43" i="6"/>
  <c r="AE49" i="6"/>
  <c r="AE48" i="6"/>
  <c r="AD93" i="6"/>
  <c r="AE50" i="6"/>
  <c r="AE44" i="6"/>
  <c r="AC109" i="6"/>
  <c r="AA108" i="6"/>
  <c r="AD64" i="6"/>
  <c r="AD63" i="6"/>
  <c r="E7" i="4"/>
  <c r="R16" i="6" s="1"/>
  <c r="R30" i="6" s="1"/>
  <c r="G7" i="13"/>
  <c r="G8" i="13" s="1"/>
  <c r="AD76" i="6"/>
  <c r="AD100" i="6" s="1"/>
  <c r="D8" i="12"/>
  <c r="E8" i="12" s="1"/>
  <c r="AA70" i="6"/>
  <c r="Y53" i="7"/>
  <c r="AB30" i="7"/>
  <c r="AB29" i="7"/>
  <c r="AB28" i="7"/>
  <c r="AD71" i="6"/>
  <c r="AC11" i="6"/>
  <c r="AC5" i="7"/>
  <c r="AC10" i="6"/>
  <c r="AD4" i="6"/>
  <c r="AC2" i="7" s="1"/>
  <c r="AC33" i="6"/>
  <c r="AC9" i="6"/>
  <c r="AD15" i="6"/>
  <c r="AD29" i="6" s="1"/>
  <c r="AF5" i="6"/>
  <c r="AE8" i="6"/>
  <c r="AE6" i="6"/>
  <c r="AE7" i="6"/>
  <c r="AD4" i="7" s="1"/>
  <c r="AB75" i="6" l="1"/>
  <c r="AB77" i="6" s="1"/>
  <c r="T75" i="6"/>
  <c r="T99" i="6" s="1"/>
  <c r="L75" i="6"/>
  <c r="AA75" i="6"/>
  <c r="S75" i="6"/>
  <c r="S77" i="6" s="1"/>
  <c r="K75" i="6"/>
  <c r="K99" i="6" s="1"/>
  <c r="Z75" i="6"/>
  <c r="Z99" i="6" s="1"/>
  <c r="R75" i="6"/>
  <c r="R77" i="6" s="1"/>
  <c r="J75" i="6"/>
  <c r="J99" i="6" s="1"/>
  <c r="Y75" i="6"/>
  <c r="Y77" i="6" s="1"/>
  <c r="Q75" i="6"/>
  <c r="I75" i="6"/>
  <c r="X75" i="6"/>
  <c r="X99" i="6" s="1"/>
  <c r="P75" i="6"/>
  <c r="P77" i="6" s="1"/>
  <c r="H75" i="6"/>
  <c r="H77" i="6" s="1"/>
  <c r="W75" i="6"/>
  <c r="W77" i="6" s="1"/>
  <c r="O75" i="6"/>
  <c r="O99" i="6" s="1"/>
  <c r="G75" i="6"/>
  <c r="G77" i="6" s="1"/>
  <c r="AD75" i="6"/>
  <c r="V75" i="6"/>
  <c r="V99" i="6" s="1"/>
  <c r="N75" i="6"/>
  <c r="N77" i="6" s="1"/>
  <c r="F75" i="6"/>
  <c r="F99" i="6" s="1"/>
  <c r="AC75" i="6"/>
  <c r="AC99" i="6" s="1"/>
  <c r="U75" i="6"/>
  <c r="U77" i="6" s="1"/>
  <c r="M75" i="6"/>
  <c r="M99" i="6" s="1"/>
  <c r="E75" i="6"/>
  <c r="E77" i="6" s="1"/>
  <c r="AF49" i="6"/>
  <c r="AF44" i="6"/>
  <c r="AE75" i="6"/>
  <c r="AF50" i="6"/>
  <c r="AE93" i="6"/>
  <c r="AF48" i="6"/>
  <c r="AC88" i="6"/>
  <c r="AF43" i="6"/>
  <c r="AF45" i="6"/>
  <c r="AB108" i="6"/>
  <c r="AD109" i="6"/>
  <c r="AE64" i="6"/>
  <c r="AE63" i="6"/>
  <c r="AA16" i="6"/>
  <c r="AD16" i="6"/>
  <c r="AB16" i="6"/>
  <c r="P16" i="6"/>
  <c r="M16" i="6"/>
  <c r="O16" i="6"/>
  <c r="L16" i="6"/>
  <c r="N16" i="6"/>
  <c r="Q16" i="6"/>
  <c r="H16" i="6"/>
  <c r="G16" i="6"/>
  <c r="K16" i="6"/>
  <c r="I16" i="6"/>
  <c r="V16" i="6"/>
  <c r="F16" i="6"/>
  <c r="J16" i="6"/>
  <c r="X16" i="6"/>
  <c r="U16" i="6"/>
  <c r="E16" i="6"/>
  <c r="Z16" i="6"/>
  <c r="W16" i="6"/>
  <c r="T16" i="6"/>
  <c r="AC16" i="6"/>
  <c r="AC30" i="6" s="1"/>
  <c r="Y16" i="6"/>
  <c r="S16" i="6"/>
  <c r="AE76" i="6"/>
  <c r="AE100" i="6" s="1"/>
  <c r="L77" i="6"/>
  <c r="AA77" i="6"/>
  <c r="I99" i="6"/>
  <c r="Q77" i="6"/>
  <c r="AD77" i="6"/>
  <c r="Q34" i="7"/>
  <c r="Q33" i="7"/>
  <c r="R34" i="6"/>
  <c r="Q51" i="7" s="1"/>
  <c r="Q32" i="7"/>
  <c r="Q37" i="7" s="1"/>
  <c r="R17" i="6"/>
  <c r="R98" i="6" s="1"/>
  <c r="AB70" i="6"/>
  <c r="Z53" i="7"/>
  <c r="AC30" i="7"/>
  <c r="AC29" i="7"/>
  <c r="AC28" i="7"/>
  <c r="AE71" i="6"/>
  <c r="AD11" i="6"/>
  <c r="AD5" i="7"/>
  <c r="AD10" i="6"/>
  <c r="AE4" i="6"/>
  <c r="AD2" i="7" s="1"/>
  <c r="AD33" i="6"/>
  <c r="AD9" i="6"/>
  <c r="AE15" i="6"/>
  <c r="AE29" i="6" s="1"/>
  <c r="AE16" i="6"/>
  <c r="AE30" i="6" s="1"/>
  <c r="AG5" i="6"/>
  <c r="AF8" i="6"/>
  <c r="AF6" i="6"/>
  <c r="AF7" i="6"/>
  <c r="AE4" i="7" s="1"/>
  <c r="AG50" i="6" l="1"/>
  <c r="X32" i="7"/>
  <c r="X37" i="7" s="1"/>
  <c r="Y30" i="6"/>
  <c r="I32" i="7"/>
  <c r="I37" i="7" s="1"/>
  <c r="J30" i="6"/>
  <c r="M33" i="7"/>
  <c r="N30" i="6"/>
  <c r="E33" i="7"/>
  <c r="F30" i="6"/>
  <c r="W32" i="7"/>
  <c r="W37" i="7" s="1"/>
  <c r="X30" i="6"/>
  <c r="X34" i="6" s="1"/>
  <c r="K34" i="7"/>
  <c r="L30" i="6"/>
  <c r="L31" i="6" s="1"/>
  <c r="L107" i="6" s="1"/>
  <c r="S33" i="7"/>
  <c r="T30" i="6"/>
  <c r="U34" i="7"/>
  <c r="V30" i="6"/>
  <c r="V34" i="6" s="1"/>
  <c r="N32" i="7"/>
  <c r="N37" i="7" s="1"/>
  <c r="O30" i="6"/>
  <c r="N52" i="7" s="1"/>
  <c r="R32" i="7"/>
  <c r="R37" i="7" s="1"/>
  <c r="S30" i="6"/>
  <c r="S34" i="6" s="1"/>
  <c r="V34" i="7"/>
  <c r="W30" i="6"/>
  <c r="I17" i="6"/>
  <c r="I98" i="6" s="1"/>
  <c r="I30" i="6"/>
  <c r="I34" i="6" s="1"/>
  <c r="L33" i="7"/>
  <c r="M30" i="6"/>
  <c r="Z33" i="7"/>
  <c r="AA30" i="6"/>
  <c r="AA34" i="6" s="1"/>
  <c r="Z30" i="6"/>
  <c r="Z34" i="6" s="1"/>
  <c r="K17" i="6"/>
  <c r="K98" i="6" s="1"/>
  <c r="K30" i="6"/>
  <c r="O33" i="7"/>
  <c r="P30" i="6"/>
  <c r="D34" i="7"/>
  <c r="E30" i="6"/>
  <c r="AA32" i="7"/>
  <c r="AA37" i="7" s="1"/>
  <c r="AB30" i="6"/>
  <c r="AB34" i="6" s="1"/>
  <c r="P32" i="7"/>
  <c r="P37" i="7" s="1"/>
  <c r="Q30" i="6"/>
  <c r="G17" i="6"/>
  <c r="G98" i="6" s="1"/>
  <c r="G30" i="6"/>
  <c r="G34" i="6" s="1"/>
  <c r="U17" i="6"/>
  <c r="U98" i="6" s="1"/>
  <c r="U30" i="6"/>
  <c r="U34" i="6" s="1"/>
  <c r="G32" i="7"/>
  <c r="G37" i="7" s="1"/>
  <c r="H30" i="6"/>
  <c r="AD17" i="6"/>
  <c r="AD98" i="6" s="1"/>
  <c r="AD30" i="6"/>
  <c r="AD34" i="6" s="1"/>
  <c r="J34" i="7"/>
  <c r="AF75" i="6"/>
  <c r="Z32" i="7"/>
  <c r="Z37" i="7" s="1"/>
  <c r="AD99" i="6"/>
  <c r="H33" i="7"/>
  <c r="T32" i="7"/>
  <c r="T37" i="7" s="1"/>
  <c r="W33" i="7"/>
  <c r="U32" i="7"/>
  <c r="U37" i="7" s="1"/>
  <c r="AC34" i="7"/>
  <c r="X17" i="6"/>
  <c r="X98" i="6" s="1"/>
  <c r="AC32" i="7"/>
  <c r="AC37" i="7" s="1"/>
  <c r="AC33" i="7"/>
  <c r="O32" i="7"/>
  <c r="O37" i="7" s="1"/>
  <c r="W99" i="6"/>
  <c r="E99" i="6"/>
  <c r="AA99" i="6"/>
  <c r="AD88" i="6"/>
  <c r="Z17" i="6"/>
  <c r="Z98" i="6" s="1"/>
  <c r="Z34" i="7"/>
  <c r="AA17" i="6"/>
  <c r="AA98" i="6" s="1"/>
  <c r="AA34" i="7"/>
  <c r="W34" i="7"/>
  <c r="AG45" i="6"/>
  <c r="AG43" i="6"/>
  <c r="U99" i="6"/>
  <c r="T77" i="6"/>
  <c r="H32" i="7"/>
  <c r="H37" i="7" s="1"/>
  <c r="H34" i="7"/>
  <c r="AG48" i="6"/>
  <c r="J32" i="7"/>
  <c r="J37" i="7" s="1"/>
  <c r="U33" i="7"/>
  <c r="G34" i="7"/>
  <c r="AG44" i="6"/>
  <c r="AF93" i="6"/>
  <c r="V17" i="6"/>
  <c r="V98" i="6" s="1"/>
  <c r="AG49" i="6"/>
  <c r="O34" i="7"/>
  <c r="AC108" i="6"/>
  <c r="Q99" i="6"/>
  <c r="E34" i="6"/>
  <c r="D51" i="7" s="1"/>
  <c r="AE109" i="6"/>
  <c r="X77" i="6"/>
  <c r="S34" i="7"/>
  <c r="D33" i="7"/>
  <c r="P99" i="6"/>
  <c r="D32" i="7"/>
  <c r="D37" i="7" s="1"/>
  <c r="AA33" i="7"/>
  <c r="L32" i="7"/>
  <c r="L37" i="7" s="1"/>
  <c r="H99" i="6"/>
  <c r="AB17" i="6"/>
  <c r="AB98" i="6" s="1"/>
  <c r="T34" i="7"/>
  <c r="Y32" i="7"/>
  <c r="Y37" i="7" s="1"/>
  <c r="T33" i="7"/>
  <c r="Y33" i="7"/>
  <c r="S32" i="7"/>
  <c r="S37" i="7" s="1"/>
  <c r="E17" i="6"/>
  <c r="E98" i="6" s="1"/>
  <c r="J77" i="6"/>
  <c r="T17" i="6"/>
  <c r="T98" i="6" s="1"/>
  <c r="O17" i="6"/>
  <c r="O98" i="6" s="1"/>
  <c r="L34" i="7"/>
  <c r="M17" i="6"/>
  <c r="M98" i="6" s="1"/>
  <c r="F34" i="7"/>
  <c r="F32" i="7"/>
  <c r="F37" i="7" s="1"/>
  <c r="N33" i="7"/>
  <c r="K32" i="7"/>
  <c r="K37" i="7" s="1"/>
  <c r="G33" i="7"/>
  <c r="L17" i="6"/>
  <c r="L98" i="6" s="1"/>
  <c r="F33" i="7"/>
  <c r="H17" i="6"/>
  <c r="H98" i="6" s="1"/>
  <c r="R33" i="7"/>
  <c r="M34" i="7"/>
  <c r="S17" i="6"/>
  <c r="S98" i="6" s="1"/>
  <c r="N34" i="7"/>
  <c r="K77" i="6"/>
  <c r="R34" i="7"/>
  <c r="W17" i="6"/>
  <c r="W98" i="6" s="1"/>
  <c r="P17" i="6"/>
  <c r="P98" i="6" s="1"/>
  <c r="R99" i="6"/>
  <c r="L99" i="6"/>
  <c r="V32" i="7"/>
  <c r="V37" i="7" s="1"/>
  <c r="AF64" i="6"/>
  <c r="AF63" i="6"/>
  <c r="F77" i="6"/>
  <c r="V33" i="7"/>
  <c r="I34" i="7"/>
  <c r="I33" i="7"/>
  <c r="J17" i="6"/>
  <c r="J98" i="6" s="1"/>
  <c r="F17" i="6"/>
  <c r="F98" i="6" s="1"/>
  <c r="E34" i="7"/>
  <c r="E32" i="7"/>
  <c r="E37" i="7" s="1"/>
  <c r="P33" i="7"/>
  <c r="Q17" i="6"/>
  <c r="Q98" i="6" s="1"/>
  <c r="J33" i="7"/>
  <c r="K33" i="7"/>
  <c r="M32" i="7"/>
  <c r="M37" i="7" s="1"/>
  <c r="N17" i="6"/>
  <c r="N98" i="6" s="1"/>
  <c r="P34" i="7"/>
  <c r="AC17" i="6"/>
  <c r="AC98" i="6" s="1"/>
  <c r="AB32" i="7"/>
  <c r="AB37" i="7" s="1"/>
  <c r="AC34" i="6"/>
  <c r="AB51" i="7" s="1"/>
  <c r="AB34" i="7"/>
  <c r="Y17" i="6"/>
  <c r="Y98" i="6" s="1"/>
  <c r="X33" i="7"/>
  <c r="O77" i="6"/>
  <c r="X34" i="7"/>
  <c r="Y34" i="7"/>
  <c r="AB33" i="7"/>
  <c r="N99" i="6"/>
  <c r="Z77" i="6"/>
  <c r="Y99" i="6"/>
  <c r="V77" i="6"/>
  <c r="AB99" i="6"/>
  <c r="AF76" i="6"/>
  <c r="AF100" i="6" s="1"/>
  <c r="S99" i="6"/>
  <c r="M77" i="6"/>
  <c r="I77" i="6"/>
  <c r="AC77" i="6"/>
  <c r="G99" i="6"/>
  <c r="R69" i="6"/>
  <c r="R72" i="6" s="1"/>
  <c r="R118" i="6" s="1"/>
  <c r="R31" i="6"/>
  <c r="R107" i="6" s="1"/>
  <c r="Q52" i="7"/>
  <c r="Q55" i="7" s="1"/>
  <c r="AC70" i="6"/>
  <c r="AA53" i="7"/>
  <c r="AD34" i="7"/>
  <c r="AD33" i="7"/>
  <c r="AD32" i="7"/>
  <c r="AD30" i="7"/>
  <c r="AD29" i="7"/>
  <c r="AD28" i="7"/>
  <c r="AF71" i="6"/>
  <c r="AE11" i="6"/>
  <c r="AE5" i="7"/>
  <c r="AE77" i="6"/>
  <c r="AE99" i="6"/>
  <c r="AE10" i="6"/>
  <c r="AF4" i="6"/>
  <c r="AE2" i="7" s="1"/>
  <c r="AE33" i="6"/>
  <c r="AE34" i="6"/>
  <c r="AF16" i="6"/>
  <c r="AF30" i="6" s="1"/>
  <c r="AE9" i="6"/>
  <c r="AF15" i="6"/>
  <c r="AF29" i="6" s="1"/>
  <c r="AH5" i="6"/>
  <c r="AG8" i="6"/>
  <c r="AG7" i="6"/>
  <c r="AF4" i="7" s="1"/>
  <c r="AG6" i="6"/>
  <c r="AE17" i="6"/>
  <c r="AE98" i="6" s="1"/>
  <c r="AB69" i="6" l="1"/>
  <c r="AB72" i="6" s="1"/>
  <c r="AB118" i="6" s="1"/>
  <c r="AA51" i="7"/>
  <c r="Z69" i="6"/>
  <c r="Z72" i="6" s="1"/>
  <c r="Z118" i="6" s="1"/>
  <c r="Y51" i="7"/>
  <c r="AA69" i="6"/>
  <c r="AA72" i="6" s="1"/>
  <c r="AA118" i="6" s="1"/>
  <c r="Z51" i="7"/>
  <c r="S69" i="6"/>
  <c r="S72" i="6" s="1"/>
  <c r="S118" i="6" s="1"/>
  <c r="R51" i="7"/>
  <c r="U69" i="6"/>
  <c r="U72" i="6" s="1"/>
  <c r="U118" i="6" s="1"/>
  <c r="T51" i="7"/>
  <c r="X69" i="6"/>
  <c r="X72" i="6" s="1"/>
  <c r="X118" i="6" s="1"/>
  <c r="W51" i="7"/>
  <c r="G69" i="6"/>
  <c r="G72" i="6" s="1"/>
  <c r="G118" i="6" s="1"/>
  <c r="F51" i="7"/>
  <c r="I69" i="6"/>
  <c r="I72" i="6" s="1"/>
  <c r="I118" i="6" s="1"/>
  <c r="H51" i="7"/>
  <c r="V69" i="6"/>
  <c r="V72" i="6" s="1"/>
  <c r="V118" i="6" s="1"/>
  <c r="U51" i="7"/>
  <c r="E69" i="6"/>
  <c r="E72" i="6" s="1"/>
  <c r="E118" i="6" s="1"/>
  <c r="Z31" i="6"/>
  <c r="Z107" i="6" s="1"/>
  <c r="Y52" i="7"/>
  <c r="Y55" i="7" s="1"/>
  <c r="Z52" i="7"/>
  <c r="T52" i="7"/>
  <c r="T55" i="7" s="1"/>
  <c r="C142" i="6"/>
  <c r="AC52" i="7"/>
  <c r="AD31" i="6"/>
  <c r="AD107" i="6" s="1"/>
  <c r="W52" i="7"/>
  <c r="W55" i="7" s="1"/>
  <c r="X31" i="6"/>
  <c r="X107" i="6" s="1"/>
  <c r="AE88" i="6"/>
  <c r="U31" i="6"/>
  <c r="U107" i="6" s="1"/>
  <c r="H52" i="7"/>
  <c r="I31" i="6"/>
  <c r="I107" i="6" s="1"/>
  <c r="AA31" i="6"/>
  <c r="AA107" i="6" s="1"/>
  <c r="S31" i="6"/>
  <c r="S107" i="6" s="1"/>
  <c r="AG75" i="6"/>
  <c r="R52" i="7"/>
  <c r="D52" i="7"/>
  <c r="D55" i="7" s="1"/>
  <c r="E31" i="6"/>
  <c r="E107" i="6" s="1"/>
  <c r="U52" i="7"/>
  <c r="U55" i="7" s="1"/>
  <c r="AG93" i="6"/>
  <c r="F52" i="7"/>
  <c r="V31" i="6"/>
  <c r="V107" i="6" s="1"/>
  <c r="G31" i="6"/>
  <c r="G107" i="6" s="1"/>
  <c r="AH44" i="6"/>
  <c r="W34" i="6"/>
  <c r="Y34" i="6"/>
  <c r="P34" i="6"/>
  <c r="H34" i="6"/>
  <c r="T34" i="6"/>
  <c r="AH48" i="6"/>
  <c r="E52" i="7"/>
  <c r="F34" i="6"/>
  <c r="L52" i="7"/>
  <c r="M34" i="6"/>
  <c r="O31" i="6"/>
  <c r="O107" i="6" s="1"/>
  <c r="O34" i="6"/>
  <c r="J34" i="6"/>
  <c r="M52" i="7"/>
  <c r="N34" i="6"/>
  <c r="AB31" i="6"/>
  <c r="AB107" i="6" s="1"/>
  <c r="AA52" i="7"/>
  <c r="AA55" i="7" s="1"/>
  <c r="AH43" i="6"/>
  <c r="Q34" i="6"/>
  <c r="L34" i="6"/>
  <c r="AH49" i="6"/>
  <c r="AH45" i="6"/>
  <c r="K52" i="7"/>
  <c r="J52" i="7"/>
  <c r="K34" i="6"/>
  <c r="AH50" i="6"/>
  <c r="AF109" i="6"/>
  <c r="H31" i="6"/>
  <c r="H107" i="6" s="1"/>
  <c r="O52" i="7"/>
  <c r="P31" i="6"/>
  <c r="P107" i="6" s="1"/>
  <c r="AD108" i="6"/>
  <c r="S52" i="7"/>
  <c r="T31" i="6"/>
  <c r="T107" i="6" s="1"/>
  <c r="M31" i="6"/>
  <c r="M107" i="6" s="1"/>
  <c r="G52" i="7"/>
  <c r="V52" i="7"/>
  <c r="X52" i="7"/>
  <c r="Y31" i="6"/>
  <c r="Y107" i="6" s="1"/>
  <c r="F31" i="6"/>
  <c r="F107" i="6" s="1"/>
  <c r="J31" i="6"/>
  <c r="J107" i="6" s="1"/>
  <c r="I52" i="7"/>
  <c r="W31" i="6"/>
  <c r="W107" i="6" s="1"/>
  <c r="AG64" i="6"/>
  <c r="AG63" i="6"/>
  <c r="P52" i="7"/>
  <c r="Q31" i="6"/>
  <c r="Q107" i="6" s="1"/>
  <c r="N31" i="6"/>
  <c r="N107" i="6" s="1"/>
  <c r="K31" i="6"/>
  <c r="K107" i="6" s="1"/>
  <c r="AC69" i="6"/>
  <c r="AC72" i="6" s="1"/>
  <c r="AC118" i="6" s="1"/>
  <c r="AB52" i="7"/>
  <c r="AC31" i="6"/>
  <c r="AC107" i="6" s="1"/>
  <c r="Z110" i="6"/>
  <c r="AG76" i="6"/>
  <c r="AG100" i="6" s="1"/>
  <c r="Q57" i="7"/>
  <c r="Q56" i="7" s="1"/>
  <c r="U110" i="6"/>
  <c r="E110" i="6"/>
  <c r="R110" i="6"/>
  <c r="X110" i="6"/>
  <c r="I110" i="6"/>
  <c r="S110" i="6"/>
  <c r="V110" i="6"/>
  <c r="AD70" i="6"/>
  <c r="AC51" i="7"/>
  <c r="AB110" i="6"/>
  <c r="AD69" i="6"/>
  <c r="AA110" i="6"/>
  <c r="AD52" i="7"/>
  <c r="AB53" i="7"/>
  <c r="AD37" i="7"/>
  <c r="AE30" i="7"/>
  <c r="AE29" i="7"/>
  <c r="AE28" i="7"/>
  <c r="AE34" i="7"/>
  <c r="AE33" i="7"/>
  <c r="AE32" i="7"/>
  <c r="AG71" i="6"/>
  <c r="AF11" i="6"/>
  <c r="AF5" i="7"/>
  <c r="AF77" i="6"/>
  <c r="AF10" i="6"/>
  <c r="AG4" i="6"/>
  <c r="AF2" i="7" s="1"/>
  <c r="AE31" i="6"/>
  <c r="AE107" i="6" s="1"/>
  <c r="AF34" i="6"/>
  <c r="AF99" i="6"/>
  <c r="AF17" i="6"/>
  <c r="AF98" i="6" s="1"/>
  <c r="AF33" i="6"/>
  <c r="AI5" i="6"/>
  <c r="AI44" i="6" s="1"/>
  <c r="AH7" i="6"/>
  <c r="AG4" i="7" s="1"/>
  <c r="AH8" i="6"/>
  <c r="AH6" i="6"/>
  <c r="AG16" i="6"/>
  <c r="AG30" i="6" s="1"/>
  <c r="AF9" i="6"/>
  <c r="AG15" i="6"/>
  <c r="AG29" i="6" s="1"/>
  <c r="H55" i="7" l="1"/>
  <c r="R55" i="7"/>
  <c r="R57" i="7" s="1"/>
  <c r="R56" i="7" s="1"/>
  <c r="Q69" i="6"/>
  <c r="Q72" i="6" s="1"/>
  <c r="Q118" i="6" s="1"/>
  <c r="P51" i="7"/>
  <c r="P69" i="6"/>
  <c r="P72" i="6" s="1"/>
  <c r="P118" i="6" s="1"/>
  <c r="O51" i="7"/>
  <c r="O55" i="7" s="1"/>
  <c r="O57" i="7" s="1"/>
  <c r="O56" i="7" s="1"/>
  <c r="W69" i="6"/>
  <c r="W72" i="6" s="1"/>
  <c r="W118" i="6" s="1"/>
  <c r="V51" i="7"/>
  <c r="V55" i="7" s="1"/>
  <c r="V57" i="7" s="1"/>
  <c r="V56" i="7" s="1"/>
  <c r="M69" i="6"/>
  <c r="M72" i="6" s="1"/>
  <c r="M118" i="6" s="1"/>
  <c r="L51" i="7"/>
  <c r="L55" i="7" s="1"/>
  <c r="L57" i="7" s="1"/>
  <c r="L56" i="7" s="1"/>
  <c r="Y69" i="6"/>
  <c r="Y72" i="6" s="1"/>
  <c r="X51" i="7"/>
  <c r="Z55" i="7"/>
  <c r="Z57" i="7" s="1"/>
  <c r="Z56" i="7" s="1"/>
  <c r="S55" i="7"/>
  <c r="S57" i="7" s="1"/>
  <c r="S56" i="7" s="1"/>
  <c r="F69" i="6"/>
  <c r="F72" i="6" s="1"/>
  <c r="F118" i="6" s="1"/>
  <c r="E51" i="7"/>
  <c r="E55" i="7" s="1"/>
  <c r="E57" i="7" s="1"/>
  <c r="E56" i="7" s="1"/>
  <c r="N69" i="6"/>
  <c r="N72" i="6" s="1"/>
  <c r="N118" i="6" s="1"/>
  <c r="M51" i="7"/>
  <c r="M55" i="7" s="1"/>
  <c r="M57" i="7" s="1"/>
  <c r="M56" i="7" s="1"/>
  <c r="G110" i="6"/>
  <c r="K69" i="6"/>
  <c r="K72" i="6" s="1"/>
  <c r="K118" i="6" s="1"/>
  <c r="J51" i="7"/>
  <c r="J55" i="7" s="1"/>
  <c r="J57" i="7" s="1"/>
  <c r="J56" i="7" s="1"/>
  <c r="P55" i="7"/>
  <c r="P57" i="7" s="1"/>
  <c r="P56" i="7" s="1"/>
  <c r="X55" i="7"/>
  <c r="X57" i="7" s="1"/>
  <c r="X56" i="7" s="1"/>
  <c r="J69" i="6"/>
  <c r="J72" i="6" s="1"/>
  <c r="J118" i="6" s="1"/>
  <c r="I51" i="7"/>
  <c r="I55" i="7" s="1"/>
  <c r="I57" i="7" s="1"/>
  <c r="I56" i="7" s="1"/>
  <c r="T69" i="6"/>
  <c r="T72" i="6" s="1"/>
  <c r="T110" i="6" s="1"/>
  <c r="S51" i="7"/>
  <c r="F55" i="7"/>
  <c r="F57" i="7" s="1"/>
  <c r="F56" i="7" s="1"/>
  <c r="L69" i="6"/>
  <c r="L72" i="6" s="1"/>
  <c r="L118" i="6" s="1"/>
  <c r="K51" i="7"/>
  <c r="K55" i="7" s="1"/>
  <c r="K57" i="7" s="1"/>
  <c r="K56" i="7" s="1"/>
  <c r="O69" i="6"/>
  <c r="O72" i="6" s="1"/>
  <c r="O118" i="6" s="1"/>
  <c r="N51" i="7"/>
  <c r="N55" i="7" s="1"/>
  <c r="N57" i="7" s="1"/>
  <c r="N56" i="7" s="1"/>
  <c r="H69" i="6"/>
  <c r="H72" i="6" s="1"/>
  <c r="H118" i="6" s="1"/>
  <c r="G51" i="7"/>
  <c r="G55" i="7" s="1"/>
  <c r="Y57" i="7"/>
  <c r="Y56" i="7" s="1"/>
  <c r="W57" i="7"/>
  <c r="W56" i="7" s="1"/>
  <c r="E119" i="6"/>
  <c r="T57" i="7"/>
  <c r="T56" i="7" s="1"/>
  <c r="H57" i="7"/>
  <c r="H56" i="7" s="1"/>
  <c r="D57" i="7"/>
  <c r="D56" i="7" s="1"/>
  <c r="G20" i="3" s="1"/>
  <c r="AF88" i="6"/>
  <c r="AI45" i="6"/>
  <c r="AA57" i="7"/>
  <c r="AA56" i="7" s="1"/>
  <c r="AI49" i="6"/>
  <c r="AH93" i="6"/>
  <c r="AH75" i="6"/>
  <c r="U57" i="7"/>
  <c r="U56" i="7" s="1"/>
  <c r="AI48" i="6"/>
  <c r="AI43" i="6"/>
  <c r="H110" i="6"/>
  <c r="Y118" i="6"/>
  <c r="Y110" i="6"/>
  <c r="L110" i="6"/>
  <c r="W110" i="6"/>
  <c r="M110" i="6"/>
  <c r="Q110" i="6"/>
  <c r="AI50" i="6"/>
  <c r="AE108" i="6"/>
  <c r="AG109" i="6"/>
  <c r="N110" i="6"/>
  <c r="AH64" i="6"/>
  <c r="AH63" i="6"/>
  <c r="AB55" i="7"/>
  <c r="AB57" i="7" s="1"/>
  <c r="AB56" i="7" s="1"/>
  <c r="AH76" i="6"/>
  <c r="AH100" i="6" s="1"/>
  <c r="AD72" i="6"/>
  <c r="AD118" i="6" s="1"/>
  <c r="AE70" i="6"/>
  <c r="AD51" i="7"/>
  <c r="AE52" i="7"/>
  <c r="AE69" i="6"/>
  <c r="AC53" i="7"/>
  <c r="AC55" i="7" s="1"/>
  <c r="AC57" i="7" s="1"/>
  <c r="AC56" i="7" s="1"/>
  <c r="AF30" i="7"/>
  <c r="AF28" i="7"/>
  <c r="AF29" i="7"/>
  <c r="AF34" i="7"/>
  <c r="AF33" i="7"/>
  <c r="AF32" i="7"/>
  <c r="AE37" i="7"/>
  <c r="AH71" i="6"/>
  <c r="AG11" i="6"/>
  <c r="AG5" i="7"/>
  <c r="AG99" i="6"/>
  <c r="AG77" i="6"/>
  <c r="AG10" i="6"/>
  <c r="AH4" i="6"/>
  <c r="AG2" i="7" s="1"/>
  <c r="AG34" i="6"/>
  <c r="AG33" i="6"/>
  <c r="AF31" i="6"/>
  <c r="AE51" i="7"/>
  <c r="AG17" i="6"/>
  <c r="AG98" i="6" s="1"/>
  <c r="AH16" i="6"/>
  <c r="AH30" i="6" s="1"/>
  <c r="AG9" i="6"/>
  <c r="AH15" i="6"/>
  <c r="AH29" i="6" s="1"/>
  <c r="AJ5" i="6"/>
  <c r="AI7" i="6"/>
  <c r="AH4" i="7" s="1"/>
  <c r="AI8" i="6"/>
  <c r="AI6" i="6"/>
  <c r="F119" i="6" l="1"/>
  <c r="G119" i="6" s="1"/>
  <c r="F110" i="6"/>
  <c r="T118" i="6"/>
  <c r="K110" i="6"/>
  <c r="C59" i="7"/>
  <c r="G57" i="7"/>
  <c r="G56" i="7" s="1"/>
  <c r="J110" i="6"/>
  <c r="P110" i="6"/>
  <c r="O110" i="6"/>
  <c r="AG88" i="6"/>
  <c r="AI75" i="6"/>
  <c r="H119" i="6"/>
  <c r="I119" i="6" s="1"/>
  <c r="J119" i="6" s="1"/>
  <c r="K119" i="6" s="1"/>
  <c r="L119" i="6" s="1"/>
  <c r="M119" i="6" s="1"/>
  <c r="N119" i="6" s="1"/>
  <c r="O119" i="6" s="1"/>
  <c r="P119" i="6" s="1"/>
  <c r="Q119" i="6" s="1"/>
  <c r="R119" i="6" s="1"/>
  <c r="S119" i="6" s="1"/>
  <c r="T119" i="6" s="1"/>
  <c r="U119" i="6" s="1"/>
  <c r="V119" i="6" s="1"/>
  <c r="W119" i="6" s="1"/>
  <c r="X119" i="6" s="1"/>
  <c r="Y119" i="6" s="1"/>
  <c r="Z119" i="6" s="1"/>
  <c r="AA119" i="6" s="1"/>
  <c r="AB119" i="6" s="1"/>
  <c r="AC119" i="6" s="1"/>
  <c r="AD119" i="6" s="1"/>
  <c r="AI93" i="6"/>
  <c r="AJ44" i="6"/>
  <c r="AJ50" i="6"/>
  <c r="AJ49" i="6"/>
  <c r="AJ45" i="6"/>
  <c r="AJ43" i="6"/>
  <c r="AJ48" i="6"/>
  <c r="AF108" i="6"/>
  <c r="AH109" i="6"/>
  <c r="AI64" i="6"/>
  <c r="AI63" i="6"/>
  <c r="AI76" i="6"/>
  <c r="AI100" i="6" s="1"/>
  <c r="AE72" i="6"/>
  <c r="AE118" i="6" s="1"/>
  <c r="AF37" i="7"/>
  <c r="AD110" i="6"/>
  <c r="AC110" i="6"/>
  <c r="AF52" i="7"/>
  <c r="AD53" i="7"/>
  <c r="AD55" i="7" s="1"/>
  <c r="AD57" i="7" s="1"/>
  <c r="AD56" i="7" s="1"/>
  <c r="AG32" i="7"/>
  <c r="AG34" i="7"/>
  <c r="AG33" i="7"/>
  <c r="AG30" i="7"/>
  <c r="AG29" i="7"/>
  <c r="AG28" i="7"/>
  <c r="AI71" i="6"/>
  <c r="AH11" i="6"/>
  <c r="AH5" i="7"/>
  <c r="AH77" i="6"/>
  <c r="AH10" i="6"/>
  <c r="AI4" i="6"/>
  <c r="AH2" i="7" s="1"/>
  <c r="AH34" i="6"/>
  <c r="AH99" i="6"/>
  <c r="AG31" i="6"/>
  <c r="AG107" i="6" s="1"/>
  <c r="AF107" i="6"/>
  <c r="AF70" i="6"/>
  <c r="AF69" i="6"/>
  <c r="AH17" i="6"/>
  <c r="AH98" i="6" s="1"/>
  <c r="AH33" i="6"/>
  <c r="AI16" i="6"/>
  <c r="AI30" i="6" s="1"/>
  <c r="AH9" i="6"/>
  <c r="AI15" i="6"/>
  <c r="AI29" i="6" s="1"/>
  <c r="AK5" i="6"/>
  <c r="AJ7" i="6"/>
  <c r="AI4" i="7" s="1"/>
  <c r="AJ8" i="6"/>
  <c r="AJ6" i="6"/>
  <c r="D126" i="6" l="1"/>
  <c r="C143" i="6"/>
  <c r="C144" i="6" s="1"/>
  <c r="AK48" i="6"/>
  <c r="AJ93" i="6"/>
  <c r="AJ75" i="6"/>
  <c r="AK43" i="6"/>
  <c r="AK45" i="6"/>
  <c r="AK49" i="6"/>
  <c r="AK50" i="6"/>
  <c r="AK44" i="6"/>
  <c r="AH88" i="6"/>
  <c r="AI109" i="6"/>
  <c r="AE119" i="6"/>
  <c r="AG108" i="6"/>
  <c r="AJ64" i="6"/>
  <c r="AJ63" i="6"/>
  <c r="AJ76" i="6"/>
  <c r="AJ100" i="6" s="1"/>
  <c r="AF72" i="6"/>
  <c r="AF118" i="6" s="1"/>
  <c r="AG70" i="6"/>
  <c r="AF51" i="7"/>
  <c r="C157" i="6"/>
  <c r="AG52" i="7"/>
  <c r="AG69" i="6"/>
  <c r="AE110" i="6"/>
  <c r="AE53" i="7"/>
  <c r="AE55" i="7" s="1"/>
  <c r="AE57" i="7" s="1"/>
  <c r="AE56" i="7" s="1"/>
  <c r="AH28" i="7"/>
  <c r="AH30" i="7"/>
  <c r="AH29" i="7"/>
  <c r="AG37" i="7"/>
  <c r="AH32" i="7"/>
  <c r="AH34" i="7"/>
  <c r="AH33" i="7"/>
  <c r="AJ71" i="6"/>
  <c r="AI11" i="6"/>
  <c r="AI5" i="7"/>
  <c r="AI99" i="6"/>
  <c r="AI77" i="6"/>
  <c r="AI10" i="6"/>
  <c r="AJ4" i="6"/>
  <c r="AI2" i="7" s="1"/>
  <c r="AI34" i="6"/>
  <c r="AH31" i="6"/>
  <c r="AG51" i="7"/>
  <c r="AI17" i="6"/>
  <c r="AI98" i="6" s="1"/>
  <c r="AI33" i="6"/>
  <c r="AJ16" i="6"/>
  <c r="AJ30" i="6" s="1"/>
  <c r="AI9" i="6"/>
  <c r="AJ15" i="6"/>
  <c r="AJ29" i="6" s="1"/>
  <c r="AL5" i="6"/>
  <c r="AK7" i="6"/>
  <c r="AJ4" i="7" s="1"/>
  <c r="AK8" i="6"/>
  <c r="AK6" i="6"/>
  <c r="AK75" i="6" l="1"/>
  <c r="AK93" i="6"/>
  <c r="AI88" i="6"/>
  <c r="AL44" i="6"/>
  <c r="AL50" i="6"/>
  <c r="AL49" i="6"/>
  <c r="AL45" i="6"/>
  <c r="AL43" i="6"/>
  <c r="AL48" i="6"/>
  <c r="AF119" i="6"/>
  <c r="AJ109" i="6"/>
  <c r="AH108" i="6"/>
  <c r="AK64" i="6"/>
  <c r="AK63" i="6"/>
  <c r="AK76" i="6"/>
  <c r="AK100" i="6" s="1"/>
  <c r="AG72" i="6"/>
  <c r="AG118" i="6" s="1"/>
  <c r="AF110" i="6"/>
  <c r="AH37" i="7"/>
  <c r="AH52" i="7"/>
  <c r="AF53" i="7"/>
  <c r="AF55" i="7" s="1"/>
  <c r="AF57" i="7" s="1"/>
  <c r="AF56" i="7" s="1"/>
  <c r="AI28" i="7"/>
  <c r="AI30" i="7"/>
  <c r="AI29" i="7"/>
  <c r="AI32" i="7"/>
  <c r="AI33" i="7"/>
  <c r="AI34" i="7"/>
  <c r="AK71" i="6"/>
  <c r="AJ11" i="6"/>
  <c r="AJ5" i="7"/>
  <c r="AJ77" i="6"/>
  <c r="AJ10" i="6"/>
  <c r="AK4" i="6"/>
  <c r="AJ2" i="7" s="1"/>
  <c r="AJ34" i="6"/>
  <c r="AJ99" i="6"/>
  <c r="AG53" i="7"/>
  <c r="AG55" i="7" s="1"/>
  <c r="AH107" i="6"/>
  <c r="AH70" i="6"/>
  <c r="AH69" i="6"/>
  <c r="AI31" i="6"/>
  <c r="AH51" i="7"/>
  <c r="AJ17" i="6"/>
  <c r="AJ98" i="6" s="1"/>
  <c r="AJ33" i="6"/>
  <c r="AK16" i="6"/>
  <c r="AK30" i="6" s="1"/>
  <c r="AJ9" i="6"/>
  <c r="AK15" i="6"/>
  <c r="AK29" i="6" s="1"/>
  <c r="AM5" i="6"/>
  <c r="AL6" i="6"/>
  <c r="AL7" i="6"/>
  <c r="AK4" i="7" s="1"/>
  <c r="AL8" i="6"/>
  <c r="C60" i="7" l="1"/>
  <c r="AL75" i="6"/>
  <c r="AM48" i="6"/>
  <c r="AM43" i="6"/>
  <c r="AL93" i="6"/>
  <c r="AM45" i="6"/>
  <c r="AG119" i="6"/>
  <c r="AJ88" i="6"/>
  <c r="AM49" i="6"/>
  <c r="AM50" i="6"/>
  <c r="AM44" i="6"/>
  <c r="AK109" i="6"/>
  <c r="AI108" i="6"/>
  <c r="AL64" i="6"/>
  <c r="AL63" i="6"/>
  <c r="AL76" i="6"/>
  <c r="AL100" i="6" s="1"/>
  <c r="AH72" i="6"/>
  <c r="AH118" i="6" s="1"/>
  <c r="AI52" i="7"/>
  <c r="AI37" i="7"/>
  <c r="AG57" i="7"/>
  <c r="AG56" i="7" s="1"/>
  <c r="AG110" i="6"/>
  <c r="AJ28" i="7"/>
  <c r="AJ30" i="7"/>
  <c r="AJ29" i="7"/>
  <c r="AJ32" i="7"/>
  <c r="AJ34" i="7"/>
  <c r="AJ33" i="7"/>
  <c r="AL71" i="6"/>
  <c r="AK11" i="6"/>
  <c r="AK5" i="7"/>
  <c r="AK77" i="6"/>
  <c r="AK10" i="6"/>
  <c r="AL4" i="6"/>
  <c r="AK2" i="7" s="1"/>
  <c r="AK34" i="6"/>
  <c r="AK99" i="6"/>
  <c r="AI107" i="6"/>
  <c r="AI70" i="6"/>
  <c r="AI69" i="6"/>
  <c r="AJ31" i="6"/>
  <c r="AI51" i="7"/>
  <c r="AK17" i="6"/>
  <c r="AK98" i="6" s="1"/>
  <c r="AK33" i="6"/>
  <c r="AN5" i="6"/>
  <c r="AM6" i="6"/>
  <c r="AM7" i="6"/>
  <c r="AL4" i="7" s="1"/>
  <c r="AM8" i="6"/>
  <c r="AL16" i="6"/>
  <c r="AL30" i="6" s="1"/>
  <c r="AK9" i="6"/>
  <c r="AL15" i="6"/>
  <c r="AL29" i="6" s="1"/>
  <c r="AM75" i="6" l="1"/>
  <c r="AH119" i="6"/>
  <c r="AN44" i="6"/>
  <c r="AN50" i="6"/>
  <c r="AN49" i="6"/>
  <c r="AK88" i="6"/>
  <c r="AN45" i="6"/>
  <c r="AM93" i="6"/>
  <c r="AN43" i="6"/>
  <c r="AN48" i="6"/>
  <c r="AL109" i="6"/>
  <c r="AJ108" i="6"/>
  <c r="AM64" i="6"/>
  <c r="AM63" i="6"/>
  <c r="AM76" i="6"/>
  <c r="AM100" i="6" s="1"/>
  <c r="AI72" i="6"/>
  <c r="AI118" i="6" s="1"/>
  <c r="AJ37" i="7"/>
  <c r="AJ52" i="7"/>
  <c r="AH53" i="7"/>
  <c r="AH55" i="7" s="1"/>
  <c r="AH57" i="7" s="1"/>
  <c r="AH56" i="7" s="1"/>
  <c r="AK28" i="7"/>
  <c r="AK30" i="7"/>
  <c r="AK29" i="7"/>
  <c r="AK32" i="7"/>
  <c r="AK34" i="7"/>
  <c r="AK33" i="7"/>
  <c r="AM71" i="6"/>
  <c r="AL11" i="6"/>
  <c r="AL5" i="7"/>
  <c r="AL77" i="6"/>
  <c r="AL10" i="6"/>
  <c r="AM4" i="6"/>
  <c r="AL2" i="7" s="1"/>
  <c r="AL33" i="6"/>
  <c r="AL99" i="6"/>
  <c r="AL34" i="6"/>
  <c r="AJ107" i="6"/>
  <c r="AJ70" i="6"/>
  <c r="AJ69" i="6"/>
  <c r="AK31" i="6"/>
  <c r="AJ51" i="7"/>
  <c r="AL17" i="6"/>
  <c r="AL98" i="6" s="1"/>
  <c r="AM16" i="6"/>
  <c r="AM30" i="6" s="1"/>
  <c r="AL9" i="6"/>
  <c r="AM15" i="6"/>
  <c r="AM29" i="6" s="1"/>
  <c r="AO5" i="6"/>
  <c r="AN6" i="6"/>
  <c r="AN7" i="6"/>
  <c r="AM4" i="7" s="1"/>
  <c r="AN8" i="6"/>
  <c r="AO50" i="6" l="1"/>
  <c r="AO48" i="6"/>
  <c r="AO43" i="6"/>
  <c r="AN75" i="6"/>
  <c r="AO45" i="6"/>
  <c r="AI119" i="6"/>
  <c r="AO49" i="6"/>
  <c r="AN93" i="6"/>
  <c r="AL88" i="6"/>
  <c r="AO44" i="6"/>
  <c r="AK108" i="6"/>
  <c r="AM109" i="6"/>
  <c r="AN64" i="6"/>
  <c r="AN63" i="6"/>
  <c r="AN76" i="6"/>
  <c r="AN100" i="6" s="1"/>
  <c r="AJ72" i="6"/>
  <c r="AJ118" i="6" s="1"/>
  <c r="AK37" i="7"/>
  <c r="AI53" i="7"/>
  <c r="AI55" i="7" s="1"/>
  <c r="AI57" i="7" s="1"/>
  <c r="AI56" i="7" s="1"/>
  <c r="AK52" i="7"/>
  <c r="AL28" i="7"/>
  <c r="AL30" i="7"/>
  <c r="AL29" i="7"/>
  <c r="AL33" i="7"/>
  <c r="AL32" i="7"/>
  <c r="AL34" i="7"/>
  <c r="AH110" i="6"/>
  <c r="AN71" i="6"/>
  <c r="AM11" i="6"/>
  <c r="AM5" i="7"/>
  <c r="AM77" i="6"/>
  <c r="AM10" i="6"/>
  <c r="AN4" i="6"/>
  <c r="AM2" i="7" s="1"/>
  <c r="AM99" i="6"/>
  <c r="AM34" i="6"/>
  <c r="AL31" i="6"/>
  <c r="AL107" i="6" s="1"/>
  <c r="AJ53" i="7"/>
  <c r="AJ55" i="7" s="1"/>
  <c r="AJ57" i="7" s="1"/>
  <c r="AJ56" i="7" s="1"/>
  <c r="AK107" i="6"/>
  <c r="AK69" i="6"/>
  <c r="AK70" i="6"/>
  <c r="AM17" i="6"/>
  <c r="AM98" i="6" s="1"/>
  <c r="AM33" i="6"/>
  <c r="AP5" i="6"/>
  <c r="AO6" i="6"/>
  <c r="AO7" i="6"/>
  <c r="AN4" i="7" s="1"/>
  <c r="AO8" i="6"/>
  <c r="AN16" i="6"/>
  <c r="AN30" i="6" s="1"/>
  <c r="AM9" i="6"/>
  <c r="AN15" i="6"/>
  <c r="AN29" i="6" s="1"/>
  <c r="C158" i="6" l="1"/>
  <c r="C159" i="6" s="1"/>
  <c r="C173" i="6"/>
  <c r="AP43" i="6"/>
  <c r="AJ119" i="6"/>
  <c r="AO75" i="6"/>
  <c r="AP44" i="6"/>
  <c r="AP49" i="6"/>
  <c r="AM88" i="6"/>
  <c r="AP45" i="6"/>
  <c r="AP48" i="6"/>
  <c r="AO93" i="6"/>
  <c r="AP50" i="6"/>
  <c r="AL108" i="6"/>
  <c r="AN109" i="6"/>
  <c r="AO64" i="6"/>
  <c r="AO63" i="6"/>
  <c r="AO76" i="6"/>
  <c r="AO100" i="6" s="1"/>
  <c r="AK72" i="6"/>
  <c r="AK118" i="6" s="1"/>
  <c r="AL52" i="7"/>
  <c r="AI110" i="6"/>
  <c r="AL69" i="6"/>
  <c r="AK51" i="7"/>
  <c r="AL70" i="6"/>
  <c r="AK53" i="7"/>
  <c r="AM29" i="7"/>
  <c r="AM28" i="7"/>
  <c r="AM30" i="7"/>
  <c r="AL37" i="7"/>
  <c r="AM33" i="7"/>
  <c r="AM32" i="7"/>
  <c r="AM34" i="7"/>
  <c r="AO71" i="6"/>
  <c r="AN11" i="6"/>
  <c r="AN5" i="7"/>
  <c r="AN77" i="6"/>
  <c r="AN10" i="6"/>
  <c r="AO4" i="6"/>
  <c r="AN2" i="7" s="1"/>
  <c r="AN99" i="6"/>
  <c r="AN34" i="6"/>
  <c r="AM31" i="6"/>
  <c r="AL51" i="7"/>
  <c r="AN17" i="6"/>
  <c r="AN98" i="6" s="1"/>
  <c r="AN33" i="6"/>
  <c r="AO15" i="6"/>
  <c r="AO29" i="6" s="1"/>
  <c r="AO16" i="6"/>
  <c r="AO30" i="6" s="1"/>
  <c r="AN9" i="6"/>
  <c r="AQ5" i="6"/>
  <c r="AP6" i="6"/>
  <c r="AP7" i="6"/>
  <c r="AO4" i="7" s="1"/>
  <c r="AP8" i="6"/>
  <c r="AQ44" i="6" l="1"/>
  <c r="G10" i="3"/>
  <c r="AK119" i="6"/>
  <c r="AP75" i="6"/>
  <c r="AQ50" i="6"/>
  <c r="AQ48" i="6"/>
  <c r="AQ45" i="6"/>
  <c r="AN88" i="6"/>
  <c r="AP93" i="6"/>
  <c r="AQ49" i="6"/>
  <c r="AQ43" i="6"/>
  <c r="AO109" i="6"/>
  <c r="AM108" i="6"/>
  <c r="AP64" i="6"/>
  <c r="AP63" i="6"/>
  <c r="AP76" i="6"/>
  <c r="AP100" i="6" s="1"/>
  <c r="AL72" i="6"/>
  <c r="AL118" i="6" s="1"/>
  <c r="AK55" i="7"/>
  <c r="AK57" i="7" s="1"/>
  <c r="AK56" i="7" s="1"/>
  <c r="AM52" i="7"/>
  <c r="AJ110" i="6"/>
  <c r="AM37" i="7"/>
  <c r="AN33" i="7"/>
  <c r="AN32" i="7"/>
  <c r="AN34" i="7"/>
  <c r="AN29" i="7"/>
  <c r="AN28" i="7"/>
  <c r="AN30" i="7"/>
  <c r="AP71" i="6"/>
  <c r="AO11" i="6"/>
  <c r="AO5" i="7"/>
  <c r="AO77" i="6"/>
  <c r="AO34" i="6"/>
  <c r="AO10" i="6"/>
  <c r="AP4" i="6"/>
  <c r="AO2" i="7" s="1"/>
  <c r="AO33" i="6"/>
  <c r="AO99" i="6"/>
  <c r="AM107" i="6"/>
  <c r="AM69" i="6"/>
  <c r="AM70" i="6"/>
  <c r="AN31" i="6"/>
  <c r="AM51" i="7"/>
  <c r="AP15" i="6"/>
  <c r="AP29" i="6" s="1"/>
  <c r="AP16" i="6"/>
  <c r="AP30" i="6" s="1"/>
  <c r="AO9" i="6"/>
  <c r="AR5" i="6"/>
  <c r="AQ6" i="6"/>
  <c r="AQ7" i="6"/>
  <c r="AP4" i="7" s="1"/>
  <c r="AQ8" i="6"/>
  <c r="AO17" i="6"/>
  <c r="AO98" i="6" s="1"/>
  <c r="AL119" i="6" l="1"/>
  <c r="AR43" i="6"/>
  <c r="AR49" i="6"/>
  <c r="AQ75" i="6"/>
  <c r="AQ93" i="6"/>
  <c r="AR45" i="6"/>
  <c r="AR48" i="6"/>
  <c r="AO88" i="6"/>
  <c r="AR50" i="6"/>
  <c r="AR44" i="6"/>
  <c r="AN108" i="6"/>
  <c r="AP109" i="6"/>
  <c r="AQ64" i="6"/>
  <c r="AQ63" i="6"/>
  <c r="AQ76" i="6"/>
  <c r="AQ100" i="6" s="1"/>
  <c r="AM72" i="6"/>
  <c r="AM118" i="6" s="1"/>
  <c r="AL110" i="6"/>
  <c r="AL53" i="7"/>
  <c r="AL55" i="7" s="1"/>
  <c r="AL57" i="7" s="1"/>
  <c r="AL56" i="7" s="1"/>
  <c r="AN52" i="7"/>
  <c r="AO33" i="7"/>
  <c r="AO32" i="7"/>
  <c r="AO34" i="7"/>
  <c r="AO29" i="7"/>
  <c r="AO28" i="7"/>
  <c r="AO30" i="7"/>
  <c r="AN37" i="7"/>
  <c r="AQ71" i="6"/>
  <c r="AP11" i="6"/>
  <c r="AP5" i="7"/>
  <c r="AO31" i="6"/>
  <c r="AO107" i="6" s="1"/>
  <c r="AP99" i="6"/>
  <c r="AP77" i="6"/>
  <c r="AK110" i="6"/>
  <c r="AP10" i="6"/>
  <c r="AQ4" i="6"/>
  <c r="AP2" i="7" s="1"/>
  <c r="AP34" i="6"/>
  <c r="AP33" i="6"/>
  <c r="AN107" i="6"/>
  <c r="AN69" i="6"/>
  <c r="AN70" i="6"/>
  <c r="AQ15" i="6"/>
  <c r="AQ29" i="6" s="1"/>
  <c r="AP9" i="6"/>
  <c r="AQ16" i="6"/>
  <c r="AQ30" i="6" s="1"/>
  <c r="AS5" i="6"/>
  <c r="AR6" i="6"/>
  <c r="AR7" i="6"/>
  <c r="AQ4" i="7" s="1"/>
  <c r="AR8" i="6"/>
  <c r="AP17" i="6"/>
  <c r="AP98" i="6" s="1"/>
  <c r="AS49" i="6" l="1"/>
  <c r="AM119" i="6"/>
  <c r="AR75" i="6"/>
  <c r="AS44" i="6"/>
  <c r="AS50" i="6"/>
  <c r="AS48" i="6"/>
  <c r="AS45" i="6"/>
  <c r="AR93" i="6"/>
  <c r="AP88" i="6"/>
  <c r="AS43" i="6"/>
  <c r="AQ109" i="6"/>
  <c r="AO108" i="6"/>
  <c r="AR64" i="6"/>
  <c r="AR63" i="6"/>
  <c r="AR76" i="6"/>
  <c r="AR100" i="6" s="1"/>
  <c r="AN72" i="6"/>
  <c r="AN118" i="6" s="1"/>
  <c r="AN119" i="6" s="1"/>
  <c r="AO69" i="6"/>
  <c r="AN51" i="7"/>
  <c r="AM110" i="6"/>
  <c r="AO70" i="6"/>
  <c r="AM53" i="7"/>
  <c r="AM55" i="7" s="1"/>
  <c r="AM57" i="7" s="1"/>
  <c r="AM56" i="7" s="1"/>
  <c r="AN53" i="7"/>
  <c r="AO52" i="7"/>
  <c r="AP33" i="7"/>
  <c r="AP32" i="7"/>
  <c r="AP34" i="7"/>
  <c r="AP29" i="7"/>
  <c r="AP28" i="7"/>
  <c r="AP30" i="7"/>
  <c r="AO37" i="7"/>
  <c r="AR71" i="6"/>
  <c r="AQ11" i="6"/>
  <c r="AQ5" i="7"/>
  <c r="AQ77" i="6"/>
  <c r="AQ99" i="6"/>
  <c r="AQ10" i="6"/>
  <c r="AR4" i="6"/>
  <c r="AQ2" i="7" s="1"/>
  <c r="AP31" i="6"/>
  <c r="AP107" i="6" s="1"/>
  <c r="AQ33" i="6"/>
  <c r="AQ34" i="6"/>
  <c r="AQ9" i="6"/>
  <c r="AR15" i="6"/>
  <c r="AR29" i="6" s="1"/>
  <c r="AR16" i="6"/>
  <c r="AR30" i="6" s="1"/>
  <c r="AT5" i="6"/>
  <c r="AS6" i="6"/>
  <c r="AS7" i="6"/>
  <c r="AR4" i="7" s="1"/>
  <c r="AS8" i="6"/>
  <c r="AQ17" i="6"/>
  <c r="AQ98" i="6" s="1"/>
  <c r="AT48" i="6" l="1"/>
  <c r="AS75" i="6"/>
  <c r="AT43" i="6"/>
  <c r="AT45" i="6"/>
  <c r="AT50" i="6"/>
  <c r="AS93" i="6"/>
  <c r="AT44" i="6"/>
  <c r="AQ88" i="6"/>
  <c r="AT49" i="6"/>
  <c r="AP108" i="6"/>
  <c r="AS64" i="6"/>
  <c r="AS63" i="6"/>
  <c r="AS76" i="6"/>
  <c r="AS100" i="6" s="1"/>
  <c r="AO72" i="6"/>
  <c r="AN55" i="7"/>
  <c r="AN57" i="7" s="1"/>
  <c r="AN56" i="7" s="1"/>
  <c r="AP70" i="6"/>
  <c r="AO51" i="7"/>
  <c r="AR109" i="6"/>
  <c r="G16" i="3"/>
  <c r="AN110" i="6"/>
  <c r="AP69" i="6"/>
  <c r="AP52" i="7"/>
  <c r="AQ29" i="7"/>
  <c r="AQ28" i="7"/>
  <c r="AQ30" i="7"/>
  <c r="AQ34" i="7"/>
  <c r="AQ33" i="7"/>
  <c r="AQ32" i="7"/>
  <c r="AP37" i="7"/>
  <c r="AS71" i="6"/>
  <c r="AR11" i="6"/>
  <c r="AR5" i="7"/>
  <c r="AR77" i="6"/>
  <c r="AR99" i="6"/>
  <c r="AR10" i="6"/>
  <c r="AS4" i="6"/>
  <c r="AR2" i="7" s="1"/>
  <c r="AR34" i="6"/>
  <c r="AR33" i="6"/>
  <c r="AQ31" i="6"/>
  <c r="AQ107" i="6" s="1"/>
  <c r="AR17" i="6"/>
  <c r="AR98" i="6" s="1"/>
  <c r="C174" i="6" s="1"/>
  <c r="G11" i="3" s="1"/>
  <c r="AU5" i="6"/>
  <c r="AT8" i="6"/>
  <c r="AT6" i="6"/>
  <c r="AT7" i="6"/>
  <c r="AS4" i="7" s="1"/>
  <c r="AR9" i="6"/>
  <c r="AS15" i="6"/>
  <c r="AS29" i="6" s="1"/>
  <c r="AS16" i="6"/>
  <c r="AS30" i="6" s="1"/>
  <c r="AT75" i="6" l="1"/>
  <c r="AU49" i="6"/>
  <c r="AU44" i="6"/>
  <c r="AU50" i="6"/>
  <c r="AU45" i="6"/>
  <c r="AR88" i="6"/>
  <c r="AU43" i="6"/>
  <c r="AT93" i="6"/>
  <c r="AU48" i="6"/>
  <c r="AS109" i="6"/>
  <c r="AO110" i="6"/>
  <c r="AO118" i="6"/>
  <c r="AO119" i="6" s="1"/>
  <c r="AQ108" i="6"/>
  <c r="AT64" i="6"/>
  <c r="AT63" i="6"/>
  <c r="AT76" i="6"/>
  <c r="AT100" i="6" s="1"/>
  <c r="AP72" i="6"/>
  <c r="AP118" i="6" s="1"/>
  <c r="AQ70" i="6"/>
  <c r="AP51" i="7"/>
  <c r="AQ69" i="6"/>
  <c r="AP53" i="7"/>
  <c r="AQ52" i="7"/>
  <c r="AO53" i="7"/>
  <c r="AO55" i="7" s="1"/>
  <c r="AO57" i="7" s="1"/>
  <c r="AO56" i="7" s="1"/>
  <c r="AR30" i="7"/>
  <c r="AR29" i="7"/>
  <c r="AR28" i="7"/>
  <c r="AR34" i="7"/>
  <c r="AR33" i="7"/>
  <c r="AR32" i="7"/>
  <c r="AQ37" i="7"/>
  <c r="AT71" i="6"/>
  <c r="AS11" i="6"/>
  <c r="AS5" i="7"/>
  <c r="C172" i="6"/>
  <c r="AS77" i="6"/>
  <c r="AS99" i="6"/>
  <c r="AS10" i="6"/>
  <c r="AT4" i="6"/>
  <c r="AS2" i="7" s="1"/>
  <c r="AR31" i="6"/>
  <c r="AR107" i="6" s="1"/>
  <c r="AS34" i="6"/>
  <c r="AS33" i="6"/>
  <c r="AS9" i="6"/>
  <c r="AT15" i="6"/>
  <c r="AT29" i="6" s="1"/>
  <c r="AT16" i="6"/>
  <c r="AT30" i="6" s="1"/>
  <c r="AS17" i="6"/>
  <c r="AS98" i="6" s="1"/>
  <c r="AV5" i="6"/>
  <c r="AV44" i="6" s="1"/>
  <c r="AU8" i="6"/>
  <c r="AU6" i="6"/>
  <c r="AU7" i="6"/>
  <c r="AT4" i="7" s="1"/>
  <c r="AV48" i="6" l="1"/>
  <c r="AU75" i="6"/>
  <c r="AV43" i="6"/>
  <c r="AU93" i="6"/>
  <c r="AV45" i="6"/>
  <c r="AV50" i="6"/>
  <c r="AS88" i="6"/>
  <c r="AV49" i="6"/>
  <c r="AP119" i="6"/>
  <c r="AR108" i="6"/>
  <c r="AT109" i="6"/>
  <c r="AU64" i="6"/>
  <c r="AU63" i="6"/>
  <c r="AU76" i="6"/>
  <c r="AU100" i="6" s="1"/>
  <c r="G15" i="3"/>
  <c r="AQ72" i="6"/>
  <c r="AR37" i="7"/>
  <c r="AP55" i="7"/>
  <c r="AP57" i="7" s="1"/>
  <c r="AP56" i="7" s="1"/>
  <c r="AR70" i="6"/>
  <c r="AQ51" i="7"/>
  <c r="AR69" i="6"/>
  <c r="AR52" i="7"/>
  <c r="AS34" i="7"/>
  <c r="AS33" i="7"/>
  <c r="AS32" i="7"/>
  <c r="AS30" i="7"/>
  <c r="AS29" i="7"/>
  <c r="AS28" i="7"/>
  <c r="AU71" i="6"/>
  <c r="AT11" i="6"/>
  <c r="AT5" i="7"/>
  <c r="AT77" i="6"/>
  <c r="AT10" i="6"/>
  <c r="AU4" i="6"/>
  <c r="AT2" i="7" s="1"/>
  <c r="AS31" i="6"/>
  <c r="AS107" i="6" s="1"/>
  <c r="AT34" i="6"/>
  <c r="AT33" i="6"/>
  <c r="AT99" i="6"/>
  <c r="AT17" i="6"/>
  <c r="AT98" i="6" s="1"/>
  <c r="AW5" i="6"/>
  <c r="AV8" i="6"/>
  <c r="AV6" i="6"/>
  <c r="AV7" i="6"/>
  <c r="AU4" i="7" s="1"/>
  <c r="AT9" i="6"/>
  <c r="AU15" i="6"/>
  <c r="AU29" i="6" s="1"/>
  <c r="AU16" i="6"/>
  <c r="AU30" i="6" s="1"/>
  <c r="AW48" i="6" l="1"/>
  <c r="AV75" i="6"/>
  <c r="AW49" i="6"/>
  <c r="AW50" i="6"/>
  <c r="AW45" i="6"/>
  <c r="AW43" i="6"/>
  <c r="AT88" i="6"/>
  <c r="AV93" i="6"/>
  <c r="AW44" i="6"/>
  <c r="AU109" i="6"/>
  <c r="AS108" i="6"/>
  <c r="AQ110" i="6"/>
  <c r="AQ118" i="6"/>
  <c r="AQ119" i="6" s="1"/>
  <c r="AV64" i="6"/>
  <c r="AV63" i="6"/>
  <c r="AV76" i="6"/>
  <c r="AV100" i="6" s="1"/>
  <c r="AR72" i="6"/>
  <c r="AR118" i="6" s="1"/>
  <c r="C126" i="6" s="1"/>
  <c r="AS70" i="6"/>
  <c r="AR51" i="7"/>
  <c r="AP110" i="6"/>
  <c r="AS69" i="6"/>
  <c r="AS52" i="7"/>
  <c r="AQ53" i="7"/>
  <c r="AQ55" i="7" s="1"/>
  <c r="C61" i="7" s="1"/>
  <c r="AT34" i="7"/>
  <c r="AT33" i="7"/>
  <c r="AT32" i="7"/>
  <c r="AS37" i="7"/>
  <c r="AT30" i="7"/>
  <c r="AT29" i="7"/>
  <c r="AT28" i="7"/>
  <c r="AV71" i="6"/>
  <c r="AU11" i="6"/>
  <c r="AU5" i="7"/>
  <c r="AU77" i="6"/>
  <c r="AU10" i="6"/>
  <c r="AV4" i="6"/>
  <c r="AU2" i="7" s="1"/>
  <c r="AT31" i="6"/>
  <c r="AT107" i="6" s="1"/>
  <c r="AU99" i="6"/>
  <c r="AU33" i="6"/>
  <c r="AU34" i="6"/>
  <c r="AU17" i="6"/>
  <c r="AU98" i="6" s="1"/>
  <c r="AX5" i="6"/>
  <c r="AW8" i="6"/>
  <c r="AW7" i="6"/>
  <c r="AV4" i="7" s="1"/>
  <c r="AW6" i="6"/>
  <c r="AV16" i="6"/>
  <c r="AV30" i="6" s="1"/>
  <c r="AU9" i="6"/>
  <c r="AV15" i="6"/>
  <c r="AV29" i="6" s="1"/>
  <c r="AX50" i="6" l="1"/>
  <c r="AW75" i="6"/>
  <c r="AW93" i="6"/>
  <c r="AX44" i="6"/>
  <c r="AX43" i="6"/>
  <c r="AX45" i="6"/>
  <c r="AU88" i="6"/>
  <c r="AX49" i="6"/>
  <c r="AX48" i="6"/>
  <c r="AR119" i="6"/>
  <c r="AT108" i="6"/>
  <c r="AV109" i="6"/>
  <c r="AW64" i="6"/>
  <c r="AW63" i="6"/>
  <c r="AW76" i="6"/>
  <c r="AW100" i="6" s="1"/>
  <c r="AS72" i="6"/>
  <c r="AS118" i="6" s="1"/>
  <c r="AT70" i="6"/>
  <c r="AS51" i="7"/>
  <c r="AQ57" i="7"/>
  <c r="AQ56" i="7" s="1"/>
  <c r="G21" i="3" s="1"/>
  <c r="G24" i="3"/>
  <c r="AT69" i="6"/>
  <c r="AT52" i="7"/>
  <c r="AR53" i="7"/>
  <c r="AR55" i="7" s="1"/>
  <c r="AR57" i="7" s="1"/>
  <c r="AR56" i="7" s="1"/>
  <c r="AU30" i="7"/>
  <c r="AU29" i="7"/>
  <c r="AU28" i="7"/>
  <c r="AU34" i="7"/>
  <c r="AU33" i="7"/>
  <c r="AU32" i="7"/>
  <c r="AT37" i="7"/>
  <c r="AW71" i="6"/>
  <c r="AV11" i="6"/>
  <c r="AV5" i="7"/>
  <c r="AV99" i="6"/>
  <c r="AV77" i="6"/>
  <c r="AV10" i="6"/>
  <c r="AW4" i="6"/>
  <c r="AV2" i="7" s="1"/>
  <c r="AU31" i="6"/>
  <c r="AU107" i="6" s="1"/>
  <c r="AV34" i="6"/>
  <c r="AV17" i="6"/>
  <c r="AV98" i="6" s="1"/>
  <c r="AV33" i="6"/>
  <c r="AW16" i="6"/>
  <c r="AW30" i="6" s="1"/>
  <c r="AV9" i="6"/>
  <c r="AW15" i="6"/>
  <c r="AW29" i="6" s="1"/>
  <c r="AY5" i="6"/>
  <c r="AX7" i="6"/>
  <c r="AW4" i="7" s="1"/>
  <c r="AX8" i="6"/>
  <c r="AX6" i="6"/>
  <c r="AX75" i="6" l="1"/>
  <c r="AX93" i="6"/>
  <c r="AY48" i="6"/>
  <c r="AY49" i="6"/>
  <c r="AS119" i="6"/>
  <c r="AY45" i="6"/>
  <c r="AY43" i="6"/>
  <c r="AV88" i="6"/>
  <c r="AY44" i="6"/>
  <c r="AY50" i="6"/>
  <c r="AW109" i="6"/>
  <c r="AU108" i="6"/>
  <c r="AX64" i="6"/>
  <c r="AX63" i="6"/>
  <c r="AX76" i="6"/>
  <c r="AX100" i="6" s="1"/>
  <c r="AT72" i="6"/>
  <c r="AT118" i="6" s="1"/>
  <c r="AU70" i="6"/>
  <c r="AT51" i="7"/>
  <c r="AR110" i="6"/>
  <c r="C127" i="6" s="1"/>
  <c r="G17" i="3"/>
  <c r="AU69" i="6"/>
  <c r="AU52" i="7"/>
  <c r="AS110" i="6"/>
  <c r="AS53" i="7"/>
  <c r="AS55" i="7" s="1"/>
  <c r="AS57" i="7" s="1"/>
  <c r="AS56" i="7" s="1"/>
  <c r="AV30" i="7"/>
  <c r="AV29" i="7"/>
  <c r="AV28" i="7"/>
  <c r="AV34" i="7"/>
  <c r="AV33" i="7"/>
  <c r="AV32" i="7"/>
  <c r="AU37" i="7"/>
  <c r="AX71" i="6"/>
  <c r="AW11" i="6"/>
  <c r="AW5" i="7"/>
  <c r="AW77" i="6"/>
  <c r="AW10" i="6"/>
  <c r="AX4" i="6"/>
  <c r="AW2" i="7" s="1"/>
  <c r="AW99" i="6"/>
  <c r="AW34" i="6"/>
  <c r="AV31" i="6"/>
  <c r="AU51" i="7"/>
  <c r="AW17" i="6"/>
  <c r="AW98" i="6" s="1"/>
  <c r="AW33" i="6"/>
  <c r="AX16" i="6"/>
  <c r="AX30" i="6" s="1"/>
  <c r="AW9" i="6"/>
  <c r="AX15" i="6"/>
  <c r="AX29" i="6" s="1"/>
  <c r="AZ5" i="6"/>
  <c r="AY7" i="6"/>
  <c r="AX4" i="7" s="1"/>
  <c r="AY8" i="6"/>
  <c r="AY6" i="6"/>
  <c r="AY75" i="6" l="1"/>
  <c r="AZ50" i="6"/>
  <c r="AZ44" i="6"/>
  <c r="AT119" i="6"/>
  <c r="AY93" i="6"/>
  <c r="AZ43" i="6"/>
  <c r="AZ45" i="6"/>
  <c r="AW88" i="6"/>
  <c r="AZ49" i="6"/>
  <c r="AZ48" i="6"/>
  <c r="AX109" i="6"/>
  <c r="AV108" i="6"/>
  <c r="AY64" i="6"/>
  <c r="AY63" i="6"/>
  <c r="AY76" i="6"/>
  <c r="AY100" i="6" s="1"/>
  <c r="AU72" i="6"/>
  <c r="AU118" i="6" s="1"/>
  <c r="AV37" i="7"/>
  <c r="AV52" i="7"/>
  <c r="AT110" i="6"/>
  <c r="AT53" i="7"/>
  <c r="AT55" i="7" s="1"/>
  <c r="AT57" i="7" s="1"/>
  <c r="AT56" i="7" s="1"/>
  <c r="AW30" i="7"/>
  <c r="AW29" i="7"/>
  <c r="AW28" i="7"/>
  <c r="AW32" i="7"/>
  <c r="AW34" i="7"/>
  <c r="AW33" i="7"/>
  <c r="AY71" i="6"/>
  <c r="AX11" i="6"/>
  <c r="AX5" i="7"/>
  <c r="AX77" i="6"/>
  <c r="AX10" i="6"/>
  <c r="AY4" i="6"/>
  <c r="AX2" i="7" s="1"/>
  <c r="AX34" i="6"/>
  <c r="AX99" i="6"/>
  <c r="AV107" i="6"/>
  <c r="AV70" i="6"/>
  <c r="AV69" i="6"/>
  <c r="AW31" i="6"/>
  <c r="AV51" i="7"/>
  <c r="AX17" i="6"/>
  <c r="AX98" i="6" s="1"/>
  <c r="AX33" i="6"/>
  <c r="AY16" i="6"/>
  <c r="AY30" i="6" s="1"/>
  <c r="AX9" i="6"/>
  <c r="AY15" i="6"/>
  <c r="AY29" i="6" s="1"/>
  <c r="BA5" i="6"/>
  <c r="AZ7" i="6"/>
  <c r="AY4" i="7" s="1"/>
  <c r="AZ8" i="6"/>
  <c r="AZ6" i="6"/>
  <c r="BA44" i="6" l="1"/>
  <c r="AZ93" i="6"/>
  <c r="AZ75" i="6"/>
  <c r="BA48" i="6"/>
  <c r="BA49" i="6"/>
  <c r="AU119" i="6"/>
  <c r="BA45" i="6"/>
  <c r="BA43" i="6"/>
  <c r="AX88" i="6"/>
  <c r="BA50" i="6"/>
  <c r="AY109" i="6"/>
  <c r="AW108" i="6"/>
  <c r="AZ64" i="6"/>
  <c r="AZ63" i="6"/>
  <c r="AZ76" i="6"/>
  <c r="AZ100" i="6" s="1"/>
  <c r="AV72" i="6"/>
  <c r="AV118" i="6" s="1"/>
  <c r="AW37" i="7"/>
  <c r="AW52" i="7"/>
  <c r="AU53" i="7"/>
  <c r="AU55" i="7" s="1"/>
  <c r="AU57" i="7" s="1"/>
  <c r="AU56" i="7" s="1"/>
  <c r="AX32" i="7"/>
  <c r="AX34" i="7"/>
  <c r="AX33" i="7"/>
  <c r="AX28" i="7"/>
  <c r="AX30" i="7"/>
  <c r="AX29" i="7"/>
  <c r="AZ71" i="6"/>
  <c r="AY11" i="6"/>
  <c r="AY5" i="7"/>
  <c r="AY77" i="6"/>
  <c r="AY10" i="6"/>
  <c r="AZ4" i="6"/>
  <c r="AY2" i="7" s="1"/>
  <c r="AY34" i="6"/>
  <c r="AY99" i="6"/>
  <c r="AW107" i="6"/>
  <c r="AW70" i="6"/>
  <c r="AW69" i="6"/>
  <c r="AX31" i="6"/>
  <c r="AW51" i="7"/>
  <c r="AY17" i="6"/>
  <c r="AY98" i="6" s="1"/>
  <c r="AY33" i="6"/>
  <c r="AZ16" i="6"/>
  <c r="AZ30" i="6" s="1"/>
  <c r="AY9" i="6"/>
  <c r="AZ15" i="6"/>
  <c r="AZ29" i="6" s="1"/>
  <c r="BB5" i="6"/>
  <c r="BA7" i="6"/>
  <c r="AZ4" i="7" s="1"/>
  <c r="BA8" i="6"/>
  <c r="BA6" i="6"/>
  <c r="BB48" i="6" l="1"/>
  <c r="BA75" i="6"/>
  <c r="AV119" i="6"/>
  <c r="BB50" i="6"/>
  <c r="BA93" i="6"/>
  <c r="BB43" i="6"/>
  <c r="BB45" i="6"/>
  <c r="BB49" i="6"/>
  <c r="AY88" i="6"/>
  <c r="BB44" i="6"/>
  <c r="AZ109" i="6"/>
  <c r="AX108" i="6"/>
  <c r="BA64" i="6"/>
  <c r="BA63" i="6"/>
  <c r="BA76" i="6"/>
  <c r="BA100" i="6" s="1"/>
  <c r="AW72" i="6"/>
  <c r="AW118" i="6" s="1"/>
  <c r="AU110" i="6"/>
  <c r="AX52" i="7"/>
  <c r="AV110" i="6"/>
  <c r="AV53" i="7"/>
  <c r="AV55" i="7" s="1"/>
  <c r="AV57" i="7" s="1"/>
  <c r="AV56" i="7" s="1"/>
  <c r="AY28" i="7"/>
  <c r="AY30" i="7"/>
  <c r="AY29" i="7"/>
  <c r="AX37" i="7"/>
  <c r="AY32" i="7"/>
  <c r="AY34" i="7"/>
  <c r="AY33" i="7"/>
  <c r="BA71" i="6"/>
  <c r="AZ11" i="6"/>
  <c r="AZ5" i="7"/>
  <c r="AZ77" i="6"/>
  <c r="AZ10" i="6"/>
  <c r="BA4" i="6"/>
  <c r="AZ2" i="7" s="1"/>
  <c r="AZ34" i="6"/>
  <c r="AZ99" i="6"/>
  <c r="AW53" i="7"/>
  <c r="AW55" i="7" s="1"/>
  <c r="AW57" i="7" s="1"/>
  <c r="AW56" i="7" s="1"/>
  <c r="AX107" i="6"/>
  <c r="AX70" i="6"/>
  <c r="AX69" i="6"/>
  <c r="AY31" i="6"/>
  <c r="AX51" i="7"/>
  <c r="AZ17" i="6"/>
  <c r="AZ98" i="6" s="1"/>
  <c r="AZ33" i="6"/>
  <c r="BC5" i="6"/>
  <c r="BB6" i="6"/>
  <c r="BB7" i="6"/>
  <c r="BA4" i="7" s="1"/>
  <c r="BB8" i="6"/>
  <c r="BA16" i="6"/>
  <c r="BA30" i="6" s="1"/>
  <c r="AZ9" i="6"/>
  <c r="BA15" i="6"/>
  <c r="BA29" i="6" s="1"/>
  <c r="BC44" i="6" l="1"/>
  <c r="BB75" i="6"/>
  <c r="AW119" i="6"/>
  <c r="AZ88" i="6"/>
  <c r="BB93" i="6"/>
  <c r="BC49" i="6"/>
  <c r="BC45" i="6"/>
  <c r="BC43" i="6"/>
  <c r="BC50" i="6"/>
  <c r="BC48" i="6"/>
  <c r="BA109" i="6"/>
  <c r="AY108" i="6"/>
  <c r="BB64" i="6"/>
  <c r="BB63" i="6"/>
  <c r="BB76" i="6"/>
  <c r="BB100" i="6" s="1"/>
  <c r="AX72" i="6"/>
  <c r="AX118" i="6" s="1"/>
  <c r="AY37" i="7"/>
  <c r="AW110" i="6"/>
  <c r="AY52" i="7"/>
  <c r="AZ32" i="7"/>
  <c r="AZ34" i="7"/>
  <c r="AZ33" i="7"/>
  <c r="AZ28" i="7"/>
  <c r="AZ30" i="7"/>
  <c r="AZ29" i="7"/>
  <c r="BA34" i="6"/>
  <c r="BB71" i="6"/>
  <c r="BA11" i="6"/>
  <c r="BA5" i="7"/>
  <c r="BA77" i="6"/>
  <c r="BA10" i="6"/>
  <c r="BB4" i="6"/>
  <c r="BA2" i="7" s="1"/>
  <c r="BA99" i="6"/>
  <c r="AX53" i="7"/>
  <c r="AX55" i="7" s="1"/>
  <c r="AX57" i="7" s="1"/>
  <c r="AX56" i="7" s="1"/>
  <c r="AY107" i="6"/>
  <c r="AY70" i="6"/>
  <c r="AY69" i="6"/>
  <c r="AZ31" i="6"/>
  <c r="AY51" i="7"/>
  <c r="BA17" i="6"/>
  <c r="BA98" i="6" s="1"/>
  <c r="BA33" i="6"/>
  <c r="BB16" i="6"/>
  <c r="BB30" i="6" s="1"/>
  <c r="BA9" i="6"/>
  <c r="BB15" i="6"/>
  <c r="BB29" i="6" s="1"/>
  <c r="BD5" i="6"/>
  <c r="BC6" i="6"/>
  <c r="BC7" i="6"/>
  <c r="BB4" i="7" s="1"/>
  <c r="BC8" i="6"/>
  <c r="BD48" i="6" l="1"/>
  <c r="BC75" i="6"/>
  <c r="BD50" i="6"/>
  <c r="BD43" i="6"/>
  <c r="AX119" i="6"/>
  <c r="BC93" i="6"/>
  <c r="BD45" i="6"/>
  <c r="BD49" i="6"/>
  <c r="BA88" i="6"/>
  <c r="BD44" i="6"/>
  <c r="BB109" i="6"/>
  <c r="AZ108" i="6"/>
  <c r="BC64" i="6"/>
  <c r="BC63" i="6"/>
  <c r="BC76" i="6"/>
  <c r="BC100" i="6" s="1"/>
  <c r="AY72" i="6"/>
  <c r="AY118" i="6" s="1"/>
  <c r="AZ52" i="7"/>
  <c r="BA28" i="7"/>
  <c r="BA30" i="7"/>
  <c r="BA29" i="7"/>
  <c r="BA32" i="7"/>
  <c r="BA34" i="7"/>
  <c r="BA33" i="7"/>
  <c r="AZ37" i="7"/>
  <c r="BC71" i="6"/>
  <c r="BB11" i="6"/>
  <c r="BB5" i="7"/>
  <c r="BB77" i="6"/>
  <c r="BB10" i="6"/>
  <c r="BC4" i="6"/>
  <c r="BB2" i="7" s="1"/>
  <c r="BB99" i="6"/>
  <c r="BB34" i="6"/>
  <c r="AZ107" i="6"/>
  <c r="AZ70" i="6"/>
  <c r="AZ69" i="6"/>
  <c r="BA31" i="6"/>
  <c r="AZ51" i="7"/>
  <c r="BB17" i="6"/>
  <c r="BB98" i="6" s="1"/>
  <c r="BB33" i="6"/>
  <c r="BC16" i="6"/>
  <c r="BC30" i="6" s="1"/>
  <c r="BB9" i="6"/>
  <c r="BC15" i="6"/>
  <c r="BC29" i="6" s="1"/>
  <c r="BE5" i="6"/>
  <c r="BD6" i="6"/>
  <c r="BD7" i="6"/>
  <c r="BC4" i="7" s="1"/>
  <c r="BD8" i="6"/>
  <c r="BD75" i="6" l="1"/>
  <c r="AY119" i="6"/>
  <c r="BE44" i="6"/>
  <c r="BE49" i="6"/>
  <c r="BE45" i="6"/>
  <c r="BD93" i="6"/>
  <c r="BE43" i="6"/>
  <c r="BB88" i="6"/>
  <c r="BE50" i="6"/>
  <c r="BE48" i="6"/>
  <c r="BC109" i="6"/>
  <c r="BA108" i="6"/>
  <c r="BD64" i="6"/>
  <c r="BD63" i="6"/>
  <c r="BD76" i="6"/>
  <c r="BD100" i="6" s="1"/>
  <c r="AZ72" i="6"/>
  <c r="AZ118" i="6" s="1"/>
  <c r="BA37" i="7"/>
  <c r="BA52" i="7"/>
  <c r="AY53" i="7"/>
  <c r="AY55" i="7" s="1"/>
  <c r="AY57" i="7" s="1"/>
  <c r="AY56" i="7" s="1"/>
  <c r="BB33" i="7"/>
  <c r="BB32" i="7"/>
  <c r="BB34" i="7"/>
  <c r="BB28" i="7"/>
  <c r="BB30" i="7"/>
  <c r="BB29" i="7"/>
  <c r="BD71" i="6"/>
  <c r="BC11" i="6"/>
  <c r="BC5" i="7"/>
  <c r="BC77" i="6"/>
  <c r="BC10" i="6"/>
  <c r="BD4" i="6"/>
  <c r="BC2" i="7" s="1"/>
  <c r="AY110" i="6"/>
  <c r="BC99" i="6"/>
  <c r="BC34" i="6"/>
  <c r="AX110" i="6"/>
  <c r="BA107" i="6"/>
  <c r="BA69" i="6"/>
  <c r="BA70" i="6"/>
  <c r="BB31" i="6"/>
  <c r="BA51" i="7"/>
  <c r="BC17" i="6"/>
  <c r="BC98" i="6" s="1"/>
  <c r="BC33" i="6"/>
  <c r="BF5" i="6"/>
  <c r="BE6" i="6"/>
  <c r="BE7" i="6"/>
  <c r="BD4" i="7" s="1"/>
  <c r="BE8" i="6"/>
  <c r="BD16" i="6"/>
  <c r="BD30" i="6" s="1"/>
  <c r="BD15" i="6"/>
  <c r="BD29" i="6" s="1"/>
  <c r="BC9" i="6"/>
  <c r="AZ119" i="6" l="1"/>
  <c r="BF48" i="6"/>
  <c r="BF50" i="6"/>
  <c r="BE75" i="6"/>
  <c r="BF43" i="6"/>
  <c r="BC88" i="6"/>
  <c r="BF45" i="6"/>
  <c r="BE93" i="6"/>
  <c r="BF49" i="6"/>
  <c r="BF44" i="6"/>
  <c r="BD109" i="6"/>
  <c r="BB108" i="6"/>
  <c r="BE64" i="6"/>
  <c r="BE63" i="6"/>
  <c r="BE76" i="6"/>
  <c r="BE100" i="6" s="1"/>
  <c r="BA72" i="6"/>
  <c r="BA118" i="6" s="1"/>
  <c r="BA119" i="6" s="1"/>
  <c r="BB37" i="7"/>
  <c r="BB52" i="7"/>
  <c r="AZ53" i="7"/>
  <c r="AZ55" i="7" s="1"/>
  <c r="AZ57" i="7" s="1"/>
  <c r="AZ56" i="7" s="1"/>
  <c r="BC29" i="7"/>
  <c r="BC28" i="7"/>
  <c r="BC30" i="7"/>
  <c r="BC33" i="7"/>
  <c r="BC32" i="7"/>
  <c r="BC34" i="7"/>
  <c r="BE71" i="6"/>
  <c r="BD11" i="6"/>
  <c r="BD5" i="7"/>
  <c r="BD77" i="6"/>
  <c r="BD99" i="6"/>
  <c r="BD10" i="6"/>
  <c r="BE4" i="6"/>
  <c r="BD2" i="7" s="1"/>
  <c r="BD33" i="6"/>
  <c r="BD34" i="6"/>
  <c r="AZ110" i="6"/>
  <c r="BB107" i="6"/>
  <c r="BB69" i="6"/>
  <c r="BB70" i="6"/>
  <c r="BC31" i="6"/>
  <c r="BB51" i="7"/>
  <c r="BD17" i="6"/>
  <c r="BD98" i="6" s="1"/>
  <c r="BE15" i="6"/>
  <c r="BE29" i="6" s="1"/>
  <c r="BE16" i="6"/>
  <c r="BE30" i="6" s="1"/>
  <c r="BD9" i="6"/>
  <c r="BG5" i="6"/>
  <c r="BG50" i="6" s="1"/>
  <c r="BF6" i="6"/>
  <c r="BF7" i="6"/>
  <c r="BE4" i="7" s="1"/>
  <c r="BF8" i="6"/>
  <c r="BG44" i="6" l="1"/>
  <c r="BF75" i="6"/>
  <c r="BG49" i="6"/>
  <c r="BG45" i="6"/>
  <c r="BF93" i="6"/>
  <c r="BG43" i="6"/>
  <c r="BD88" i="6"/>
  <c r="BG48" i="6"/>
  <c r="BE109" i="6"/>
  <c r="BC108" i="6"/>
  <c r="BF64" i="6"/>
  <c r="BF63" i="6"/>
  <c r="BF76" i="6"/>
  <c r="BF100" i="6" s="1"/>
  <c r="BB72" i="6"/>
  <c r="BB118" i="6" s="1"/>
  <c r="BB119" i="6" s="1"/>
  <c r="BC37" i="7"/>
  <c r="BA110" i="6"/>
  <c r="BA53" i="7"/>
  <c r="BA55" i="7" s="1"/>
  <c r="BA57" i="7" s="1"/>
  <c r="BA56" i="7" s="1"/>
  <c r="BC52" i="7"/>
  <c r="BD33" i="7"/>
  <c r="BD32" i="7"/>
  <c r="BD34" i="7"/>
  <c r="BD29" i="7"/>
  <c r="BD28" i="7"/>
  <c r="BD30" i="7"/>
  <c r="BF71" i="6"/>
  <c r="BE11" i="6"/>
  <c r="BE5" i="7"/>
  <c r="BE77" i="6"/>
  <c r="BE10" i="6"/>
  <c r="BF4" i="6"/>
  <c r="BE2" i="7" s="1"/>
  <c r="BE99" i="6"/>
  <c r="BD31" i="6"/>
  <c r="BD107" i="6" s="1"/>
  <c r="BE33" i="6"/>
  <c r="BE34" i="6"/>
  <c r="BC107" i="6"/>
  <c r="BC69" i="6"/>
  <c r="BC70" i="6"/>
  <c r="BH5" i="6"/>
  <c r="BG6" i="6"/>
  <c r="BG7" i="6"/>
  <c r="BF4" i="7" s="1"/>
  <c r="BG8" i="6"/>
  <c r="BE17" i="6"/>
  <c r="BE98" i="6" s="1"/>
  <c r="BF15" i="6"/>
  <c r="BF29" i="6" s="1"/>
  <c r="BF16" i="6"/>
  <c r="BF30" i="6" s="1"/>
  <c r="BE9" i="6"/>
  <c r="BH49" i="6" l="1"/>
  <c r="BG75" i="6"/>
  <c r="BH48" i="6"/>
  <c r="BH44" i="6"/>
  <c r="BH43" i="6"/>
  <c r="BH45" i="6"/>
  <c r="BE88" i="6"/>
  <c r="BG93" i="6"/>
  <c r="BH50" i="6"/>
  <c r="BD108" i="6"/>
  <c r="BF109" i="6"/>
  <c r="BG64" i="6"/>
  <c r="BG63" i="6"/>
  <c r="BG76" i="6"/>
  <c r="BG100" i="6" s="1"/>
  <c r="BC72" i="6"/>
  <c r="BC118" i="6" s="1"/>
  <c r="BC119" i="6" s="1"/>
  <c r="BD69" i="6"/>
  <c r="BC51" i="7"/>
  <c r="BD70" i="6"/>
  <c r="BB53" i="7"/>
  <c r="BB55" i="7" s="1"/>
  <c r="BB57" i="7" s="1"/>
  <c r="BB56" i="7" s="1"/>
  <c r="BD52" i="7"/>
  <c r="BE29" i="7"/>
  <c r="BE28" i="7"/>
  <c r="BE30" i="7"/>
  <c r="BE33" i="7"/>
  <c r="BE32" i="7"/>
  <c r="BE34" i="7"/>
  <c r="BD37" i="7"/>
  <c r="BG71" i="6"/>
  <c r="BF11" i="6"/>
  <c r="BF5" i="7"/>
  <c r="BF77" i="6"/>
  <c r="BF99" i="6"/>
  <c r="BE31" i="6"/>
  <c r="BE107" i="6" s="1"/>
  <c r="BF10" i="6"/>
  <c r="BG4" i="6"/>
  <c r="BF2" i="7" s="1"/>
  <c r="BF34" i="6"/>
  <c r="BF33" i="6"/>
  <c r="BF17" i="6"/>
  <c r="BF98" i="6" s="1"/>
  <c r="BF9" i="6"/>
  <c r="BG15" i="6"/>
  <c r="BG29" i="6" s="1"/>
  <c r="BG16" i="6"/>
  <c r="BG30" i="6" s="1"/>
  <c r="BI5" i="6"/>
  <c r="BI48" i="6" s="1"/>
  <c r="BH6" i="6"/>
  <c r="BH7" i="6"/>
  <c r="BG4" i="7" s="1"/>
  <c r="BH8" i="6"/>
  <c r="BH75" i="6" l="1"/>
  <c r="BF88" i="6"/>
  <c r="BI50" i="6"/>
  <c r="BH93" i="6"/>
  <c r="BI45" i="6"/>
  <c r="BI43" i="6"/>
  <c r="BI44" i="6"/>
  <c r="BI49" i="6"/>
  <c r="BG109" i="6"/>
  <c r="BE108" i="6"/>
  <c r="BH64" i="6"/>
  <c r="BH63" i="6"/>
  <c r="BH76" i="6"/>
  <c r="BH100" i="6" s="1"/>
  <c r="BD72" i="6"/>
  <c r="BD118" i="6" s="1"/>
  <c r="BD119" i="6" s="1"/>
  <c r="BB110" i="6"/>
  <c r="BE69" i="6"/>
  <c r="BD51" i="7"/>
  <c r="BE37" i="7"/>
  <c r="BC110" i="6"/>
  <c r="BE70" i="6"/>
  <c r="BE52" i="7"/>
  <c r="BC53" i="7"/>
  <c r="BC55" i="7" s="1"/>
  <c r="BC57" i="7" s="1"/>
  <c r="BC56" i="7" s="1"/>
  <c r="BF33" i="7"/>
  <c r="BF32" i="7"/>
  <c r="BF34" i="7"/>
  <c r="BF29" i="7"/>
  <c r="BF28" i="7"/>
  <c r="BF30" i="7"/>
  <c r="BH71" i="6"/>
  <c r="BG11" i="6"/>
  <c r="BG5" i="7"/>
  <c r="BG99" i="6"/>
  <c r="BG77" i="6"/>
  <c r="BG10" i="6"/>
  <c r="BH4" i="6"/>
  <c r="BG2" i="7" s="1"/>
  <c r="BF31" i="6"/>
  <c r="BF107" i="6" s="1"/>
  <c r="BG33" i="6"/>
  <c r="BG34" i="6"/>
  <c r="BJ5" i="6"/>
  <c r="BI6" i="6"/>
  <c r="BI7" i="6"/>
  <c r="BH4" i="7" s="1"/>
  <c r="BI8" i="6"/>
  <c r="BG9" i="6"/>
  <c r="BH15" i="6"/>
  <c r="BH29" i="6" s="1"/>
  <c r="BH16" i="6"/>
  <c r="BH30" i="6" s="1"/>
  <c r="BG17" i="6"/>
  <c r="BG98" i="6" s="1"/>
  <c r="BI75" i="6" l="1"/>
  <c r="BI93" i="6"/>
  <c r="BJ49" i="6"/>
  <c r="BJ44" i="6"/>
  <c r="BJ43" i="6"/>
  <c r="BJ45" i="6"/>
  <c r="BG88" i="6"/>
  <c r="BJ50" i="6"/>
  <c r="BJ48" i="6"/>
  <c r="BH109" i="6"/>
  <c r="BF108" i="6"/>
  <c r="BI64" i="6"/>
  <c r="BI63" i="6"/>
  <c r="BI76" i="6"/>
  <c r="BI100" i="6" s="1"/>
  <c r="BE72" i="6"/>
  <c r="BE118" i="6" s="1"/>
  <c r="BE119" i="6" s="1"/>
  <c r="BF70" i="6"/>
  <c r="BE51" i="7"/>
  <c r="BF69" i="6"/>
  <c r="BD110" i="6"/>
  <c r="BF52" i="7"/>
  <c r="BD53" i="7"/>
  <c r="BD55" i="7" s="1"/>
  <c r="BD57" i="7" s="1"/>
  <c r="BD56" i="7" s="1"/>
  <c r="BG29" i="7"/>
  <c r="BG28" i="7"/>
  <c r="BG30" i="7"/>
  <c r="BF37" i="7"/>
  <c r="BG34" i="7"/>
  <c r="BG33" i="7"/>
  <c r="BG32" i="7"/>
  <c r="BI71" i="6"/>
  <c r="BH11" i="6"/>
  <c r="BH5" i="7"/>
  <c r="BH77" i="6"/>
  <c r="BH99" i="6"/>
  <c r="BH10" i="6"/>
  <c r="BI4" i="6"/>
  <c r="BH2" i="7" s="1"/>
  <c r="BG31" i="6"/>
  <c r="BG107" i="6" s="1"/>
  <c r="BH34" i="6"/>
  <c r="BH33" i="6"/>
  <c r="BH9" i="6"/>
  <c r="BI15" i="6"/>
  <c r="BI29" i="6" s="1"/>
  <c r="BI16" i="6"/>
  <c r="BI30" i="6" s="1"/>
  <c r="BH17" i="6"/>
  <c r="BH98" i="6" s="1"/>
  <c r="BK5" i="6"/>
  <c r="BJ8" i="6"/>
  <c r="BJ6" i="6"/>
  <c r="BJ7" i="6"/>
  <c r="BI4" i="7" s="1"/>
  <c r="BH88" i="6" l="1"/>
  <c r="BK48" i="6"/>
  <c r="BK50" i="6"/>
  <c r="BJ75" i="6"/>
  <c r="BK45" i="6"/>
  <c r="BK43" i="6"/>
  <c r="BJ93" i="6"/>
  <c r="BK44" i="6"/>
  <c r="BK49" i="6"/>
  <c r="BG108" i="6"/>
  <c r="BI109" i="6"/>
  <c r="BJ64" i="6"/>
  <c r="BJ63" i="6"/>
  <c r="BJ76" i="6"/>
  <c r="BJ100" i="6" s="1"/>
  <c r="BF72" i="6"/>
  <c r="BF118" i="6" s="1"/>
  <c r="BF119" i="6" s="1"/>
  <c r="BG70" i="6"/>
  <c r="BF51" i="7"/>
  <c r="BG69" i="6"/>
  <c r="BE110" i="6"/>
  <c r="BG52" i="7"/>
  <c r="BE53" i="7"/>
  <c r="BE55" i="7" s="1"/>
  <c r="BE57" i="7" s="1"/>
  <c r="BE56" i="7" s="1"/>
  <c r="BH30" i="7"/>
  <c r="BH29" i="7"/>
  <c r="BH28" i="7"/>
  <c r="BH34" i="7"/>
  <c r="BH33" i="7"/>
  <c r="BH32" i="7"/>
  <c r="BG37" i="7"/>
  <c r="BJ71" i="6"/>
  <c r="BI11" i="6"/>
  <c r="BI5" i="7"/>
  <c r="BI77" i="6"/>
  <c r="BH31" i="6"/>
  <c r="BH107" i="6" s="1"/>
  <c r="BI10" i="6"/>
  <c r="BJ4" i="6"/>
  <c r="BI2" i="7" s="1"/>
  <c r="BI33" i="6"/>
  <c r="BI34" i="6"/>
  <c r="BI99" i="6"/>
  <c r="BI9" i="6"/>
  <c r="BJ15" i="6"/>
  <c r="BJ29" i="6" s="1"/>
  <c r="BJ16" i="6"/>
  <c r="BJ30" i="6" s="1"/>
  <c r="BL5" i="6"/>
  <c r="BL50" i="6" s="1"/>
  <c r="BK8" i="6"/>
  <c r="BK6" i="6"/>
  <c r="BK7" i="6"/>
  <c r="BJ4" i="7" s="1"/>
  <c r="BI17" i="6"/>
  <c r="BI98" i="6" s="1"/>
  <c r="BK75" i="6" l="1"/>
  <c r="BI88" i="6"/>
  <c r="BL49" i="6"/>
  <c r="BL44" i="6"/>
  <c r="BG72" i="6"/>
  <c r="BG118" i="6" s="1"/>
  <c r="BG119" i="6" s="1"/>
  <c r="BL43" i="6"/>
  <c r="BL45" i="6"/>
  <c r="BK93" i="6"/>
  <c r="BL48" i="6"/>
  <c r="BJ109" i="6"/>
  <c r="BH108" i="6"/>
  <c r="BK64" i="6"/>
  <c r="BK63" i="6"/>
  <c r="BK76" i="6"/>
  <c r="BK100" i="6" s="1"/>
  <c r="BH37" i="7"/>
  <c r="BH70" i="6"/>
  <c r="BG51" i="7"/>
  <c r="BH69" i="6"/>
  <c r="BF110" i="6"/>
  <c r="BG53" i="7"/>
  <c r="BH52" i="7"/>
  <c r="BF53" i="7"/>
  <c r="BF55" i="7" s="1"/>
  <c r="BF57" i="7" s="1"/>
  <c r="BF56" i="7" s="1"/>
  <c r="BI34" i="7"/>
  <c r="BI33" i="7"/>
  <c r="BI32" i="7"/>
  <c r="BI30" i="7"/>
  <c r="BI29" i="7"/>
  <c r="BI28" i="7"/>
  <c r="BK71" i="6"/>
  <c r="BJ11" i="6"/>
  <c r="BJ5" i="7"/>
  <c r="BJ77" i="6"/>
  <c r="BJ10" i="6"/>
  <c r="BK4" i="6"/>
  <c r="BJ2" i="7" s="1"/>
  <c r="BI31" i="6"/>
  <c r="BI107" i="6" s="1"/>
  <c r="BJ34" i="6"/>
  <c r="BJ33" i="6"/>
  <c r="BJ99" i="6"/>
  <c r="BL8" i="6"/>
  <c r="BK5" i="7" s="1"/>
  <c r="BL6" i="6"/>
  <c r="BL7" i="6"/>
  <c r="BK4" i="7" s="1"/>
  <c r="BJ9" i="6"/>
  <c r="BK15" i="6"/>
  <c r="BK29" i="6" s="1"/>
  <c r="BK16" i="6"/>
  <c r="BK30" i="6" s="1"/>
  <c r="BJ17" i="6"/>
  <c r="BJ98" i="6" s="1"/>
  <c r="BL75" i="6" l="1"/>
  <c r="BJ88" i="6"/>
  <c r="BL93" i="6"/>
  <c r="BK109" i="6"/>
  <c r="BI108" i="6"/>
  <c r="BL64" i="6"/>
  <c r="BL63" i="6"/>
  <c r="BL76" i="6"/>
  <c r="BL100" i="6" s="1"/>
  <c r="BH72" i="6"/>
  <c r="BH118" i="6" s="1"/>
  <c r="BH119" i="6" s="1"/>
  <c r="BG55" i="7"/>
  <c r="BG57" i="7" s="1"/>
  <c r="BG56" i="7" s="1"/>
  <c r="BI70" i="6"/>
  <c r="BH51" i="7"/>
  <c r="BG110" i="6"/>
  <c r="BI69" i="6"/>
  <c r="BI52" i="7"/>
  <c r="BI37" i="7"/>
  <c r="BJ34" i="7"/>
  <c r="BJ32" i="7"/>
  <c r="BJ33" i="7"/>
  <c r="BJ30" i="7"/>
  <c r="BJ29" i="7"/>
  <c r="BJ28" i="7"/>
  <c r="BL71" i="6"/>
  <c r="BK77" i="6"/>
  <c r="BL4" i="6"/>
  <c r="BK2" i="7" s="1"/>
  <c r="BK33" i="6"/>
  <c r="BK34" i="6"/>
  <c r="BJ31" i="6"/>
  <c r="BJ107" i="6" s="1"/>
  <c r="BK99" i="6"/>
  <c r="BL10" i="6"/>
  <c r="BK10" i="6"/>
  <c r="BK17" i="6"/>
  <c r="BK98" i="6" s="1"/>
  <c r="BK9" i="6"/>
  <c r="BL16" i="6"/>
  <c r="BL30" i="6" s="1"/>
  <c r="BL9" i="6"/>
  <c r="BL15" i="6"/>
  <c r="BL29" i="6" s="1"/>
  <c r="BK11" i="6"/>
  <c r="BL11" i="6"/>
  <c r="BL88" i="6" l="1"/>
  <c r="BL108" i="6" s="1"/>
  <c r="BK88" i="6"/>
  <c r="BJ108" i="6"/>
  <c r="BL109" i="6"/>
  <c r="BI72" i="6"/>
  <c r="BI118" i="6" s="1"/>
  <c r="BI119" i="6" s="1"/>
  <c r="BH110" i="6"/>
  <c r="BJ69" i="6"/>
  <c r="BI51" i="7"/>
  <c r="BJ70" i="6"/>
  <c r="BK31" i="6"/>
  <c r="BK107" i="6" s="1"/>
  <c r="BJ52" i="7"/>
  <c r="BH53" i="7"/>
  <c r="BH55" i="7" s="1"/>
  <c r="BH57" i="7" s="1"/>
  <c r="BH56" i="7" s="1"/>
  <c r="BK28" i="7"/>
  <c r="BK30" i="7"/>
  <c r="BK29" i="7"/>
  <c r="BK34" i="7"/>
  <c r="BK33" i="7"/>
  <c r="BK32" i="7"/>
  <c r="BJ37" i="7"/>
  <c r="BL77" i="6"/>
  <c r="BL34" i="6"/>
  <c r="BL33" i="6"/>
  <c r="BL99" i="6"/>
  <c r="BL17" i="6"/>
  <c r="BL98" i="6" s="1"/>
  <c r="BK108" i="6" l="1"/>
  <c r="BJ72" i="6"/>
  <c r="BJ118" i="6" s="1"/>
  <c r="BJ119" i="6" s="1"/>
  <c r="BK70" i="6"/>
  <c r="BJ51" i="7"/>
  <c r="BK37" i="7"/>
  <c r="BL69" i="6"/>
  <c r="BK52" i="7"/>
  <c r="BI110" i="6"/>
  <c r="BK69" i="6"/>
  <c r="BJ53" i="7"/>
  <c r="BI53" i="7"/>
  <c r="BI55" i="7" s="1"/>
  <c r="BI57" i="7" s="1"/>
  <c r="BI56" i="7" s="1"/>
  <c r="BL31" i="6"/>
  <c r="BL107" i="6" s="1"/>
  <c r="BK72" i="6" l="1"/>
  <c r="BJ55" i="7"/>
  <c r="BJ57" i="7" s="1"/>
  <c r="BJ56" i="7" s="1"/>
  <c r="BJ110" i="6"/>
  <c r="BL70" i="6"/>
  <c r="BK51" i="7"/>
  <c r="BK53" i="7"/>
  <c r="P24" i="5"/>
  <c r="F7" i="13"/>
  <c r="F8" i="13" l="1"/>
  <c r="F10" i="13" s="1"/>
  <c r="BK110" i="6"/>
  <c r="BK118" i="6"/>
  <c r="BK119" i="6" s="1"/>
  <c r="Q24" i="5"/>
  <c r="O24" i="5"/>
  <c r="BL72" i="6"/>
  <c r="BK55" i="7"/>
  <c r="BK57" i="7" s="1"/>
  <c r="BK56" i="7" s="1"/>
  <c r="F34" i="3"/>
  <c r="G63" i="13"/>
  <c r="F63" i="13"/>
  <c r="BL110" i="6" l="1"/>
  <c r="BL118" i="6"/>
  <c r="BL119" i="6" s="1"/>
  <c r="H7" i="13"/>
  <c r="G34" i="3"/>
  <c r="F35" i="3"/>
  <c r="F36" i="3" s="1"/>
  <c r="H63" i="13" l="1"/>
  <c r="BD23" i="6" s="1"/>
  <c r="H8" i="13"/>
  <c r="P19" i="6" s="1"/>
  <c r="P20" i="6" s="1"/>
  <c r="G35" i="3"/>
  <c r="G36" i="3" s="1"/>
  <c r="O23" i="6"/>
  <c r="G10" i="13"/>
  <c r="H34" i="3"/>
  <c r="AY23" i="6" l="1"/>
  <c r="AB23" i="6"/>
  <c r="BG23" i="6"/>
  <c r="AE23" i="6"/>
  <c r="R23" i="6"/>
  <c r="AP23" i="6"/>
  <c r="Q23" i="6"/>
  <c r="BH23" i="6"/>
  <c r="AC23" i="6"/>
  <c r="S23" i="6"/>
  <c r="E23" i="6"/>
  <c r="AS23" i="6"/>
  <c r="W23" i="6"/>
  <c r="AQ23" i="6"/>
  <c r="AU23" i="6"/>
  <c r="AH23" i="6"/>
  <c r="X23" i="6"/>
  <c r="AG23" i="6"/>
  <c r="AR23" i="6"/>
  <c r="I23" i="6"/>
  <c r="N23" i="6"/>
  <c r="BK23" i="6"/>
  <c r="J23" i="6"/>
  <c r="AO23" i="6"/>
  <c r="Y23" i="6"/>
  <c r="AI23" i="6"/>
  <c r="AZ23" i="6"/>
  <c r="H23" i="6"/>
  <c r="BI23" i="6"/>
  <c r="T23" i="6"/>
  <c r="AD23" i="6"/>
  <c r="P23" i="6"/>
  <c r="AJ23" i="6"/>
  <c r="U23" i="6"/>
  <c r="Z23" i="6"/>
  <c r="AL23" i="6"/>
  <c r="BA23" i="6"/>
  <c r="G23" i="6"/>
  <c r="AF23" i="6"/>
  <c r="AW23" i="6"/>
  <c r="BB23" i="6"/>
  <c r="BJ23" i="6"/>
  <c r="AV23" i="6"/>
  <c r="AK23" i="6"/>
  <c r="V23" i="6"/>
  <c r="AA23" i="6"/>
  <c r="AM23" i="6"/>
  <c r="BC23" i="6"/>
  <c r="M23" i="6"/>
  <c r="AT23" i="6"/>
  <c r="K23" i="6"/>
  <c r="BE23" i="6"/>
  <c r="F23" i="6"/>
  <c r="BL23" i="6"/>
  <c r="L23" i="6"/>
  <c r="AX23" i="6"/>
  <c r="BF23" i="6"/>
  <c r="AN23" i="6"/>
  <c r="G23" i="13"/>
  <c r="O19" i="6"/>
  <c r="O20" i="6" s="1"/>
  <c r="AV19" i="6"/>
  <c r="AV20" i="6" s="1"/>
  <c r="AW19" i="6"/>
  <c r="AW20" i="6" s="1"/>
  <c r="N19" i="6"/>
  <c r="N20" i="6" s="1"/>
  <c r="AB19" i="6"/>
  <c r="AB20" i="6" s="1"/>
  <c r="AU19" i="6"/>
  <c r="AU20" i="6" s="1"/>
  <c r="AS19" i="6"/>
  <c r="AS20" i="6" s="1"/>
  <c r="AR19" i="6"/>
  <c r="AR20" i="6" s="1"/>
  <c r="AH19" i="6"/>
  <c r="AH20" i="6" s="1"/>
  <c r="R19" i="6"/>
  <c r="R20" i="6" s="1"/>
  <c r="Q19" i="6"/>
  <c r="Q20" i="6" s="1"/>
  <c r="I34" i="3"/>
  <c r="H35" i="3"/>
  <c r="I35" i="3" s="1"/>
  <c r="BG19" i="6"/>
  <c r="BG20" i="6" s="1"/>
  <c r="Z19" i="6"/>
  <c r="Z20" i="6" s="1"/>
  <c r="V19" i="6"/>
  <c r="V20" i="6" s="1"/>
  <c r="T19" i="6"/>
  <c r="T20" i="6" s="1"/>
  <c r="AI19" i="6"/>
  <c r="AI20" i="6" s="1"/>
  <c r="AL19" i="6"/>
  <c r="AL20" i="6" s="1"/>
  <c r="J19" i="6"/>
  <c r="J20" i="6" s="1"/>
  <c r="F19" i="6"/>
  <c r="F20" i="6" s="1"/>
  <c r="BE19" i="6"/>
  <c r="BE20" i="6" s="1"/>
  <c r="BA19" i="6"/>
  <c r="BA20" i="6" s="1"/>
  <c r="AZ19" i="6"/>
  <c r="AZ20" i="6" s="1"/>
  <c r="AJ19" i="6"/>
  <c r="AJ20" i="6" s="1"/>
  <c r="W19" i="6"/>
  <c r="W20" i="6" s="1"/>
  <c r="AP19" i="6"/>
  <c r="AP20" i="6" s="1"/>
  <c r="AO19" i="6"/>
  <c r="AO20" i="6" s="1"/>
  <c r="AK19" i="6"/>
  <c r="AK20" i="6" s="1"/>
  <c r="AN19" i="6"/>
  <c r="AN20" i="6" s="1"/>
  <c r="AF19" i="6"/>
  <c r="AF20" i="6" s="1"/>
  <c r="Y19" i="6"/>
  <c r="Y20" i="6" s="1"/>
  <c r="U19" i="6"/>
  <c r="U20" i="6" s="1"/>
  <c r="BJ19" i="6"/>
  <c r="BJ20" i="6" s="1"/>
  <c r="BH19" i="6"/>
  <c r="BH20" i="6" s="1"/>
  <c r="BL19" i="6"/>
  <c r="BL20" i="6" s="1"/>
  <c r="I19" i="6"/>
  <c r="I20" i="6" s="1"/>
  <c r="E19" i="6"/>
  <c r="E20" i="6" s="1"/>
  <c r="AY19" i="6"/>
  <c r="AY20" i="6" s="1"/>
  <c r="BK19" i="6"/>
  <c r="BK20" i="6" s="1"/>
  <c r="S19" i="6"/>
  <c r="S20" i="6" s="1"/>
  <c r="AA19" i="6"/>
  <c r="AA20" i="6" s="1"/>
  <c r="AT19" i="6"/>
  <c r="AT20" i="6" s="1"/>
  <c r="AE19" i="6"/>
  <c r="AE20" i="6" s="1"/>
  <c r="BD19" i="6"/>
  <c r="BD20" i="6" s="1"/>
  <c r="AG19" i="6"/>
  <c r="AG20" i="6" s="1"/>
  <c r="AD19" i="6"/>
  <c r="AD20" i="6" s="1"/>
  <c r="X19" i="6"/>
  <c r="X20" i="6" s="1"/>
  <c r="M19" i="6"/>
  <c r="M20" i="6" s="1"/>
  <c r="H19" i="6"/>
  <c r="H20" i="6" s="1"/>
  <c r="BI19" i="6"/>
  <c r="BI20" i="6" s="1"/>
  <c r="L19" i="6"/>
  <c r="L20" i="6" s="1"/>
  <c r="BC19" i="6"/>
  <c r="BC20" i="6" s="1"/>
  <c r="H10" i="13"/>
  <c r="AQ19" i="6"/>
  <c r="AQ20" i="6" s="1"/>
  <c r="AM19" i="6"/>
  <c r="AM20" i="6" s="1"/>
  <c r="AX19" i="6"/>
  <c r="AX20" i="6" s="1"/>
  <c r="K19" i="6"/>
  <c r="K20" i="6" s="1"/>
  <c r="G19" i="6"/>
  <c r="G20" i="6" s="1"/>
  <c r="AC19" i="6"/>
  <c r="AC20" i="6" s="1"/>
  <c r="BF19" i="6"/>
  <c r="BF20" i="6" s="1"/>
  <c r="BB19" i="6"/>
  <c r="BB20" i="6" s="1"/>
  <c r="G34" i="13" l="1"/>
  <c r="H23" i="13"/>
  <c r="G24" i="13"/>
  <c r="G35" i="13" s="1"/>
  <c r="D6" i="11"/>
  <c r="D17" i="11"/>
  <c r="H36" i="3"/>
  <c r="I36" i="3" s="1"/>
  <c r="H34" i="13" l="1"/>
  <c r="H24" i="13"/>
  <c r="E6" i="11"/>
  <c r="E17" i="11"/>
  <c r="D7" i="11"/>
  <c r="D18" i="11"/>
  <c r="G25" i="13"/>
  <c r="G36" i="13" s="1"/>
  <c r="E7" i="11" l="1"/>
  <c r="H35" i="13"/>
  <c r="E18" i="11"/>
  <c r="H25" i="13"/>
  <c r="D8" i="11"/>
  <c r="D19" i="11"/>
  <c r="G26" i="13"/>
  <c r="G37" i="13" s="1"/>
  <c r="H26" i="13" l="1"/>
  <c r="H37" i="13" s="1"/>
  <c r="H36" i="13"/>
  <c r="E19" i="11"/>
  <c r="E8" i="11"/>
  <c r="D9" i="11"/>
  <c r="D20" i="11"/>
  <c r="G27" i="13"/>
  <c r="G38" i="13" s="1"/>
  <c r="E20" i="11" l="1"/>
  <c r="E9" i="11"/>
  <c r="H27" i="13"/>
  <c r="H38" i="13" s="1"/>
  <c r="D21" i="11"/>
  <c r="D10" i="11"/>
  <c r="G28" i="13"/>
  <c r="G39" i="13" s="1"/>
  <c r="E10" i="11"/>
  <c r="E21" i="11"/>
  <c r="H28" i="13" l="1"/>
  <c r="H39" i="13" s="1"/>
  <c r="G29" i="13"/>
  <c r="G40" i="13" s="1"/>
  <c r="D22" i="11"/>
  <c r="D11" i="11"/>
  <c r="E22" i="11"/>
  <c r="E11" i="11"/>
  <c r="H29" i="13"/>
  <c r="H40" i="13" s="1"/>
  <c r="W44" i="8"/>
  <c r="X44" i="8" s="1"/>
  <c r="C44" i="8"/>
  <c r="W43" i="8"/>
  <c r="X43" i="8" s="1"/>
  <c r="C43" i="8"/>
  <c r="W42" i="8"/>
  <c r="X42" i="8" s="1"/>
  <c r="C42" i="8"/>
  <c r="X39" i="8"/>
  <c r="W39" i="8"/>
  <c r="C39" i="8"/>
  <c r="X38" i="8"/>
  <c r="W38" i="8"/>
  <c r="C38" i="8"/>
  <c r="X37" i="8"/>
  <c r="W37" i="8"/>
  <c r="C37" i="8"/>
  <c r="W33" i="8"/>
  <c r="X33" i="8" s="1"/>
  <c r="C33" i="8"/>
  <c r="W32" i="8"/>
  <c r="X32" i="8" s="1"/>
  <c r="C32" i="8"/>
  <c r="W31" i="8"/>
  <c r="X31" i="8" s="1"/>
  <c r="C31" i="8"/>
  <c r="W28" i="8"/>
  <c r="X28" i="8" s="1"/>
  <c r="C28" i="8"/>
  <c r="X27" i="8"/>
  <c r="W27" i="8"/>
  <c r="C27" i="8"/>
  <c r="W26" i="8"/>
  <c r="X26" i="8" s="1"/>
  <c r="C26" i="8"/>
  <c r="W22" i="8"/>
  <c r="X22" i="8" s="1"/>
  <c r="C22" i="8"/>
  <c r="W21" i="8"/>
  <c r="X21" i="8" s="1"/>
  <c r="C21" i="8"/>
  <c r="W20" i="8"/>
  <c r="X20" i="8" s="1"/>
  <c r="C20" i="8"/>
  <c r="X17" i="8"/>
  <c r="W17" i="8"/>
  <c r="C17" i="8"/>
  <c r="W16" i="8"/>
  <c r="X16" i="8" s="1"/>
  <c r="C16" i="8"/>
  <c r="W15" i="8"/>
  <c r="X15" i="8" s="1"/>
  <c r="C15" i="8"/>
  <c r="X9" i="8"/>
  <c r="W9" i="8"/>
  <c r="V9" i="8"/>
  <c r="U9" i="8"/>
  <c r="T9" i="8"/>
  <c r="S9" i="8"/>
  <c r="R9" i="8"/>
  <c r="Q9" i="8"/>
  <c r="P9" i="8"/>
  <c r="O9" i="8"/>
  <c r="N9" i="8"/>
  <c r="M9" i="8"/>
  <c r="L9" i="8"/>
  <c r="K9" i="8"/>
  <c r="J9" i="8"/>
  <c r="I9" i="8"/>
  <c r="H9" i="8"/>
  <c r="G9" i="8"/>
  <c r="F9" i="8"/>
  <c r="E9" i="8"/>
  <c r="D9" i="8"/>
  <c r="E23" i="11" l="1"/>
  <c r="E12" i="11"/>
  <c r="H30" i="13"/>
  <c r="H41" i="13" s="1"/>
  <c r="D23" i="11"/>
  <c r="D12" i="11"/>
  <c r="G30" i="13"/>
  <c r="G41" i="13" s="1"/>
  <c r="D24" i="11" l="1"/>
  <c r="D13" i="11"/>
  <c r="G31" i="13"/>
  <c r="G42" i="13" s="1"/>
  <c r="E13" i="11"/>
  <c r="E24" i="11"/>
  <c r="H31" i="13"/>
  <c r="H42" i="13" s="1"/>
  <c r="C19" i="13"/>
  <c r="F19" i="13" s="1"/>
  <c r="Z4" i="16"/>
  <c r="C17" i="13"/>
  <c r="F17" i="13" s="1"/>
  <c r="E14" i="11" l="1"/>
  <c r="E25" i="11"/>
  <c r="H32" i="13"/>
  <c r="D25" i="11"/>
  <c r="D14" i="11"/>
  <c r="G32" i="13"/>
  <c r="C14" i="13"/>
  <c r="F14" i="13" s="1"/>
  <c r="C16" i="13"/>
  <c r="F16" i="13" s="1"/>
  <c r="C18" i="13"/>
  <c r="F18" i="13" s="1"/>
  <c r="C20" i="13"/>
  <c r="F20" i="13" s="1"/>
  <c r="C21" i="13"/>
  <c r="F21" i="13" s="1"/>
  <c r="C15" i="13"/>
  <c r="F15" i="13" s="1"/>
  <c r="C13" i="13"/>
  <c r="F13" i="13" s="1"/>
  <c r="C12" i="13"/>
  <c r="G43" i="13" l="1"/>
  <c r="G62" i="13" s="1"/>
  <c r="G60" i="13"/>
  <c r="H43" i="13"/>
  <c r="H62" i="13" s="1"/>
  <c r="H60" i="13"/>
  <c r="D26" i="11"/>
  <c r="D31" i="11" s="1"/>
  <c r="D15" i="11"/>
  <c r="D30" i="11" s="1"/>
  <c r="E26" i="11"/>
  <c r="E31" i="11" s="1"/>
  <c r="E15" i="11"/>
  <c r="E30" i="11" s="1"/>
  <c r="F12" i="13"/>
  <c r="F23" i="13" l="1"/>
  <c r="F45" i="13"/>
  <c r="E13" i="5"/>
  <c r="J13" i="5" s="1"/>
  <c r="E15" i="5"/>
  <c r="J15" i="5" s="1"/>
  <c r="E14" i="5"/>
  <c r="J14" i="5" s="1"/>
  <c r="E16" i="5"/>
  <c r="J16" i="5" s="1"/>
  <c r="E17" i="5"/>
  <c r="J17" i="5" s="1"/>
  <c r="F34" i="13" l="1"/>
  <c r="F24" i="13"/>
  <c r="F46" i="13"/>
  <c r="E10" i="5" s="1"/>
  <c r="J10" i="5" s="1"/>
  <c r="O10" i="5" s="1"/>
  <c r="E8" i="5"/>
  <c r="J8" i="5" s="1"/>
  <c r="K17" i="5"/>
  <c r="O17" i="5"/>
  <c r="K16" i="5"/>
  <c r="O16" i="5"/>
  <c r="C6" i="11"/>
  <c r="C17" i="11"/>
  <c r="K15" i="5"/>
  <c r="O15" i="5"/>
  <c r="K13" i="5"/>
  <c r="O13" i="5"/>
  <c r="K14" i="5"/>
  <c r="O14" i="5"/>
  <c r="F25" i="13" l="1"/>
  <c r="F36" i="13" s="1"/>
  <c r="F35" i="13"/>
  <c r="K10" i="5"/>
  <c r="F47" i="13"/>
  <c r="F48" i="13" s="1"/>
  <c r="F49" i="13" s="1"/>
  <c r="E9" i="5" s="1"/>
  <c r="J9" i="5" s="1"/>
  <c r="K9" i="5" s="1"/>
  <c r="L9" i="5" s="1"/>
  <c r="L16" i="5"/>
  <c r="Q16" i="5" s="1"/>
  <c r="P16" i="5"/>
  <c r="K8" i="5"/>
  <c r="L8" i="5" s="1"/>
  <c r="O8" i="5"/>
  <c r="L17" i="5"/>
  <c r="Q17" i="5" s="1"/>
  <c r="P17" i="5"/>
  <c r="L13" i="5"/>
  <c r="Q13" i="5" s="1"/>
  <c r="P13" i="5"/>
  <c r="L15" i="5"/>
  <c r="Q15" i="5" s="1"/>
  <c r="P15" i="5"/>
  <c r="L14" i="5"/>
  <c r="Q14" i="5" s="1"/>
  <c r="P14" i="5"/>
  <c r="L10" i="5"/>
  <c r="Q10" i="5" s="1"/>
  <c r="P10" i="5"/>
  <c r="C7" i="11"/>
  <c r="C18" i="11"/>
  <c r="E11" i="5" l="1"/>
  <c r="J11" i="5" s="1"/>
  <c r="O11" i="5" s="1"/>
  <c r="P8" i="5"/>
  <c r="O9" i="5"/>
  <c r="F50" i="13"/>
  <c r="F51" i="13" s="1"/>
  <c r="E12" i="5"/>
  <c r="J12" i="5" s="1"/>
  <c r="O12" i="5" s="1"/>
  <c r="O20" i="5"/>
  <c r="Q9" i="5"/>
  <c r="P9" i="5"/>
  <c r="Q8" i="5"/>
  <c r="F26" i="13"/>
  <c r="F37" i="13" s="1"/>
  <c r="C8" i="11"/>
  <c r="C19" i="11"/>
  <c r="K11" i="5" l="1"/>
  <c r="L11" i="5" s="1"/>
  <c r="F52" i="13"/>
  <c r="J19" i="5"/>
  <c r="O19" i="5" s="1"/>
  <c r="O21" i="5" s="1"/>
  <c r="O26" i="5" s="1"/>
  <c r="F30" i="3" s="1"/>
  <c r="K12" i="5"/>
  <c r="L12" i="5" s="1"/>
  <c r="Q12" i="5" s="1"/>
  <c r="F27" i="13"/>
  <c r="C20" i="11"/>
  <c r="C9" i="11"/>
  <c r="F53" i="13"/>
  <c r="F54" i="13" s="1"/>
  <c r="P11" i="5" l="1"/>
  <c r="F28" i="13"/>
  <c r="F39" i="13" s="1"/>
  <c r="F38" i="13"/>
  <c r="K21" i="5"/>
  <c r="K26" i="5" s="1"/>
  <c r="K29" i="5" s="1"/>
  <c r="J21" i="5"/>
  <c r="J26" i="5" s="1"/>
  <c r="J29" i="5" s="1"/>
  <c r="P12" i="5"/>
  <c r="F37" i="3"/>
  <c r="L21" i="5"/>
  <c r="L26" i="5" s="1"/>
  <c r="L29" i="5" s="1"/>
  <c r="O29" i="5"/>
  <c r="C34" i="11" s="1"/>
  <c r="C48" i="5"/>
  <c r="Q11" i="5"/>
  <c r="F29" i="13"/>
  <c r="F40" i="13" s="1"/>
  <c r="C22" i="11"/>
  <c r="C11" i="11"/>
  <c r="C21" i="11"/>
  <c r="C10" i="11"/>
  <c r="J27" i="5" l="1"/>
  <c r="O27" i="5" s="1"/>
  <c r="P21" i="5"/>
  <c r="P26" i="5" s="1"/>
  <c r="K27" i="5"/>
  <c r="P27" i="5" s="1"/>
  <c r="G37" i="3"/>
  <c r="H37" i="3" s="1"/>
  <c r="I37" i="3" s="1"/>
  <c r="D48" i="5"/>
  <c r="G30" i="3"/>
  <c r="F31" i="3"/>
  <c r="F33" i="3" s="1"/>
  <c r="P29" i="5"/>
  <c r="D34" i="11" s="1"/>
  <c r="Q21" i="5"/>
  <c r="Q26" i="5" s="1"/>
  <c r="L27" i="5"/>
  <c r="F30" i="13"/>
  <c r="F41" i="13" s="1"/>
  <c r="C12" i="11"/>
  <c r="C23" i="11"/>
  <c r="G31" i="3" l="1"/>
  <c r="G33" i="3" s="1"/>
  <c r="AK86" i="6"/>
  <c r="AK101" i="6" s="1"/>
  <c r="AR86" i="6"/>
  <c r="AR101" i="6" s="1"/>
  <c r="I86" i="6"/>
  <c r="I101" i="6" s="1"/>
  <c r="Z86" i="6"/>
  <c r="Z101" i="6" s="1"/>
  <c r="U86" i="6"/>
  <c r="U101" i="6" s="1"/>
  <c r="S86" i="6"/>
  <c r="S101" i="6" s="1"/>
  <c r="P86" i="6"/>
  <c r="P101" i="6" s="1"/>
  <c r="AA86" i="6"/>
  <c r="AA101" i="6" s="1"/>
  <c r="AE86" i="6"/>
  <c r="AE101" i="6" s="1"/>
  <c r="O86" i="6"/>
  <c r="O101" i="6" s="1"/>
  <c r="AG86" i="6"/>
  <c r="AG101" i="6" s="1"/>
  <c r="E48" i="5"/>
  <c r="BF92" i="6" s="1"/>
  <c r="Q29" i="5"/>
  <c r="E34" i="11" s="1"/>
  <c r="X86" i="6"/>
  <c r="X101" i="6" s="1"/>
  <c r="BD86" i="6"/>
  <c r="BD101" i="6" s="1"/>
  <c r="F86" i="6"/>
  <c r="F101" i="6" s="1"/>
  <c r="R86" i="6"/>
  <c r="R101" i="6" s="1"/>
  <c r="J86" i="6"/>
  <c r="J101" i="6" s="1"/>
  <c r="BA86" i="6"/>
  <c r="BA101" i="6" s="1"/>
  <c r="AU86" i="6"/>
  <c r="AU101" i="6" s="1"/>
  <c r="AW86" i="6"/>
  <c r="AW101" i="6" s="1"/>
  <c r="AD86" i="6"/>
  <c r="AD101" i="6" s="1"/>
  <c r="V86" i="6"/>
  <c r="V101" i="6" s="1"/>
  <c r="BK86" i="6"/>
  <c r="BK101" i="6" s="1"/>
  <c r="AJ86" i="6"/>
  <c r="AJ101" i="6" s="1"/>
  <c r="AP86" i="6"/>
  <c r="AP101" i="6" s="1"/>
  <c r="BC86" i="6"/>
  <c r="BC101" i="6" s="1"/>
  <c r="K86" i="6"/>
  <c r="K101" i="6" s="1"/>
  <c r="AY86" i="6"/>
  <c r="AY101" i="6" s="1"/>
  <c r="AS86" i="6"/>
  <c r="AS101" i="6" s="1"/>
  <c r="BB86" i="6"/>
  <c r="BB101" i="6" s="1"/>
  <c r="AF86" i="6"/>
  <c r="AF101" i="6" s="1"/>
  <c r="H30" i="3"/>
  <c r="I30" i="3" s="1"/>
  <c r="AH86" i="6"/>
  <c r="AH101" i="6" s="1"/>
  <c r="AM86" i="6"/>
  <c r="AM101" i="6" s="1"/>
  <c r="AC86" i="6"/>
  <c r="AC101" i="6" s="1"/>
  <c r="BF86" i="6"/>
  <c r="BF101" i="6" s="1"/>
  <c r="BI86" i="6"/>
  <c r="BI101" i="6" s="1"/>
  <c r="BG86" i="6"/>
  <c r="BG101" i="6" s="1"/>
  <c r="BL86" i="6"/>
  <c r="BL101" i="6" s="1"/>
  <c r="AX86" i="6"/>
  <c r="AX101" i="6" s="1"/>
  <c r="H86" i="6"/>
  <c r="H101" i="6" s="1"/>
  <c r="AZ86" i="6"/>
  <c r="AZ101" i="6" s="1"/>
  <c r="AL86" i="6"/>
  <c r="AL101" i="6" s="1"/>
  <c r="Q86" i="6"/>
  <c r="Q101" i="6" s="1"/>
  <c r="W86" i="6"/>
  <c r="W101" i="6" s="1"/>
  <c r="AN86" i="6"/>
  <c r="AN101" i="6" s="1"/>
  <c r="AI86" i="6"/>
  <c r="AI101" i="6" s="1"/>
  <c r="T86" i="6"/>
  <c r="T101" i="6" s="1"/>
  <c r="AV86" i="6"/>
  <c r="AV101" i="6" s="1"/>
  <c r="L86" i="6"/>
  <c r="L101" i="6" s="1"/>
  <c r="AQ86" i="6"/>
  <c r="AQ101" i="6" s="1"/>
  <c r="AO86" i="6"/>
  <c r="AO101" i="6" s="1"/>
  <c r="N86" i="6"/>
  <c r="N101" i="6" s="1"/>
  <c r="E86" i="6"/>
  <c r="E101" i="6" s="1"/>
  <c r="AB86" i="6"/>
  <c r="AB101" i="6" s="1"/>
  <c r="BE86" i="6"/>
  <c r="BE101" i="6" s="1"/>
  <c r="BH86" i="6"/>
  <c r="BH101" i="6" s="1"/>
  <c r="M86" i="6"/>
  <c r="M101" i="6" s="1"/>
  <c r="Y86" i="6"/>
  <c r="Y101" i="6" s="1"/>
  <c r="AT86" i="6"/>
  <c r="AT101" i="6" s="1"/>
  <c r="D86" i="6"/>
  <c r="D101" i="6" s="1"/>
  <c r="G86" i="6"/>
  <c r="G101" i="6" s="1"/>
  <c r="BJ86" i="6"/>
  <c r="BJ101" i="6" s="1"/>
  <c r="H31" i="3"/>
  <c r="L80" i="6"/>
  <c r="Y80" i="6"/>
  <c r="F80" i="6"/>
  <c r="AE80" i="6"/>
  <c r="D80" i="6"/>
  <c r="BB80" i="6"/>
  <c r="I80" i="6"/>
  <c r="AB80" i="6"/>
  <c r="AR80" i="6"/>
  <c r="AL80" i="6"/>
  <c r="R80" i="6"/>
  <c r="AV80" i="6"/>
  <c r="X80" i="6"/>
  <c r="AX80" i="6"/>
  <c r="H80" i="6"/>
  <c r="AN80" i="6"/>
  <c r="AU80" i="6"/>
  <c r="AT80" i="6"/>
  <c r="K80" i="6"/>
  <c r="N80" i="6"/>
  <c r="AG80" i="6"/>
  <c r="AM80" i="6"/>
  <c r="AW80" i="6"/>
  <c r="BL80" i="6"/>
  <c r="BC80" i="6"/>
  <c r="O80" i="6"/>
  <c r="AP80" i="6"/>
  <c r="AJ80" i="6"/>
  <c r="U80" i="6"/>
  <c r="S80" i="6"/>
  <c r="AO80" i="6"/>
  <c r="Z80" i="6"/>
  <c r="P80" i="6"/>
  <c r="AZ80" i="6"/>
  <c r="BF80" i="6"/>
  <c r="BK80" i="6"/>
  <c r="AC80" i="6"/>
  <c r="AY80" i="6"/>
  <c r="AD80" i="6"/>
  <c r="AK80" i="6"/>
  <c r="AI80" i="6"/>
  <c r="V80" i="6"/>
  <c r="E80" i="6"/>
  <c r="AF80" i="6"/>
  <c r="W80" i="6"/>
  <c r="BA80" i="6"/>
  <c r="G80" i="6"/>
  <c r="BD80" i="6"/>
  <c r="BE80" i="6"/>
  <c r="BJ80" i="6"/>
  <c r="AH80" i="6"/>
  <c r="Q27" i="5"/>
  <c r="BI80" i="6"/>
  <c r="T80" i="6"/>
  <c r="Q80" i="6"/>
  <c r="M80" i="6"/>
  <c r="J80" i="6"/>
  <c r="AS80" i="6"/>
  <c r="AA80" i="6"/>
  <c r="BG80" i="6"/>
  <c r="AQ80" i="6"/>
  <c r="BH80" i="6"/>
  <c r="F31" i="13"/>
  <c r="C13" i="11"/>
  <c r="C24" i="11"/>
  <c r="G92" i="6" l="1"/>
  <c r="AK92" i="6"/>
  <c r="AK102" i="6" s="1"/>
  <c r="BC92" i="6"/>
  <c r="AU92" i="6"/>
  <c r="AI92" i="6"/>
  <c r="AX92" i="6"/>
  <c r="AX102" i="6" s="1"/>
  <c r="M92" i="6"/>
  <c r="M102" i="6" s="1"/>
  <c r="BB92" i="6"/>
  <c r="BB102" i="6" s="1"/>
  <c r="F32" i="13"/>
  <c r="F42" i="13"/>
  <c r="AQ92" i="6"/>
  <c r="AQ102" i="6" s="1"/>
  <c r="AN92" i="6"/>
  <c r="AN102" i="6" s="1"/>
  <c r="AH92" i="6"/>
  <c r="AH102" i="6" s="1"/>
  <c r="AR92" i="6"/>
  <c r="AR102" i="6" s="1"/>
  <c r="AS92" i="6"/>
  <c r="AS102" i="6" s="1"/>
  <c r="AL92" i="6"/>
  <c r="AL102" i="6" s="1"/>
  <c r="BK92" i="6"/>
  <c r="BK102" i="6" s="1"/>
  <c r="L92" i="6"/>
  <c r="L102" i="6" s="1"/>
  <c r="AA92" i="6"/>
  <c r="AA102" i="6" s="1"/>
  <c r="T92" i="6"/>
  <c r="I92" i="6"/>
  <c r="I102" i="6" s="1"/>
  <c r="E92" i="6"/>
  <c r="E102" i="6" s="1"/>
  <c r="N92" i="6"/>
  <c r="N102" i="6" s="1"/>
  <c r="AZ92" i="6"/>
  <c r="AZ102" i="6" s="1"/>
  <c r="AU102" i="6"/>
  <c r="BC102" i="6"/>
  <c r="BF102" i="6"/>
  <c r="AI102" i="6"/>
  <c r="T102" i="6"/>
  <c r="G102" i="6"/>
  <c r="D85" i="6"/>
  <c r="D114" i="6" s="1"/>
  <c r="D115" i="6" s="1"/>
  <c r="AJ92" i="6"/>
  <c r="AP92" i="6"/>
  <c r="BG92" i="6"/>
  <c r="AW92" i="6"/>
  <c r="AY92" i="6"/>
  <c r="H92" i="6"/>
  <c r="W92" i="6"/>
  <c r="S92" i="6"/>
  <c r="BE92" i="6"/>
  <c r="K92" i="6"/>
  <c r="AM92" i="6"/>
  <c r="BL92" i="6"/>
  <c r="BI92" i="6"/>
  <c r="F92" i="6"/>
  <c r="AE92" i="6"/>
  <c r="J92" i="6"/>
  <c r="AD92" i="6"/>
  <c r="R92" i="6"/>
  <c r="V92" i="6"/>
  <c r="AF92" i="6"/>
  <c r="AG92" i="6"/>
  <c r="BD92" i="6"/>
  <c r="AV92" i="6"/>
  <c r="BA92" i="6"/>
  <c r="O92" i="6"/>
  <c r="U92" i="6"/>
  <c r="AT92" i="6"/>
  <c r="BJ92" i="6"/>
  <c r="Q92" i="6"/>
  <c r="AO92" i="6"/>
  <c r="AB92" i="6"/>
  <c r="AC92" i="6"/>
  <c r="P92" i="6"/>
  <c r="BH92" i="6"/>
  <c r="Y92" i="6"/>
  <c r="Z92" i="6"/>
  <c r="X92" i="6"/>
  <c r="AJ85" i="6"/>
  <c r="AA85" i="6"/>
  <c r="N85" i="6"/>
  <c r="AC85" i="6"/>
  <c r="BL85" i="6"/>
  <c r="AQ85" i="6"/>
  <c r="AW85" i="6"/>
  <c r="AX85" i="6"/>
  <c r="X85" i="6"/>
  <c r="AT85" i="6"/>
  <c r="AY85" i="6"/>
  <c r="AZ85" i="6"/>
  <c r="V85" i="6"/>
  <c r="AB85" i="6"/>
  <c r="BI85" i="6"/>
  <c r="BK85" i="6"/>
  <c r="AD85" i="6"/>
  <c r="BB85" i="6"/>
  <c r="L85" i="6"/>
  <c r="AL85" i="6"/>
  <c r="BA85" i="6"/>
  <c r="AS85" i="6"/>
  <c r="F85" i="6"/>
  <c r="AG85" i="6"/>
  <c r="AG162" i="6" s="1"/>
  <c r="AO85" i="6"/>
  <c r="AO162" i="6" s="1"/>
  <c r="AE85" i="6"/>
  <c r="AE162" i="6" s="1"/>
  <c r="J85" i="6"/>
  <c r="J147" i="6" s="1"/>
  <c r="M85" i="6"/>
  <c r="M147" i="6" s="1"/>
  <c r="AN85" i="6"/>
  <c r="AN162" i="6" s="1"/>
  <c r="BE85" i="6"/>
  <c r="AV85" i="6"/>
  <c r="H85" i="6"/>
  <c r="R85" i="6"/>
  <c r="S85" i="6"/>
  <c r="BG85" i="6"/>
  <c r="AM85" i="6"/>
  <c r="AK85" i="6"/>
  <c r="AK162" i="6" s="1"/>
  <c r="I85" i="6"/>
  <c r="I132" i="6" s="1"/>
  <c r="AH85" i="6"/>
  <c r="AH147" i="6" s="1"/>
  <c r="AU85" i="6"/>
  <c r="AR85" i="6"/>
  <c r="W85" i="6"/>
  <c r="W147" i="6" s="1"/>
  <c r="G85" i="6"/>
  <c r="G162" i="6" s="1"/>
  <c r="E85" i="6"/>
  <c r="Q85" i="6"/>
  <c r="BH85" i="6"/>
  <c r="T85" i="6"/>
  <c r="T162" i="6" s="1"/>
  <c r="AP85" i="6"/>
  <c r="U85" i="6"/>
  <c r="Y85" i="6"/>
  <c r="BD85" i="6"/>
  <c r="AI85" i="6"/>
  <c r="AI162" i="6" s="1"/>
  <c r="BF85" i="6"/>
  <c r="AF85" i="6"/>
  <c r="BC85" i="6"/>
  <c r="O85" i="6"/>
  <c r="P85" i="6"/>
  <c r="BJ85" i="6"/>
  <c r="Z85" i="6"/>
  <c r="K85" i="6"/>
  <c r="F15" i="3"/>
  <c r="H33" i="3"/>
  <c r="I33" i="3" s="1"/>
  <c r="I31" i="3"/>
  <c r="AO65" i="6"/>
  <c r="AS65" i="6"/>
  <c r="R65" i="6"/>
  <c r="AH65" i="6"/>
  <c r="BL65" i="6"/>
  <c r="BK65" i="6"/>
  <c r="AD65" i="6"/>
  <c r="AC65" i="6"/>
  <c r="AN65" i="6"/>
  <c r="BD65" i="6"/>
  <c r="G65" i="6"/>
  <c r="W65" i="6"/>
  <c r="U65" i="6"/>
  <c r="AX65" i="6"/>
  <c r="Q65" i="6"/>
  <c r="AW65" i="6"/>
  <c r="F65" i="6"/>
  <c r="BE65" i="6"/>
  <c r="AA65" i="6"/>
  <c r="AR65" i="6"/>
  <c r="T65" i="6"/>
  <c r="AM65" i="6"/>
  <c r="AT65" i="6"/>
  <c r="S65" i="6"/>
  <c r="AG65" i="6"/>
  <c r="AU65" i="6"/>
  <c r="AP65" i="6"/>
  <c r="BF65" i="6"/>
  <c r="BG65" i="6"/>
  <c r="L65" i="6"/>
  <c r="E65" i="6"/>
  <c r="BC65" i="6"/>
  <c r="Z65" i="6"/>
  <c r="X65" i="6"/>
  <c r="AV65" i="6"/>
  <c r="BI65" i="6"/>
  <c r="AY65" i="6"/>
  <c r="K65" i="6"/>
  <c r="AQ65" i="6"/>
  <c r="BH65" i="6"/>
  <c r="I65" i="6"/>
  <c r="H65" i="6"/>
  <c r="AI65" i="6"/>
  <c r="AF65" i="6"/>
  <c r="BJ65" i="6"/>
  <c r="AJ65" i="6"/>
  <c r="AZ65" i="6"/>
  <c r="AK65" i="6"/>
  <c r="AB65" i="6"/>
  <c r="AL65" i="6"/>
  <c r="Y65" i="6"/>
  <c r="BA65" i="6"/>
  <c r="V65" i="6"/>
  <c r="P65" i="6"/>
  <c r="O65" i="6"/>
  <c r="AE65" i="6"/>
  <c r="BB65" i="6"/>
  <c r="M65" i="6"/>
  <c r="J65" i="6"/>
  <c r="N65" i="6"/>
  <c r="C15" i="11"/>
  <c r="C26" i="11"/>
  <c r="C14" i="11"/>
  <c r="C25" i="11"/>
  <c r="AQ162" i="6" l="1"/>
  <c r="AA147" i="6"/>
  <c r="E162" i="6"/>
  <c r="AR162" i="6"/>
  <c r="F38" i="3"/>
  <c r="G38" i="3" s="1"/>
  <c r="H38" i="3" s="1"/>
  <c r="I38" i="3" s="1"/>
  <c r="F43" i="13"/>
  <c r="F62" i="13" s="1"/>
  <c r="F60" i="13"/>
  <c r="N162" i="6"/>
  <c r="AL162" i="6"/>
  <c r="U162" i="6"/>
  <c r="R132" i="6"/>
  <c r="AP162" i="6"/>
  <c r="L162" i="6"/>
  <c r="D147" i="6"/>
  <c r="D148" i="6" s="1"/>
  <c r="D149" i="6" s="1"/>
  <c r="D132" i="6"/>
  <c r="D133" i="6" s="1"/>
  <c r="D134" i="6" s="1"/>
  <c r="D162" i="6"/>
  <c r="D163" i="6" s="1"/>
  <c r="D164" i="6" s="1"/>
  <c r="P132" i="6"/>
  <c r="AD147" i="6"/>
  <c r="AJ162" i="6"/>
  <c r="O132" i="6"/>
  <c r="M132" i="6"/>
  <c r="AO102" i="6"/>
  <c r="X102" i="6"/>
  <c r="AG102" i="6"/>
  <c r="AY102" i="6"/>
  <c r="Z102" i="6"/>
  <c r="BJ102" i="6"/>
  <c r="AF102" i="6"/>
  <c r="BL102" i="6"/>
  <c r="AW102" i="6"/>
  <c r="Q102" i="6"/>
  <c r="BI102" i="6"/>
  <c r="Y102" i="6"/>
  <c r="AT102" i="6"/>
  <c r="V102" i="6"/>
  <c r="AM102" i="6"/>
  <c r="BG102" i="6"/>
  <c r="BD102" i="6"/>
  <c r="U102" i="6"/>
  <c r="AP102" i="6"/>
  <c r="K132" i="6"/>
  <c r="P102" i="6"/>
  <c r="O102" i="6"/>
  <c r="AD102" i="6"/>
  <c r="BE102" i="6"/>
  <c r="AJ102" i="6"/>
  <c r="BH102" i="6"/>
  <c r="K102" i="6"/>
  <c r="AC102" i="6"/>
  <c r="BA102" i="6"/>
  <c r="J102" i="6"/>
  <c r="S102" i="6"/>
  <c r="H102" i="6"/>
  <c r="R102" i="6"/>
  <c r="AD162" i="6"/>
  <c r="AB102" i="6"/>
  <c r="AV102" i="6"/>
  <c r="AE102" i="6"/>
  <c r="W102" i="6"/>
  <c r="V147" i="6"/>
  <c r="AM162" i="6"/>
  <c r="Y147" i="6"/>
  <c r="AH162" i="6"/>
  <c r="F102" i="6"/>
  <c r="AF162" i="6"/>
  <c r="Z147" i="6"/>
  <c r="F132" i="6"/>
  <c r="F162" i="6"/>
  <c r="R147" i="6"/>
  <c r="R162" i="6"/>
  <c r="H132" i="6"/>
  <c r="AA162" i="6"/>
  <c r="P162" i="6"/>
  <c r="P147" i="6"/>
  <c r="U147" i="6"/>
  <c r="U132" i="6"/>
  <c r="X162" i="6"/>
  <c r="AE147" i="6"/>
  <c r="AB162" i="6"/>
  <c r="Q147" i="6"/>
  <c r="X147" i="6"/>
  <c r="X132" i="6"/>
  <c r="W132" i="6"/>
  <c r="S147" i="6"/>
  <c r="N147" i="6"/>
  <c r="AC147" i="6"/>
  <c r="N132" i="6"/>
  <c r="AC162" i="6"/>
  <c r="S162" i="6"/>
  <c r="F16" i="3"/>
  <c r="T132" i="6"/>
  <c r="O147" i="6"/>
  <c r="AG147" i="6"/>
  <c r="H162" i="6"/>
  <c r="H147" i="6"/>
  <c r="O162" i="6"/>
  <c r="T147" i="6"/>
  <c r="F147" i="6"/>
  <c r="J162" i="6"/>
  <c r="J132" i="6"/>
  <c r="L147" i="6"/>
  <c r="L132" i="6"/>
  <c r="AB147" i="6"/>
  <c r="W162" i="6"/>
  <c r="S132" i="6"/>
  <c r="V132" i="6"/>
  <c r="V162" i="6"/>
  <c r="Y162" i="6"/>
  <c r="Q162" i="6"/>
  <c r="G147" i="6"/>
  <c r="I162" i="6"/>
  <c r="Q132" i="6"/>
  <c r="M162" i="6"/>
  <c r="I147" i="6"/>
  <c r="C30" i="11"/>
  <c r="E60" i="6" s="1"/>
  <c r="K162" i="6"/>
  <c r="K147" i="6"/>
  <c r="E147" i="6"/>
  <c r="E132" i="6"/>
  <c r="Z162" i="6"/>
  <c r="AF147" i="6"/>
  <c r="G132" i="6"/>
  <c r="D178" i="6" a="1"/>
  <c r="D178" i="6" s="1"/>
  <c r="C31" i="11"/>
  <c r="E62" i="6" s="1"/>
  <c r="BA22" i="6" l="1"/>
  <c r="BE22" i="6"/>
  <c r="Z22" i="6"/>
  <c r="V22" i="6"/>
  <c r="L22" i="6"/>
  <c r="AX22" i="6"/>
  <c r="BI22" i="6"/>
  <c r="W22" i="6"/>
  <c r="BD22" i="6"/>
  <c r="BL22" i="6"/>
  <c r="BG22" i="6"/>
  <c r="AK22" i="6"/>
  <c r="AM22" i="6"/>
  <c r="AC22" i="6"/>
  <c r="N22" i="6"/>
  <c r="S22" i="6"/>
  <c r="AF22" i="6"/>
  <c r="AR22" i="6"/>
  <c r="AP22" i="6"/>
  <c r="AH22" i="6"/>
  <c r="AV22" i="6"/>
  <c r="AE22" i="6"/>
  <c r="AZ22" i="6"/>
  <c r="AQ22" i="6"/>
  <c r="AY22" i="6"/>
  <c r="Q22" i="6"/>
  <c r="AI22" i="6"/>
  <c r="AL22" i="6"/>
  <c r="I22" i="6"/>
  <c r="AU22" i="6"/>
  <c r="BF22" i="6"/>
  <c r="BK22" i="6"/>
  <c r="AS22" i="6"/>
  <c r="H22" i="6"/>
  <c r="R22" i="6"/>
  <c r="AG22" i="6"/>
  <c r="U22" i="6"/>
  <c r="G22" i="6"/>
  <c r="AT22" i="6"/>
  <c r="AJ22" i="6"/>
  <c r="Y22" i="6"/>
  <c r="BB22" i="6"/>
  <c r="AO22" i="6"/>
  <c r="AW22" i="6"/>
  <c r="F22" i="6"/>
  <c r="J22" i="6"/>
  <c r="K22" i="6"/>
  <c r="M22" i="6"/>
  <c r="BJ22" i="6"/>
  <c r="E22" i="6"/>
  <c r="AN22" i="6"/>
  <c r="O22" i="6"/>
  <c r="T22" i="6"/>
  <c r="P22" i="6"/>
  <c r="AA22" i="6"/>
  <c r="AB22" i="6"/>
  <c r="BC22" i="6"/>
  <c r="BH22" i="6"/>
  <c r="AD22" i="6"/>
  <c r="X22" i="6"/>
  <c r="E66" i="6"/>
  <c r="BE62" i="6"/>
  <c r="AR62" i="6"/>
  <c r="BD62" i="6"/>
  <c r="AH62" i="6"/>
  <c r="X62" i="6"/>
  <c r="BI62" i="6"/>
  <c r="BH62" i="6"/>
  <c r="BC62" i="6"/>
  <c r="L62" i="6"/>
  <c r="R62" i="6"/>
  <c r="BA62" i="6"/>
  <c r="BL62" i="6"/>
  <c r="AZ62" i="6"/>
  <c r="F60" i="6"/>
  <c r="G60" i="6"/>
  <c r="H60" i="6"/>
  <c r="I60" i="6"/>
  <c r="J60" i="6"/>
  <c r="K60" i="6"/>
  <c r="L60" i="6"/>
  <c r="M60" i="6"/>
  <c r="N60" i="6"/>
  <c r="O60" i="6"/>
  <c r="P60" i="6"/>
  <c r="Q60" i="6"/>
  <c r="R60" i="6"/>
  <c r="R66" i="6" s="1"/>
  <c r="R114" i="6" s="1"/>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E66" i="6" s="1"/>
  <c r="BE114" i="6" s="1"/>
  <c r="BF60" i="6"/>
  <c r="BG60" i="6"/>
  <c r="BH60" i="6"/>
  <c r="BI60" i="6"/>
  <c r="BJ60" i="6"/>
  <c r="BK60" i="6"/>
  <c r="BL60" i="6"/>
  <c r="BK62" i="6"/>
  <c r="AY62" i="6"/>
  <c r="AX62" i="6"/>
  <c r="AS62" i="6"/>
  <c r="K62" i="6"/>
  <c r="AQ62" i="6"/>
  <c r="AO62" i="6"/>
  <c r="AM62" i="6"/>
  <c r="AK62" i="6"/>
  <c r="BG62" i="6"/>
  <c r="AV62" i="6"/>
  <c r="AJ62" i="6"/>
  <c r="AU62" i="6"/>
  <c r="AI62" i="6"/>
  <c r="J62" i="6"/>
  <c r="AG62" i="6"/>
  <c r="AP62" i="6"/>
  <c r="AF62" i="6"/>
  <c r="AC62" i="6"/>
  <c r="AB62" i="6"/>
  <c r="AA62" i="6"/>
  <c r="Z62" i="6"/>
  <c r="Y62" i="6"/>
  <c r="H62" i="6"/>
  <c r="W62" i="6"/>
  <c r="BF62" i="6"/>
  <c r="AW62" i="6"/>
  <c r="AN62" i="6"/>
  <c r="AE62" i="6"/>
  <c r="U62" i="6"/>
  <c r="T62" i="6"/>
  <c r="S62" i="6"/>
  <c r="I62" i="6"/>
  <c r="Q62" i="6"/>
  <c r="P62" i="6"/>
  <c r="O62" i="6"/>
  <c r="BJ62" i="6"/>
  <c r="BB62" i="6"/>
  <c r="AT62" i="6"/>
  <c r="AL62" i="6"/>
  <c r="AD62" i="6"/>
  <c r="V62" i="6"/>
  <c r="N62" i="6"/>
  <c r="F62" i="6"/>
  <c r="G62" i="6"/>
  <c r="M62" i="6"/>
  <c r="K25" i="6" l="1"/>
  <c r="J36" i="7" s="1"/>
  <c r="J38" i="7" s="1"/>
  <c r="P25" i="6"/>
  <c r="O36" i="7" s="1"/>
  <c r="O38" i="7" s="1"/>
  <c r="J25" i="6"/>
  <c r="I36" i="7" s="1"/>
  <c r="I38" i="7" s="1"/>
  <c r="G25" i="6"/>
  <c r="F36" i="7" s="1"/>
  <c r="F38" i="7" s="1"/>
  <c r="AU25" i="6"/>
  <c r="AT36" i="7" s="1"/>
  <c r="AT38" i="7" s="1"/>
  <c r="AE25" i="6"/>
  <c r="AD36" i="7" s="1"/>
  <c r="AD38" i="7" s="1"/>
  <c r="AC25" i="6"/>
  <c r="AB36" i="7" s="1"/>
  <c r="AB38" i="7" s="1"/>
  <c r="AX25" i="6"/>
  <c r="AW36" i="7" s="1"/>
  <c r="AW38" i="7" s="1"/>
  <c r="AZ25" i="6"/>
  <c r="AY36" i="7" s="1"/>
  <c r="AY38" i="7" s="1"/>
  <c r="T25" i="6"/>
  <c r="S36" i="7" s="1"/>
  <c r="S38" i="7" s="1"/>
  <c r="F25" i="6"/>
  <c r="E36" i="7" s="1"/>
  <c r="E38" i="7" s="1"/>
  <c r="U25" i="6"/>
  <c r="T36" i="7" s="1"/>
  <c r="T38" i="7" s="1"/>
  <c r="I25" i="6"/>
  <c r="H36" i="7" s="1"/>
  <c r="H38" i="7" s="1"/>
  <c r="H39" i="7" s="1"/>
  <c r="AV25" i="6"/>
  <c r="AU36" i="7" s="1"/>
  <c r="AU38" i="7" s="1"/>
  <c r="AU39" i="7" s="1"/>
  <c r="AM25" i="6"/>
  <c r="AL36" i="7" s="1"/>
  <c r="AL38" i="7" s="1"/>
  <c r="L25" i="6"/>
  <c r="K36" i="7" s="1"/>
  <c r="K38" i="7" s="1"/>
  <c r="BF25" i="6"/>
  <c r="BE36" i="7" s="1"/>
  <c r="BE38" i="7" s="1"/>
  <c r="X25" i="6"/>
  <c r="W36" i="7" s="1"/>
  <c r="W38" i="7" s="1"/>
  <c r="O25" i="6"/>
  <c r="N36" i="7" s="1"/>
  <c r="N38" i="7" s="1"/>
  <c r="AW25" i="6"/>
  <c r="AV36" i="7" s="1"/>
  <c r="AV38" i="7" s="1"/>
  <c r="AG25" i="6"/>
  <c r="AF36" i="7" s="1"/>
  <c r="AF38" i="7" s="1"/>
  <c r="AF39" i="7" s="1"/>
  <c r="AL25" i="6"/>
  <c r="AK36" i="7" s="1"/>
  <c r="AK38" i="7" s="1"/>
  <c r="AH25" i="6"/>
  <c r="AG36" i="7" s="1"/>
  <c r="AG38" i="7" s="1"/>
  <c r="AK25" i="6"/>
  <c r="AJ36" i="7" s="1"/>
  <c r="AJ38" i="7" s="1"/>
  <c r="V25" i="6"/>
  <c r="U36" i="7" s="1"/>
  <c r="U38" i="7" s="1"/>
  <c r="AT25" i="6"/>
  <c r="AS36" i="7" s="1"/>
  <c r="AS38" i="7" s="1"/>
  <c r="AS39" i="7" s="1"/>
  <c r="AD25" i="6"/>
  <c r="AC36" i="7" s="1"/>
  <c r="AC38" i="7" s="1"/>
  <c r="AN25" i="6"/>
  <c r="AM36" i="7" s="1"/>
  <c r="AM38" i="7" s="1"/>
  <c r="AO25" i="6"/>
  <c r="AN36" i="7" s="1"/>
  <c r="AN38" i="7" s="1"/>
  <c r="R25" i="6"/>
  <c r="Q36" i="7" s="1"/>
  <c r="Q38" i="7" s="1"/>
  <c r="AI25" i="6"/>
  <c r="AH36" i="7" s="1"/>
  <c r="AH38" i="7" s="1"/>
  <c r="AP25" i="6"/>
  <c r="AO36" i="7" s="1"/>
  <c r="AO38" i="7" s="1"/>
  <c r="BG25" i="6"/>
  <c r="BF36" i="7" s="1"/>
  <c r="BF38" i="7" s="1"/>
  <c r="Z25" i="6"/>
  <c r="Y36" i="7" s="1"/>
  <c r="Y38" i="7" s="1"/>
  <c r="BI25" i="6"/>
  <c r="BH36" i="7" s="1"/>
  <c r="BH38" i="7" s="1"/>
  <c r="BH25" i="6"/>
  <c r="BG36" i="7" s="1"/>
  <c r="BG38" i="7" s="1"/>
  <c r="E25" i="6"/>
  <c r="D36" i="7" s="1"/>
  <c r="D38" i="7" s="1"/>
  <c r="BB25" i="6"/>
  <c r="BA36" i="7" s="1"/>
  <c r="BA38" i="7" s="1"/>
  <c r="H25" i="6"/>
  <c r="G36" i="7" s="1"/>
  <c r="G38" i="7" s="1"/>
  <c r="Q25" i="6"/>
  <c r="P36" i="7" s="1"/>
  <c r="P38" i="7" s="1"/>
  <c r="AR25" i="6"/>
  <c r="AQ36" i="7" s="1"/>
  <c r="AQ38" i="7" s="1"/>
  <c r="BL25" i="6"/>
  <c r="BK36" i="7" s="1"/>
  <c r="BK38" i="7" s="1"/>
  <c r="BE25" i="6"/>
  <c r="BD36" i="7" s="1"/>
  <c r="BD38" i="7" s="1"/>
  <c r="N25" i="6"/>
  <c r="M36" i="7" s="1"/>
  <c r="M38" i="7" s="1"/>
  <c r="BC25" i="6"/>
  <c r="BB36" i="7" s="1"/>
  <c r="BB38" i="7" s="1"/>
  <c r="BJ25" i="6"/>
  <c r="BI36" i="7" s="1"/>
  <c r="BI38" i="7" s="1"/>
  <c r="Y25" i="6"/>
  <c r="X36" i="7" s="1"/>
  <c r="X38" i="7" s="1"/>
  <c r="AS25" i="6"/>
  <c r="AR36" i="7" s="1"/>
  <c r="AR38" i="7" s="1"/>
  <c r="AY25" i="6"/>
  <c r="AX36" i="7" s="1"/>
  <c r="AX38" i="7" s="1"/>
  <c r="AF25" i="6"/>
  <c r="AE36" i="7" s="1"/>
  <c r="AE38" i="7" s="1"/>
  <c r="BD25" i="6"/>
  <c r="BC36" i="7" s="1"/>
  <c r="BC38" i="7" s="1"/>
  <c r="BA25" i="6"/>
  <c r="AZ36" i="7" s="1"/>
  <c r="AZ38" i="7" s="1"/>
  <c r="AA25" i="6"/>
  <c r="Z36" i="7" s="1"/>
  <c r="AB25" i="6"/>
  <c r="AA36" i="7" s="1"/>
  <c r="AA38" i="7" s="1"/>
  <c r="AA39" i="7" s="1"/>
  <c r="M25" i="6"/>
  <c r="L36" i="7" s="1"/>
  <c r="L38" i="7" s="1"/>
  <c r="AJ25" i="6"/>
  <c r="AI36" i="7" s="1"/>
  <c r="AI38" i="7" s="1"/>
  <c r="BK25" i="6"/>
  <c r="BJ36" i="7" s="1"/>
  <c r="BJ38" i="7" s="1"/>
  <c r="AQ25" i="6"/>
  <c r="AP36" i="7" s="1"/>
  <c r="AP38" i="7" s="1"/>
  <c r="S25" i="6"/>
  <c r="R36" i="7" s="1"/>
  <c r="R38" i="7" s="1"/>
  <c r="W25" i="6"/>
  <c r="V36" i="7" s="1"/>
  <c r="V38" i="7" s="1"/>
  <c r="AH66" i="6"/>
  <c r="AH114" i="6" s="1"/>
  <c r="E114" i="6"/>
  <c r="E115" i="6" s="1"/>
  <c r="AR66" i="6"/>
  <c r="AR114" i="6" s="1"/>
  <c r="BI66" i="6"/>
  <c r="BI114" i="6" s="1"/>
  <c r="BD66" i="6"/>
  <c r="BD114" i="6" s="1"/>
  <c r="AZ66" i="6"/>
  <c r="AO66" i="6"/>
  <c r="AO114" i="6" s="1"/>
  <c r="BC66" i="6"/>
  <c r="F66" i="6"/>
  <c r="F148" i="6" s="1"/>
  <c r="BK66" i="6"/>
  <c r="BK114" i="6" s="1"/>
  <c r="BH66" i="6"/>
  <c r="X66" i="6"/>
  <c r="X114" i="6" s="1"/>
  <c r="AW66" i="6"/>
  <c r="AS66" i="6"/>
  <c r="AS114" i="6" s="1"/>
  <c r="AM66" i="6"/>
  <c r="AU66" i="6"/>
  <c r="BA66" i="6"/>
  <c r="AF66" i="6"/>
  <c r="W66" i="6"/>
  <c r="AP66" i="6"/>
  <c r="AX66" i="6"/>
  <c r="AY66" i="6"/>
  <c r="K66" i="6"/>
  <c r="BL66" i="6"/>
  <c r="AA66" i="6"/>
  <c r="AA114" i="6" s="1"/>
  <c r="L66" i="6"/>
  <c r="AI66" i="6"/>
  <c r="AQ66" i="6"/>
  <c r="AL66" i="6"/>
  <c r="AL114" i="6" s="1"/>
  <c r="J66" i="6"/>
  <c r="Y66" i="6"/>
  <c r="AV66" i="6"/>
  <c r="AC66" i="6"/>
  <c r="AC114" i="6" s="1"/>
  <c r="AK66" i="6"/>
  <c r="AK114" i="6" s="1"/>
  <c r="AJ66" i="6"/>
  <c r="AB66" i="6"/>
  <c r="BG66" i="6"/>
  <c r="AG66" i="6"/>
  <c r="H66" i="6"/>
  <c r="Z66" i="6"/>
  <c r="BF66" i="6"/>
  <c r="BF114" i="6" s="1"/>
  <c r="Q66" i="6"/>
  <c r="AN66" i="6"/>
  <c r="AN114" i="6" s="1"/>
  <c r="BJ66" i="6"/>
  <c r="U66" i="6"/>
  <c r="U114" i="6" s="1"/>
  <c r="T66" i="6"/>
  <c r="AE66" i="6"/>
  <c r="S66" i="6"/>
  <c r="I66" i="6"/>
  <c r="P66" i="6"/>
  <c r="O66" i="6"/>
  <c r="O114" i="6" s="1"/>
  <c r="BB66" i="6"/>
  <c r="AD66" i="6"/>
  <c r="M66" i="6"/>
  <c r="AT66" i="6"/>
  <c r="AT114" i="6" s="1"/>
  <c r="G66" i="6"/>
  <c r="G114" i="6" s="1"/>
  <c r="V66" i="6"/>
  <c r="N66" i="6"/>
  <c r="N114" i="6" s="1"/>
  <c r="R103" i="6"/>
  <c r="R148" i="6"/>
  <c r="R163" i="6"/>
  <c r="R133" i="6"/>
  <c r="BE103" i="6"/>
  <c r="E103" i="6"/>
  <c r="E148" i="6"/>
  <c r="E163" i="6"/>
  <c r="E133" i="6"/>
  <c r="AQ41" i="7" l="1"/>
  <c r="AQ40" i="7" s="1"/>
  <c r="F21" i="3" s="1"/>
  <c r="AQ39" i="7"/>
  <c r="BJ39" i="7"/>
  <c r="BJ41" i="7"/>
  <c r="BJ40" i="7" s="1"/>
  <c r="L41" i="7"/>
  <c r="L40" i="7" s="1"/>
  <c r="L39" i="7"/>
  <c r="BI39" i="7"/>
  <c r="BI41" i="7"/>
  <c r="BI40" i="7" s="1"/>
  <c r="S41" i="7"/>
  <c r="S40" i="7" s="1"/>
  <c r="S39" i="7"/>
  <c r="AF41" i="7"/>
  <c r="AF40" i="7" s="1"/>
  <c r="AS41" i="7"/>
  <c r="AS40" i="7" s="1"/>
  <c r="AU41" i="7"/>
  <c r="AU40" i="7" s="1"/>
  <c r="H41" i="7"/>
  <c r="H40" i="7" s="1"/>
  <c r="AX41" i="7"/>
  <c r="AX40" i="7" s="1"/>
  <c r="AX39" i="7"/>
  <c r="AY41" i="7"/>
  <c r="AY40" i="7" s="1"/>
  <c r="AY39" i="7"/>
  <c r="BK39" i="7"/>
  <c r="BK41" i="7"/>
  <c r="BK40" i="7" s="1"/>
  <c r="Y41" i="7"/>
  <c r="Y40" i="7" s="1"/>
  <c r="Y39" i="7"/>
  <c r="AD41" i="7"/>
  <c r="AD40" i="7" s="1"/>
  <c r="AD39" i="7"/>
  <c r="R41" i="7"/>
  <c r="R40" i="7" s="1"/>
  <c r="R39" i="7"/>
  <c r="U41" i="7"/>
  <c r="U40" i="7" s="1"/>
  <c r="U39" i="7"/>
  <c r="W39" i="7"/>
  <c r="W41" i="7"/>
  <c r="W40" i="7" s="1"/>
  <c r="AT39" i="7"/>
  <c r="AT41" i="7"/>
  <c r="AT40" i="7" s="1"/>
  <c r="BF41" i="7"/>
  <c r="BF40" i="7" s="1"/>
  <c r="BF39" i="7"/>
  <c r="AP39" i="7"/>
  <c r="AP41" i="7"/>
  <c r="AP40" i="7" s="1"/>
  <c r="BE39" i="7"/>
  <c r="BE41" i="7"/>
  <c r="BE40" i="7" s="1"/>
  <c r="BB41" i="7"/>
  <c r="BB40" i="7" s="1"/>
  <c r="BB39" i="7"/>
  <c r="BA41" i="7"/>
  <c r="BA40" i="7" s="1"/>
  <c r="BA39" i="7"/>
  <c r="Q39" i="7"/>
  <c r="Q41" i="7"/>
  <c r="Q40" i="7" s="1"/>
  <c r="BC39" i="7"/>
  <c r="BC41" i="7"/>
  <c r="BC40" i="7" s="1"/>
  <c r="D39" i="7"/>
  <c r="D41" i="7"/>
  <c r="D40" i="7" s="1"/>
  <c r="F20" i="3" s="1"/>
  <c r="AN39" i="7"/>
  <c r="AN41" i="7"/>
  <c r="AN40" i="7" s="1"/>
  <c r="AK39" i="7"/>
  <c r="AK41" i="7"/>
  <c r="AK40" i="7" s="1"/>
  <c r="AE41" i="7"/>
  <c r="AE40" i="7" s="1"/>
  <c r="AE39" i="7"/>
  <c r="AA41" i="7"/>
  <c r="AA40" i="7" s="1"/>
  <c r="Z38" i="7"/>
  <c r="Z39" i="7" s="1"/>
  <c r="BD39" i="7"/>
  <c r="BD41" i="7"/>
  <c r="BD40" i="7" s="1"/>
  <c r="AC41" i="7"/>
  <c r="AC40" i="7" s="1"/>
  <c r="AC39" i="7"/>
  <c r="E41" i="7"/>
  <c r="E40" i="7" s="1"/>
  <c r="E39" i="7"/>
  <c r="C43" i="7"/>
  <c r="M41" i="7"/>
  <c r="M40" i="7" s="1"/>
  <c r="M39" i="7"/>
  <c r="AR41" i="7"/>
  <c r="AR40" i="7" s="1"/>
  <c r="AR39" i="7"/>
  <c r="AO39" i="7"/>
  <c r="AO41" i="7"/>
  <c r="AO40" i="7" s="1"/>
  <c r="K39" i="7"/>
  <c r="K41" i="7"/>
  <c r="K40" i="7" s="1"/>
  <c r="AZ41" i="7"/>
  <c r="AZ40" i="7" s="1"/>
  <c r="AZ39" i="7"/>
  <c r="X39" i="7"/>
  <c r="X41" i="7"/>
  <c r="X40" i="7" s="1"/>
  <c r="AH39" i="7"/>
  <c r="AH41" i="7"/>
  <c r="AH40" i="7" s="1"/>
  <c r="AL41" i="7"/>
  <c r="AL40" i="7" s="1"/>
  <c r="AL39" i="7"/>
  <c r="AI41" i="7"/>
  <c r="AI40" i="7" s="1"/>
  <c r="AI39" i="7"/>
  <c r="BG39" i="7"/>
  <c r="BG41" i="7"/>
  <c r="BG40" i="7" s="1"/>
  <c r="AV41" i="7"/>
  <c r="AV40" i="7" s="1"/>
  <c r="AV39" i="7"/>
  <c r="F39" i="7"/>
  <c r="F41" i="7"/>
  <c r="F40" i="7" s="1"/>
  <c r="V41" i="7"/>
  <c r="V40" i="7" s="1"/>
  <c r="V39" i="7"/>
  <c r="BH41" i="7"/>
  <c r="BH40" i="7" s="1"/>
  <c r="BH39" i="7"/>
  <c r="N39" i="7"/>
  <c r="N41" i="7"/>
  <c r="N40" i="7" s="1"/>
  <c r="I41" i="7"/>
  <c r="I40" i="7" s="1"/>
  <c r="I39" i="7"/>
  <c r="T39" i="7"/>
  <c r="T41" i="7"/>
  <c r="T40" i="7" s="1"/>
  <c r="P41" i="7"/>
  <c r="P40" i="7" s="1"/>
  <c r="P39" i="7"/>
  <c r="AJ41" i="7"/>
  <c r="AJ40" i="7" s="1"/>
  <c r="AJ39" i="7"/>
  <c r="AW39" i="7"/>
  <c r="AW41" i="7"/>
  <c r="AW40" i="7" s="1"/>
  <c r="O41" i="7"/>
  <c r="O40" i="7" s="1"/>
  <c r="O39" i="7"/>
  <c r="AM41" i="7"/>
  <c r="AM40" i="7" s="1"/>
  <c r="AM39" i="7"/>
  <c r="G41" i="7"/>
  <c r="G40" i="7" s="1"/>
  <c r="G39" i="7"/>
  <c r="AG39" i="7"/>
  <c r="AG41" i="7"/>
  <c r="AG40" i="7" s="1"/>
  <c r="AB41" i="7"/>
  <c r="AB40" i="7" s="1"/>
  <c r="AB39" i="7"/>
  <c r="J41" i="7"/>
  <c r="J40" i="7" s="1"/>
  <c r="J39" i="7"/>
  <c r="AR163" i="6"/>
  <c r="BI103" i="6"/>
  <c r="AH163" i="6"/>
  <c r="AH148" i="6"/>
  <c r="AH103" i="6"/>
  <c r="BD103" i="6"/>
  <c r="AR103" i="6"/>
  <c r="AV103" i="6"/>
  <c r="AV114" i="6"/>
  <c r="Y103" i="6"/>
  <c r="Y114" i="6"/>
  <c r="M103" i="6"/>
  <c r="M114" i="6"/>
  <c r="T103" i="6"/>
  <c r="T114" i="6"/>
  <c r="AG103" i="6"/>
  <c r="AG114" i="6"/>
  <c r="J103" i="6"/>
  <c r="J114" i="6"/>
  <c r="AY103" i="6"/>
  <c r="AY114" i="6"/>
  <c r="AZ103" i="6"/>
  <c r="AZ114" i="6"/>
  <c r="S133" i="6"/>
  <c r="S114" i="6"/>
  <c r="BL103" i="6"/>
  <c r="BL114" i="6"/>
  <c r="AE103" i="6"/>
  <c r="AE114" i="6"/>
  <c r="K103" i="6"/>
  <c r="K114" i="6"/>
  <c r="AM103" i="6"/>
  <c r="AM114" i="6"/>
  <c r="AD163" i="6"/>
  <c r="AD114" i="6"/>
  <c r="BG103" i="6"/>
  <c r="BG114" i="6"/>
  <c r="AX103" i="6"/>
  <c r="AX114" i="6"/>
  <c r="AW103" i="6"/>
  <c r="AW114" i="6"/>
  <c r="AQ103" i="6"/>
  <c r="AQ114" i="6"/>
  <c r="Z163" i="6"/>
  <c r="Z114" i="6"/>
  <c r="H148" i="6"/>
  <c r="H114" i="6"/>
  <c r="BB103" i="6"/>
  <c r="BB114" i="6"/>
  <c r="AP103" i="6"/>
  <c r="AP114" i="6"/>
  <c r="AJ103" i="6"/>
  <c r="AJ114" i="6"/>
  <c r="AI103" i="6"/>
  <c r="AI114" i="6"/>
  <c r="W103" i="6"/>
  <c r="W114" i="6"/>
  <c r="BH103" i="6"/>
  <c r="BH114" i="6"/>
  <c r="AU103" i="6"/>
  <c r="AU114" i="6"/>
  <c r="BJ103" i="6"/>
  <c r="BJ114" i="6"/>
  <c r="P103" i="6"/>
  <c r="P114" i="6"/>
  <c r="Q163" i="6"/>
  <c r="Q114" i="6"/>
  <c r="L133" i="6"/>
  <c r="L114" i="6"/>
  <c r="AF148" i="6"/>
  <c r="AF114" i="6"/>
  <c r="BC103" i="6"/>
  <c r="BC114" i="6"/>
  <c r="AB163" i="6"/>
  <c r="AB114" i="6"/>
  <c r="V103" i="6"/>
  <c r="V114" i="6"/>
  <c r="I103" i="6"/>
  <c r="I114" i="6"/>
  <c r="BA103" i="6"/>
  <c r="BA114" i="6"/>
  <c r="F114" i="6"/>
  <c r="F115" i="6" s="1"/>
  <c r="G115" i="6" s="1"/>
  <c r="G163" i="6"/>
  <c r="BK103" i="6"/>
  <c r="AC103" i="6"/>
  <c r="Y163" i="6"/>
  <c r="X163" i="6"/>
  <c r="X148" i="6"/>
  <c r="AF103" i="6"/>
  <c r="AO163" i="6"/>
  <c r="AO103" i="6"/>
  <c r="AK163" i="6"/>
  <c r="X103" i="6"/>
  <c r="L103" i="6"/>
  <c r="X133" i="6"/>
  <c r="AG148" i="6"/>
  <c r="M133" i="6"/>
  <c r="AS103" i="6"/>
  <c r="AG163" i="6"/>
  <c r="M148" i="6"/>
  <c r="M163" i="6"/>
  <c r="T148" i="6"/>
  <c r="J133" i="6"/>
  <c r="J163" i="6"/>
  <c r="AM163" i="6"/>
  <c r="L163" i="6"/>
  <c r="AK103" i="6"/>
  <c r="L148" i="6"/>
  <c r="AF163" i="6"/>
  <c r="BF103" i="6"/>
  <c r="AC148" i="6"/>
  <c r="AC163" i="6"/>
  <c r="W148" i="6"/>
  <c r="W163" i="6"/>
  <c r="Q103" i="6"/>
  <c r="W133" i="6"/>
  <c r="AA103" i="6"/>
  <c r="AP163" i="6"/>
  <c r="AL163" i="6"/>
  <c r="AQ163" i="6"/>
  <c r="AL103" i="6"/>
  <c r="Y148" i="6"/>
  <c r="K133" i="6"/>
  <c r="K163" i="6"/>
  <c r="K148" i="6"/>
  <c r="AI163" i="6"/>
  <c r="AA163" i="6"/>
  <c r="AA148" i="6"/>
  <c r="J148" i="6"/>
  <c r="Z103" i="6"/>
  <c r="AN103" i="6"/>
  <c r="F163" i="6"/>
  <c r="Q148" i="6"/>
  <c r="AB103" i="6"/>
  <c r="AJ163" i="6"/>
  <c r="Q133" i="6"/>
  <c r="O103" i="6"/>
  <c r="AN163" i="6"/>
  <c r="U103" i="6"/>
  <c r="AB148" i="6"/>
  <c r="H163" i="6"/>
  <c r="H103" i="6"/>
  <c r="H133" i="6"/>
  <c r="Z148" i="6"/>
  <c r="AD148" i="6"/>
  <c r="U148" i="6"/>
  <c r="U133" i="6"/>
  <c r="U163" i="6"/>
  <c r="AT103" i="6"/>
  <c r="AE163" i="6"/>
  <c r="AE148" i="6"/>
  <c r="T133" i="6"/>
  <c r="G103" i="6"/>
  <c r="T163" i="6"/>
  <c r="G133" i="6"/>
  <c r="G148" i="6"/>
  <c r="S103" i="6"/>
  <c r="S148" i="6"/>
  <c r="V133" i="6"/>
  <c r="I133" i="6"/>
  <c r="V148" i="6"/>
  <c r="I163" i="6"/>
  <c r="V163" i="6"/>
  <c r="P133" i="6"/>
  <c r="I148" i="6"/>
  <c r="S163" i="6"/>
  <c r="F103" i="6"/>
  <c r="P163" i="6"/>
  <c r="F17" i="3"/>
  <c r="P148" i="6"/>
  <c r="O133" i="6"/>
  <c r="O163" i="6"/>
  <c r="F133" i="6"/>
  <c r="O148" i="6"/>
  <c r="AD103" i="6"/>
  <c r="D183" i="6" a="1"/>
  <c r="D183" i="6" s="1"/>
  <c r="N133" i="6"/>
  <c r="N148" i="6"/>
  <c r="D181" i="6" a="1"/>
  <c r="D181" i="6" s="1"/>
  <c r="N163" i="6"/>
  <c r="N103" i="6"/>
  <c r="E134" i="6"/>
  <c r="E164" i="6"/>
  <c r="E149" i="6"/>
  <c r="C47" i="7" l="1"/>
  <c r="F24" i="3" s="1"/>
  <c r="C45" i="7"/>
  <c r="C46" i="7"/>
  <c r="Z41" i="7"/>
  <c r="Z40" i="7" s="1"/>
  <c r="C48" i="7"/>
  <c r="F22" i="3" s="1"/>
  <c r="F23" i="3" s="1"/>
  <c r="C44" i="7"/>
  <c r="C155" i="6"/>
  <c r="C156" i="6" s="1"/>
  <c r="C170" i="6"/>
  <c r="C140" i="6"/>
  <c r="D124" i="6"/>
  <c r="H115" i="6"/>
  <c r="I115" i="6" s="1"/>
  <c r="C141" i="6"/>
  <c r="D179" i="6" a="1"/>
  <c r="D179" i="6" s="1"/>
  <c r="F164" i="6"/>
  <c r="F165" i="6" s="1"/>
  <c r="C166" i="6"/>
  <c r="F13" i="3" s="1"/>
  <c r="C137" i="6"/>
  <c r="C125" i="6"/>
  <c r="C152" i="6"/>
  <c r="C139" i="6"/>
  <c r="C154" i="6"/>
  <c r="C151" i="6"/>
  <c r="C169" i="6"/>
  <c r="C167" i="6"/>
  <c r="F12" i="3" s="1"/>
  <c r="C136" i="6"/>
  <c r="C124" i="6"/>
  <c r="F134" i="6"/>
  <c r="E135" i="6"/>
  <c r="F149" i="6"/>
  <c r="E150" i="6"/>
  <c r="E165" i="6"/>
  <c r="F10" i="3" l="1"/>
  <c r="C171" i="6"/>
  <c r="F11" i="3" s="1"/>
  <c r="G164" i="6"/>
  <c r="H164" i="6" s="1"/>
  <c r="F150" i="6"/>
  <c r="G149" i="6"/>
  <c r="G134" i="6"/>
  <c r="F135" i="6"/>
  <c r="G165" i="6" l="1"/>
  <c r="H165" i="6"/>
  <c r="I164" i="6"/>
  <c r="H134" i="6"/>
  <c r="G135" i="6"/>
  <c r="G150" i="6"/>
  <c r="H149" i="6"/>
  <c r="I134" i="6" l="1"/>
  <c r="H135" i="6"/>
  <c r="I165" i="6"/>
  <c r="J164" i="6"/>
  <c r="H150" i="6"/>
  <c r="I149" i="6"/>
  <c r="J115" i="6" l="1"/>
  <c r="J165" i="6"/>
  <c r="K164" i="6"/>
  <c r="J134" i="6"/>
  <c r="I135" i="6"/>
  <c r="I150" i="6"/>
  <c r="J149" i="6"/>
  <c r="K134" i="6" l="1"/>
  <c r="J135" i="6"/>
  <c r="K165" i="6"/>
  <c r="L164" i="6"/>
  <c r="J150" i="6"/>
  <c r="K149" i="6"/>
  <c r="K115" i="6"/>
  <c r="L115" i="6" l="1"/>
  <c r="K150" i="6"/>
  <c r="L149" i="6"/>
  <c r="L165" i="6"/>
  <c r="M164" i="6"/>
  <c r="L134" i="6"/>
  <c r="K135" i="6"/>
  <c r="M134" i="6" l="1"/>
  <c r="L135" i="6"/>
  <c r="M165" i="6"/>
  <c r="N164" i="6"/>
  <c r="L150" i="6"/>
  <c r="M149" i="6"/>
  <c r="M115" i="6"/>
  <c r="N115" i="6" l="1"/>
  <c r="M150" i="6"/>
  <c r="N149" i="6"/>
  <c r="N165" i="6"/>
  <c r="O164" i="6"/>
  <c r="N134" i="6"/>
  <c r="M135" i="6"/>
  <c r="O134" i="6" l="1"/>
  <c r="N135" i="6"/>
  <c r="O165" i="6"/>
  <c r="P164" i="6"/>
  <c r="N150" i="6"/>
  <c r="O149" i="6"/>
  <c r="O115" i="6"/>
  <c r="O150" i="6" l="1"/>
  <c r="P149" i="6"/>
  <c r="P165" i="6"/>
  <c r="Q164" i="6"/>
  <c r="P115" i="6"/>
  <c r="P134" i="6"/>
  <c r="O135" i="6"/>
  <c r="Q134" i="6" l="1"/>
  <c r="P135" i="6"/>
  <c r="Q115" i="6"/>
  <c r="Q165" i="6"/>
  <c r="R164" i="6"/>
  <c r="P150" i="6"/>
  <c r="Q149" i="6"/>
  <c r="Q150" i="6" l="1"/>
  <c r="R149" i="6"/>
  <c r="R165" i="6"/>
  <c r="S164" i="6"/>
  <c r="R115" i="6"/>
  <c r="R134" i="6"/>
  <c r="Q135" i="6"/>
  <c r="S134" i="6" l="1"/>
  <c r="R135" i="6"/>
  <c r="S165" i="6"/>
  <c r="T164" i="6"/>
  <c r="R150" i="6"/>
  <c r="S149" i="6"/>
  <c r="S115" i="6"/>
  <c r="T115" i="6" l="1"/>
  <c r="S150" i="6"/>
  <c r="T149" i="6"/>
  <c r="T165" i="6"/>
  <c r="U164" i="6"/>
  <c r="T134" i="6"/>
  <c r="S135" i="6"/>
  <c r="U165" i="6" l="1"/>
  <c r="V164" i="6"/>
  <c r="T150" i="6"/>
  <c r="U149" i="6"/>
  <c r="U134" i="6"/>
  <c r="T135" i="6"/>
  <c r="U115" i="6"/>
  <c r="V115" i="6" l="1"/>
  <c r="V134" i="6"/>
  <c r="U135" i="6"/>
  <c r="U150" i="6"/>
  <c r="V149" i="6"/>
  <c r="V165" i="6"/>
  <c r="W164" i="6"/>
  <c r="W165" i="6" l="1"/>
  <c r="X164" i="6"/>
  <c r="V150" i="6"/>
  <c r="W149" i="6"/>
  <c r="W134" i="6"/>
  <c r="V135" i="6"/>
  <c r="W115" i="6"/>
  <c r="X115" i="6" l="1"/>
  <c r="X134" i="6"/>
  <c r="X135" i="6" s="1"/>
  <c r="W135" i="6"/>
  <c r="W150" i="6"/>
  <c r="X149" i="6"/>
  <c r="X165" i="6"/>
  <c r="Y164" i="6"/>
  <c r="C138" i="6" l="1"/>
  <c r="Y165" i="6"/>
  <c r="Z164" i="6"/>
  <c r="X150" i="6"/>
  <c r="Y149" i="6"/>
  <c r="Y115" i="6"/>
  <c r="Z165" i="6" l="1"/>
  <c r="AA164" i="6"/>
  <c r="Z115" i="6"/>
  <c r="Y150" i="6"/>
  <c r="Z149" i="6"/>
  <c r="Z150" i="6" l="1"/>
  <c r="AA149" i="6"/>
  <c r="AA115" i="6"/>
  <c r="AA165" i="6"/>
  <c r="AB164" i="6"/>
  <c r="AB165" i="6" l="1"/>
  <c r="AC164" i="6"/>
  <c r="AB115" i="6"/>
  <c r="AA150" i="6"/>
  <c r="AB149" i="6"/>
  <c r="AB150" i="6" l="1"/>
  <c r="AC149" i="6"/>
  <c r="AC115" i="6"/>
  <c r="AC165" i="6"/>
  <c r="AD164" i="6"/>
  <c r="AD115" i="6" l="1"/>
  <c r="AD165" i="6"/>
  <c r="AE164" i="6"/>
  <c r="AC150" i="6"/>
  <c r="AD149" i="6"/>
  <c r="AD150" i="6" l="1"/>
  <c r="AE149" i="6"/>
  <c r="AE165" i="6"/>
  <c r="AF164" i="6"/>
  <c r="AE115" i="6"/>
  <c r="AF165" i="6" l="1"/>
  <c r="AG164" i="6"/>
  <c r="AF115" i="6"/>
  <c r="AE150" i="6"/>
  <c r="AF149" i="6"/>
  <c r="AF150" i="6" l="1"/>
  <c r="AG149" i="6"/>
  <c r="AG115" i="6"/>
  <c r="AG165" i="6"/>
  <c r="AH164" i="6"/>
  <c r="AH165" i="6" l="1"/>
  <c r="AI164" i="6"/>
  <c r="AH115" i="6"/>
  <c r="AG150" i="6"/>
  <c r="AH149" i="6"/>
  <c r="AH150" i="6" s="1"/>
  <c r="C153" i="6" l="1"/>
  <c r="AI115" i="6"/>
  <c r="AI165" i="6"/>
  <c r="AJ164" i="6"/>
  <c r="AJ165" i="6" l="1"/>
  <c r="AK164" i="6"/>
  <c r="AJ115" i="6"/>
  <c r="AK115" i="6" l="1"/>
  <c r="AK165" i="6"/>
  <c r="AL164" i="6"/>
  <c r="AL165" i="6" l="1"/>
  <c r="AM164" i="6"/>
  <c r="AL115" i="6"/>
  <c r="AM115" i="6" l="1"/>
  <c r="AM165" i="6"/>
  <c r="AN164" i="6"/>
  <c r="AN165" i="6" l="1"/>
  <c r="AO164" i="6"/>
  <c r="AN115" i="6"/>
  <c r="AO165" i="6" l="1"/>
  <c r="AP164" i="6"/>
  <c r="AO115" i="6"/>
  <c r="AP165" i="6" l="1"/>
  <c r="AQ164" i="6"/>
  <c r="AP115" i="6"/>
  <c r="AQ115" i="6" l="1"/>
  <c r="AQ165" i="6"/>
  <c r="AR164" i="6"/>
  <c r="AR165" i="6" l="1"/>
  <c r="C168" i="6" s="1"/>
  <c r="F14" i="3" s="1"/>
  <c r="D180" i="6" a="1"/>
  <c r="D180" i="6" s="1"/>
  <c r="AR115" i="6"/>
  <c r="AS115" i="6" l="1"/>
  <c r="AT115" i="6" l="1"/>
  <c r="AU115" i="6" l="1"/>
  <c r="AV115" i="6" l="1"/>
  <c r="AW115" i="6" l="1"/>
  <c r="AX115" i="6" l="1"/>
  <c r="AY115" i="6" l="1"/>
  <c r="AZ115" i="6" l="1"/>
  <c r="BA115" i="6" l="1"/>
  <c r="BB115" i="6" l="1"/>
  <c r="BC115" i="6" l="1"/>
  <c r="BD115" i="6" l="1"/>
  <c r="BE115" i="6" l="1"/>
  <c r="BF115" i="6" l="1"/>
  <c r="BG115" i="6" l="1"/>
  <c r="BH115" i="6" l="1"/>
  <c r="BI115" i="6" l="1"/>
  <c r="BJ115" i="6" l="1"/>
  <c r="BK115" i="6" l="1"/>
  <c r="BL115" i="6"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<sst xmlns="http://schemas.openxmlformats.org/spreadsheetml/2006/main" count="8413" uniqueCount="2145">
  <si>
    <t>Template number:</t>
  </si>
  <si>
    <t>T0127a</t>
  </si>
  <si>
    <t>Version number:</t>
  </si>
  <si>
    <t>Issue date:</t>
  </si>
  <si>
    <t>Document version</t>
  </si>
  <si>
    <t>Issue date</t>
  </si>
  <si>
    <t>Created by</t>
  </si>
  <si>
    <t>Comments</t>
  </si>
  <si>
    <t>V01</t>
  </si>
  <si>
    <t>V02</t>
  </si>
  <si>
    <t>Project name:</t>
  </si>
  <si>
    <t>Project number:</t>
  </si>
  <si>
    <t>Prepared for:</t>
  </si>
  <si>
    <t>Prepared by:</t>
  </si>
  <si>
    <t>Checked by:</t>
  </si>
  <si>
    <t>Network option:</t>
  </si>
  <si>
    <t>Version:</t>
  </si>
  <si>
    <t>T0127</t>
  </si>
  <si>
    <t>Model number:</t>
  </si>
  <si>
    <t>Date of issue:</t>
  </si>
  <si>
    <t>GUIDE</t>
  </si>
  <si>
    <t>This model has been constructed by Sustainable Energy to assess the economic viability of the network with the option to vary key parameters and project timing.</t>
  </si>
  <si>
    <t>If significant changes in key parameters are required, please contact Sustainable Energy to re-run the technical assessment to update technology inputs.</t>
  </si>
  <si>
    <t>Project inputs and results are presented in the 'Dashboard' tab for project lifetimes of 20, 30, 40 years.</t>
  </si>
  <si>
    <t>Disclaimer</t>
  </si>
  <si>
    <t>GENERAL OPERATION</t>
  </si>
  <si>
    <t>General</t>
  </si>
  <si>
    <t xml:space="preserve">Inputs that can be varied within the model are denoted by grey cells (for direct inputs), green cells (for inputs from other tools) or yellow cells (for drop downs). </t>
  </si>
  <si>
    <t>All key variables can be varied on the 'Dashboard' tab. Results are automatically calculated and shown in the 'Dashboard' tab.</t>
  </si>
  <si>
    <t>Network phase can be selected in the 'Dashboard' tab cell C9. And first year of each phase can be selected in the 'Dashboard' cells C26:C28.</t>
  </si>
  <si>
    <t>Separated into 10 sections, as follows:</t>
  </si>
  <si>
    <t>Key variables</t>
  </si>
  <si>
    <t>1. Dashboard</t>
  </si>
  <si>
    <t>2. Heat connections</t>
  </si>
  <si>
    <t>3. Technical inputs</t>
  </si>
  <si>
    <t>4. Operating model</t>
  </si>
  <si>
    <t>5. OPEX</t>
  </si>
  <si>
    <t>6. CAPEX</t>
  </si>
  <si>
    <t>7. Revenue</t>
  </si>
  <si>
    <t>8. Financial analysis</t>
  </si>
  <si>
    <t>9. CO2</t>
  </si>
  <si>
    <t>10. Price projections</t>
  </si>
  <si>
    <t>GLOSSARY</t>
  </si>
  <si>
    <t>Discount rate</t>
  </si>
  <si>
    <t>The rate of return used in discounted cash flow analysis to determine the present value of future cash flows.</t>
  </si>
  <si>
    <t>IRR (internal rate of return)</t>
  </si>
  <si>
    <t>The interest rate at which the net present value of all cash flows from the project equal zero.</t>
  </si>
  <si>
    <t>NPC</t>
  </si>
  <si>
    <t>The present value of cash outflows over the project lifetime.</t>
  </si>
  <si>
    <t>NPV (net present value)</t>
  </si>
  <si>
    <t>The difference between the present value of cash inflows and the present value of cash outflows over the project lifetime.</t>
  </si>
  <si>
    <t>Simple payback</t>
  </si>
  <si>
    <t>The length of time required to recover the cost of the initial investment. Simple payback does not take into account additional CAPEX (i.e. for later phases).</t>
  </si>
  <si>
    <t>Techno-economic model</t>
  </si>
  <si>
    <t xml:space="preserve">This is a discounted cash flow model which shows the costs and income for a 25 year, 30 year and 40 year life cycle. This is not a detail financial model. </t>
  </si>
  <si>
    <t>ABBREVIATIONS</t>
  </si>
  <si>
    <t>BAU</t>
  </si>
  <si>
    <t xml:space="preserve">Business as usual </t>
  </si>
  <si>
    <t>BEIS</t>
  </si>
  <si>
    <t>Department for Business, Energy and Industrial Strategy</t>
  </si>
  <si>
    <t>CAPEX</t>
  </si>
  <si>
    <t>Capital costs</t>
  </si>
  <si>
    <t>CCL</t>
  </si>
  <si>
    <t>Climate change levy</t>
  </si>
  <si>
    <t>CO2e</t>
  </si>
  <si>
    <t xml:space="preserve">Carbon dioxide equivalent </t>
  </si>
  <si>
    <t>COP</t>
  </si>
  <si>
    <t>Coefficient of Performance</t>
  </si>
  <si>
    <t>HP</t>
  </si>
  <si>
    <t xml:space="preserve">Heat pump </t>
  </si>
  <si>
    <t>OPEX</t>
  </si>
  <si>
    <t>Operational expenditure</t>
  </si>
  <si>
    <t>TEM</t>
  </si>
  <si>
    <t>THE END OF SHEET</t>
  </si>
  <si>
    <t>Green cells = inputs from SE tools</t>
  </si>
  <si>
    <t>Blue cells = outputs</t>
  </si>
  <si>
    <t>Yellow cells = select from drop down list</t>
  </si>
  <si>
    <t>Grey cells = inputs</t>
  </si>
  <si>
    <t xml:space="preserve">Show results over </t>
  </si>
  <si>
    <t xml:space="preserve">40 years </t>
  </si>
  <si>
    <t>White cells = calculations</t>
  </si>
  <si>
    <t xml:space="preserve"> </t>
  </si>
  <si>
    <t>HEAT NETWORK</t>
  </si>
  <si>
    <t xml:space="preserve">COUNTERFACTUAL </t>
  </si>
  <si>
    <t>KEY PROJECT VARIABLES</t>
  </si>
  <si>
    <t>Economics</t>
  </si>
  <si>
    <t>Network option (select from drop down)</t>
  </si>
  <si>
    <t>Phase 3</t>
  </si>
  <si>
    <t>Net Present Cost</t>
  </si>
  <si>
    <t>Gas tariff (excl. CCL), p/kWh</t>
  </si>
  <si>
    <t>Levelised cost of heat, p/kWh</t>
  </si>
  <si>
    <t>Gas standing charge, £/day</t>
  </si>
  <si>
    <t>Net Present Value</t>
  </si>
  <si>
    <t>CCL - natural gas, p/kWh</t>
  </si>
  <si>
    <t>IRR</t>
  </si>
  <si>
    <t>CCL - electricity, p/kWh</t>
  </si>
  <si>
    <t xml:space="preserve">Simple payback </t>
  </si>
  <si>
    <t>Phase 1 energy centre electrical capacity, kVa</t>
  </si>
  <si>
    <t>REPEX</t>
  </si>
  <si>
    <t>Phase 2 energy centre electrical capacity, kVa</t>
  </si>
  <si>
    <t>Phase 3 energy centre electrical capacity, kVa</t>
  </si>
  <si>
    <t xml:space="preserve">Carbon </t>
  </si>
  <si>
    <t xml:space="preserve">Carbon intensity of heat delivered in year 1, gCO2e/kWh </t>
  </si>
  <si>
    <t>Peak and reserve boilers</t>
  </si>
  <si>
    <t>Electric</t>
  </si>
  <si>
    <t xml:space="preserve">Carbon intensity of heat delivered in final year, gCO2e/kWh </t>
  </si>
  <si>
    <t>Include contingency on capital costs</t>
  </si>
  <si>
    <t>Yes</t>
  </si>
  <si>
    <t>tCO2e savings against gas boilers</t>
  </si>
  <si>
    <t>Include connection charges from network connections</t>
  </si>
  <si>
    <t>No</t>
  </si>
  <si>
    <t>£ capital employed per tCO2e saved *</t>
  </si>
  <si>
    <t>Connection charges from network connections, £/kW</t>
  </si>
  <si>
    <t>Total carbon emitted, tCO2e</t>
  </si>
  <si>
    <t>Discount rate, %</t>
  </si>
  <si>
    <t>Grant funding phase 1</t>
  </si>
  <si>
    <t>Grant funding phase 2</t>
  </si>
  <si>
    <t>Grant funding phase 3</t>
  </si>
  <si>
    <t xml:space="preserve">Phase 1 start year </t>
  </si>
  <si>
    <t xml:space="preserve">Phase 2 start year </t>
  </si>
  <si>
    <t>KEY PARAMETERS</t>
  </si>
  <si>
    <t xml:space="preserve">Phase 3 start year </t>
  </si>
  <si>
    <t>Phase 1 (additonal)</t>
  </si>
  <si>
    <t>Phase 2 (additonal)</t>
  </si>
  <si>
    <t>Phase 3 (additonal)</t>
  </si>
  <si>
    <t>Total</t>
  </si>
  <si>
    <t>BEIS price projections scenario</t>
  </si>
  <si>
    <t>Central scenario</t>
  </si>
  <si>
    <t>Phase flag</t>
  </si>
  <si>
    <t>Indexing for fossil fuel prices</t>
  </si>
  <si>
    <t>BEIS price projections</t>
  </si>
  <si>
    <t>Capital costs (additional)</t>
  </si>
  <si>
    <t xml:space="preserve">Fixed rate value </t>
  </si>
  <si>
    <t>Grant funding</t>
  </si>
  <si>
    <t>Connection charges</t>
  </si>
  <si>
    <t>Remaining capital costs</t>
  </si>
  <si>
    <t>Total network heat demand, kWh</t>
  </si>
  <si>
    <t>Network losses, kWh</t>
  </si>
  <si>
    <t>Total heat supplied to network, kWh</t>
  </si>
  <si>
    <t xml:space="preserve">Counterfactual solution </t>
  </si>
  <si>
    <t>ASHP</t>
  </si>
  <si>
    <t xml:space="preserve">Include heat sales in the assessment </t>
  </si>
  <si>
    <t>Network spine trench length, m</t>
  </si>
  <si>
    <t>Substations for building connections - (undiversified peak)</t>
  </si>
  <si>
    <t>Secondary side plant room integration</t>
  </si>
  <si>
    <t>TOID</t>
  </si>
  <si>
    <t>Connected to heat network</t>
  </si>
  <si>
    <t>Phase</t>
  </si>
  <si>
    <t>Connection year</t>
  </si>
  <si>
    <t>ID</t>
  </si>
  <si>
    <t>Length</t>
  </si>
  <si>
    <t>Surface</t>
  </si>
  <si>
    <t>Nominal Diameter</t>
  </si>
  <si>
    <t>Losses (kWh/y)</t>
  </si>
  <si>
    <t>Delivered Power, kW</t>
  </si>
  <si>
    <t>Delivered demand, kWh/y</t>
  </si>
  <si>
    <t>Energy Generation</t>
  </si>
  <si>
    <t xml:space="preserve">Heat network </t>
  </si>
  <si>
    <t>Phase 1 (cumulative)</t>
  </si>
  <si>
    <t>Phase 2 (cumulative)</t>
  </si>
  <si>
    <t>Phase 3 (cumulative)</t>
  </si>
  <si>
    <t>Commercial annual heat demand, kWh</t>
  </si>
  <si>
    <t>Residential annual heat demand, kWh</t>
  </si>
  <si>
    <t>Network heat losses, %</t>
  </si>
  <si>
    <t>ASHP capacity - % of peak demand</t>
  </si>
  <si>
    <t xml:space="preserve">Centralised ASHP COP </t>
  </si>
  <si>
    <t>Borehole utilisation, %</t>
  </si>
  <si>
    <t>Centralised GSHP COP</t>
  </si>
  <si>
    <t>Heat pump maintenance and services, £/MWh</t>
  </si>
  <si>
    <t>Peak and reserve gas boiler capacity, % of peak demand</t>
  </si>
  <si>
    <t>Peak and reserve gas boiler efficiency, %</t>
  </si>
  <si>
    <t xml:space="preserve">% demand delivered by gas peak and reserve boilers </t>
  </si>
  <si>
    <t>Peak and reserve gas boiler O&amp;M, £/MWh</t>
  </si>
  <si>
    <t xml:space="preserve">Peak and reserve electric boiler capacity, % of peak </t>
  </si>
  <si>
    <t xml:space="preserve">% demand delivered by electric peak and reserve boilers </t>
  </si>
  <si>
    <t>Peak and reserve electric boiler efficiency</t>
  </si>
  <si>
    <t>Peak and reserve electric boiler O&amp;M, £/MWh</t>
  </si>
  <si>
    <t>Peak and reserve electric boiler O&amp;M annual fixed cost</t>
  </si>
  <si>
    <t>Energy centre parasitic load, % of heat demand</t>
  </si>
  <si>
    <t>Heat network maintenance costs, £/m</t>
  </si>
  <si>
    <t>HIU maintenance costs, £/dwelling</t>
  </si>
  <si>
    <t>Commercial connection maintenance cost, £/connection</t>
  </si>
  <si>
    <t xml:space="preserve">Metering and billing costs, £/dwelling </t>
  </si>
  <si>
    <t xml:space="preserve">Metering and billing costs, £/commercial connection </t>
  </si>
  <si>
    <t>Heat pump maintenance and service costs, % CAPEX</t>
  </si>
  <si>
    <t xml:space="preserve">Counterfactual </t>
  </si>
  <si>
    <t>Commercial ASHP COP</t>
  </si>
  <si>
    <t>Residential ASHP COP</t>
  </si>
  <si>
    <t xml:space="preserve">Electric heating efficiency, % </t>
  </si>
  <si>
    <t>Gas boiler efficiency, %</t>
  </si>
  <si>
    <t>Gas boiler maintenance cost, £/MWh</t>
  </si>
  <si>
    <t>Electric boiler maintenance costs, £/MWh</t>
  </si>
  <si>
    <t xml:space="preserve">Technology assumptions </t>
  </si>
  <si>
    <t>Plant replacement period, years</t>
  </si>
  <si>
    <t>Counterfactual</t>
  </si>
  <si>
    <t>Gas boilers, £/dwelling</t>
  </si>
  <si>
    <t>Individual ASHPs, £/dwelling</t>
  </si>
  <si>
    <t>Electric heating, £/dwelling</t>
  </si>
  <si>
    <t>Commercial gas boiler, £/kW</t>
  </si>
  <si>
    <t>Commercial ASHP, £/kW</t>
  </si>
  <si>
    <t>Commercial electric heating, £/kW</t>
  </si>
  <si>
    <t xml:space="preserve">Network </t>
  </si>
  <si>
    <t>Network spine lengths, m</t>
  </si>
  <si>
    <t xml:space="preserve">Total </t>
  </si>
  <si>
    <t>Scheme details</t>
  </si>
  <si>
    <t>Number of domestic connections</t>
  </si>
  <si>
    <t>Number of non-domestic connections</t>
  </si>
  <si>
    <t>Total capacity size of domestic connections, kW (undiversified)</t>
  </si>
  <si>
    <t>Total capacity size of non-domestic connections, kW (undiversified)</t>
  </si>
  <si>
    <t>Operating model</t>
  </si>
  <si>
    <t>Total heat supplied by network, kWh</t>
  </si>
  <si>
    <t>Gas boiler capacity, kW</t>
  </si>
  <si>
    <t>Electric boiler capacity, kW</t>
  </si>
  <si>
    <t>Energy centre parasitic load, kWh</t>
  </si>
  <si>
    <t>Operational Expenditure</t>
  </si>
  <si>
    <t>Heat pump maintenance and service costs</t>
  </si>
  <si>
    <t>Pipework system monitoring and maintenance</t>
  </si>
  <si>
    <t xml:space="preserve">CCL costs for electricity import </t>
  </si>
  <si>
    <t>Gas boilers maintenance and service costs</t>
  </si>
  <si>
    <t>Electric boiler maintenance and service costs</t>
  </si>
  <si>
    <t>Capital Expenditure</t>
  </si>
  <si>
    <t xml:space="preserve">Heat Network </t>
  </si>
  <si>
    <t>Rate</t>
  </si>
  <si>
    <t>Units</t>
  </si>
  <si>
    <t>Risk contingency</t>
  </si>
  <si>
    <t>Phase 1 (including contingency)</t>
  </si>
  <si>
    <t>Phase 2 (including contingency)</t>
  </si>
  <si>
    <t>Phase 3 (including contingency)</t>
  </si>
  <si>
    <t>£/kW</t>
  </si>
  <si>
    <t>Energy centre total</t>
  </si>
  <si>
    <t>Heat network costs</t>
  </si>
  <si>
    <t>Network spine costs</t>
  </si>
  <si>
    <t xml:space="preserve">Grant funding </t>
  </si>
  <si>
    <t xml:space="preserve">Connection charges </t>
  </si>
  <si>
    <t>Total CAPEX including connection charges</t>
  </si>
  <si>
    <t>Phase 1</t>
  </si>
  <si>
    <t>Phase 2</t>
  </si>
  <si>
    <t>Replacement costs</t>
  </si>
  <si>
    <t>Annualised replacement cost</t>
  </si>
  <si>
    <t>END OF SHEET</t>
  </si>
  <si>
    <t>Revenue</t>
  </si>
  <si>
    <t>Variable heat tariff revenue - industrial</t>
  </si>
  <si>
    <t>Variable heat tariff revenue - residential</t>
  </si>
  <si>
    <t>Variable heat tariff revenue - commercial / services</t>
  </si>
  <si>
    <t xml:space="preserve">Financial Analysis </t>
  </si>
  <si>
    <t>Network year</t>
  </si>
  <si>
    <t>Date</t>
  </si>
  <si>
    <t>Phase 1 flag</t>
  </si>
  <si>
    <t>Phase 2 flag</t>
  </si>
  <si>
    <t>Phase 3 flag</t>
  </si>
  <si>
    <t>Phase 1 capital costs flag</t>
  </si>
  <si>
    <t>Phase 2 capital costs flag</t>
  </si>
  <si>
    <t>Phase 3 capital costs flag</t>
  </si>
  <si>
    <t>ENERGY DEMANDS AND GENERATION</t>
  </si>
  <si>
    <t>Heat network</t>
  </si>
  <si>
    <t>Commercial demand, kWh</t>
  </si>
  <si>
    <t>Residential demand, kWh</t>
  </si>
  <si>
    <t>Heat demand from network connections, kWh</t>
  </si>
  <si>
    <t>Parasitic load electricity demand, kWh</t>
  </si>
  <si>
    <t>Energy centre electricity demand (parasitic load + HP + electric boilers), kWh</t>
  </si>
  <si>
    <t>Total heat demand, kWh</t>
  </si>
  <si>
    <t>Electricity requirement for commercial, kWh</t>
  </si>
  <si>
    <t>Electricity requirement for residential, kWh</t>
  </si>
  <si>
    <t>Gas requirement for commercial, kWh</t>
  </si>
  <si>
    <t>Gas requirement for residential, kWh</t>
  </si>
  <si>
    <t>TARIFF INDEXATION</t>
  </si>
  <si>
    <t>BEIS price projections flag</t>
  </si>
  <si>
    <t>Fixed indexation flag</t>
  </si>
  <si>
    <t>Indexing for natural gas</t>
  </si>
  <si>
    <t>Industrial</t>
  </si>
  <si>
    <t>Residential</t>
  </si>
  <si>
    <t>Commercial/services</t>
  </si>
  <si>
    <t>Indexing for grid electricity</t>
  </si>
  <si>
    <t>DISCOUNT RATES</t>
  </si>
  <si>
    <t>Real discount rate</t>
  </si>
  <si>
    <t>OPERATIONAL EXPENDITURE</t>
  </si>
  <si>
    <t xml:space="preserve">Total OPEX </t>
  </si>
  <si>
    <t xml:space="preserve">Import electricity costs </t>
  </si>
  <si>
    <t>REVENUE</t>
  </si>
  <si>
    <t>Total revenue</t>
  </si>
  <si>
    <t>GRANT FUNDING</t>
  </si>
  <si>
    <t>CAPITAL COSTS</t>
  </si>
  <si>
    <t>Including connection charges</t>
  </si>
  <si>
    <t>Not including connection charges</t>
  </si>
  <si>
    <t>REPLACEMENT COSTS</t>
  </si>
  <si>
    <t>DISCOUNTED HEAT DEMAND AND COSTS</t>
  </si>
  <si>
    <t>Discounted heat demand, kWh</t>
  </si>
  <si>
    <t xml:space="preserve">Discounted revenue </t>
  </si>
  <si>
    <t>Discounted connection charges</t>
  </si>
  <si>
    <t>Discounted capital costs</t>
  </si>
  <si>
    <t>Discounted replacement costs</t>
  </si>
  <si>
    <t>Discounted operating costs</t>
  </si>
  <si>
    <t>TOTAL COSTS</t>
  </si>
  <si>
    <t>Cumulative</t>
  </si>
  <si>
    <t xml:space="preserve">NET PRESENT COSTS AND LEVELISED COST OF HEAT </t>
  </si>
  <si>
    <t>HEAT NETWORK ECONOMIC ANALYSIS</t>
  </si>
  <si>
    <t>20 YEARS</t>
  </si>
  <si>
    <t>Total capital costs</t>
  </si>
  <si>
    <t>Cashflow</t>
  </si>
  <si>
    <t>Cumulative cashflow</t>
  </si>
  <si>
    <t>Internal rate of return (IRR)</t>
  </si>
  <si>
    <t>Net present value (NPV)</t>
  </si>
  <si>
    <t>Simple payback (years)</t>
  </si>
  <si>
    <t>20 year total income</t>
  </si>
  <si>
    <t>Levelised tariff, p/kWh</t>
  </si>
  <si>
    <t>30 YEARS</t>
  </si>
  <si>
    <t>30 year total income</t>
  </si>
  <si>
    <t>40 YEARS</t>
  </si>
  <si>
    <t>40 year total income</t>
  </si>
  <si>
    <t>Data for cashflow graph</t>
  </si>
  <si>
    <t xml:space="preserve">Network year </t>
  </si>
  <si>
    <t xml:space="preserve">Cashflow </t>
  </si>
  <si>
    <t xml:space="preserve">Cumulative cashflow </t>
  </si>
  <si>
    <r>
      <t>CO</t>
    </r>
    <r>
      <rPr>
        <vertAlign val="subscript"/>
        <sz val="10"/>
        <color theme="1"/>
        <rFont val="Calibri"/>
        <family val="2"/>
        <scheme val="minor"/>
      </rPr>
      <t>2</t>
    </r>
    <r>
      <rPr>
        <sz val="10"/>
        <color theme="1"/>
        <rFont val="Calibri"/>
        <family val="2"/>
        <scheme val="minor"/>
      </rPr>
      <t>e Emissions</t>
    </r>
  </si>
  <si>
    <t>Natural gas CO2e emissions factor, kgCO2e/kWh</t>
  </si>
  <si>
    <t>Average efficiency for gas boilers</t>
  </si>
  <si>
    <t>Commercial ASHP CoP</t>
  </si>
  <si>
    <t>Residential ASHP CoP</t>
  </si>
  <si>
    <t xml:space="preserve">Average efficiency for electric heating </t>
  </si>
  <si>
    <t>Reference year for emissions</t>
  </si>
  <si>
    <t>Electricity grid emissions intensity - LCP marginal figures, gCO2e/kWh</t>
  </si>
  <si>
    <t>Electricity grid emissions intensity - long run marginal figures (commercial), gCO2e/kWh</t>
  </si>
  <si>
    <t>Electricity grid emissions intensity - long run marginal figures (domestic), gCO2e/kWh</t>
  </si>
  <si>
    <t>Year</t>
  </si>
  <si>
    <t>Electricity grid emissions intensity for generated electricity, kgCO2e/kWh</t>
  </si>
  <si>
    <t>Electricity grid emissions intensity for imported electricity (commercial), kgCO2e/kWh</t>
  </si>
  <si>
    <t>Electricity grid emissions intensity for imported electricity (residential), kgCO2e/kWh</t>
  </si>
  <si>
    <t>Displaced emissions from BAU gas boilers - commercial and industrial, tCO2e</t>
  </si>
  <si>
    <t>Displaced emissions from BAU individual ASHPs - commercial and industrial, tCO2e</t>
  </si>
  <si>
    <t>Displaced emissions from BAU electric heating - commercial and industrial, tCO2e</t>
  </si>
  <si>
    <t>Displaced emissions from BAU gas boilers - residential, tCO2e</t>
  </si>
  <si>
    <t>Displaced emissions from BAU individual ASHPs - residential, tCO2e</t>
  </si>
  <si>
    <t>Displaced emissions from BAU electric heating - residential, tCO2e</t>
  </si>
  <si>
    <t>Emissions from electricity for heat pump, parasitic load and electric boilers, tCO2e</t>
  </si>
  <si>
    <t>Annual gas boiler CO2e emissions, tCO2e</t>
  </si>
  <si>
    <t>Annual network CO2e emissions, tCO2e</t>
  </si>
  <si>
    <t>Annual CO2e savings against gas boilers, tCO2e</t>
  </si>
  <si>
    <t>CO2e intensity of heat delivered, g/kWh</t>
  </si>
  <si>
    <t>CO2e intensity of heat delivered, kg/kWh</t>
  </si>
  <si>
    <t>Total CO2e emissions - 20 years, tCO2e</t>
  </si>
  <si>
    <t>Total CO2e savings - 20 years, tCO2e</t>
  </si>
  <si>
    <t>Total CO2e emissions - 30 years, tCO2e</t>
  </si>
  <si>
    <t>Total CO2e savings - 30 years, tCO2e</t>
  </si>
  <si>
    <t>Total CO2e emissions - 40 years, tCO2e</t>
  </si>
  <si>
    <t>Total CO2e savings - 40 years, tCO2e</t>
  </si>
  <si>
    <t>Annual CO2e emissions, tCO2e</t>
  </si>
  <si>
    <t>Emissions from electricity for electric heating, tCO2e</t>
  </si>
  <si>
    <t>Emissions from electricity for heat pumps and parasitic load, tCO2e</t>
  </si>
  <si>
    <t>Emissions from gas boilers, tCO2e</t>
  </si>
  <si>
    <t>Low scenario</t>
  </si>
  <si>
    <t>High scenario</t>
  </si>
  <si>
    <t>BEIS Price Projections</t>
  </si>
  <si>
    <t>Reference year for tariffs</t>
  </si>
  <si>
    <t>Central Scenario</t>
  </si>
  <si>
    <t>Natural gas</t>
  </si>
  <si>
    <t>Reference year tariff</t>
  </si>
  <si>
    <t>Commercial / services</t>
  </si>
  <si>
    <t>Grid electricity</t>
  </si>
  <si>
    <t>Low Scenario</t>
  </si>
  <si>
    <t>High Scenario</t>
  </si>
  <si>
    <t>Selected Scenario:</t>
  </si>
  <si>
    <t>Central scenario flag</t>
  </si>
  <si>
    <t>Low scenario flag</t>
  </si>
  <si>
    <t>High scenario flag</t>
  </si>
  <si>
    <t>Annex M:</t>
  </si>
  <si>
    <t>https://www.gov.uk/government/publications/valuation-of-energy-use-and-greenhouse-gas-emissions-for-appraisal</t>
  </si>
  <si>
    <t>Last updated:</t>
  </si>
  <si>
    <t>YesNo</t>
  </si>
  <si>
    <t xml:space="preserve">Phases </t>
  </si>
  <si>
    <t>20 years</t>
  </si>
  <si>
    <t xml:space="preserve">30 years </t>
  </si>
  <si>
    <t>Gas boiler</t>
  </si>
  <si>
    <t>Electric heating</t>
  </si>
  <si>
    <t>Auxillary boilers</t>
  </si>
  <si>
    <t>Gas</t>
  </si>
  <si>
    <t>Gas and Electric</t>
  </si>
  <si>
    <t>BEISpriceprojections</t>
  </si>
  <si>
    <t>Energytariffindexing</t>
  </si>
  <si>
    <t>Fixed rate</t>
  </si>
  <si>
    <t>Catering</t>
  </si>
  <si>
    <t>Domestic</t>
  </si>
  <si>
    <t>Education (further and higher)</t>
  </si>
  <si>
    <t>Education (Higher)</t>
  </si>
  <si>
    <t>Education (schools)</t>
  </si>
  <si>
    <t>Entertainment</t>
  </si>
  <si>
    <t>Hospitals</t>
  </si>
  <si>
    <t>Hotels</t>
  </si>
  <si>
    <t>Industrial buildings</t>
  </si>
  <si>
    <t>Local authority buildings</t>
  </si>
  <si>
    <t>Ministry of Defence (MoD) buildings</t>
  </si>
  <si>
    <t>Offices</t>
  </si>
  <si>
    <t>Public buildings</t>
  </si>
  <si>
    <t>Retail</t>
  </si>
  <si>
    <t>Sports and recreation</t>
  </si>
  <si>
    <t>Connected buildings ID</t>
  </si>
  <si>
    <t>Number of connected users downstream</t>
  </si>
  <si>
    <t>Number of buildings downstream</t>
  </si>
  <si>
    <t>Assumed diversity from model</t>
  </si>
  <si>
    <t>End of model ouput</t>
  </si>
  <si>
    <t>Heat connections</t>
  </si>
  <si>
    <t>Pipe data</t>
  </si>
  <si>
    <t>kWh/yr output, incl losses</t>
  </si>
  <si>
    <t>Capex, fixed</t>
  </si>
  <si>
    <t>Capex, per kWp</t>
  </si>
  <si>
    <t>Opex, fixed</t>
  </si>
  <si>
    <t>Opex, per kWp</t>
  </si>
  <si>
    <t>Opex, per kWh</t>
  </si>
  <si>
    <t>Heat supplies</t>
  </si>
  <si>
    <t>Diversity</t>
  </si>
  <si>
    <t>Existing/planned development</t>
  </si>
  <si>
    <t>AG</t>
  </si>
  <si>
    <t>Network costing simpliefed</t>
  </si>
  <si>
    <t>Tag</t>
  </si>
  <si>
    <t>soft</t>
  </si>
  <si>
    <t>Hard (Default)</t>
  </si>
  <si>
    <t>Cost</t>
  </si>
  <si>
    <t>Pipe sizes for steel (DN XXX)</t>
  </si>
  <si>
    <t>Cost of pipe, £/m</t>
  </si>
  <si>
    <t>Cost of heat overwrite, £</t>
  </si>
  <si>
    <r>
      <t>2</t>
    </r>
    <r>
      <rPr>
        <b/>
        <vertAlign val="superscript"/>
        <sz val="10"/>
        <rFont val="Calibri"/>
        <family val="2"/>
        <scheme val="minor"/>
      </rPr>
      <t>nd</t>
    </r>
    <r>
      <rPr>
        <b/>
        <sz val="10"/>
        <rFont val="Calibri"/>
        <family val="2"/>
        <scheme val="minor"/>
      </rPr>
      <t xml:space="preserve"> side improvement cost, £</t>
    </r>
  </si>
  <si>
    <t>Substation cost, £</t>
  </si>
  <si>
    <t xml:space="preserve">Substation comprising 2 x 50 kW plate heat exchanges and associated equipment </t>
  </si>
  <si>
    <t>Substation</t>
  </si>
  <si>
    <t xml:space="preserve">Substation comprising 2 x 100 kW plate heat exchanges and associated equipment </t>
  </si>
  <si>
    <t>Substation comprising 2 x 200 kW plate heat exchanges and associated equipment</t>
  </si>
  <si>
    <t>Substation comprising 2 x 300 kW plate heat exchanges and associated equipment</t>
  </si>
  <si>
    <t>Substation comprising 2 x 400 kW plate heat exchanges and associated equipment</t>
  </si>
  <si>
    <t>Substation comprising 2 x 500 kW plate heat exchanges and associated equipment</t>
  </si>
  <si>
    <t>Substation comprising 2 x 600 kW plate heat exchanges and associated equipment</t>
  </si>
  <si>
    <t>Substation comprising 2 x 700 kW plate heat exchanges and associated equipment</t>
  </si>
  <si>
    <t>Substation comprising 2 x 800 kW plate heat exchanges and associated equipment</t>
  </si>
  <si>
    <t>Size, kW</t>
  </si>
  <si>
    <t>Substation description</t>
  </si>
  <si>
    <t>Type</t>
  </si>
  <si>
    <t>Substation comprising 2 x 900 kW plate heat exchanges and associated equipment</t>
  </si>
  <si>
    <t>Substation comprising 2 x 1000 kW plate heat exchanges and associated equipment</t>
  </si>
  <si>
    <t>Substation comprising 2 x 1100 kW plate heat exchanges and associated equipment</t>
  </si>
  <si>
    <t>Substation comprising 2 x 1200 kW plate heat exchanges and associated equipment</t>
  </si>
  <si>
    <t>Substation comprising 2 x 1300 kW plate heat exchanges and associated equipment</t>
  </si>
  <si>
    <t>Substation comprising 2 x 1400 kW plate heat exchanges and associated equipment</t>
  </si>
  <si>
    <t>Substation comprising 2 x 1600 kW plate heat exchanges and associated equipment</t>
  </si>
  <si>
    <t>Staff</t>
  </si>
  <si>
    <t>Network cost, £</t>
  </si>
  <si>
    <t>Network Length, m</t>
  </si>
  <si>
    <t>Phase overwrite</t>
  </si>
  <si>
    <t>Insurance cost</t>
  </si>
  <si>
    <t>Connection charge/avoided cost, £</t>
  </si>
  <si>
    <t>Heat tariff revenue</t>
  </si>
  <si>
    <t>Connection charges/avoided costs</t>
  </si>
  <si>
    <t>Heat sales tariff, p/kWh</t>
  </si>
  <si>
    <t>Residential flag</t>
  </si>
  <si>
    <t>Commercial flag</t>
  </si>
  <si>
    <t>Industrial flag</t>
  </si>
  <si>
    <t>Y6vLOUz6aCX/4lrZ</t>
  </si>
  <si>
    <t>White City</t>
  </si>
  <si>
    <t>The Cardinal Vaughan Memorial RC School</t>
  </si>
  <si>
    <t>osgb5000005260195182</t>
  </si>
  <si>
    <t>building</t>
  </si>
  <si>
    <t>5FZYuHonsOIYwhzk</t>
  </si>
  <si>
    <t>CO01</t>
  </si>
  <si>
    <t>["UNIT C302A, WESTFIELD LONDON SHOPPING CENTRE, ARIEL WAY, LONDON, W12 7GA", "RENTADESK, UNIT C401, WESTFIELD LONDON SHOPPING CENTRE, ARIEL WAY, LONDON, W12 7FD", "DAEWOO SHIPBUILDING &amp; MARINE ENGINEERING CO LTD, UNIT C402, WESTFIELD LONDON SHOPPING CENTRE, ARIEL WAY, LONDON, W12 7FD", "UNIT C302, WESTFIELD LONDON SHOPPING CENTRE, ARIEL WAY, LONDON, W12 7GA"]</t>
  </si>
  <si>
    <t>Commercial : Office : Office / Work Studio</t>
  </si>
  <si>
    <t>W12 7GA</t>
  </si>
  <si>
    <t>osgb1000001796552761</t>
  </si>
  <si>
    <t>3CJIEXkFfg4I3Yw5</t>
  </si>
  <si>
    <t>RD06</t>
  </si>
  <si>
    <t>["31, MILSON ROAD, LONDON, W14 0LJ", "GROUND FLOOR, 31, MILSON ROAD, LONDON, W14 0LJ"]</t>
  </si>
  <si>
    <t>Dual Use</t>
  </si>
  <si>
    <t>W14 0LJ</t>
  </si>
  <si>
    <t>osgb5000005142631393</t>
  </si>
  <si>
    <t>1cJ+GCEdcUBa+Fnm</t>
  </si>
  <si>
    <t>CL06</t>
  </si>
  <si>
    <t>["ADDISON YOUTH CLUB, 45, REDAN STREET, LONDON, W14 0AB"]</t>
  </si>
  <si>
    <t>Commercial : Leisure - Applicable to recreational sites and enterprises : Indoor / Outdoor Leisure / Sporting Activity / Centre</t>
  </si>
  <si>
    <t>W14 0AB</t>
  </si>
  <si>
    <t>osgb1000003908772</t>
  </si>
  <si>
    <t>4bmtLEGO1Fw1EUe9</t>
  </si>
  <si>
    <t>CE03PS</t>
  </si>
  <si>
    <t>["MILES COVERDALE PRIMARY SCHOOL, COVERDALE ROAD, LONDON, W12 8JJ"]</t>
  </si>
  <si>
    <t>Commercial : Education : Preparatory / First / Primary / Infant / Junior / Middle School : Primary School</t>
  </si>
  <si>
    <t>CORPORATE</t>
  </si>
  <si>
    <t>W12 8JJ</t>
  </si>
  <si>
    <t>Miles Coverdale Primary School</t>
  </si>
  <si>
    <t>osgb1000003907659</t>
  </si>
  <si>
    <t>5N8g/SSS0AYXD5WM</t>
  </si>
  <si>
    <t>C</t>
  </si>
  <si>
    <t>["BROADWICK VENUES LTD, DIMCO BUILDING, ARIEL WAY, LONDON, W12 7NS", "30, WOOD LANE, LONDON, W12 7NS"]</t>
  </si>
  <si>
    <t>Commercial</t>
  </si>
  <si>
    <t>W12 7NS</t>
  </si>
  <si>
    <t>osgb1000003912393</t>
  </si>
  <si>
    <t>SucPO+NvQXEBj3Bh</t>
  </si>
  <si>
    <t>["9, ALDINE STREET, LONDON, W12 8AW", "ALDINE HOUSE, 9-15, ALDINE STREET, LONDON, W12 8AW", "FIRST FLOOR OFFICES, ALDINE HOUSE, 9-15, ALDINE STREET, LONDON, W12 8AW", "GROUND FLOOR OFFICES, ALDINE HOUSE, 9-15, ALDINE STREET, LONDON, W12 8AW"]</t>
  </si>
  <si>
    <t>W12 8AW</t>
  </si>
  <si>
    <t>osgb1000003907435</t>
  </si>
  <si>
    <t>NzpZcw3koCIp1AWi</t>
  </si>
  <si>
    <t>CL07</t>
  </si>
  <si>
    <t>["SHEPHERDS BUSH EMPIRE, SHEPHERDS BUSH GREEN, LONDON, W12 8TT", "COMMUNICATION STATION, SHEPHERDS BUSH EMPIRE, SHEPHERD'S BUSH GREEN, LONDON, W12 8TT"]</t>
  </si>
  <si>
    <t>Commercial : Leisure - Applicable to recreational sites and enterprises : Bingo Hall / Cinema / Conference / Exhibition Centre / Theatre / Concert Hall</t>
  </si>
  <si>
    <t>W12 8TT</t>
  </si>
  <si>
    <t>osgb1000003907350</t>
  </si>
  <si>
    <t>jwnnBMAFMmOd/zAj</t>
  </si>
  <si>
    <t>["CAR PARKING SPACES, 150-152, UXBRIDGE ROAD, LONDON, W12 8AA", "150, UXBRIDGE ROAD, LONDON, W12 8AA", "154, UXBRIDGE ROAD, LONDON, W12 8AA", "150A, UXBRIDGE ROAD, LONDON, W12 8AA", "B P P HOLDINGS PLC, ALDINE HOUSE 142-144, UXBRIDGE ROAD, LONDON, W12 8AA", "152, UXBRIDGE ROAD, LONDON, W12 8AA", "EIGHTH FLOOR REAR, BPP HOUSE ALDINE PLACE, 142-144, UXBRIDGE ROAD, LONDON, W12 8AA", "COMMUNICATION STATION, BPP HOUSE ALDINE PLACE, 142-144, UXBRIDGE ROAD, LONDON, W12 8AA", "SEVENTH FLOOR REAR OF, BPP HOUSE ALDINE PLACE, 142-144, UXBRIDGE ROAD, LONDON, W12 8AA"]</t>
  </si>
  <si>
    <t>W12 8AA</t>
  </si>
  <si>
    <t>osgb1000003907419</t>
  </si>
  <si>
    <t>YfO6Epy9RFNexR++</t>
  </si>
  <si>
    <t>CT08</t>
  </si>
  <si>
    <t>["LONDON UNDERGROUND LTD, SHEPHERDS BUSH STATION CENTRAL, UXBRIDGE ROAD, LONDON, W12 8ND"]</t>
  </si>
  <si>
    <t>Commercial : Transport : Station / Interchange / Terminal / Halt</t>
  </si>
  <si>
    <t>W12 8ND</t>
  </si>
  <si>
    <t>osgb1000001796534576</t>
  </si>
  <si>
    <t>LDQMJbcJJVdeA75s</t>
  </si>
  <si>
    <t>Rjkj0I6/OGvUfJK7</t>
  </si>
  <si>
    <t>RD</t>
  </si>
  <si>
    <t>["15, REDAN STREET, LONDON, W14 0AB"]</t>
  </si>
  <si>
    <t>Residential : Dwelling</t>
  </si>
  <si>
    <t>osgb1000003908513</t>
  </si>
  <si>
    <t>AXLxXuVEarySGwWS</t>
  </si>
  <si>
    <t>["12, BERGHEM MEWS, BLYTHE ROAD, LONDON, W14 0HN", "SECOND FLOOR UNIT, 12, BERGHEM MEWS, LONDON, W14 0HN", "FIRST FLOOR UNIT, 12, BERGHEM MEWS, LONDON, W14 0HN", "6 AND 21, BERGHEM MEWS, LONDON, W14 0HN", "5-7, BERGHEM MEWS, BLYTHE ROAD, LONDON, W14 0HN", "XXX PUBLICATIONS, 6, BERGHEM MEWS, BLYTHE ROAD, LONDON, W14 0HN", "11, BERGHEM MEWS, BLYTHE ROAD, LONDON, W14 0HN"]</t>
  </si>
  <si>
    <t>W14 0HN</t>
  </si>
  <si>
    <t>osgb1000003909344</t>
  </si>
  <si>
    <t>aITZdbgVqbNawEe4</t>
  </si>
  <si>
    <t>CC</t>
  </si>
  <si>
    <t>["DAY CENTRE, NEW ZEALAND WAY, WHITE CITY ESTATE, LONDON, W12 7PH"]</t>
  </si>
  <si>
    <t>Commercial : Community Services</t>
  </si>
  <si>
    <t>W12 7PH</t>
  </si>
  <si>
    <t>osgb1000042030795</t>
  </si>
  <si>
    <t>OUmy5uRrII1i//sF</t>
  </si>
  <si>
    <t>CR08</t>
  </si>
  <si>
    <t>["IBROKEMYGADGET, UNIT SU2204, WESTFIELD LONDON SHOPPING CENTRE, ARIEL WAY, LONDON, W12 7HT", "THE WHITE CO, UNIT SU1207, WESTFIELD LONDON SHOPPING CENTRE, ARIEL WAY, LONDON, W12 7HT", "UNIT SU1207A, WESTFIELD LONDON SHOPPING CENTRE, ARIEL WAY, LONDON, W12 7HT", "UNIT SU2214, WESTFIELD LONDON SHOPPING CENTRE, ARIEL WAY, LONDON, W12 7HT", "STRADIVARIUS, UNIT SU2224, WESTFIELD LONDON SHOPPING CENTRE, ARIEL WAY, LONDON, W12 7HT", "UNIT SU0235, WESTFIELD LONDON SHOPPING CENTRE, ARIEL WAY, LONDON, W12 7HB", "UNIT SU1201, WESTFIELD LONDON SHOPPING CENTRE, ARIEL WAY, LONDON, W12 7HT", "NEWBIES, UNIT SU1203A, WESTFIELD LONDON SHOPPING CENTRE, ARIEL WAY, LONDON, W12 7HT", "UNIT SU1216, WESTFIELD LONDON SHOPPING CENTRE, ARIEL WAY, LONDON, W12 7HT", "UNIT K2211, WESTFIELD LONDON SHOPPING CENTRE, ARIEL WAY, LONDON, W12 7HT", "UNIT SU1208A, WESTFIELD LONDON SHOPPING CENTRE, ARIEL WAY, LONDON, W12 7HT", "UNIT SU1208, WESTFIELD LONDON SHOPPING CENTRE, ARIEL WAY, LONDON, W12 7HT", "MOLTON BROWN LTD, UNIT 1223, WESTFIELD LONDON SHOPPING CENTRE, ARIEL WAY, LONDON, W12 7GA", "UNIT K1211, WESTFIELD LONDON SHOPPING CENTRE, ARIEL WAY, LONDON, W12 7HT", "UNIT SU1210, WESTFIELD LONDON SHOPPING CENTRE, ARIEL WAY, LONDON, W12 7HT", "UNIT K1212, WESTFIELD LONDON SHOPPING CENTRE, ARIEL WAY, LONDON, W12 7HT", "UNIT SU1232, WESTFIELD LONDON SHOPPING CENTRE, ARIEL WAY, LONDON, W12 7HT", "CHARLES TYRWHITT, UNIT SU1206, WESTFIELD LONDON SHOPPING CENTRE, ARIEL WAY, LONDON, W12 7HT", "UNIT K0201, WESTFIELD LONDON SHOPPING CENTRE, ARIEL WAY, LONDON, W12 7HT", "UNIT SU2222A, WESTFIELD LONDON SHOPPING CENTRE, ARIEL WAY, LONDON, W12 7HT", "UNIT SU2230, WESTFIELD LONDON SHOPPING CENTRE, ARIEL WAY, LONDON, W12 7HT", "UNIT SU2216, WESTFIELD LONDON SHOPPING CENTRE, ARIEL WAY, LONDON, W12 7HT", "LAND NORTH OF WESTFIELD SHOPPING CENTRE, ARIEL WAY, LONDON, W12 7NS", "UNIT K1203, WESTFIELD LONDON SHOPPING CENTRE, ARIEL WAY, LONDON, W12 7HT", "BRAVISSIMO, UNIT SU2203A, WESTFIELD LONDON SHOPPING CENTRE, ARIEL WAY, LONDON, W12 7HT", "UNIT SU1205, WESTFIELD LONDON SHOPPING CENTRE, ARIEL WAY, LONDON, W12 7HT", "UNIT SU1211, WESTFIELD LONDON SHOPPING CENTRE, ARIEL WAY, LONDON, W12 7HT", "UNIT K2207, WESTFIELD LONDON SHOPPING CENTRE, ARIEL WAY, LONDON, W12 7HT", "UNIT SU2205, WESTFIELD LONDON SHOPPING CENTRE, ARIEL WAY, LONDON, W12 7HT", "UNIT SU0236, WESTFIELD LONDON SHOPPING CENTRE, ARIEL WAY, LONDON, W12 7HB", "UNIT SU2212, WESTFIELD LONDON SHOPPING CENTRE, ARIEL WAY, LONDON, W12 7HT", "JOHN LEWIS PARTNERSHIP PLC, UNIT 0250, WESTFIELD LONDON SHOPPING CENTRE, ARIEL WAY, LONDON, W12 7FU", "KHAADI, UNIT SU1231, WESTFIELD LONDON SHOPPING CENTRE, ARIEL WAY, LONDON, W12 7HT", "DIXONS CARPHONE WAREHOUSE, UNIT SU2208, WESTFIELD LONDON SHOPPING CENTRE, ARIEL WAY, LONDON, W12 7HT", "UNIT SU1228, WESTFIELD LONDON SHOPPING CENTRE, ARIEL WAY, LONDON, W12 7HT", "UNIT SU0220B, WESTFIELD LONDON SHOPPING CENTRE, ARIEL WAY, LONDON, W12 7HB", "UNIT K2204, WESTFIELD LONDON SHOPPING CENTRE, ARIEL WAY, LONDON, W12 7HT", "UNIT SU0203, WESTFIELD LONDON SHOPPING CENTRE, ARIEL WAY, LONDON, W12 7HB", "GUESS, UNIT SU2227, WESTFIELD LONDON SHOPPING CENTRE, ARIEL WAY, LONDON, W12 7HT", "UNIT SU1213, WESTFIELD LONDON SHOPPING CENTRE, ARIEL WAY, LONDON, W12 7HT", "UNIT K1201, WESTFIELD LONDON SHOPPING CENTRE, ARIEL WAY, LONDON, W12 7HT", "HOUSE OF FRASER, WESTFIELD LONDON SHOPPING CENTRE, ARIEL WAY, LONDON, W12 7GA", "STREET RECORD, ARIEL WAY, LONDON, W12 7SL", "UNIT SU0207A, WESTFIELD LONDON SHOPPING CENTRE, ARIEL WAY, LONDON, W12 7HB", "SIXPAD, UNIT SU2222, WESTFIELD LONDON SHOPPING CENTRE, ARIEL WAY, LONDON, W12 7HT", "EMPEROR LONDON LTD, UNIT SU1224, WESTFIELD LONDON SHOPPING CENTRE, ARIEL WAY, LONDON, W12 7HT", "UNIT SU0201, WESTFIELD LONDON SHOPPING CENTRE, ARIEL WAY, LONDON, W12 7HB", "UNIT SU0220A, WESTFIELD LONDON SHOPPING CENTRE, ARIEL WAY, LONDON, W12 7HB", "UNIT SU2226, WESTFIELD LONDON SHOPPING CENTRE, ARIEL WAY, LONDON, W12 7HT", "D F S, UNIT SU0208, WESTFIELD LONDON SHOPPING CENTRE, ARIEL WAY, LONDON, W12 7HB", "UNIT SU0205, WESTFIELD LONDON SHOPPING CENTRE, ARIEL WAY, LONDON, W12 7HB", "WEST ELM, UNIT SU1233, WESTFIELD LONDON SHOPPING CENTRE, ARIEL WAY, LONDON, W12 7HT", "RAILWAY VIADUCT, WHITE CITY DEVELOPMENT SITE, ARIEL WAY, LONDON, W12 8AG", "UNIT K1206, WESTFIELD LONDON SHOPPING CENTRE, ARIEL WAY, LONDON, W12 7HT", "SPACE N K, UNIT SU1222, WESTFIELD LONDON SHOPPING CENTRE, ARIEL WAY, LONDON, W12 7HT", "UNIT SU1214, WESTFIELD LONDON SHOPPING CENTRE, ARIEL WAY, LONDON, W12 7HT", "UNIT SU2215, WESTFIELD LONDON SHOPPING CENTRE, ARIEL WAY, LONDON, W12 7HT", "PULL &amp; BEAR, UNIT SU2211, WESTFIELD LONDON SHOPPING CENTRE, ARIEL WAY, LONDON, W12 7HT", "UNIT SU0234, WESTFIELD LONDON SHOPPING CENTRE, ARIEL WAY, LONDON, W12 7HB", "UNIT SU2223, WESTFIELD LONDON SHOPPING CENTRE, ARIEL WAY, LONDON, W12 7HT", "UNIT SU2201, WESTFIELD LONDON SHOPPING CENTRE, ARIEL WAY, LONDON, W12 7HT", "UNIT K1208, WESTFIELD LONDON SHOPPING CENTRE, ARIEL WAY, LONDON, W12 7HT", "UNIT SU1108, WESTFIELD LONDON SHOPPING CENTRE, ARIEL WAY, LONDON, W12 7FU", "UNIT SU2229, WESTFIELD LONDON SHOPPING CENTRE, ARIEL WAY, LONDON, W12 7HT", "COSMO NAILS, UNIT K1205, WESTFIELD LONDON SHOPPING CENTRE, ARIEL WAY, LONDON, W12 7HT", "UNIT SU1209, WESTFIELD LONDON SHOPPING CENTRE, ARIEL WAY, LONDON, W12 7HT", "UNIT SU1226, WESTFIELD LONDON SHOPPING CENTRE, ARIEL WAY, LONDON, W12 7HT", "UNIT K2212, WESTFIELD LONDON SHOPPING CENTRE, ARIEL WAY, LONDON, W12 7HT", "KIOSK 2000A, WESTFIELD LONDON SHOPPING CENTRE, ARIEL WAY, LONDON, W12 7GF", "ELECTRICITY SUBSTATION ADJACENT WHITE CITY DEPOT, WOOD LANE, LONDON, W12 7NS", "BO CONCEPT, UNIT SU0204, WESTFIELD LONDON SHOPPING CENTRE, ARIEL WAY, LONDON, W12 7HB", "UNIT SU1106, WESTFIELD LONDON SHOPPING CENTRE, ARIEL WAY, LONDON, W12 7HT", "UNIT SU2223A, WESTFIELD LONDON SHOPPING CENTRE, ARIEL WAY, LONDON, W12 7HT", "UNIT SU1228A, WESTFIELD LONDON SHOPPING CENTRE, ARIEL WAY, LONDON, W12 7HT", "UNIT SU0237, WESTFIELD LONDON SHOPPING CENTRE, ARIEL WAY, LONDON, W12 7HB", "UNIT SU0220, WESTFIELD LONDON SHOPPING CENTRE, ARIEL WAY, LONDON, W12 7HB", "FLYING TIGER, UNIT SU2202, WESTFIELD LONDON SHOPPING CENTRE, ARIEL WAY, LONDON, W12 7HT", "UNIT SU0207, WESTFIELD LONDON SHOPPING CENTRE, ARIEL WAY, LONDON, W12 7HB", "UNIT K2210, WESTFIELD LONDON SHOPPING CENTRE, ARIEL WAY, LONDON, W12 7HT", "BERSHKA, UNIT SU2225, WESTFIELD LONDON SHOPPING CENTRE, ARIEL WAY, LONDON, W12 7HT", "UNIT SU2213, WESTFIELD LONDON SHOPPING CENTRE, ARIEL WAY, LONDON, W12 7HT", "UNIT SU1109, WESTFIELD LONDON SHOPPING CENTRE, ARIEL WAY, LONDON, W12 7FU", "OLE &amp; STEEN, UNIT SU1203, WESTFIELD LONDON SHOPPING CENTRE, ARIEL WAY, LONDON, W12 7HT", "UNIT K1214, WESTFIELD LONDON SHOPPING CENTRE, ARIEL WAY, LONDON, W12 7HT", "PENHALIGONS, UNIT SU1212A, WESTFIELD LONDON SHOPPING CENTRE, ARIEL WAY, LONDON, W12 7HT", "E T M GROUP, UNIT SU0233, WESTFIELD LONDON SHOPPING CENTRE, ARIEL WAY, LONDON, W12 7HB", "UNIT SU1212, WESTFIELD LONDON SHOPPING CENTRE, ARIEL WAY, LONDON, W12 7HT", "2 THE VILLAGE OFFICES, WESTFIELD LONDON SHOPPING CENTRE, ARIEL WAY, LONDON, W12 7GF", "MILLER HARRIS, UNIT SU1204, WESTFIELD LONDON SHOPPING CENTRE, ARIEL WAY, LONDON, W12 7HT", "UNIT SU0206, WESTFIELD LONDON SHOPPING CENTRE, ARIEL WAY, LONDON, W12 7HB", "UNIT SU1215, WESTFIELD LONDON SHOPPING CENTRE, ARIEL WAY, LONDON, W12 7HT", "THE VILLAGE OFFICES, WESTFIELD LONDON SHOPPING CENTRE, ARIEL WAY, LONDON, W12 8AG", "UNIT SU1213A, WESTFIELD LONDON SHOPPING CENTRE, ARIEL WAY, LONDON, W12 7HT", "UNIT SU1217, WESTFIELD LONDON SHOPPING CENTRE, ARIEL WAY, LONDON, W12 7HT", "UNIT SU1229, WESTFIELD LONDON SHOPPING CENTRE, ARIEL WAY, LONDON, W12 7HT", "UNIT SU2228A, WESTFIELD LONDON SHOPPING CENTRE, ARIEL WAY, LONDON, W12 7HT", "UNIT SU1227, WESTFIELD LONDON SHOPPING CENTRE, ARIEL WAY, LONDON, W12 7HT", "PRET A MANGER, UNIT SU2203, WESTFIELD LONDON SHOPPING CENTRE, ARIEL WAY, LONDON, W12 7HT", "MONKI, UNIT SU2211A, WESTFIELD LONDON SHOPPING CENTRE, ARIEL WAY, LONDON, W12 7HT", "UNIT K2202, WESTFIELD LONDON SHOPPING CENTRE, ARIEL WAY, LONDON, W12 7HT", "UNIT SU1202, WESTFIELD LONDON SHOPPING CENTRE, ARIEL WAY, LONDON, W12 7HT", "BOOTS THE CHEMISTS LTD, UNIT SU1225, WESTFIELD LONDON SHOPPING CENTRE, ARIEL WAY, LONDON, W12 7HT", "UNIT SU1231A, WESTFIELD LONDON SHOPPING CENTRE, ARIEL WAY, LONDON, W12 7HT", "STREET RECORD, ARIEL WAY ROUNDABOUT, LONDON, W12 7NS", "UNIT K2201, WESTFIELD LONDON SHOPPING CENTRE, ARIEL WAY, LONDON, W12 7HT", "STORE C - BEAUTY FLOOR, WESTFIELD LONDON SHOPPING CENTRE, ARIEL WAY, LONDON, W12 7GA", "UNIT SU1232A, WESTFIELD LONDON SHOPPING CENTRE, ARIEL WAY, LONDON, W12 7HT", "MANGO, UNIT SU2227A, WESTFIELD LONDON SHOPPING CENTRE, ARIEL WAY, LONDON, W12 7HT", "URBAN REVIVO, UNIT SU2210, WESTFIELD LONDON SHOPPING CENTRE, ARIEL WAY, LONDON, W12 7HT", "PRIMARK, UNIT SU2231, WESTFIELD LONDON SHOPPING CENTRE, ARIEL WAY, LONDON, W12 7HT", "LUSH, UNIT SU2228, WESTFIELD LONDON SHOPPING CENTRE, ARIEL WAY, LONDON, W12 7HT", "KERNEL &amp; ROAST, UNIT 1230, WESTFIELD LONDON SHOPPING CENTRE, ARIEL WAY, LONDON, W12 7GF", "UNIT SU1210A, WESTFIELD LONDON SHOPPING CENTRE, ARIEL WAY, LONDON, W12 7HT", "THE NET-A-PORTER GROUP, 1 THE VILLAGE OFFICES, WESTFIELD LONDON SHOPPING CENTRE, ARIEL WAY, LONDON, W12 7GF", "20, ARIEL WAY, LONDON, W12 8AG"]</t>
  </si>
  <si>
    <t>Commercial : Retail : Shop / Showroom</t>
  </si>
  <si>
    <t>W12 8AG</t>
  </si>
  <si>
    <t>osgb1000001787337740</t>
  </si>
  <si>
    <t>im+eYt1daQfxBA3g</t>
  </si>
  <si>
    <t>CX01</t>
  </si>
  <si>
    <t>["METROPOLITAN POLICE, SHEPHERDS BUSH POLICE STATION, 252, UXBRIDGE ROAD, LONDON, W12 7JA"]</t>
  </si>
  <si>
    <t>Commercial : Emergency / Rescue Service : Police / Transport Police / Station</t>
  </si>
  <si>
    <t>W12 7JA</t>
  </si>
  <si>
    <t>osgb1000003911748</t>
  </si>
  <si>
    <t>zJv0BZLd38Cdqnu6</t>
  </si>
  <si>
    <t>["UNIT 1A REAR BASEMENT, WOODSTOCK STUDIOS, 36, WOODSTOCK GROVE, LONDON, W12 8LE", "UNIT 2C, WOODSTOCK STUDIOS, 36, WOODSTOCK GROVE, LONDON, W12 8LE", "FIELDS IN TRUST, UNIT 2D, WOODSTOCK STUDIOS, 36, WOODSTOCK GROVE, LONDON, W12 8LE", "WOODSTOCK STUDIOS, 36, WOODSTOCK GROVE, LONDON, W12 8LE", "UNIT 1K, WOODSTOCK STUDIOS, 36, WOODSTOCK GROVE, LONDON, W12 8LE", "WENDYHOUSE PRODUCTIONS LTD, UNIT 2B, WOODSTOCK STUDIOS, 36, WOODSTOCK GROVE, LONDON, W12 8LE", "UNIT 1A GROUND, WOODSTOCK STUDIOS, 36, WOODSTOCK GROVE, LONDON, W12 8LE", "FLAT 1L, WOODSTOCK STUDIOS, 36, WOODSTOCK GROVE, LONDON, W12 8LE", "UNIT 1A FRONT BASEMENT, WOODSTOCK STUDIOS, 36, WOODSTOCK GROVE, LONDON, W12 8LE", "UNIT 1H, WOODSTOCK STUDIOS, 36, WOODSTOCK GROVE, LONDON, W12 8LE", "JULIEN STOCK, UNIT 2E, WOODSTOCK STUDIOS, 36, WOODSTOCK GROVE, LONDON, W12 8LE", "UNIT 1M, WOODSTOCK STUDIOS, 36, WOODSTOCK GROVE, LONDON, W12 8LE", "WESTWICK MELROSE &amp; CROMWELL LTD, UNIT 1A, WOODSTOCK STUDIOS, 36, WOODSTOCK GROVE, LONDON, W12 8LE", "SAUCE COMMUNICATIONS, UNIT 1B, WOODSTOCK STUDIOS, 36, WOODSTOCK GROVE, LONDON, W12 8LE", "UNIT 2F, WOODSTOCK STUDIOS, 36, WOODSTOCK GROVE, LONDON, W12 8LE", "UNIT 1E, WOODSTOCK STUDIOS, 36, WOODSTOCK GROVE, LONDON, W12 8LE", "UNIT 1C, WOODSTOCK STUDIOS, 36, WOODSTOCK GROVE, LONDON, W12 8LE", "UNIT 2G, WOODSTOCK STUDIOS, 36, WOODSTOCK GROVE, LONDON, W12 8LE", "UNIT 1F, WOODSTOCK STUDIOS, 36, WOODSTOCK GROVE, LONDON, W12 8LE", "UNIT 1G, WOODSTOCK STUDIOS, 36, WOODSTOCK GROVE, LONDON, W12 8LE", "UNIT 1J, WOODSTOCK STUDIOS, 36, WOODSTOCK GROVE, LONDON, W12 8LE", "UNIT 2H, WOODSTOCK STUDIOS, 36, WOODSTOCK GROVE, LONDON, W12 8LE", "UNIT 1N, WOODSTOCK STUDIOS, 36, WOODSTOCK GROVE, LONDON, W12 8LE", "UNIT 1I, WOODSTOCK STUDIOS, 36, WOODSTOCK GROVE, LONDON, W12 8LE", "FLAT 1P, WOODSTOCK STUDIOS, 36, WOODSTOCK GROVE, LONDON, W12 8LE", "LA LENNOXA, UNIT 1D, WOODSTOCK STUDIOS, 36, WOODSTOCK GROVE, LONDON, W12 8LE", "THE GATE HOUSE, WOODSTOCK STUDIOS, 36, WOODSTOCK GROVE, LONDON, W12 8LE", "GALTOCK O M LTD, UNIT 2A, WOODSTOCK STUDIOS, 36, WOODSTOCK GROVE, LONDON, W12 8LE"]</t>
  </si>
  <si>
    <t>W12 8LE</t>
  </si>
  <si>
    <t>osgb1000003906534</t>
  </si>
  <si>
    <t>esr5eaErHoQbx/GL</t>
  </si>
  <si>
    <t>CR07</t>
  </si>
  <si>
    <t>["CAFE, WOOD LANE UNDERGROUND STATION, WOOD LANE, LONDON, W12 7SB", "WOOD LANE UNDERGROUND STATION, WOOD LANE, LONDON, W12 7SB"]</t>
  </si>
  <si>
    <t>Commercial : Retail : Restaurant / Cafeteria</t>
  </si>
  <si>
    <t>W12 7SB</t>
  </si>
  <si>
    <t>Wood Lane</t>
  </si>
  <si>
    <t>osgb1000001787339447</t>
  </si>
  <si>
    <t>NiTFQ9Zb8eDD/hZY</t>
  </si>
  <si>
    <t>["5A, UXBRIDGE ROAD, LONDON, W12 8LJ"]</t>
  </si>
  <si>
    <t>W12 8LJ</t>
  </si>
  <si>
    <t>osgb1000003907373</t>
  </si>
  <si>
    <t>DE+dmMlRyj0uDSyA</t>
  </si>
  <si>
    <t>["UNIT 4, WEST WORKS BUILDING, 195, WOOD LANE, LONDON, W12 7FQ", "THE COMMUNICATIONS STORE, 195, WOOD LANE, LONDON, W12 7FQ", "NOVARTIS PHARMACEUTICALS UK LTD, WEST WORKS BUILDING, 195, WOOD LANE, LONDON, W12 7FQ", "UNDERGROUND CAR PARK AT FORMER 201, WOOD LANE, LONDON, W12 7FQ", "PART FOURTH FLOOR, WEST WORKS BUILDING, 195, WOOD LANE, LONDON, W12 7FQ", "THE COLLECTIVE DAIRY, WEST WORKS BUILDING, 195, WOOD LANE, LONDON, W12 7FQ", "UNIT 2A, WEST WORKS BUILDING, 195, WOOD LANE, LONDON, W12 7FQ", "STUDIO LAGREE (UK) LTD, UNIT 1B, WEST WORKS BUILDING, 195, WOOD LANE, LONDON, W12 7FQ", "UNIT 6, WEST WORKS BUILDING, 195, WOOD LANE, LONDON, W12 7FQ", "UNIT 5, WEST WORKS BUILDING, 195, WOOD LANE, LONDON, W12 7FQ", "WHITE CITY PLACE, WEST WORKS BUILDING, 195, WOOD LANE, LONDON, W12 7FQ", "SUITE 16, WEST WORKS BUILDING, 195, WOOD LANE, LONDON, W12 7FQ", "UNIT 1A, WEST WORKS BUILDING, 195, WOOD LANE, LONDON, W12 7FQ", "FIRST FLOOR SOUTH, WEST WORKS BUILDING, 195, WOOD LANE, LONDON, W12 7FQ", "UNIT 14, WEST WORKS BUILDING, 195, WOOD LANE, LONDON, W12 7FQ", "ANTHROPICS TECHNOLOGY LTD, UNIT 8, WEST WORKS BUILDING, 195, WOOD LANE, LONDON, W12 7FQ", "PART FIRST FLOOR, WEST WORKS BUILDING, 195, WOOD LANE, LONDON, W12 7FQ", "PARKER LANE LTD, WEST WORKS BUILDING, 195, WOOD LANE, LONDON, W12 7FQ", "JELLYCAT LTD, WEST WORKS BUILDING, 195, WOOD LANE, LONDON, W12 7FQ", "ONE WEB, WEST WORKS BUILDING, 195, WOOD LANE, LONDON, W12 7FQ", "SYNTHACE LTD, WEST WORKS BUILDING, 195, WOOD LANE, LONDON, W12 7FQ", "MANAGERS OFFICE, WEST WORKS BUILDING, 195, WOOD LANE, LONDON, W12 7FQ"]</t>
  </si>
  <si>
    <t>W12 7FQ</t>
  </si>
  <si>
    <t>osgb1000042071385</t>
  </si>
  <si>
    <t>SClh0XkY1gZwdL0v</t>
  </si>
  <si>
    <t>osgb1000003907668</t>
  </si>
  <si>
    <t>PrcJ/PNKs5dmpiNe</t>
  </si>
  <si>
    <t>CO02</t>
  </si>
  <si>
    <t>["BRITISH BROADCASTING CORPORATION, 201, WOOD LANE, LONDON, W12 7TQ"]</t>
  </si>
  <si>
    <t>Commercial : Office : Broadcasting (TV / Radio)</t>
  </si>
  <si>
    <t>W12 7TQ</t>
  </si>
  <si>
    <t>osgb1000001787244423</t>
  </si>
  <si>
    <t>GhpA7TaRv+gdbPw3</t>
  </si>
  <si>
    <t>["3, MINFORD GARDENS, LONDON, W14 0AN", "3A, MINFORD GARDENS, LONDON, W14 0AN", "HOUSE EXCLUDING BASEMENT, 3, MINFORD GARDENS, LONDON, W14 0AN"]</t>
  </si>
  <si>
    <t>W14 0AN</t>
  </si>
  <si>
    <t>osgb1000003906307</t>
  </si>
  <si>
    <t>0nZpFpafnMGHti4y</t>
  </si>
  <si>
    <t>["UNIT 1092, WHITE CITY DEVELOPMENT SITE, ARIEL WAY, LONDON, W12 8AG", "UNIT 1159, WHITE CITY DEVELOPMENT SITE, ARIEL WAY, LONDON, W12 8AG", "UNIT 2081, WHITE CITY DEVELOPMENT SITE, ARIEL WAY, LONDON, W12 8AG", "UNIT 1114, WHITE CITY DEVELOPMENT SITE, ARIEL WAY, LONDON, W12 8AG", "UNITS 2062 - 2063, WHITE CITY DEVELOPMENT SITE, ARIEL WAY, LONDON, W12 8AG", "UNIT 1090/1091, WHITE CITY DEVELOPMENT SITE, ARIEL WAY, LONDON, W12 8AG", "UNIT 1050A, WHITE CITY DEVELOPMENT SITE, WOOD LANE, LONDON, W12 8AG", "UNIT 2113, WHITE CITY DEVELOPMENT SITE, WOOD LANE, LONDON, W12 8AG", "UNIT 2047, WHITE CITY DEVELOPMENT SITE, WOOD LANE, LONDON, W12 8AG", "WHITE CITY DEVELOPMENT SITE, ARIEL WAY, LONDON, W12 8AG", "UNIT 1143A, WHITE CITY DEVELOPMENT SITE, ARIEL WAY, LONDON, W12 8AG", "UNIT 1032, WHITE CITY DEVELOPMENT SITE, WOOD LANE, LONDON, W12 8AG", "UNIT 1054 TO 1055, WHITE CITY DEVELOPMENT SITE, ARIEL WAY, LONDON, W12 8AG", "UNIT 1094/1095, WHITE CITY DEVELOPMENT SITE, ARIEL WAY, LONDON, W12 8AG", "UNIT 1083, WHITE CITY DEVELOPMENT SITE, ARIEL WAY, LONDON, W12 8AG", "WHITE CITY DEVELOPMENT SITE, WOOD LANE, LONDON, W12 8AG", "UNIT 1012, WHITE CITY DEVELOPMENT SITE, ARIEL WAY, LONDON, W12 8AG", "UNIT 2068, WHITE CITY DEVELOPMENT SITE, WOOD LANE, LONDON, W12 8AG", "UNIT 3126, WHITE CITY DEVELOPMENT SITE, ARIEL WAY, LONDON, W12 8AG", "UNIT 2072/2073, WHITE CITY DEVELOPMENT SITE, ARIEL WAY, LONDON, W12 8AG", "UNIT 1125/1126, WHITE CITY DEVELOPMENT SITE, ARIEL WAY, LONDON, W12 8AG", "UNIT 1142A, WHITE CITY DEVELOPMENT SITE, ARIEL WAY, LONDON, W12 8AG", "UNIT 2106, WHITE CITY DEVELOPMENT SITE, ARIEL WAY, LONDON, W12 8AG", "UNIT 1074, WHITE CITY DEVELOPMENT SITE, ARIEL WAY, LONDON, W12 8AG", "UNITS 3043 - 3048, WHITE CITY DEVELOPMENT SITE, ARIEL WAY, LONDON, W12 8AG"]</t>
  </si>
  <si>
    <t>osgb1000001787337742</t>
  </si>
  <si>
    <t>XF67UR//AwjdAd0D</t>
  </si>
  <si>
    <t>CH03</t>
  </si>
  <si>
    <t>["128, HOLLAND ROAD, LONDON, W14 8BD"]</t>
  </si>
  <si>
    <t>Commercial : Hotel / Motel / Boarding / Guest House : Hotel/Motel</t>
  </si>
  <si>
    <t>W14 8BD</t>
  </si>
  <si>
    <t>osgb1000041930143</t>
  </si>
  <si>
    <t>9sGlNguqOM+PK4N/</t>
  </si>
  <si>
    <t>CR02</t>
  </si>
  <si>
    <t>["ATM SITE, WHITE CITY UNDERGROUND STATION, WOOD LANE, LONDON, W12 7RH", "EATS &amp; BITS, WHITE CITY STATION, WOOD LANE, LONDON, W12 7RH", "CHRISTIES CAR SERVICES, 60A, WOOD LANE, LONDON, W12 7RH", "KIOSK AT WHITE CITY UNDERGROUND STATION, WOOD LANE, LONDON, W12 7RH", "LONDON UNDERGROUND LTD, WHITE CITY STATION, WOOD LANE, LONDON, W12 7RH"]</t>
  </si>
  <si>
    <t>Commercial : Retail : Automated Teller Machine (ATM)</t>
  </si>
  <si>
    <t>W12 7RH</t>
  </si>
  <si>
    <t>osgb1000042071353</t>
  </si>
  <si>
    <t>ZyTgmic1Eda+l+hJ</t>
  </si>
  <si>
    <t>CE</t>
  </si>
  <si>
    <t>["89A, ADDISON ROAD, LONDON, W14 8BZ", "THE VAUGHAN SPORTS FOUNDATION, 89, ADDISON ROAD, LONDON, W14 8BZ", "CARDINAL VAUGHAN MEMORIAL SCHOOL, 89, ADDISON ROAD, LONDON, W14 8BZ"]</t>
  </si>
  <si>
    <t>Commercial : Education</t>
  </si>
  <si>
    <t>W14 8BZ</t>
  </si>
  <si>
    <t>osgb1000041929942</t>
  </si>
  <si>
    <t>pvgxmkXYP8UXfjce</t>
  </si>
  <si>
    <t>["HAMMERSMITH NORTH HOUSING OFFICE, NEW ZEALAND WAY, WHITE CITY ESTATE, LONDON, W12 7QR"]</t>
  </si>
  <si>
    <t>W12 7QR</t>
  </si>
  <si>
    <t>osgb1000042030855</t>
  </si>
  <si>
    <t>2czOWcGKMgHdXeLp</t>
  </si>
  <si>
    <t>["DORSETT SHEPHERDS BUSH, 58, SHEPHERDS BUSH GREEN, LONDON, W12 8QE"]</t>
  </si>
  <si>
    <t>W12 8QE</t>
  </si>
  <si>
    <t>osgb1000003907356</t>
  </si>
  <si>
    <t>rn1pNAx9aMWNS2JX</t>
  </si>
  <si>
    <t>ZW99CH</t>
  </si>
  <si>
    <t>["ST. SIMON'S CHURCH, ROCKLEY ROAD, LONDON, W14 0DA"]</t>
  </si>
  <si>
    <t>Object of Interest : Place Of Worship : Church</t>
  </si>
  <si>
    <t>W14 0DA</t>
  </si>
  <si>
    <t>osgb1000003906303</t>
  </si>
  <si>
    <t>iQYxGm31+9COpppJ</t>
  </si>
  <si>
    <t>["IBIS HOTEL, 3-5, ROCKLEY ROAD, LONDON, W14 0DJ", "PIZZA EXPRESS, 7, ROCKLEY ROAD, LONDON, W14 0DJ"]</t>
  </si>
  <si>
    <t>W14 0DJ</t>
  </si>
  <si>
    <t>osgb1000003906125</t>
  </si>
  <si>
    <t>V1kh7ItIG0dJLDW7</t>
  </si>
  <si>
    <t>RD02</t>
  </si>
  <si>
    <t>["80A, BLOEMFONTEIN ROAD, LONDON, W12 7DB"]</t>
  </si>
  <si>
    <t>Residential : Dwelling : Detached</t>
  </si>
  <si>
    <t>W12 7DB</t>
  </si>
  <si>
    <t>osgb1000042030573</t>
  </si>
  <si>
    <t>bRPD7RkRJ9MxZ3oy</t>
  </si>
  <si>
    <t>Phoenix High School</t>
  </si>
  <si>
    <t>osgb5000005104560782</t>
  </si>
  <si>
    <t>4/T+0xPa+GTp1sde</t>
  </si>
  <si>
    <t>["50, REDAN STREET, LONDON, W14 0AB"]</t>
  </si>
  <si>
    <t>osgb1000003908874</t>
  </si>
  <si>
    <t>5yDqbB4q/TSNU5ID</t>
  </si>
  <si>
    <t>["182, UXBRIDGE ROAD, LONDON, W12 7JP", "JOBCENTRE PLUS, 176-180, UXBRIDGE ROAD, LONDON, W12 7JP", "184, UXBRIDGE ROAD, LONDON, W12 7JP"]</t>
  </si>
  <si>
    <t>W12 7JP</t>
  </si>
  <si>
    <t>osgb1000003907795</t>
  </si>
  <si>
    <t>QQSQfoMjquBAzI8Y</t>
  </si>
  <si>
    <t>osgb1000042030615</t>
  </si>
  <si>
    <t>14JkECRUj9eyr1zW</t>
  </si>
  <si>
    <t>CE01</t>
  </si>
  <si>
    <t>["40, LIME GROVE, LONDON, W12 8EA"]</t>
  </si>
  <si>
    <t>Commercial : Education : College</t>
  </si>
  <si>
    <t>W12 8EA</t>
  </si>
  <si>
    <t>osgb1000003907670</t>
  </si>
  <si>
    <t>QKoB9z9D0Ba2rOxp</t>
  </si>
  <si>
    <t>["11, DORANDO CLOSE, LONDON, W12 7FN"]</t>
  </si>
  <si>
    <t>W12 7FN</t>
  </si>
  <si>
    <t>osgb1000001787244421</t>
  </si>
  <si>
    <t>jBFefIJ8cOoDmc5B</t>
  </si>
  <si>
    <t>osgb1000042031168</t>
  </si>
  <si>
    <t>q24ckPrmKr4EAyeI</t>
  </si>
  <si>
    <t>osgb1000001787313966</t>
  </si>
  <si>
    <t>1AiVMl+yXzKfuSNS</t>
  </si>
  <si>
    <t>["WHITE CITY ADVENTURE PLAYGROUND, AUSTRALIA ROAD, LONDON, W12 7PH"]</t>
  </si>
  <si>
    <t>osgb1000042030794</t>
  </si>
  <si>
    <t>S3PZ8PSjk4kZkTsC</t>
  </si>
  <si>
    <t>Cambridge School</t>
  </si>
  <si>
    <t>osgb5000005256582937</t>
  </si>
  <si>
    <t>sQ/ezO6hxY8CjHdk</t>
  </si>
  <si>
    <t>["MAIL BOXES ETC, 1, ROCKLEY ROAD, LONDON, W14 0DJ", "32, SHEPHERD'S BUSH GREEN, LONDON, W14 0DJ", "31, SHEPHERDS BUSH GREEN, LONDON, W12 8PH"]</t>
  </si>
  <si>
    <t>osgb5000005142631294</t>
  </si>
  <si>
    <t>FSaw2n9Bf8//P2zg</t>
  </si>
  <si>
    <t>["QUEENS PARK RANGERS FOOTBALL &amp; ATHLETIC CLUB LTD, SOUTH AFRICA ROAD, LONDON, W12 7PJ", "FIRST FLOOR, RANGERS STADIUM, SOUTH AFRICA ROAD, LONDON, W12 7PA", "THIRD FLOOR, RANGERS STADIUM, SOUTH AFRICA ROAD, LONDON, W12 7PA", "COMMUNICATION STATION, RANGERS STADIUM, SOUTH AFRICA ROAD, LONDON, W12 7PJ", "SECOND FLOOR, RANGERS STADIUM, SOUTH AFRICA ROAD, LONDON, W12 7PA", "GROUND FLOOR, RANGERS STADIUM, SOUTH AFRICA ROAD, LONDON, W12 7PA"]</t>
  </si>
  <si>
    <t>W12 7PJ</t>
  </si>
  <si>
    <t>osgb1000042031616</t>
  </si>
  <si>
    <t>jZncG6wSutuXXVXe</t>
  </si>
  <si>
    <t>osgb5000005142989005</t>
  </si>
  <si>
    <t>6Dicy3WW7Eg/q3QZ</t>
  </si>
  <si>
    <t>CL06DS</t>
  </si>
  <si>
    <t>["PHOENIX FITNESS CENTRE &amp; JANET ADEGOKE SWIMMING POOL, PHOENIX CLOSE, LONDON, W12 7DN"]</t>
  </si>
  <si>
    <t>Commercial : Leisure - Applicable to recreational sites and enterprises : Indoor / Outdoor Leisure / Sporting Activity / Centre : Diving / Swimming Facility</t>
  </si>
  <si>
    <t>W12 7DN</t>
  </si>
  <si>
    <t>osgb1000001787313910</t>
  </si>
  <si>
    <t>KjbW78zB7s0y4rat</t>
  </si>
  <si>
    <t>OR04</t>
  </si>
  <si>
    <t>["OFFICE, 201, WOOD LANE, LONDON, W12 7TQ", "THE ATHENIAN, MEDIA VILLAGE, 201, WOOD LANE, LONDON, W12 7TU", "YOOX NET A PORTER, MEDIA VILLAGE, 201, WOOD LANE, LONDON, W12 7TU", "TELECOMMUNICATIONS NETWORK, 201, WOOD LANE, LONDON, W12 7TQ", "201, WOOD LANE, LONDON, W12 7TQ"]</t>
  </si>
  <si>
    <t>Other (Ordnance Survey Only) : Royal Mail Infrastructure : Additional Mail / Packet Addressee</t>
  </si>
  <si>
    <t>W12 7TU</t>
  </si>
  <si>
    <t>osgb1000001787244420</t>
  </si>
  <si>
    <t>F/Ii26vZKjcLNp6/</t>
  </si>
  <si>
    <t>["24, MILSON ROAD, LONDON, W14 0LJ"]</t>
  </si>
  <si>
    <t>osgb1000003908618</t>
  </si>
  <si>
    <t>2U9Wly3V+fxys3Ge</t>
  </si>
  <si>
    <t>["COMMUNICATION STATION, K WEST HOTEL, RICHMOND WAY, LONDON, W14 0AY", "K WEST HOTEL, RICHMOND WAY, LONDON, W14 0AX"]</t>
  </si>
  <si>
    <t>W14 0AY</t>
  </si>
  <si>
    <t>osgb1000003906484</t>
  </si>
  <si>
    <t>/5AdaXjbCWeK3lQT</t>
  </si>
  <si>
    <t>CE02</t>
  </si>
  <si>
    <t>["ST. JOHN THE BAPTIST CHURCH, HOLLAND ROAD, LONDON, W14 8AH", "ROSE CLINIC PERFORMANCE PHYSIOTHERAPY LTD, THE CRYPT, ST. JOHN THE BAPTIST CHURCH, HOLLAND ROAD, LONDON, W14 8AH", "CRYPT, ST JOHN THE BAPTISTS CHURCH, HOLLAND ROAD, LONDON, W14 8AH"]</t>
  </si>
  <si>
    <t>Commercial : Education : Children’s Nursery / Crèche</t>
  </si>
  <si>
    <t>W14 8AH</t>
  </si>
  <si>
    <t>osgb1000041930096</t>
  </si>
  <si>
    <t>OdgM+AaoVNu/p1ro</t>
  </si>
  <si>
    <t>["7, HOPGOOD STREET, LONDON, W12 7JU", "7A, HOPGOOD STREET, LONDON, W12 7JU"]</t>
  </si>
  <si>
    <t>W12 7JU</t>
  </si>
  <si>
    <t>osgb1000003912232</t>
  </si>
  <si>
    <t>+S1iStIgUX5HZhLf</t>
  </si>
  <si>
    <t>CM02HC</t>
  </si>
  <si>
    <t>["1-13, MILSON ROAD, LONDON, W14 0LJ"]</t>
  </si>
  <si>
    <t>Primary health care (general practitioners surgeries and dental practices)</t>
  </si>
  <si>
    <t>Commercial : Medical : General Practice Surgery / Clinic : Health Centre</t>
  </si>
  <si>
    <t>osgb1000003908587</t>
  </si>
  <si>
    <t>lHPIWaLoZUVpKsPq</t>
  </si>
  <si>
    <t>osgb1000001787313973</t>
  </si>
  <si>
    <t>fbdweiA4YBSPBIFg</t>
  </si>
  <si>
    <t>["48, MINFORD GARDENS, LONDON, W14 0AP", "46, MINFORD GARDENS, LONDON, W14 0AN", "BASEMENT, 46, MINFORD GARDENS, LONDON, W14 0AN", "FLAT SECOND FLOOR, 46, MINFORD GARDENS, LONDON, W14 0AN", "FLAT FIRST FLOOR, 46, MINFORD GARDENS, LONDON, W14 0AN", "48V, MINFORD GARDENS, LONDON, W14 0AW", "48-50, MINFORD GARDENS, LONDON, W14 0AN"]</t>
  </si>
  <si>
    <t>Residential : Dwelling : Self Contained Flat (Includes Maisonette / Apartment)</t>
  </si>
  <si>
    <t>COUNCIL</t>
  </si>
  <si>
    <t>W14 0AW</t>
  </si>
  <si>
    <t>osgb1000003906274</t>
  </si>
  <si>
    <t>8qtEdy3BbXzBWGm8</t>
  </si>
  <si>
    <t>["UNIPEC UK CO LTD, LAWN HOUSE, 74, SHEPHERDS BUSH GREEN, LONDON, W12 8QE", "PART GROUND AND FIRST - FOURTH FLOORS, LAWN HOUSE, 74, SHEPHERD'S BUSH GREEN, LONDON, W12 8QE"]</t>
  </si>
  <si>
    <t>osgb1000003907401</t>
  </si>
  <si>
    <t>yRYOZevo2D6rBNWK</t>
  </si>
  <si>
    <t>["CINEMA, WEST 12 SHOPPING CENTRE, SHEPHERD'S BUSH GREEN, LONDON, W12 8PP", "UNIT 1 - THE LINKS, WEST 12 SHOPPING CENTRE, SHEPHERD'S BUSH GREEN, LONDON, W12 8PP", "2A-2B, WEST 12 SHOPPING CENTRE, SHEPHERD'S BUSH GREEN, LONDON, W12 8PP", "UNIT 3 - THE LINKS, WEST 12 SHOPPING CENTRE, SHEPHERD'S BUSH GREEN, LONDON, W12 8PP"]</t>
  </si>
  <si>
    <t>W12 8PP</t>
  </si>
  <si>
    <t>osgb1000001795905678</t>
  </si>
  <si>
    <t>zykEvrH/6godhvGS</t>
  </si>
  <si>
    <t>["OFFICE A PART GROUND FLOOR, MEDIA WORKS BUILDING, 191, WOOD LANE, LONDON, W12 7FP", "FIRST AND OFFICE B PART SECOND FLOOR, MEDIA WORKS BUILDING, 191, WOOD LANE, LONDON, W12 7FP", "WHITE CITY PLACE, MEDIA WORKS BUILDING, 191, WOOD LANE, LONDON, W12 7FP", "UNIT 2, MEDIA WORKS BUILDING, 191, WOOD LANE, LONDON, W12 7FP", "UNIT 5, MEDIA WORKS BUILDING, 191, WOOD LANE, LONDON, W12 7FP", "TONIC15, MEDIA WORKS BUILDING, 191, WOOD LANE, LONDON, W12 7FP", "UNIT 3 AND 4, MEDIA WORKS BUILDING, 191, WOOD LANE, LONDON, W12 7FP", "UNIT 9, MEDIA WORKS BUILDING, 191, WOOD LANE, LONDON, W12 7FP", "UNIT 1, MEDIA WORKS BUILDING, 191, WOOD LANE, LONDON, W12 7FP", "UNIT 11, MEDIA WORKS BUILDING, 191, WOOD LANE, LONDON, W12 7FP", "YNAP TECH HUB, UNIT 6, MEDIA WORKS BUILDING, 191, WOOD LANE, LONDON, W12 7FP", "UNIT 7, MEDIA WORKS BUILDING, 191, WOOD LANE, LONDON, W12 7FP", "OFFICE B PART GROUND FLOOR, MEDIA WORKS BUILDING, 191, WOOD LANE, LONDON, W12 7FP", "ROCK &amp; RAW LTD, MEDIA WORKS BUILDING, 191, WOOD LANE, LONDON, W12 7FP", "MEDIA WORKS BUILDING, 191, WOOD LANE, LONDON, W12 7FP", "HUCKLETREE WEST, MEDIA WORKS BUILDING, 191, WOOD LANE, LONDON, W12 7FP", "OLIVER BONAS STORES, UNIT 8, MEDIA WORKS BUILDING, 191, WOOD LANE, LONDON, W12 7FP"]</t>
  </si>
  <si>
    <t>W12 7FP</t>
  </si>
  <si>
    <t>osgb1000001787244528</t>
  </si>
  <si>
    <t>M6NDebNY+MyocxG1</t>
  </si>
  <si>
    <t>["THE RANDOLPH BERESFORD EARLY YEARS CENTRE, AUSTRALIA ROAD, LONDON, W12 7PH"]</t>
  </si>
  <si>
    <t>osgb1000042030476</t>
  </si>
  <si>
    <t>npJEvLnZ1gWs4lTV</t>
  </si>
  <si>
    <t>CC04</t>
  </si>
  <si>
    <t>["BLYTHE NEIGHBOURHOOD COUNCIL, MASBRO CENTRE, 87, MASBRO ROAD, LONDON, W14 0LR"]</t>
  </si>
  <si>
    <t>Commercial : Community Services : Public / Village Hall / Other Community Facility</t>
  </si>
  <si>
    <t>W14 0LR</t>
  </si>
  <si>
    <t>osgb1000003908586</t>
  </si>
  <si>
    <t>58kY34AP1draSs7Z</t>
  </si>
  <si>
    <t>osgb1000042031174</t>
  </si>
  <si>
    <t>MCT//yxFJ4u36j33</t>
  </si>
  <si>
    <t>["ATM, 25-27, SHEPHERD'S BUSH GREEN, LONDON, W12 8PH", "30, SHEPHERD'S BUSH GREEN, LONDON, W14 0DJ", "24, SHEPHERDS BUSH GREEN, LONDON, W12 8PH", "HEADMASTERS LTD, 29, SHEPHERDS BUSH GREEN, LONDON, W12 8PH", "NATWEST, 25, SHEPHERDS BUSH GREEN, LONDON, W12 8PR", "SKIN CLINICS, 28, SHEPHERDS BUSH GREEN, LONDON, W12 8PH"]</t>
  </si>
  <si>
    <t>osgb1000003906019</t>
  </si>
  <si>
    <t>rhL2l600hOZ5t4+Z</t>
  </si>
  <si>
    <t>osgb1000003907661</t>
  </si>
  <si>
    <t>lPwOM2ba/andBCjY</t>
  </si>
  <si>
    <t>["THE NORTH AREA COMMUNITY EDUCATION CENTRE, 61, BRYONY ROAD, LONDON, W12 0SP"]</t>
  </si>
  <si>
    <t>W12 0SP</t>
  </si>
  <si>
    <t>osgb1000042031165</t>
  </si>
  <si>
    <t>R/vBDAdqnUkBwEtf</t>
  </si>
  <si>
    <t>CR06</t>
  </si>
  <si>
    <t>["QUEENS TAVERN, 51, SOUTH AFRICA ROAD, LONDON, W12 7PA"]</t>
  </si>
  <si>
    <t>Commercial : Retail : Public House / Bar / Nightclub</t>
  </si>
  <si>
    <t>W12 7PA</t>
  </si>
  <si>
    <t>osgb1000042030423</t>
  </si>
  <si>
    <t>VhV9tapaUB+Kwmb4</t>
  </si>
  <si>
    <t>["17-22, ARLINGTON HOUSE, TUNIS ROAD, LONDON, W12 7EP", "AYAM ZAMAN, 258, UXBRIDGE ROAD, LONDON, W12 7JA", "FLAT 22, ARLINGTON HOUSE, TUNIS ROAD, LONDON, W12 7EP", "FLAT 17, ARLINGTON HOUSE, TUNIS ROAD, LONDON, W12 7EP", "FLAT 21, ARLINGTON HOUSE, TUNIS ROAD, LONDON, W12 7EP", "AL-DIMASHQI, 260-262, UXBRIDGE ROAD, LONDON, W12 7JA", "FLAT 20, ARLINGTON HOUSE, TUNIS ROAD, LONDON, W12 7EP", "FLAT 18, ARLINGTON HOUSE, TUNIS ROAD, LONDON, W12 7EP", "COMMUNICATION STATION AT 258-262, UXBRIDGE ROAD, LONDON, W12 7JA", "FLAT 19, ARLINGTON HOUSE, TUNIS ROAD, LONDON, W12 7EP"]</t>
  </si>
  <si>
    <t>LEASEHOLD</t>
  </si>
  <si>
    <t>osgb1000042032149</t>
  </si>
  <si>
    <t>gwPefbvbvR7B7XMp</t>
  </si>
  <si>
    <t>["31, REDAN STREET, LONDON, W14 0AB"]</t>
  </si>
  <si>
    <t>osgb1000003908521</t>
  </si>
  <si>
    <t>AnnualDemand</t>
  </si>
  <si>
    <t>PeakDemand</t>
  </si>
  <si>
    <t>ConnectionCount</t>
  </si>
  <si>
    <t>abp_class</t>
  </si>
  <si>
    <t>addresses</t>
  </si>
  <si>
    <t>area_name</t>
  </si>
  <si>
    <t>cibse_category</t>
  </si>
  <si>
    <t>class_desc</t>
  </si>
  <si>
    <t>council_tenure</t>
  </si>
  <si>
    <t>has_community_heating</t>
  </si>
  <si>
    <t>postcode</t>
  </si>
  <si>
    <t>site_name</t>
  </si>
  <si>
    <t>type</t>
  </si>
  <si>
    <t>unheated</t>
  </si>
  <si>
    <t>toid</t>
  </si>
  <si>
    <t>Ref</t>
  </si>
  <si>
    <t>Category</t>
  </si>
  <si>
    <t>Annual Demand, kWh</t>
  </si>
  <si>
    <t>Peak Demand, kW</t>
  </si>
  <si>
    <t>No. of connections</t>
  </si>
  <si>
    <t>Building class</t>
  </si>
  <si>
    <t>Diameter</t>
  </si>
  <si>
    <t>Losses</t>
  </si>
  <si>
    <t>kW</t>
  </si>
  <si>
    <t>area_fid</t>
  </si>
  <si>
    <t>cost_category</t>
  </si>
  <si>
    <t>form</t>
  </si>
  <si>
    <t>hierarchy</t>
  </si>
  <si>
    <t>obbjm8gYsTWhRkpa</t>
  </si>
  <si>
    <t>Hard (default)</t>
  </si>
  <si>
    <t>residential</t>
  </si>
  <si>
    <t>single carriageway</t>
  </si>
  <si>
    <t>local road</t>
  </si>
  <si>
    <t>FfBO9lUdsLtcb18x</t>
  </si>
  <si>
    <t>path</t>
  </si>
  <si>
    <t>2hciEoBuWwFvxK7Y</t>
  </si>
  <si>
    <t>ginuvm0p7NimglVW</t>
  </si>
  <si>
    <t>RMVuXx2w1zNDcnaH</t>
  </si>
  <si>
    <t>Ix+ibQKMkSGwrB8x</t>
  </si>
  <si>
    <t>lcnsEp/zzE56N5gl</t>
  </si>
  <si>
    <t>non-highway</t>
  </si>
  <si>
    <t>PV01E/woIySf4ywr</t>
  </si>
  <si>
    <t>dual carriageway</t>
  </si>
  <si>
    <t>local access road</t>
  </si>
  <si>
    <t>9q0QcIOp7hPW70Dy</t>
  </si>
  <si>
    <t>03kLrdZ29bVv++4X</t>
  </si>
  <si>
    <t>minor road</t>
  </si>
  <si>
    <t>YyTLL3bI7Grw59Tx</t>
  </si>
  <si>
    <t>vqVO+lITa9xGnSuY</t>
  </si>
  <si>
    <t>city-centre</t>
  </si>
  <si>
    <t>a road primary</t>
  </si>
  <si>
    <t>s+xEjeBco/bmY8zw</t>
  </si>
  <si>
    <t>+vDpF7OJJg3328rv</t>
  </si>
  <si>
    <t>Connector</t>
  </si>
  <si>
    <t>GGfASWfP5FOGBMRu</t>
  </si>
  <si>
    <t>fkAJeUL4lI5H9R2s</t>
  </si>
  <si>
    <t>FJtss87dwl2CzmGt</t>
  </si>
  <si>
    <t>DPy2nBDFSRLTCZ6G</t>
  </si>
  <si>
    <t>a road</t>
  </si>
  <si>
    <t>r96/Bo7Pp1aGqI1j</t>
  </si>
  <si>
    <t>uGWdX7TcRMi6e2Ty</t>
  </si>
  <si>
    <t>yqJc0rkyGQNF6CNC</t>
  </si>
  <si>
    <t>puNZ6UtHGJGs8oMS</t>
  </si>
  <si>
    <t>restricted local access road</t>
  </si>
  <si>
    <t>TkUfqIZ+QlIN2Rtf</t>
  </si>
  <si>
    <t>bydVFtiJ0ctgBRn5</t>
  </si>
  <si>
    <t>7Xp9sQU83y5XGkuN</t>
  </si>
  <si>
    <t>70HUp6zAPTfKyapR</t>
  </si>
  <si>
    <t>motorway</t>
  </si>
  <si>
    <t>ff27xNNk/KFn3qt+</t>
  </si>
  <si>
    <t>lQn7hP3JWTDqculj</t>
  </si>
  <si>
    <t>bcncOmdfPrj9fjBX</t>
  </si>
  <si>
    <t>cbJrtHrg6wwtO8uj</t>
  </si>
  <si>
    <t>BotnE0tRJOtf+31y</t>
  </si>
  <si>
    <t>Agu0JAuQtzSVD/Vb</t>
  </si>
  <si>
    <t>WZ68dWy+oSPYAwoQ</t>
  </si>
  <si>
    <t>cQICzthvazc7od4L</t>
  </si>
  <si>
    <t>vfXUPQ7uXqH0tqax</t>
  </si>
  <si>
    <t>dIIaJf2FavuuxI5L</t>
  </si>
  <si>
    <t>K4GCVJXYymiUyb/E</t>
  </si>
  <si>
    <t>slip road</t>
  </si>
  <si>
    <t>pB9OJgQVC/Sn5oFs</t>
  </si>
  <si>
    <t>t5o8WxAquslCIFp2</t>
  </si>
  <si>
    <t>ZnTIHbWCzQUiz46K</t>
  </si>
  <si>
    <t>Gu7WW6H/BIl2cOTT</t>
  </si>
  <si>
    <t>6K0xQaVwJDFEvt4g</t>
  </si>
  <si>
    <t>97LU/GJHjytQgSYD</t>
  </si>
  <si>
    <t>yYhhniuwd54yzNZy</t>
  </si>
  <si>
    <t>WAi51fsHa7OMYjBl</t>
  </si>
  <si>
    <t>enclosed traffic area</t>
  </si>
  <si>
    <t>sgIQQfdWW+kaLUOl</t>
  </si>
  <si>
    <t>ziAcyhmBIfKG9afK</t>
  </si>
  <si>
    <t>5u+Q/yaf6tSUuDiH</t>
  </si>
  <si>
    <t>nqyHr6BK8NNIlg4V</t>
  </si>
  <si>
    <t>xYytH2rzpzBJqHpP</t>
  </si>
  <si>
    <t>AblY6FIJIl9447qs</t>
  </si>
  <si>
    <t>kcNRQ9CotlqCTN73</t>
  </si>
  <si>
    <t>LdGnLcQMknyuUajC</t>
  </si>
  <si>
    <t>VHOeiTJ/ais4nZS9</t>
  </si>
  <si>
    <t>S0fKpSm48f2AgV2z</t>
  </si>
  <si>
    <t>74TlOjfaLXtu4Ofb</t>
  </si>
  <si>
    <t>YmOSpmvYHBgP2ohD</t>
  </si>
  <si>
    <t>n4hCBjr9bMsSarFF</t>
  </si>
  <si>
    <t>SV66McNAQcAZwxFK</t>
  </si>
  <si>
    <t>WpRd/Ct+/lzKlJbF</t>
  </si>
  <si>
    <t>JDqBKwXwfJWMzSiD</t>
  </si>
  <si>
    <t>PboM/3TJrRd68qiR</t>
  </si>
  <si>
    <t>nV1hN/FdbYVKNM+N</t>
  </si>
  <si>
    <t>NQAK3I5dSfyIVoNZ</t>
  </si>
  <si>
    <t>zq7PXw9Zzb24Z3gO</t>
  </si>
  <si>
    <t>nU0GGLvRU9/7cf1e</t>
  </si>
  <si>
    <t>TUD5VdJdF8dR54H9</t>
  </si>
  <si>
    <t>8BLtGXD8iCi94I5+</t>
  </si>
  <si>
    <t>a1uervWiLMcKqOPp</t>
  </si>
  <si>
    <t>uQIk+BQsdNa6f4XB</t>
  </si>
  <si>
    <t>fucEIxRBjLRg4tdP</t>
  </si>
  <si>
    <t>hPS29UfKdAu4hfEO</t>
  </si>
  <si>
    <t>restricted secondary access road</t>
  </si>
  <si>
    <t>5K0cwGSAo4GVNQ+/</t>
  </si>
  <si>
    <t>pz2huFFqWFbLcAaZ</t>
  </si>
  <si>
    <t>roundabout</t>
  </si>
  <si>
    <t>aN0N7z8ylz/LRvpv</t>
  </si>
  <si>
    <t>YuLmrjtTnUmP4mFj</t>
  </si>
  <si>
    <t>yUpF0THEZP3le+uv</t>
  </si>
  <si>
    <t>izvdDq6e/gy43Cg8</t>
  </si>
  <si>
    <t>Rseyy45BzEmcF5uJ</t>
  </si>
  <si>
    <t>9ZZqg/S5uKsKihf3</t>
  </si>
  <si>
    <t>Msl94RrjNmZs0gth</t>
  </si>
  <si>
    <t>sxKqFk79YmLr6QMy</t>
  </si>
  <si>
    <t>zIzSP5dUneGkDdSQ</t>
  </si>
  <si>
    <t>UZihiRwF/O0blIBN</t>
  </si>
  <si>
    <t>u3fHf4H566d/WcNe</t>
  </si>
  <si>
    <t>b32HLFNGW3/CYGmL</t>
  </si>
  <si>
    <t>Umw/Bejfr23aCvnK</t>
  </si>
  <si>
    <t>zIShjMKc2E48XN4d</t>
  </si>
  <si>
    <t>rnBXCTppBwS5W0B+</t>
  </si>
  <si>
    <t>PQu4pGCmyUCRDJHK</t>
  </si>
  <si>
    <t>m6Ty37iF4QFUMX2p</t>
  </si>
  <si>
    <t>eAL078a4Rk+7Ww27</t>
  </si>
  <si>
    <t>OKpHkBzHQRxosqNj</t>
  </si>
  <si>
    <t>yUCJRjktyF7byi2s</t>
  </si>
  <si>
    <t>PxU2otCvMsoACCKJ</t>
  </si>
  <si>
    <t>BWd5Rbi+BIZyVNNT</t>
  </si>
  <si>
    <t>R0MlNzEMBQJWTtAs</t>
  </si>
  <si>
    <t>9WrAKCbFwECTy7vD</t>
  </si>
  <si>
    <t>LepYPrixP9SnLkF5</t>
  </si>
  <si>
    <t>9uyGon2VT1CYgORF</t>
  </si>
  <si>
    <t>xZBnYB2DGD/fM7F6</t>
  </si>
  <si>
    <t>KSXAW4oGQncQ0ZDP</t>
  </si>
  <si>
    <t>TynhPQJ05T0N4oCt</t>
  </si>
  <si>
    <t>+l8kBIkVvLbHqNRq</t>
  </si>
  <si>
    <t>onXPOmVFj0zs8qfn</t>
  </si>
  <si>
    <t>BAMVJOGcCBURwTmE</t>
  </si>
  <si>
    <t>HqglULdSt0kmpx0R</t>
  </si>
  <si>
    <t>3dFMA17I2ZDInst2</t>
  </si>
  <si>
    <t>7Jxm2XGdBeEoq+fF</t>
  </si>
  <si>
    <t>mBDDXBS3Vy9yadF5</t>
  </si>
  <si>
    <t>NgoVE8eeFnRolvTr</t>
  </si>
  <si>
    <t>R+Y2t7YhrztNd7df</t>
  </si>
  <si>
    <t>87fuILO7tJ91gJ1H</t>
  </si>
  <si>
    <t>BLpCowd/eCQatfoR</t>
  </si>
  <si>
    <t>9ki73GcCb/+edZ96</t>
  </si>
  <si>
    <t>UKGCRLiJmd5ozFom</t>
  </si>
  <si>
    <t>oIGVBrGdQHDG3wfF</t>
  </si>
  <si>
    <t>G4dsCqf19vhLIgyY</t>
  </si>
  <si>
    <t>BpD0lXwB3nGCUleU</t>
  </si>
  <si>
    <t>bUv0Vv/r8RB+vvfk</t>
  </si>
  <si>
    <t>NXoxWhsZdGOQeOZK</t>
  </si>
  <si>
    <t>cfXTIm2elnuJB3hj</t>
  </si>
  <si>
    <t>WjK9B6vXhNoFsFWa</t>
  </si>
  <si>
    <t>f2uF2XytZBV1LH7b</t>
  </si>
  <si>
    <t>67PA1c32hJfsJ7O9</t>
  </si>
  <si>
    <t>5W+Vg1Fwlx2lobc/</t>
  </si>
  <si>
    <t>qI7nrFX6Aq51kWDP</t>
  </si>
  <si>
    <t>EMksAJe5ZKcZi09U</t>
  </si>
  <si>
    <t>4yjMaUNxSKbopcTy</t>
  </si>
  <si>
    <t>d1tY0qKsQYHQISKk</t>
  </si>
  <si>
    <t>s5BOMCpjBtlmryoq</t>
  </si>
  <si>
    <t>UQYxUicYBbBplIja</t>
  </si>
  <si>
    <t>iifei6IL4BU0YaRI</t>
  </si>
  <si>
    <t>FcmRSjYbKV7KUwY0</t>
  </si>
  <si>
    <t>ROOWP7w6HmtkSDH7</t>
  </si>
  <si>
    <t>Zd5xTnkmIA5eG0/L</t>
  </si>
  <si>
    <t>pEwQaNLQzql74Ejs</t>
  </si>
  <si>
    <t>vbzTX9luEKV2u7XN</t>
  </si>
  <si>
    <t>t0y/DtO+vFzX87Rv</t>
  </si>
  <si>
    <t>QgV5vQW2U3JlrYPu</t>
  </si>
  <si>
    <t>uTgrhrEW07q1N3rA</t>
  </si>
  <si>
    <t>ptZTc7luQGgTBcA1</t>
  </si>
  <si>
    <t>Brc5Mf4ok/fG4MK2</t>
  </si>
  <si>
    <t>traffic island link</t>
  </si>
  <si>
    <t>WmVDFjHL/nDkXMAJ</t>
  </si>
  <si>
    <t>traffic island link at junction</t>
  </si>
  <si>
    <t>Rw6IGYfm7xkz43Qj</t>
  </si>
  <si>
    <t>Cc6li9mvmOX+n1k0</t>
  </si>
  <si>
    <t>OLT6G7ljo4EVC3m0</t>
  </si>
  <si>
    <t>4bNFXn0/7jEcjc/E</t>
  </si>
  <si>
    <t>8u5FTWEeyLH3qcaP</t>
  </si>
  <si>
    <t>tz6aJPacPZsjO5cE</t>
  </si>
  <si>
    <t>7Rw6XblErp0C8Pp3</t>
  </si>
  <si>
    <t>CQ4nY6cyXBi8oAtX</t>
  </si>
  <si>
    <t>WbLDDJBEfnSPp3uv</t>
  </si>
  <si>
    <t>1UlXZebL0zpAsT4J</t>
  </si>
  <si>
    <t>Lohe8Lx+PbITktdy</t>
  </si>
  <si>
    <t>XWWwk1ylJ33iw7h1</t>
  </si>
  <si>
    <t>hH9xfgm9EE8dLw5H</t>
  </si>
  <si>
    <t>1azYwQoQtJmRXzMr</t>
  </si>
  <si>
    <t>2evigs2B8FdGvCOa</t>
  </si>
  <si>
    <t>zU2Yfv+knFQKLS7b</t>
  </si>
  <si>
    <t>BMiHltN71ijOxz0C</t>
  </si>
  <si>
    <t>58u6DL4JUiwoG35n</t>
  </si>
  <si>
    <t>7mHlEHPLf9tItmIV</t>
  </si>
  <si>
    <t>aHpuRv8ZG5H20JHq</t>
  </si>
  <si>
    <t>rTBNi0Q9JsLiz6f3</t>
  </si>
  <si>
    <t>veMR1O+beFD9cdRL</t>
  </si>
  <si>
    <t>ZtUhhX0JeJ8gi5qU</t>
  </si>
  <si>
    <t>cIODN+CbonUWGmyj</t>
  </si>
  <si>
    <t>rFXEy151RGr3XBzG</t>
  </si>
  <si>
    <t>Oa0IOh2TNG1UHy/H</t>
  </si>
  <si>
    <t>Us7jaEWzVgOLHLDj</t>
  </si>
  <si>
    <t>oAOZbj51R5YZUfZm</t>
  </si>
  <si>
    <t>AYvggQ3wp2yTTobU</t>
  </si>
  <si>
    <t>y/IRsgUQlg7RWiZt</t>
  </si>
  <si>
    <t>O0kaWjuNvWbNl8c8</t>
  </si>
  <si>
    <t>+cVXJCr9Jd1HLYzA</t>
  </si>
  <si>
    <t>852WQnaVzz8qaBAq</t>
  </si>
  <si>
    <t>lHlYkPoKQKsU+civ</t>
  </si>
  <si>
    <t>/4jK+39YWWZMhVOy</t>
  </si>
  <si>
    <t>boEpki7UkGQKDh9C</t>
  </si>
  <si>
    <t>DMhXMtIe5HbY2ySF</t>
  </si>
  <si>
    <t>CwK1xL4rbjzKWrFk</t>
  </si>
  <si>
    <t>X0uo+EGinXQrzZFp</t>
  </si>
  <si>
    <t>5uEXKkT2nTrQCjox</t>
  </si>
  <si>
    <t>AqWwpVwvW3eyfSZ0</t>
  </si>
  <si>
    <t>OJavwucwb9g5ozPP</t>
  </si>
  <si>
    <t>Yc68Mwc3SGcf+KNy</t>
  </si>
  <si>
    <t>HsBobnXJEVlB/bnq</t>
  </si>
  <si>
    <t>B2Duk9aPY7YJO8Ra</t>
  </si>
  <si>
    <t>rAWvjx7wJtRIDCmK</t>
  </si>
  <si>
    <t>V2zXbTxZSVJ/ZSnS</t>
  </si>
  <si>
    <t>TUmCOS4+lbNvW7TN</t>
  </si>
  <si>
    <t>Qf/CA4JjzF3jYRwi</t>
  </si>
  <si>
    <t>cG3g642vln/gMH0O</t>
  </si>
  <si>
    <t>dMG8JBmq2ZLVmeH7</t>
  </si>
  <si>
    <t>zBgWRjk6g5kooB2z</t>
  </si>
  <si>
    <t>f6w8yiyn5f3+ueLQ</t>
  </si>
  <si>
    <t>ssFlw9FpXyYn2/jK</t>
  </si>
  <si>
    <t>kuVDxNCtr/JYPEOg</t>
  </si>
  <si>
    <t>EeiV8KAqDCNFf9vw</t>
  </si>
  <si>
    <t>gPC4hJl5eW/rr9uH</t>
  </si>
  <si>
    <t>Y6BDBpsB4H1OCYDw</t>
  </si>
  <si>
    <t>E7VI/L8gbUFNBzs2</t>
  </si>
  <si>
    <t>Z7yKV/OZL7snBLPz</t>
  </si>
  <si>
    <t>IW2KjgoPIevTO22y</t>
  </si>
  <si>
    <t>oid6MGmmloE0yTd/</t>
  </si>
  <si>
    <t>8HJlWv9z7HaPpelk</t>
  </si>
  <si>
    <t>xWxqURpkIRDPHMU9</t>
  </si>
  <si>
    <t>vdnrGL1iLvMROfYR</t>
  </si>
  <si>
    <t>wrBaL3a/DLM/7bgn</t>
  </si>
  <si>
    <t>y8hgeqTRgUSXf0JC</t>
  </si>
  <si>
    <t>pwpc5jWmjF7k8bTE</t>
  </si>
  <si>
    <t>HBNU2Gw75/IGs8Pc</t>
  </si>
  <si>
    <t>78NmN2a6Z6n4ypsJ</t>
  </si>
  <si>
    <t>S2y68HB4Ls9mw4tL</t>
  </si>
  <si>
    <t>HYi9k0/x9Vj61FAQ</t>
  </si>
  <si>
    <t>6onz8FQ/tuSR2rjF</t>
  </si>
  <si>
    <t>PDqKj+9b2HmRJDmx</t>
  </si>
  <si>
    <t>+6H73P3k+r5LWFJx</t>
  </si>
  <si>
    <t>Te2Fi1vVExa4Msmc</t>
  </si>
  <si>
    <t>UkF+2fnucmQXS47I</t>
  </si>
  <si>
    <t>50KpGCWGA1EZ4so7</t>
  </si>
  <si>
    <t>gOaJi2NxdcsncEFN</t>
  </si>
  <si>
    <t>YfEGZxW0ufSrf+TJ</t>
  </si>
  <si>
    <t>xYjQ6OfC8mDjwzdZ</t>
  </si>
  <si>
    <t>Ze4Q7I55Rv40BLD7</t>
  </si>
  <si>
    <t>uxzVKQjzM65PBBtn</t>
  </si>
  <si>
    <t>W9jGdfsuSs+2mo7X</t>
  </si>
  <si>
    <t>Xb0F1anKqRMYbZwx</t>
  </si>
  <si>
    <t>k0WTw2cdxbJVK0UN</t>
  </si>
  <si>
    <t>FQyBg1Lcaon8Fujt</t>
  </si>
  <si>
    <t>KEDeALXIUJdk1vYZ</t>
  </si>
  <si>
    <t>yV7rH7lOCX6BzefU</t>
  </si>
  <si>
    <t>IVQ8d9RO+UuVqboy</t>
  </si>
  <si>
    <t>VuhZ5+xlxEU2KsSg</t>
  </si>
  <si>
    <t>W2wZdYm4X7/egOO+</t>
  </si>
  <si>
    <t>Tac5kmoUEIpisIkh</t>
  </si>
  <si>
    <t>jQqpkV0gcY82zCYf</t>
  </si>
  <si>
    <t>VptnghQa2hcireg/</t>
  </si>
  <si>
    <t>YHuqAPlISI/G9Fa+</t>
  </si>
  <si>
    <t>+fs21yiRNVopGzWE</t>
  </si>
  <si>
    <t>wTf8Prx52apY/31o</t>
  </si>
  <si>
    <t>N0LQYL9WLWWe8LvT</t>
  </si>
  <si>
    <t>4a7EHGgGr0xXGqBE</t>
  </si>
  <si>
    <t>zAhzt67TaCr7u6KB</t>
  </si>
  <si>
    <t>yJwGZJqtyUrSdV5f</t>
  </si>
  <si>
    <t>RPjzhWg6U/5NpypE</t>
  </si>
  <si>
    <t>rK6j60H1RGnbpWaQ</t>
  </si>
  <si>
    <t>XrQ0vpXYvRyf8yKn</t>
  </si>
  <si>
    <t>FJeYn2cTqNI7kMyv</t>
  </si>
  <si>
    <t>QA/JCebUOb8iYH9k</t>
  </si>
  <si>
    <t>AjI/H1eBDuBZIHgs</t>
  </si>
  <si>
    <t>Db0DmXLTs7k40Wpo</t>
  </si>
  <si>
    <t>6JLZmRYaFHThqYk9</t>
  </si>
  <si>
    <t>KRIsM4mBcaT8yRHq</t>
  </si>
  <si>
    <t>uE5x86rQNhCsA15m</t>
  </si>
  <si>
    <t>9FJ04cnPlvW6fwkk</t>
  </si>
  <si>
    <t>IUIkkV7np5XWaJPm</t>
  </si>
  <si>
    <t>U9BtQ7mtqaXwMfAP</t>
  </si>
  <si>
    <t>+cxsdCHq0G1/OANJ</t>
  </si>
  <si>
    <t>x8Oozjvwkq7jV8Tq</t>
  </si>
  <si>
    <t>Ew/e/m2xPG3bzT9x</t>
  </si>
  <si>
    <t>650B2b/kqlexPFKn</t>
  </si>
  <si>
    <t>4WHmhMcpQjfV29zT</t>
  </si>
  <si>
    <t>kkARPCQMxV6dtm3V</t>
  </si>
  <si>
    <t>rbRG7z8WxXRNTgZe</t>
  </si>
  <si>
    <t>I2sm8TP0mYR23Wsi</t>
  </si>
  <si>
    <t>po2ruAqWUs2Idszs</t>
  </si>
  <si>
    <t>1lqUCIDVapK0q5HW</t>
  </si>
  <si>
    <t>1U5n6xdvnVgL5eN1</t>
  </si>
  <si>
    <t>RnHWeZJkJN3KmI5I</t>
  </si>
  <si>
    <t>Hjer/oc5ggF6pMn+</t>
  </si>
  <si>
    <t>nIYM1wbkRWKkoV7N</t>
  </si>
  <si>
    <t>6xsl4Bqwa/s1g7mZ</t>
  </si>
  <si>
    <t>qb90FlwhRYS8dUEA</t>
  </si>
  <si>
    <t>p/rcDRy1CCBz0TGX</t>
  </si>
  <si>
    <t>2s6G2aOFgjay/noG</t>
  </si>
  <si>
    <t>3/xztgErc/wl8KaF</t>
  </si>
  <si>
    <t>tsKz7zNBgskwT60t</t>
  </si>
  <si>
    <t>IjJb+4t7vODrbwVA</t>
  </si>
  <si>
    <t>i3O6STfYy+wBBqAd</t>
  </si>
  <si>
    <t>vJbjQm5Ie9fL120R</t>
  </si>
  <si>
    <t>EIW/anI+VnN5RRz8</t>
  </si>
  <si>
    <t>jQNTLRL+3G6TNBNx</t>
  </si>
  <si>
    <t>7IfPBFyzdmNKW2a1</t>
  </si>
  <si>
    <t>lvyWQ/1OyxNPZ2lJ</t>
  </si>
  <si>
    <t>EuRVjWjw2FneWdQZ</t>
  </si>
  <si>
    <t>3h94aTm79sTJFeV5</t>
  </si>
  <si>
    <t>DgCSftChxPqkBOGo</t>
  </si>
  <si>
    <t>zOf/4HC4NoR7qr8S</t>
  </si>
  <si>
    <t>wsRZr6a2IkwHAGQY</t>
  </si>
  <si>
    <t>FppeoUmGEDB4nISn</t>
  </si>
  <si>
    <t>zxJSIapcUOxOEo/e</t>
  </si>
  <si>
    <t>zHEHmtjJigdtsVxV</t>
  </si>
  <si>
    <t>JGZSuH5uU9jUEniM</t>
  </si>
  <si>
    <t>h/41ZwZQh5aKbn2+</t>
  </si>
  <si>
    <t>YVDpul3619qZDgvu</t>
  </si>
  <si>
    <t>7wXb38MXcgLi6d15</t>
  </si>
  <si>
    <t>iVup5nsISkbOvVy3</t>
  </si>
  <si>
    <t>jZq0Se1JGX6in0lN</t>
  </si>
  <si>
    <t>sWFVitLP7uLHBbWl</t>
  </si>
  <si>
    <t>zEZxG7WXdU/qqyvU</t>
  </si>
  <si>
    <t>1ggIhLxaAc900nDq</t>
  </si>
  <si>
    <t>44UmYylxF2hRozY/</t>
  </si>
  <si>
    <t>Y/9+KhbWZPsHERQp</t>
  </si>
  <si>
    <t>e8jSkPirp7jGVHQE</t>
  </si>
  <si>
    <t>GaZdhLRpzP3+sMZm</t>
  </si>
  <si>
    <t>jqEPIRyIUXEBHK9A</t>
  </si>
  <si>
    <t>zaim09/+o5485Ea2</t>
  </si>
  <si>
    <t>Z8S+WbrrBzqiMU0K</t>
  </si>
  <si>
    <t>0nOdoq+Zqv4TXomV</t>
  </si>
  <si>
    <t>AQs1Vm874IV+pfpp</t>
  </si>
  <si>
    <t>uv5B7I6VnX5Wry83</t>
  </si>
  <si>
    <t>ZXCKpkPccd9UAVOw</t>
  </si>
  <si>
    <t>iqs6uASoBHbn5uLQ</t>
  </si>
  <si>
    <t>7WHhy8d9H76whUCP</t>
  </si>
  <si>
    <t>iy6FMhh8abC9g6D7</t>
  </si>
  <si>
    <t>W1pYcowkhcpcxsuu</t>
  </si>
  <si>
    <t>arOI5arE6FmGzZH1</t>
  </si>
  <si>
    <t>aTgRgwqVVDQ4egkm</t>
  </si>
  <si>
    <t>/c/GQPQcc6uVBqvB</t>
  </si>
  <si>
    <t>0V0bXls1xQE/dt68</t>
  </si>
  <si>
    <t>OhxQl5HpoNtCYCFt</t>
  </si>
  <si>
    <t>zZP6rWlqdMqr+60z</t>
  </si>
  <si>
    <t>KaE3hESNNMaabAPf</t>
  </si>
  <si>
    <t>F57diUeFG+fwR2td</t>
  </si>
  <si>
    <t>l9SJDaLXS21jO/Tx</t>
  </si>
  <si>
    <t>K+txQc686goqgbbl</t>
  </si>
  <si>
    <t>CE9hV/bro3KrUsP3</t>
  </si>
  <si>
    <t>ZOOl5w+h9K/4RmHB</t>
  </si>
  <si>
    <t>Hr1XWqJq/hIhvcPB</t>
  </si>
  <si>
    <t>Nf4fRPhTypbQVEEJ</t>
  </si>
  <si>
    <t>qt70cS9R7xpQ2Dh/</t>
  </si>
  <si>
    <t>D8urfp7MfteuBycF</t>
  </si>
  <si>
    <t>NBCJiRR0RIDaFNQU</t>
  </si>
  <si>
    <t>HSNK9CQ3HXzB6ZJj</t>
  </si>
  <si>
    <t>kgPOy1XsbxuiE23R</t>
  </si>
  <si>
    <t>k7xiBP7WSzIlLnQv</t>
  </si>
  <si>
    <t>pQ8BhkFTjbv7sSEi</t>
  </si>
  <si>
    <t>4D59sgzd/sVCJzGZ</t>
  </si>
  <si>
    <t>2aaqwLNGGlnaG76p</t>
  </si>
  <si>
    <t>zlZOF/tq36pCOiJH</t>
  </si>
  <si>
    <t>goTWA8tW+dU5KC3L</t>
  </si>
  <si>
    <t>6kOb21kTZlQBn8hn</t>
  </si>
  <si>
    <t>+jZPCxcvn55nE7l5</t>
  </si>
  <si>
    <t>xi5Zro8yuAiw8ibY</t>
  </si>
  <si>
    <t>pLTJ9ebUjyUzKA7q</t>
  </si>
  <si>
    <t>YeZW8C2hMe7lIcOv</t>
  </si>
  <si>
    <t>x7SYF3bMDDj+rN6O</t>
  </si>
  <si>
    <t>K9cCA8cakq7p2UTh</t>
  </si>
  <si>
    <t>73MS53h5T50swInp</t>
  </si>
  <si>
    <t>UBmhDg2eAeLWauf5</t>
  </si>
  <si>
    <t>By1HDQrxsFTcCTzz</t>
  </si>
  <si>
    <t>HZRyFIrIqcRjUiw5</t>
  </si>
  <si>
    <t>QRFJ6903dJns6tNY</t>
  </si>
  <si>
    <t>+PXnS6hli1xhqtxC</t>
  </si>
  <si>
    <t>iHB0ogl4veseoGfE</t>
  </si>
  <si>
    <t>uNNmynIvWRSPhpKz</t>
  </si>
  <si>
    <t>9HE9kL8V4ZBdaTLY</t>
  </si>
  <si>
    <t>mfVpMQEkMDtfVkI7</t>
  </si>
  <si>
    <t>MM8SV3fKwh8JdC4b</t>
  </si>
  <si>
    <t>VO+rNWI8CAc0OAUu</t>
  </si>
  <si>
    <t>pA47XvOKR4ch6Bz3</t>
  </si>
  <si>
    <t>rp6kLvcur/5uhJRV</t>
  </si>
  <si>
    <t>rW4K4EclUz2LWyVc</t>
  </si>
  <si>
    <t>YufsMOZoVOScOtyE</t>
  </si>
  <si>
    <t>7LoBu7+AnkW7AR44</t>
  </si>
  <si>
    <t>0tj874zZdVNhJwIa</t>
  </si>
  <si>
    <t>RclP7nBKZL1AeZiH</t>
  </si>
  <si>
    <t>CLXgFkUOEfBEqj30</t>
  </si>
  <si>
    <t>u206O2BJ1I107T3Q</t>
  </si>
  <si>
    <t>g9haVpFq6vbZJ3bc</t>
  </si>
  <si>
    <t>YqWXSCE/WUkFxMVZ</t>
  </si>
  <si>
    <t>LF/0EhlT1rqe0sb9</t>
  </si>
  <si>
    <t>aMy0pcDCleOLrd7l</t>
  </si>
  <si>
    <t>3Ab6lGfPisLeuI9r</t>
  </si>
  <si>
    <t>52EsjdVS1CktnDhw</t>
  </si>
  <si>
    <t>3riB1kFXy9OAw0lp</t>
  </si>
  <si>
    <t>j9Ar0cT97OytrQ9J</t>
  </si>
  <si>
    <t>fcKQNCAgrXEo/vq+</t>
  </si>
  <si>
    <t>3nqB3i0BGRJmECUH</t>
  </si>
  <si>
    <t>ZjWl5TjGEh4AojFW</t>
  </si>
  <si>
    <t>YX4jbgpFYtCuHvoq</t>
  </si>
  <si>
    <t>FJ9rNLIv5+SF8bqR</t>
  </si>
  <si>
    <t>pyqfFl1iUW76Z30p</t>
  </si>
  <si>
    <t>azTcU7cM4yrygOQP</t>
  </si>
  <si>
    <t>B9+HVfJsFPmAcn5Y</t>
  </si>
  <si>
    <t>0MG7ixHdQwWh7EF5</t>
  </si>
  <si>
    <t>EUuepof+XUIJsonm</t>
  </si>
  <si>
    <t>4w/HcAzDw8Cko9pS</t>
  </si>
  <si>
    <t>44RjAzAXE7vmUrQM</t>
  </si>
  <si>
    <t>hwM1/tXdsek3SfHW</t>
  </si>
  <si>
    <t>0i1m9CASAdxo2r+I</t>
  </si>
  <si>
    <t>/eZ3x86v2b2dTaM0</t>
  </si>
  <si>
    <t>kz/O6y7kplELLu7y</t>
  </si>
  <si>
    <t>CbY1s9GlqdixKPN7</t>
  </si>
  <si>
    <t>hp/R7zEO/IcWBw0s</t>
  </si>
  <si>
    <t>2SNme/hsAV5t/0W8</t>
  </si>
  <si>
    <t>PsRhxN6J01pp7Nu/</t>
  </si>
  <si>
    <t>yEf1Ls3xPjWiFJNZ</t>
  </si>
  <si>
    <t>CIwAeElqlAQmS0WQ</t>
  </si>
  <si>
    <t>t/rLbeYHS0iga9K3</t>
  </si>
  <si>
    <t>yVof355+xOC3Vcja</t>
  </si>
  <si>
    <t>MOS52UwJMGQbtMPA</t>
  </si>
  <si>
    <t>C7TykO4HGVMGfe54</t>
  </si>
  <si>
    <t>4Oqe9zGG4sHYnWpR</t>
  </si>
  <si>
    <t>9wbcetkC198eozyj</t>
  </si>
  <si>
    <t>EnrKMD8VMRAGNlCH</t>
  </si>
  <si>
    <t>6PgrEVcOGjI/GTCm</t>
  </si>
  <si>
    <t>JgT+fja1I9Oz5Ln6</t>
  </si>
  <si>
    <t>esHoP7p5f8NPNNWi</t>
  </si>
  <si>
    <t>KN0DDg0L1YVE/XAm</t>
  </si>
  <si>
    <t>wTCHbdZVXZ6ZyjHn</t>
  </si>
  <si>
    <t>0X8pMxZEcjU3s9qx</t>
  </si>
  <si>
    <t>pWj97HYBl84cep3Q</t>
  </si>
  <si>
    <t>mnNdfb8d+QoEmriv</t>
  </si>
  <si>
    <t>tBKS7/iOC4RYVqCS</t>
  </si>
  <si>
    <t>ZqEEneiW90piuOoq</t>
  </si>
  <si>
    <t>LfiZ9hz8OcMa7AMz</t>
  </si>
  <si>
    <t>UISOAQD2IACiUrBQ</t>
  </si>
  <si>
    <t>4GTdILpmp8mG0wbZ</t>
  </si>
  <si>
    <t>XlOuxxPWQBUOV2h1</t>
  </si>
  <si>
    <t>vhcg35jbWhbzAF+8</t>
  </si>
  <si>
    <t>LSlW+3hhWIAJg4tO</t>
  </si>
  <si>
    <t>ITve3p+oEhZwHvzx</t>
  </si>
  <si>
    <t>2ncicgX48K9gl6k4</t>
  </si>
  <si>
    <t>MRZGV8iiLO/zK/0Q</t>
  </si>
  <si>
    <t>6O84AnrNGqK6zt5R</t>
  </si>
  <si>
    <t>mioephAKOVTbGFwX</t>
  </si>
  <si>
    <t>RM7K/NZ9J0gJowvf</t>
  </si>
  <si>
    <t>sAXNnpSZNLZRXRqD</t>
  </si>
  <si>
    <t>3S/CaKJ7In3PetSv</t>
  </si>
  <si>
    <t>gqhmJFueg7rbOAag</t>
  </si>
  <si>
    <t>Wske48nBsPfuIiGm</t>
  </si>
  <si>
    <t>L5+8ZmBsOkvYbfpG</t>
  </si>
  <si>
    <t>DaynQhCVHSulQjoS</t>
  </si>
  <si>
    <t>reYitwIATJv4RsCI</t>
  </si>
  <si>
    <t>iTqIw2pp47eR2O0/</t>
  </si>
  <si>
    <t>nNUmyYn6QNYe+dBY</t>
  </si>
  <si>
    <t>6hn6LBuIh2X0XC/D</t>
  </si>
  <si>
    <t>uhK+Ypu0nut8jyU+</t>
  </si>
  <si>
    <t>q4YDVzxAB6nrWjvh</t>
  </si>
  <si>
    <t>yzSJvK+k15F8txOU</t>
  </si>
  <si>
    <t>+dBGK3McEegYlwwl</t>
  </si>
  <si>
    <t>I35JBRVnObFXoYuY</t>
  </si>
  <si>
    <t>/113b9DaBQkWDT6l</t>
  </si>
  <si>
    <t>uhd9jxGjYLvhYvHV</t>
  </si>
  <si>
    <t>6SggQ7CPtUAS2edR</t>
  </si>
  <si>
    <t>DK+ywlcRHb7DqL8z</t>
  </si>
  <si>
    <t>maY8UYLsuKjCkAhj</t>
  </si>
  <si>
    <t>Sa+4elLBcnMxVTqU</t>
  </si>
  <si>
    <t>jL3uYsB7nPShvjcI</t>
  </si>
  <si>
    <t>xJWC9a28gydkwtnZ</t>
  </si>
  <si>
    <t>5Z5uEHCBjoMkN+SV</t>
  </si>
  <si>
    <t>+n2kTXyo6QTeMrlI</t>
  </si>
  <si>
    <t>6kHRsIOwZbuDQKbn</t>
  </si>
  <si>
    <t>NJ5ljSasgzIhIJQD</t>
  </si>
  <si>
    <t>87i1zCCSAZPCbTcv</t>
  </si>
  <si>
    <t>a3/w3xrnFcx89PN3</t>
  </si>
  <si>
    <t>+RK8U+N9H6ZQFBwz</t>
  </si>
  <si>
    <t>jNaRzg0pwBvb6KxY</t>
  </si>
  <si>
    <t>yWc/NqxcDcjtNi5A</t>
  </si>
  <si>
    <t>/o+2NliZzGDqtURt</t>
  </si>
  <si>
    <t>qfB94DP9X9C+1QG/</t>
  </si>
  <si>
    <t>a+sUHAb7UDgcVq+/</t>
  </si>
  <si>
    <t>4cLxv9FfSWYsegv4</t>
  </si>
  <si>
    <t>VqfhLnsuFAD8UijX</t>
  </si>
  <si>
    <t>qw7icStV7xRScFXG</t>
  </si>
  <si>
    <t>sCY1HTDZroMaMIQL</t>
  </si>
  <si>
    <t>9V6QKtvrpHHpJwW0</t>
  </si>
  <si>
    <t>vCvd+RA2NmxuvRqI</t>
  </si>
  <si>
    <t>b0LojQu+nbqAxX8G</t>
  </si>
  <si>
    <t>h+K/CB0tmoLT1MOe</t>
  </si>
  <si>
    <t>mT2OSh9f4do/H48d</t>
  </si>
  <si>
    <t>QckuG258NvHc8YRi</t>
  </si>
  <si>
    <t>P7BHcFHA5NseD0uc</t>
  </si>
  <si>
    <t>olBQ5YixMiB2jWB7</t>
  </si>
  <si>
    <t>t95hRPUgZoPMZFUw</t>
  </si>
  <si>
    <t>Wbz7u4VWWw6zrsSh</t>
  </si>
  <si>
    <t>tUwIwsKqJv10+Zmi</t>
  </si>
  <si>
    <t>PytN5fLZE70+Xfwr</t>
  </si>
  <si>
    <t>uNia6XpsQPG71o4o</t>
  </si>
  <si>
    <t>tHICDi8Alug+FcCS</t>
  </si>
  <si>
    <t>EDwwq8AcIjqbbaqe</t>
  </si>
  <si>
    <t>MHXmGDR3JiMXgfKz</t>
  </si>
  <si>
    <t>OnFbhCJtJmOzjc/+</t>
  </si>
  <si>
    <t>APmB2NaOWBfDWVam</t>
  </si>
  <si>
    <t>OLDrcN/bhC1zYPBv</t>
  </si>
  <si>
    <t>A6WpXZ/QNYPkB0Ta</t>
  </si>
  <si>
    <t>h+8L4WDjeZOdCd9O</t>
  </si>
  <si>
    <t>NgVaAmPfZkXj1Mll</t>
  </si>
  <si>
    <t>gAOzBtzbp7bFVkXA</t>
  </si>
  <si>
    <t>7U+HyamO7yFGrHYA</t>
  </si>
  <si>
    <t>IkAmFWolDv1SqyzD</t>
  </si>
  <si>
    <t>Grc9dhIHBbXdKP2W</t>
  </si>
  <si>
    <t>OpEtV+0cNo4tjFz/</t>
  </si>
  <si>
    <t>LX2CO9rzLSCuPmHV</t>
  </si>
  <si>
    <t>K8wviADc+/P/249E</t>
  </si>
  <si>
    <t>MVRcAeS2kB+z9x/e</t>
  </si>
  <si>
    <t>/nij34JppdXhLsOH</t>
  </si>
  <si>
    <t>gz7GLhMuXOGYsM1l</t>
  </si>
  <si>
    <t>PHUnJ9tdv3V5/Rxz</t>
  </si>
  <si>
    <t>oVu6DrHGCOyS4UGJ</t>
  </si>
  <si>
    <t>7Ut21V3qAvHk/tOC</t>
  </si>
  <si>
    <t>NA8TNySZyYvHRDDo</t>
  </si>
  <si>
    <t>a9v4rUmv9OuVFc2u</t>
  </si>
  <si>
    <t>d+gj/pS3Tg5qtKkx</t>
  </si>
  <si>
    <t>eZDm7l8Jc8vFr2WF</t>
  </si>
  <si>
    <t>YnTPQo6eQ2v2J9Ey</t>
  </si>
  <si>
    <t>0Hz1Ve7YfaCEkQaL</t>
  </si>
  <si>
    <t>IPXY8kUZaJGPX2+B</t>
  </si>
  <si>
    <t>QPT1/kHfo5y15ber</t>
  </si>
  <si>
    <t>dZe3of6+xE36Q/sW</t>
  </si>
  <si>
    <t>oIrp8DeYtqjvPi3J</t>
  </si>
  <si>
    <t>6tAR4LrJ78YQBkFS</t>
  </si>
  <si>
    <t>qpAa+Ye/Hrt9WbGj</t>
  </si>
  <si>
    <t>wQrdbmLNd953LeIt</t>
  </si>
  <si>
    <t>dWo+SoB8MI+1RWIy</t>
  </si>
  <si>
    <t>5D/v2pVmabCmRPKI</t>
  </si>
  <si>
    <t>6REe0LMyUjNldCDu</t>
  </si>
  <si>
    <t>S3vT2ooVa7x8lqnv</t>
  </si>
  <si>
    <t>hhSicuZyAsBri5cP</t>
  </si>
  <si>
    <t>K489QHWKgjLtU++o</t>
  </si>
  <si>
    <t>p/BxVx39D32AruHs</t>
  </si>
  <si>
    <t>girVmEHNPgYamBtk</t>
  </si>
  <si>
    <t>KeQMKSYXr0oy7Nm5</t>
  </si>
  <si>
    <t>mKVbLvTcp0vO1Yoo</t>
  </si>
  <si>
    <t>RHXpyJxoDY4/gueP</t>
  </si>
  <si>
    <t>XwGsZ8ImI8GRMzlE</t>
  </si>
  <si>
    <t>+pYelrCktFo+cyix</t>
  </si>
  <si>
    <t>NIf90NCBiDrW5SbS</t>
  </si>
  <si>
    <t>R4d5buA8Tx80LpPG</t>
  </si>
  <si>
    <t>BlfSTdPD6wZKqFaT</t>
  </si>
  <si>
    <t>VoKa/TM02/ZlZPoU</t>
  </si>
  <si>
    <t>b0iYVxlmFmYpp9LB</t>
  </si>
  <si>
    <t>s24Q8njTdeNot//k</t>
  </si>
  <si>
    <t>e/o2LySeQojyMnd9</t>
  </si>
  <si>
    <t>EBBT8kxYzTdp1VKv</t>
  </si>
  <si>
    <t>71MYXUXgY4QtEG8S</t>
  </si>
  <si>
    <t>eYlYb1pbxRn6fdr/</t>
  </si>
  <si>
    <t>dFqBjRLh+e1m+ucY</t>
  </si>
  <si>
    <t>pS3s5JXWVAqk4ZaQ</t>
  </si>
  <si>
    <t>OdEfMdqhaUG6Z7vX</t>
  </si>
  <si>
    <t>nSVlopC8/WNfXHll</t>
  </si>
  <si>
    <t>/1u228+NDSJBKIHK</t>
  </si>
  <si>
    <t>l+YxLrHm3F/CQM89</t>
  </si>
  <si>
    <t>ePVxm9cViH7hSobh</t>
  </si>
  <si>
    <t>Nh8CPRWaZPfVEMQL</t>
  </si>
  <si>
    <t>vc6vNhc4QgzDREmY</t>
  </si>
  <si>
    <t>HwFjIO5MwxbD4Ytd</t>
  </si>
  <si>
    <t>4beiYqudopgWkr/1</t>
  </si>
  <si>
    <t>rT84Boy7t1y+XZFU</t>
  </si>
  <si>
    <t>4fkkIuNSvaYrZ/Wj</t>
  </si>
  <si>
    <t>iGmGE5X3MCH6oTtT</t>
  </si>
  <si>
    <t>4hiI97Jg4S5TAPQn</t>
  </si>
  <si>
    <t>U/2fehBQRjD8ogyc</t>
  </si>
  <si>
    <t>DOZI306W5spplfuL</t>
  </si>
  <si>
    <t>ow73n1mgJYklCd/j</t>
  </si>
  <si>
    <t>EiM7zfniyE75Plb2</t>
  </si>
  <si>
    <t>Nwd9GuZvnqvDfJPp</t>
  </si>
  <si>
    <t>V7WTslQ29WyIL4vY</t>
  </si>
  <si>
    <t>dWu/YzTnL0nOb1oS</t>
  </si>
  <si>
    <t>DNdzniNIXF4MeaKg</t>
  </si>
  <si>
    <t>Zz0hmcYmY0+mI5Pj</t>
  </si>
  <si>
    <t>+BZ/NPXcvPr3i1wK</t>
  </si>
  <si>
    <t>b6rwAZGG6rDZiPxb</t>
  </si>
  <si>
    <t>XL4zhAPyWTCzmunO</t>
  </si>
  <si>
    <t>U1rr7EJK+udIX1+l</t>
  </si>
  <si>
    <t>H5FyYTihRTOEukW6</t>
  </si>
  <si>
    <t>bQDkrB5hiPmPhS0T</t>
  </si>
  <si>
    <t>Ggb7Dbo8DhhpzKs9</t>
  </si>
  <si>
    <t>wnNT5QnjQh8NvsuU</t>
  </si>
  <si>
    <t>rHxnfpTW5O2z53i3</t>
  </si>
  <si>
    <t>LOglW51Dilp0CfRp</t>
  </si>
  <si>
    <t>cD6r3RxyV867tb7D</t>
  </si>
  <si>
    <t>Ge0/gyxjw2K5Ot9R</t>
  </si>
  <si>
    <t>j8Jtvn2Cf+BgRi0b</t>
  </si>
  <si>
    <t>XT4GnxP+qPjB51bw</t>
  </si>
  <si>
    <t>O+iWRb//dpCeCJsQ</t>
  </si>
  <si>
    <t>X6EX/Ic6o9yd2KSV</t>
  </si>
  <si>
    <t>C1tqztrDwb/fzs+k</t>
  </si>
  <si>
    <t>1NcsDYNJ4HavIl8g</t>
  </si>
  <si>
    <t>ZFaMuKMZKXVAbFQD</t>
  </si>
  <si>
    <t>gNyWM3iNWj2SU53E</t>
  </si>
  <si>
    <t>1h68GKAAbP6oxLid</t>
  </si>
  <si>
    <t>t1k7SVQxwZAN7N/I</t>
  </si>
  <si>
    <t>2blBNxAtxjrqqgGO</t>
  </si>
  <si>
    <t>ZBoui/v/Aa+vy/AY</t>
  </si>
  <si>
    <t>TeJWMHGyDONWRU2Y</t>
  </si>
  <si>
    <t>d565PqCopem1kBrT</t>
  </si>
  <si>
    <t>OPJkz9WRb78x+Htz</t>
  </si>
  <si>
    <t>2zlvwt/vw722W22m</t>
  </si>
  <si>
    <t>EBddu7VZhX7gfPnK</t>
  </si>
  <si>
    <t>Fqmdx44zpKGNjKae</t>
  </si>
  <si>
    <t>q5D3bMwZkrJKQvNW</t>
  </si>
  <si>
    <t>5A22wQBMXRNg7CbY</t>
  </si>
  <si>
    <t>3yLghPDEFFgPiWZ0</t>
  </si>
  <si>
    <t>zr/IDTj5JRbxPmvV</t>
  </si>
  <si>
    <t>H8bo2gS0U1GXothJ</t>
  </si>
  <si>
    <t>HI859ilmRPAbGW/K</t>
  </si>
  <si>
    <t>OdxLgEhALf+zIwCd</t>
  </si>
  <si>
    <t>J8y/99WUV/W/zYdN</t>
  </si>
  <si>
    <t>FmDfpQADf27O5qNJ</t>
  </si>
  <si>
    <t>anwqWdsLZhHhgMt5</t>
  </si>
  <si>
    <t>D78B3CqU7tTHG4Dj</t>
  </si>
  <si>
    <t>TtJrKp3dOk4B2gLw</t>
  </si>
  <si>
    <t>EoyuirwRPh2RvQN3</t>
  </si>
  <si>
    <t>5MtnreI+Fobk3uM1</t>
  </si>
  <si>
    <t>ijgBFpg0YUYTyV6w</t>
  </si>
  <si>
    <t>5KW0C6AGEM/OmWa6</t>
  </si>
  <si>
    <t>5HfWdxYGUHoSmu+f</t>
  </si>
  <si>
    <t>6TWCku4C/ANH516B</t>
  </si>
  <si>
    <t>JipujQJaAGndhSsG</t>
  </si>
  <si>
    <t>g/r8AIpMqs7zf9L6</t>
  </si>
  <si>
    <t>DERMLtmCeGkWP/1w</t>
  </si>
  <si>
    <t>xrQyvKO3RVowhMnD</t>
  </si>
  <si>
    <t>4JpNK73gzWyNulpY</t>
  </si>
  <si>
    <t>MuisfAQkErjSHXwo</t>
  </si>
  <si>
    <t>P1WuVNxM1LgvfhQ7</t>
  </si>
  <si>
    <t>e0jPNR8147ke2zot</t>
  </si>
  <si>
    <t>nIOlf2VfPGQKmIyp</t>
  </si>
  <si>
    <t>/Xu36/7QuWcDBFJw</t>
  </si>
  <si>
    <t>OL42Vkdn9K1AevZF</t>
  </si>
  <si>
    <t>EDCfVMiFh35cxsxx</t>
  </si>
  <si>
    <t>BFNy9NjEdVB37mHa</t>
  </si>
  <si>
    <t>akOkxTNoOFuP3uQD</t>
  </si>
  <si>
    <t>ug3BbFWJPAe62SzE</t>
  </si>
  <si>
    <t>iP8lT6lb2/xKAUah</t>
  </si>
  <si>
    <t>6zZJWmAv5OCG8WMj</t>
  </si>
  <si>
    <t>TRefhF0dTYdEJoVG</t>
  </si>
  <si>
    <t>tg7Zi7bxqyhT04N+</t>
  </si>
  <si>
    <t>qpIkrVwP+grFTL0C</t>
  </si>
  <si>
    <t>eKnAfuq9uEvZZamF</t>
  </si>
  <si>
    <t>+FJagSG1FW8BMx7X</t>
  </si>
  <si>
    <t>B+G1FR+XSlZDy6kG</t>
  </si>
  <si>
    <t>iKjS/IlZKpA7Etcn</t>
  </si>
  <si>
    <t>V63htJ5Braw0JwjD</t>
  </si>
  <si>
    <t>65RH7oXRJRooNtCx</t>
  </si>
  <si>
    <t>da/mGc6gEjmzP0az</t>
  </si>
  <si>
    <t>7IOjlLKGX05xVWvW</t>
  </si>
  <si>
    <t>iaSj2HNt+l1RA8Dp</t>
  </si>
  <si>
    <t>cRNYbrVIjk1VTH7X</t>
  </si>
  <si>
    <t>8ZciMYu7pph39wrY</t>
  </si>
  <si>
    <t>wIg+wriOK3Bv+tJg</t>
  </si>
  <si>
    <t>bIKRlQ1iqo/lpA9g</t>
  </si>
  <si>
    <t>00dm1gQB7EcXjx4e</t>
  </si>
  <si>
    <t>H7Gqs4NvI6DrNfQ0</t>
  </si>
  <si>
    <t>YkKMaBJ+tV3iUjzN</t>
  </si>
  <si>
    <t>SJF/s/aRRtKeoe/1</t>
  </si>
  <si>
    <t>YdWIP2Xrc2s2GtHb</t>
  </si>
  <si>
    <t>m0hEuHNUMyuPiUcX</t>
  </si>
  <si>
    <t>gsuxfIVbUdSqyzqO</t>
  </si>
  <si>
    <t>plyzHl/BUTAKPnmv</t>
  </si>
  <si>
    <t>zrMagFNHPlNYqwPs</t>
  </si>
  <si>
    <t>+TK3B7j57uagdTTr</t>
  </si>
  <si>
    <t>Gvbo8LtXccQ22Vrm</t>
  </si>
  <si>
    <t>QuHBFPTex+0x8SRJ</t>
  </si>
  <si>
    <t>Okb3lFSjMcCI1ypl</t>
  </si>
  <si>
    <t>R2DGhpyJjM9S/SsH</t>
  </si>
  <si>
    <t>zjCKY2AoPFxc4JlY</t>
  </si>
  <si>
    <t>VavRZaQsc9H7j5Yi</t>
  </si>
  <si>
    <t>P/5DvLPGo3cSD/A8</t>
  </si>
  <si>
    <t>TNtMrYykoiqfk4CH</t>
  </si>
  <si>
    <t>UfexL/0J7DqjC7xg</t>
  </si>
  <si>
    <t>V8uyfZm2r+vOWr2E</t>
  </si>
  <si>
    <t>tFaTA0MhKltF2/s7</t>
  </si>
  <si>
    <t>G6aYlEqjpPq2GeiL</t>
  </si>
  <si>
    <t>gJSLzKX1a6TxAMgf</t>
  </si>
  <si>
    <t>WpY+1spHeYfe2yOR</t>
  </si>
  <si>
    <t>wrWMgX1seQRcq44z</t>
  </si>
  <si>
    <t>3UsmiYDModXFbBA/</t>
  </si>
  <si>
    <t>w1L1r/BccM7QFy4q</t>
  </si>
  <si>
    <t>IDKphUbQfo4S6dEI</t>
  </si>
  <si>
    <t>YTbNgySmbcPFIhvs</t>
  </si>
  <si>
    <t>c+LCh8QAlGyP8gvp</t>
  </si>
  <si>
    <t>LIVap2dW5BdECD1e</t>
  </si>
  <si>
    <t>ifpkaK6294juetib</t>
  </si>
  <si>
    <t>G/pwig2bqan6FZss</t>
  </si>
  <si>
    <t>YmcOyNaPsbRcn3Dx</t>
  </si>
  <si>
    <t>6YB+SAGRkFRGsJ0j</t>
  </si>
  <si>
    <t>Z+yyqM708sFyWWcY</t>
  </si>
  <si>
    <t>uJHzT5Cl6Pha25bR</t>
  </si>
  <si>
    <t>fZqHH2RQPbq8qLBB</t>
  </si>
  <si>
    <t>TZzQeUxOokmIoKmz</t>
  </si>
  <si>
    <t>oQGE9THRZdFNvI/O</t>
  </si>
  <si>
    <t>qSanOIIsBUFqAHbh</t>
  </si>
  <si>
    <t>nLBwgHYg04mHnbEq</t>
  </si>
  <si>
    <t>yKSTb0UKwt2L+4Bu</t>
  </si>
  <si>
    <t>KPmL5rPGsBQBn8iz</t>
  </si>
  <si>
    <t>S+0B+/H+EKOy9o7X</t>
  </si>
  <si>
    <t>kpP71cYXqxYRxhNg</t>
  </si>
  <si>
    <t>YqSSshpj9XqRGoPC</t>
  </si>
  <si>
    <t>wukIwBzDiswV/3ou</t>
  </si>
  <si>
    <t>4nDCu6xY/IhVFAKt</t>
  </si>
  <si>
    <t>SJJ5WBJK/vzfuBJE</t>
  </si>
  <si>
    <t>k1YIa6AoKcau1TEG</t>
  </si>
  <si>
    <t>clRa5oqPFiPGI9Jf</t>
  </si>
  <si>
    <t>WsRc9a7PLaiYRydC</t>
  </si>
  <si>
    <t>PHvfD/4pMUob5Ds0</t>
  </si>
  <si>
    <t>xl/Pw8Ne6BHaGOvx</t>
  </si>
  <si>
    <t>H3IDVr4h0auPcUja</t>
  </si>
  <si>
    <t>fpmBm3h4+8MIQbwk</t>
  </si>
  <si>
    <t>CYFjm0ZF9m+4/Z5a</t>
  </si>
  <si>
    <t>JOT5UFyfa5lF0kh6</t>
  </si>
  <si>
    <t>cFcembjhltCZxzOU</t>
  </si>
  <si>
    <t>+SaKGEmhfbpP9rAk</t>
  </si>
  <si>
    <t>vPgxH0ZIPg39o1xX</t>
  </si>
  <si>
    <t>imsJntX2kH5rJOHi</t>
  </si>
  <si>
    <t>Es+TkfHejif4KIrl</t>
  </si>
  <si>
    <t>eR/8ynaTfzcpPFFv</t>
  </si>
  <si>
    <t>21nSXURDcHtcOcrs</t>
  </si>
  <si>
    <t>VY66uA+z1PMdDxyS</t>
  </si>
  <si>
    <t>p6J9w9hAePNEvpea</t>
  </si>
  <si>
    <t>pDGsx6U7jcQuhrXZ</t>
  </si>
  <si>
    <t>jAMnCnKNXOtM3fgO</t>
  </si>
  <si>
    <t>Nd6va+HwN9ENH9nY</t>
  </si>
  <si>
    <t>c3mH5n/xqw/qhfnb</t>
  </si>
  <si>
    <t>1mb5qUS1OwrZuKJ9</t>
  </si>
  <si>
    <t>ttN2litSvklmoQuM</t>
  </si>
  <si>
    <t>xdJhCoBvkoK7s4+v</t>
  </si>
  <si>
    <t>0nCNReLrAJ13c/aQ</t>
  </si>
  <si>
    <t>w5sWsJQYxaSPrOiL</t>
  </si>
  <si>
    <t>XLFqkaTTrl0ZHXI7</t>
  </si>
  <si>
    <t>wrpFjF7ijuTeBdoO</t>
  </si>
  <si>
    <t>mWyIGiUJEKr0yn7W</t>
  </si>
  <si>
    <t>kHpxyzucd82ZjdXJ</t>
  </si>
  <si>
    <t>mMJYXvZu3Sb3QA0K</t>
  </si>
  <si>
    <t>Cn0J+rbokI79qY5l</t>
  </si>
  <si>
    <t>VXbPPECuR0bO7HuG</t>
  </si>
  <si>
    <t>0W//jDWB5uDDsYNe</t>
  </si>
  <si>
    <t>go/PTDQm/6CQAn2B</t>
  </si>
  <si>
    <t>I+EUa61aDuqWUt7p</t>
  </si>
  <si>
    <t>iYoiLk/y69McnexP</t>
  </si>
  <si>
    <t>RmQN3Tk7wRU4R7l/</t>
  </si>
  <si>
    <t>svTBNsOe4fRbN5FK</t>
  </si>
  <si>
    <t>9A8m5K2E8bhifKPb</t>
  </si>
  <si>
    <t>jqCWUaWhZaf08Fsq</t>
  </si>
  <si>
    <t>L4sM2o69EH5eUwu/</t>
  </si>
  <si>
    <t>tSQFv6BCZiofKowa</t>
  </si>
  <si>
    <t>LUBLlTyalSiSr60Q</t>
  </si>
  <si>
    <t>uVcyf+LkRtDGNmXE</t>
  </si>
  <si>
    <t>1kiOMWha00sOKcvl</t>
  </si>
  <si>
    <t>QJ5TUXzJDUyH7UIl</t>
  </si>
  <si>
    <t>zfU8lyKAS1tg+T0P</t>
  </si>
  <si>
    <t>DPldG/51/dzmB7/8</t>
  </si>
  <si>
    <t>frZ1nyyI9CnwpDd6</t>
  </si>
  <si>
    <t>Wn3lRQ2YMk/MneQV</t>
  </si>
  <si>
    <t>CHnAus7omVP6pbuK</t>
  </si>
  <si>
    <t>G0wxb8GnuOHOu/VR</t>
  </si>
  <si>
    <t>ruAO7iAo4WN4mPpX</t>
  </si>
  <si>
    <t>QnTBJed7A9qwidv+</t>
  </si>
  <si>
    <t>lh3oR86nzRHRV6r8</t>
  </si>
  <si>
    <t>VHL7bJ1LBfjqN9YS</t>
  </si>
  <si>
    <t>3iD8F8yTcPa9xVZs</t>
  </si>
  <si>
    <t>wtUJJh1eANW6A85L</t>
  </si>
  <si>
    <t>tnQlla+LKfvWXDx4</t>
  </si>
  <si>
    <t>hyObnRpG9ErmKqA8</t>
  </si>
  <si>
    <t>tvGSjt5XUxTZNpRt</t>
  </si>
  <si>
    <t>ypQOFqf6kp6Oneyp</t>
  </si>
  <si>
    <t>cSo5kA5uxnd99PeS</t>
  </si>
  <si>
    <t>Sps3BRJSuod2+sXu</t>
  </si>
  <si>
    <t>55OWomjEQce2Yfhj</t>
  </si>
  <si>
    <t>KXFBpDIn+Xtic3Wi</t>
  </si>
  <si>
    <t>HNCF4zjRApXysbEw</t>
  </si>
  <si>
    <t>LXAE9KMr+m7Gwnye</t>
  </si>
  <si>
    <t>otNyaHSQdrDKGejh</t>
  </si>
  <si>
    <t>vuAVyD6NVcSavjCp</t>
  </si>
  <si>
    <t>lcvaG0ewmP2DNH4P</t>
  </si>
  <si>
    <t>mAVBDD4X9XkFxoNZ</t>
  </si>
  <si>
    <t>+vgisYdtPAX4t1cE</t>
  </si>
  <si>
    <t>AFzdOGre94chwUBN</t>
  </si>
  <si>
    <t>5KPKiHY7Nd3IZ8AA</t>
  </si>
  <si>
    <t>3KXrAR14eVp+6wAQ</t>
  </si>
  <si>
    <t>kVRh+6ybBtuX4YDs</t>
  </si>
  <si>
    <t>rhYz7AM03MqjUTPD</t>
  </si>
  <si>
    <t>0NxTVzgjHQuJnEWZ</t>
  </si>
  <si>
    <t>M2rzs4nv799HJw+3</t>
  </si>
  <si>
    <t>p4khDTndVNNqft0X</t>
  </si>
  <si>
    <t>KPit7DeH6w7PfHVT</t>
  </si>
  <si>
    <t>+qsAVbhoN1GG5mW5</t>
  </si>
  <si>
    <t>fO83KzNRsInbYlSU</t>
  </si>
  <si>
    <t>na/iF2rA+5SJs/Xt</t>
  </si>
  <si>
    <t>4oV5aZA5SAvbhZJl</t>
  </si>
  <si>
    <t>v+/WRZ9Y2Mtynj3V</t>
  </si>
  <si>
    <t>nQm/4weEY7sLsou+</t>
  </si>
  <si>
    <t>FJg3mbi5kCTFDy3f</t>
  </si>
  <si>
    <t>FLFhBEFjbfySrlNP</t>
  </si>
  <si>
    <t>TbxjS//eEdurn9hS</t>
  </si>
  <si>
    <t>01NIp4FWkD9vh+pE</t>
  </si>
  <si>
    <t>eb4VHsaI+MNZZrLt</t>
  </si>
  <si>
    <t>CQLgqM4Hq5fSyTqE</t>
  </si>
  <si>
    <t>cX7rV2YQZVhY1I8J</t>
  </si>
  <si>
    <t>3p44jKOkgCaK+G0k</t>
  </si>
  <si>
    <t>Gbak1kj1ydKuoDUa</t>
  </si>
  <si>
    <t>B7RngW9nvoa4/6m6</t>
  </si>
  <si>
    <t>FkIdH/fljHqGgaot</t>
  </si>
  <si>
    <t>Z0rD/el9B7B0w/Xp</t>
  </si>
  <si>
    <t>iHC4iZbXUxb6nwAs</t>
  </si>
  <si>
    <t>2ewKIHVN7eqD+Bw+</t>
  </si>
  <si>
    <t>UMqFkAe80VjFjfJH</t>
  </si>
  <si>
    <t>+14XPq6fFGZJSbmD</t>
  </si>
  <si>
    <t>s2hgXC80SU+I+I5s</t>
  </si>
  <si>
    <t>sphIamZkcXQBHerQ</t>
  </si>
  <si>
    <t>EC2/sPtnv8hsxbaZ</t>
  </si>
  <si>
    <t>Z8vxSMFAPgzp6WVs</t>
  </si>
  <si>
    <t>ouBr7M9V5zLwchcT</t>
  </si>
  <si>
    <t>x/YiUvs9mojvohPl</t>
  </si>
  <si>
    <t>X4jS7Pgjgv6QU/dd</t>
  </si>
  <si>
    <t>23QFhehynCcYehaY</t>
  </si>
  <si>
    <t>Vs0RXYPVCpOqfFeV</t>
  </si>
  <si>
    <t>f+nu3gwy1wgP+LRm</t>
  </si>
  <si>
    <t>bRvcLS6vlOYpmzSc</t>
  </si>
  <si>
    <t>GxBp7LqLjBs4tTev</t>
  </si>
  <si>
    <t>Z07enAJqmMxhKb8R</t>
  </si>
  <si>
    <t>Tc3+vVlDw/ibuScU</t>
  </si>
  <si>
    <t>hIslJaWpNGJtswz0</t>
  </si>
  <si>
    <t>BiiQsJFVU4bT+saZ</t>
  </si>
  <si>
    <t>Je+DQYIJEffBNuWi</t>
  </si>
  <si>
    <t>BtKiWLb/Oz5Z49Fr</t>
  </si>
  <si>
    <t>hM6UGAIgcxDvIUrw</t>
  </si>
  <si>
    <t>QM/8OUk6KH3Nt5N5</t>
  </si>
  <si>
    <t>6gOkCmTXCNEdKu+l</t>
  </si>
  <si>
    <t>hqmFwdky76ApuDX2</t>
  </si>
  <si>
    <t>EXl0BMBec5AEk4k1</t>
  </si>
  <si>
    <t>m/lzwNLgxZFTFQ/y</t>
  </si>
  <si>
    <t>ngVzW0x10CfJiIsr</t>
  </si>
  <si>
    <t>gVDnVnSD0QSCfshq</t>
  </si>
  <si>
    <t>dZyQnNltBub+GHlk</t>
  </si>
  <si>
    <t>SlsqtXfntO+Qe98J</t>
  </si>
  <si>
    <t>UoQ7foS2WvNrgKfJ</t>
  </si>
  <si>
    <t>q3hQAFAnqtI5a9yi</t>
  </si>
  <si>
    <t>5eA5veA96Qe+QK8A</t>
  </si>
  <si>
    <t>OFMkXj3f9291IDbT</t>
  </si>
  <si>
    <t>aNbp9NiA4Lf+MAPT</t>
  </si>
  <si>
    <t>JcOy4/SKpN6uGxSG</t>
  </si>
  <si>
    <t>ISUJw9VOiSi7jf56</t>
  </si>
  <si>
    <t>6QOOSTpv6RUSOkRY</t>
  </si>
  <si>
    <t>v4YHIJb85mlVkOnZ</t>
  </si>
  <si>
    <t>dj9Nm3FOnyOiyryM</t>
  </si>
  <si>
    <t>4RTSMiTsdPAELqo8</t>
  </si>
  <si>
    <t>yrDwGXcX5uv9gLkr</t>
  </si>
  <si>
    <t>h8U02oVPx2cRtVZd</t>
  </si>
  <si>
    <t>4HNP6szKNQqQuz8v</t>
  </si>
  <si>
    <t>GZ26M4AUeZL7m5Yj</t>
  </si>
  <si>
    <t>dkm3EpbNIm2s2EuE</t>
  </si>
  <si>
    <t>TAJyJp09/vMsWj8l</t>
  </si>
  <si>
    <t>Esh19bTfH3H4QnId</t>
  </si>
  <si>
    <t>LE2mnkb1JsdhFNHB</t>
  </si>
  <si>
    <t>2ZS6P5uxNl60f04p</t>
  </si>
  <si>
    <t>VDkpMSCkkvn2Vi5E</t>
  </si>
  <si>
    <t>srNkwWg4GH2ro8/B</t>
  </si>
  <si>
    <t>RWCxXi4pX88snYYC</t>
  </si>
  <si>
    <t>JKqQhSBer9dsI9cO</t>
  </si>
  <si>
    <t>35xMvYAoHOOfxS3j</t>
  </si>
  <si>
    <t>TAh13elwpisH7928</t>
  </si>
  <si>
    <t>oeMM6kIBqJOTsR83</t>
  </si>
  <si>
    <t>ANtm3CZ/pWeiXvw7</t>
  </si>
  <si>
    <t>rRqxrla+zWHTkqEx</t>
  </si>
  <si>
    <t>F1zg3kTkeVCM7e3y</t>
  </si>
  <si>
    <t>f7tqAhyd07HQ2ueB</t>
  </si>
  <si>
    <t>/EpPUVeJ3yQXm2UW</t>
  </si>
  <si>
    <t>Qb9EMhdVVqVUUlH2</t>
  </si>
  <si>
    <t>B7on+mz10EXcBQ7u</t>
  </si>
  <si>
    <t>REyiE1zBmM7VffZc</t>
  </si>
  <si>
    <t>5TdzS6hSX4aLv354</t>
  </si>
  <si>
    <t>q/lgSclHQu4wyage</t>
  </si>
  <si>
    <t>GHg49WUtfimbgelL</t>
  </si>
  <si>
    <t>z60JW4QkTbw7ZQpO</t>
  </si>
  <si>
    <t>zr2VLZQcB0FjEFjR</t>
  </si>
  <si>
    <t>oOYqPnoztzkNeGpE</t>
  </si>
  <si>
    <t>/9PAAwa53EJfBa5i</t>
  </si>
  <si>
    <t>E8QOq39Qb67PrL8s</t>
  </si>
  <si>
    <t>0syG7suz2MRTqn5U</t>
  </si>
  <si>
    <t>5E5FYE0Pkz4oz7rN</t>
  </si>
  <si>
    <t>jkdjiUKhPt+HDbLo</t>
  </si>
  <si>
    <t>0u6AR12iUJMglYRY</t>
  </si>
  <si>
    <t>hfPB9WO7BPFAnqCu</t>
  </si>
  <si>
    <t>pLd1PGnZFamXF042</t>
  </si>
  <si>
    <t>76LpHrHEIGvgYKVs</t>
  </si>
  <si>
    <t>GzYUk1mQ2qsaiQK6</t>
  </si>
  <si>
    <t>FyyKDs3CupN43Jwe</t>
  </si>
  <si>
    <t>EBacWoRw26saHy7a</t>
  </si>
  <si>
    <t>gTqW2M61i1icZRMk</t>
  </si>
  <si>
    <t>gCi1RE52yCU3ykjG</t>
  </si>
  <si>
    <t>vFW2Af7BzCjG61SJ</t>
  </si>
  <si>
    <t>fjl9pTPYpFwVbl6O</t>
  </si>
  <si>
    <t>lB6vaSfr1nDH+idj</t>
  </si>
  <si>
    <t>ZsW0t5cE20F1Ue+G</t>
  </si>
  <si>
    <t>I5RqWtIbFf5lJVaU</t>
  </si>
  <si>
    <t>RGQM+c9GRHG+JeyH</t>
  </si>
  <si>
    <t>cZhwXb4eAb/EQXI3</t>
  </si>
  <si>
    <t>5lkwUBeoeYaGQgH/</t>
  </si>
  <si>
    <t>J0m5AlI1WiMeVXYK</t>
  </si>
  <si>
    <t>bo2Im459FOzeWA+9</t>
  </si>
  <si>
    <t>6gqTrQEWlOhKzt57</t>
  </si>
  <si>
    <t>GPhzRTIHPJ6p5G+M</t>
  </si>
  <si>
    <t>5hDeFVOmsROz78Vi</t>
  </si>
  <si>
    <t>2Y5WLlmAMxz0od95</t>
  </si>
  <si>
    <t>2PWbywD42UzNk/Yh</t>
  </si>
  <si>
    <t>BkHAQ1DqIYS4e9Y7</t>
  </si>
  <si>
    <t>sixpKcvi1ttOTGfw</t>
  </si>
  <si>
    <t>ZC7RXzfLGla0w2sW</t>
  </si>
  <si>
    <t>Cm6SdG/ZV0heMidh</t>
  </si>
  <si>
    <t>66hG83ktcpubd2MQ</t>
  </si>
  <si>
    <t>yLlIhBbeMNX0jYX8</t>
  </si>
  <si>
    <t>+CAWWSNB6asFWpyU</t>
  </si>
  <si>
    <t>s59AODcrp0oRnhi8</t>
  </si>
  <si>
    <t>JQAodQt6u5RRB5C+</t>
  </si>
  <si>
    <t>NyaJwX4ndL05kl93</t>
  </si>
  <si>
    <t>ToqpgjVr3BFKEVwE</t>
  </si>
  <si>
    <t>Ui9K35UVwfLmBgpM</t>
  </si>
  <si>
    <t>NEaLIMNNPoESU/uE</t>
  </si>
  <si>
    <t>YWWeW42mpPlrSV9k</t>
  </si>
  <si>
    <t>kXIqQh8NbeOdTM4o</t>
  </si>
  <si>
    <t>KFYRRk/VKCkaqHst</t>
  </si>
  <si>
    <t>sFMFFPiqTsdsyzee</t>
  </si>
  <si>
    <t>V2b6ExDzGRZuAWvJ</t>
  </si>
  <si>
    <t>4NYfkZFRnonFrYhE</t>
  </si>
  <si>
    <t>uOtgDUVqvlPtD7IL</t>
  </si>
  <si>
    <t>SRn6hAhgBjXOvjLW</t>
  </si>
  <si>
    <t>EfekgbsPlIAp/nxg</t>
  </si>
  <si>
    <t>eGXh/mqkekTuOlJt</t>
  </si>
  <si>
    <t>Az4A0QKL//t4B282</t>
  </si>
  <si>
    <t>6a1oZQh/98TEttMc</t>
  </si>
  <si>
    <t>wwTvSfgxOgNZeCPg</t>
  </si>
  <si>
    <t>tibsE3xvZ/VyiWm2</t>
  </si>
  <si>
    <t>TWETgDM/s2xElwQu</t>
  </si>
  <si>
    <t>OHCysJAVQAZj/+mD</t>
  </si>
  <si>
    <t>40rBPAWxVroLtZ0f</t>
  </si>
  <si>
    <t>PL/t5zbWQLJojPxE</t>
  </si>
  <si>
    <t>aJLoZlIsGo29SmNi</t>
  </si>
  <si>
    <t>41I7JF9irjFByEYN</t>
  </si>
  <si>
    <t>nBDcLMqS4S/lirOl</t>
  </si>
  <si>
    <t>yyy8Ec2gygyO/L4C</t>
  </si>
  <si>
    <t>P2eZCoIhF6nnUril</t>
  </si>
  <si>
    <t>KiOe3di+YZLex/ES</t>
  </si>
  <si>
    <t>NcRv8DUVjKmr4OMn</t>
  </si>
  <si>
    <t>YWd4EgTg2YiUqBm1</t>
  </si>
  <si>
    <t>kSkBNlGlSRtdWCTa</t>
  </si>
  <si>
    <t>A4AuMbWFl4mGz5hj</t>
  </si>
  <si>
    <t>t12l3SXgMXQkCJIy</t>
  </si>
  <si>
    <t>Aswq4OnhdTsiSRHn</t>
  </si>
  <si>
    <t>tGv4cc3mIEZaXldq</t>
  </si>
  <si>
    <t>3mi/SOI3A0HXpn63</t>
  </si>
  <si>
    <t>7WCyBCvCjTCakrTd</t>
  </si>
  <si>
    <t>LzUJK7PwGcYyQk7H</t>
  </si>
  <si>
    <t>XWK7RLjTS7jJr7HE</t>
  </si>
  <si>
    <t>LS7uWQ3tADbSJ5r0</t>
  </si>
  <si>
    <t>O5TMyXzLyiKaY7mQ</t>
  </si>
  <si>
    <t>sTh8/nkanWQgrZKb</t>
  </si>
  <si>
    <t>MOdu/ruaroW4X+nO</t>
  </si>
  <si>
    <t>gT94vSbU9XanMpLM</t>
  </si>
  <si>
    <t>XF17O1LUMRf+b2fh</t>
  </si>
  <si>
    <t>LT0cTqSOJb+pjXkj</t>
  </si>
  <si>
    <t>+V5t7j3DXdfFC0AK</t>
  </si>
  <si>
    <t>C3h1N8PEC6k0mQv4</t>
  </si>
  <si>
    <t>zIY6LG+8VwLQm+Jq</t>
  </si>
  <si>
    <t>nTL1TpXhyD1eeQv3</t>
  </si>
  <si>
    <t>NcgOh0DlLjY2PU9Y</t>
  </si>
  <si>
    <t>is29is40uwHP/7/p</t>
  </si>
  <si>
    <t>MUb3QyHsi2s9wLn1</t>
  </si>
  <si>
    <t>gybW7jqcIBPoNB6o</t>
  </si>
  <si>
    <t>ScyOn958T8nF6uY7</t>
  </si>
  <si>
    <t>D44NGRfkL4LmWN7/</t>
  </si>
  <si>
    <t>bNrvfGln0C39KXe+</t>
  </si>
  <si>
    <t>3O7L2uEtWWqCewal</t>
  </si>
  <si>
    <t>sUq+0xIix61Yw2aZ</t>
  </si>
  <si>
    <t>vtnjafu3g93+JsgP</t>
  </si>
  <si>
    <t>L7FFZLSkcV41KCzH</t>
  </si>
  <si>
    <t>JBg0UwhRbffss1nn</t>
  </si>
  <si>
    <t>5hXG/+sAPS3y7nRH</t>
  </si>
  <si>
    <t>itS32NTo9DSas0P6</t>
  </si>
  <si>
    <t>mVIFMl1C4rJGvjGt</t>
  </si>
  <si>
    <t>pdGZ9rmT6gYH4lYI</t>
  </si>
  <si>
    <t>D0KiIxw3eUDHrd3t</t>
  </si>
  <si>
    <t>pnaIO6HDOdtuVpjh</t>
  </si>
  <si>
    <t>axc5awcAG/GAYwXs</t>
  </si>
  <si>
    <t>ymlTm1GtRi5twdCi</t>
  </si>
  <si>
    <t>81hnRGb98w0O+rQk</t>
  </si>
  <si>
    <t>+RLkNkS1fqDSsIhH</t>
  </si>
  <si>
    <t>xkZ6B2CRWOdeuT1R</t>
  </si>
  <si>
    <t>fxVvbum15DbHsbn7</t>
  </si>
  <si>
    <t>g5tZuQJjt1MTBnTf</t>
  </si>
  <si>
    <t>MmR+bigfbkQpH6er</t>
  </si>
  <si>
    <t>l7x8cIEc2uOSy0Fy</t>
  </si>
  <si>
    <t>yulSJJpPclzkh/wA</t>
  </si>
  <si>
    <t>zpHuyh/IIAchAgx9</t>
  </si>
  <si>
    <t>FMJP4m08umTmSKLz</t>
  </si>
  <si>
    <t>m6u8Y0PUxqe+ProN</t>
  </si>
  <si>
    <t>ZSIbi/MEtDJIvrwf</t>
  </si>
  <si>
    <t>W91lOAP+K3CGB86h</t>
  </si>
  <si>
    <t>L9/FDy8wo0HDQAol</t>
  </si>
  <si>
    <t>NW6kpkuHRa8FbIew</t>
  </si>
  <si>
    <t>WHppej7kGB0hT7Ip</t>
  </si>
  <si>
    <t>v+0LdSCM73sojEHr</t>
  </si>
  <si>
    <t>jF1USLWe2uZdCmKM</t>
  </si>
  <si>
    <t>6NESRRBuQt0b2iRG</t>
  </si>
  <si>
    <t>3Mt2ck38wL8uj8U5</t>
  </si>
  <si>
    <t>R1s2L04zIhmu1tt4</t>
  </si>
  <si>
    <t>A1k7GLTpYaw0MYmI</t>
  </si>
  <si>
    <t>ghwd3rIc0nsYAYDS</t>
  </si>
  <si>
    <t>Y/400ekLCivvQ/Q9</t>
  </si>
  <si>
    <t>kwdWBpWXki+iRhnN</t>
  </si>
  <si>
    <t>biIVA5tkAqYZ/hXT</t>
  </si>
  <si>
    <t>rRCBSouIs5Mfcf7N</t>
  </si>
  <si>
    <t>rtudkZkbnaQRx851</t>
  </si>
  <si>
    <t>1GL4xiVtmY8sfO8o</t>
  </si>
  <si>
    <t>MRA5oF6Fi6Myi6z7</t>
  </si>
  <si>
    <t>40cdQ1QHgJ6EaOUH</t>
  </si>
  <si>
    <t>/rhju1e0BHOMbijJ</t>
  </si>
  <si>
    <t>bHIvO/OZXoJRawtr</t>
  </si>
  <si>
    <t>P/JdCIZ4DYXc+prA</t>
  </si>
  <si>
    <t>10d6i3HAAZqJ1NLi</t>
  </si>
  <si>
    <t>m1wSrifaqhdHqQAO</t>
  </si>
  <si>
    <t>1DfsFWKn+1JQn/sP</t>
  </si>
  <si>
    <t>iIGRgtYwA0cvTQSj</t>
  </si>
  <si>
    <t>gYS1kf9iPCMl6qnC</t>
  </si>
  <si>
    <t>QHysOlBI7BkKrSaU</t>
  </si>
  <si>
    <t>+DQa+cDj5SHsE35R</t>
  </si>
  <si>
    <t>TkUvPKA/Bc3X3iA8</t>
  </si>
  <si>
    <t>pwHQNR7s7rWYJLXg</t>
  </si>
  <si>
    <t>9XhkfrFADzTnFXis</t>
  </si>
  <si>
    <t>30d/M0QDCucihLpd</t>
  </si>
  <si>
    <t>Qjv1fdGlM3KCpUX6</t>
  </si>
  <si>
    <t>OiQMZ/qBhbpqLZHk</t>
  </si>
  <si>
    <t>gYs6OfEHyn8zCJLT</t>
  </si>
  <si>
    <t>nNBurdhSWSlCPX7v</t>
  </si>
  <si>
    <t>+ExrU8FSQtOn11uw</t>
  </si>
  <si>
    <t>LDCSdWWrFweeTBf7</t>
  </si>
  <si>
    <t>tZ4E54SHHvlP2Gek</t>
  </si>
  <si>
    <t>VZz3JEhOKz6fKrb5</t>
  </si>
  <si>
    <t>e7DWtPAYG+ukQeOM</t>
  </si>
  <si>
    <t>guZPTabEDQLBHNJ8</t>
  </si>
  <si>
    <t>cUpZh4X6n0d76kb3</t>
  </si>
  <si>
    <t>s853OcXWTb75zYPm</t>
  </si>
  <si>
    <t>cPWcKjmBvUJ+8R2l</t>
  </si>
  <si>
    <t>orxUhmbtdDlVWa8s</t>
  </si>
  <si>
    <t>vJlfE5rpXZdpIEqw</t>
  </si>
  <si>
    <t>jaUtApyoeJ2S9JyM</t>
  </si>
  <si>
    <t>jgBCakfIAAQLmw/6</t>
  </si>
  <si>
    <t>sTfTUxUQzokqrMYn</t>
  </si>
  <si>
    <t>9j1d91kYKTiUgVwh</t>
  </si>
  <si>
    <t>Y1tbTWlGy3hZoIOg</t>
  </si>
  <si>
    <t>6cbNqIBzzsBznxLA</t>
  </si>
  <si>
    <t>2froKE23IIXM0gOZ</t>
  </si>
  <si>
    <t>KSUE4OLTi+71ZhMT</t>
  </si>
  <si>
    <t>QvTvJqELVzt+Y/9v</t>
  </si>
  <si>
    <t>seKXpjSIiA0hq4cf</t>
  </si>
  <si>
    <t>2oOkOh7bUlPweI/8</t>
  </si>
  <si>
    <t>75kYUFdjR0H5eNgd</t>
  </si>
  <si>
    <t>Uavw9HEyoaivwwKd</t>
  </si>
  <si>
    <t>/6M5YJXmkyRhcmrM</t>
  </si>
  <si>
    <t>r/RMG68OvTTIobfJ</t>
  </si>
  <si>
    <t>SKB5FfecGwFjpL2/</t>
  </si>
  <si>
    <t>/cbre5jWB5JvdZiL</t>
  </si>
  <si>
    <t>grDLfItu34hKzRTT</t>
  </si>
  <si>
    <t>CcYPl9sZ9DztG7v5</t>
  </si>
  <si>
    <t>YrCYHPkRzkD5WZmL</t>
  </si>
  <si>
    <t>qT3lbnT5J8uL8b0j</t>
  </si>
  <si>
    <t>6Nz6Q9iSx34OJwDI</t>
  </si>
  <si>
    <t>Vo4NnDUxSuPO+7cu</t>
  </si>
  <si>
    <t>qqrtOsDFPYuPm8hN</t>
  </si>
  <si>
    <t>DZB1HuaEp8+Iivy8</t>
  </si>
  <si>
    <t>SeymwtFFmeq/KKqx</t>
  </si>
  <si>
    <t>nyYOdYoAXw+qYNRa</t>
  </si>
  <si>
    <t>gydthE4G8iTN8QVC</t>
  </si>
  <si>
    <t>ED30k2KIczxEybrd</t>
  </si>
  <si>
    <t>eZUem8DKH1Mt8rpk</t>
  </si>
  <si>
    <t>uiEMcbFjWgAWDd3M</t>
  </si>
  <si>
    <t>rbPe6hkhYghAF2VC</t>
  </si>
  <si>
    <t>SAd45iuEVFw/2gvz</t>
  </si>
  <si>
    <t>+R1tx9KZJ9vIvyZU</t>
  </si>
  <si>
    <t>XWMM9C0mFd2jXiSq</t>
  </si>
  <si>
    <t>rIOyy0B0jDt+1XeG</t>
  </si>
  <si>
    <t>AHd/WDRgrv7Nr1zB</t>
  </si>
  <si>
    <t>cgKmaoVlXo3hcdZu</t>
  </si>
  <si>
    <t>5zOWxsVuWGmbJPxS</t>
  </si>
  <si>
    <t>FDqgLaC5U3KJU40E</t>
  </si>
  <si>
    <t>ezB6XkC7SyCpeUmZ</t>
  </si>
  <si>
    <t>tohRBsXmrV7ZTNZp</t>
  </si>
  <si>
    <t>LYJjFRC3I61aIkhI</t>
  </si>
  <si>
    <t>0dRbaX8Ayf0l65fB</t>
  </si>
  <si>
    <t>xUXfpd6K/XdCqOQC</t>
  </si>
  <si>
    <t>CAHWMdMiZUunZGEJ</t>
  </si>
  <si>
    <t>LXJZxwERlEOuLjtB</t>
  </si>
  <si>
    <t>9aVsMVBnU8RGlVHx</t>
  </si>
  <si>
    <t>wJan7r+bOJrxwneR</t>
  </si>
  <si>
    <t>rxfw41gjDV9jtB+6</t>
  </si>
  <si>
    <t>6txy4beoc3jKaL0+</t>
  </si>
  <si>
    <t>C90M2125em/AMXdh</t>
  </si>
  <si>
    <t>ksxtTz+X5wW0DRVC</t>
  </si>
  <si>
    <t>QHkJuYuS6GZy5cNd</t>
  </si>
  <si>
    <t>gPl5wn7NSlDYdidk</t>
  </si>
  <si>
    <t>v+4tuZmCM4P37yEt</t>
  </si>
  <si>
    <t>1T3zHjAAhQ7PVaJ+</t>
  </si>
  <si>
    <t>wDeAdPTDgYu34nko</t>
  </si>
  <si>
    <t>O2KAoAWOrQkWgo0m</t>
  </si>
  <si>
    <t>GYMp47W6ZJthBrZd</t>
  </si>
  <si>
    <t>+X8okQEb46wgxRu0</t>
  </si>
  <si>
    <t>lHU7VsZ/zewMYQP2</t>
  </si>
  <si>
    <t>nnZiNKiFv0rPm8mJ</t>
  </si>
  <si>
    <t>uP9sNrNMLyI0AweY</t>
  </si>
  <si>
    <t>T/dddW6VU2MriTE8</t>
  </si>
  <si>
    <t>mdUbbr/5hgZl3j0b</t>
  </si>
  <si>
    <t>M8/mB/6oKVBAMayk</t>
  </si>
  <si>
    <t>pj1+gzQVkLAteXlp</t>
  </si>
  <si>
    <t>KlggjoBvcQO9ckaR</t>
  </si>
  <si>
    <t>OmAHaaNKF4kiOMBQ</t>
  </si>
  <si>
    <t>RVVYKCjLECEUwk/y</t>
  </si>
  <si>
    <t>2XG9SNyrUU1/eXgU</t>
  </si>
  <si>
    <t>SmEhxRKF4NuvRD+x</t>
  </si>
  <si>
    <t>I04k+C+1S/7MnmtR</t>
  </si>
  <si>
    <t>4pGvvrgZUzdd5BMN</t>
  </si>
  <si>
    <t>TzxUUmfefy+K3FPc</t>
  </si>
  <si>
    <t>gEcPnGjTlT3fMt5U</t>
  </si>
  <si>
    <t>zdgPCoGlX/ff3eIt</t>
  </si>
  <si>
    <t>8npdzzUdNZyCC4hf</t>
  </si>
  <si>
    <t>CZ0eXyXXbJ6MEY+6</t>
  </si>
  <si>
    <t>HtQ020S73GsmmvGv</t>
  </si>
  <si>
    <t>gebF0pWiW2C+GRCM</t>
  </si>
  <si>
    <t>fwHsK2jtw0CoICN4</t>
  </si>
  <si>
    <t>o2eiu1lvUU1yaOBc</t>
  </si>
  <si>
    <t>GvfRN94jR8HPWpS8</t>
  </si>
  <si>
    <t>7zHDMKlMeOb3nLAi</t>
  </si>
  <si>
    <t>ZNeo2bYz1mCgrUEt</t>
  </si>
  <si>
    <t>ggTx76HIOa4AEhla</t>
  </si>
  <si>
    <t>i//MzTSn4QBt7MFo</t>
  </si>
  <si>
    <t>FUl9lsM1I0nrTf0q</t>
  </si>
  <si>
    <t>jCpB/Xgswhz66rUM</t>
  </si>
  <si>
    <t>aDWpePxXBYPDURgK</t>
  </si>
  <si>
    <t>TRHw5wMywHf8OK8F</t>
  </si>
  <si>
    <t>TyPujobRKghDuVDk</t>
  </si>
  <si>
    <t>1J1O+AQXCvQzUFvm</t>
  </si>
  <si>
    <t>HbeKvzxK8ipKycKw</t>
  </si>
  <si>
    <t>j4dOwoguw0Kk4L4A</t>
  </si>
  <si>
    <t>LMbStJH/8aST4d5H</t>
  </si>
  <si>
    <t>BOxsCBqI0DcMqS0x</t>
  </si>
  <si>
    <t>cqgp43jFE8uxo8Ko</t>
  </si>
  <si>
    <t>FayYpvIQD9DZBzvk</t>
  </si>
  <si>
    <t>VtQHlOyIabcyCSpa</t>
  </si>
  <si>
    <t>r7DVBdMV/uIE7He6</t>
  </si>
  <si>
    <t>PbDbCpThkt2ZcHH8</t>
  </si>
  <si>
    <t>tRSDwmVVL5stL0yL</t>
  </si>
  <si>
    <t>WmjubDVTxfJuwoWM</t>
  </si>
  <si>
    <t>9SguHSk8L9rvhhem</t>
  </si>
  <si>
    <t>W0MS3eNsKrDWlvIu</t>
  </si>
  <si>
    <t>XJTmEnbbgxglaEz1</t>
  </si>
  <si>
    <t>0EZOzpg71VUncL0K</t>
  </si>
  <si>
    <t>TXM/cwZHq0ylVFM8</t>
  </si>
  <si>
    <t>j9rmVauS0Rw3qenk</t>
  </si>
  <si>
    <t>imbVpMLQhJDaWQpX</t>
  </si>
  <si>
    <t>w0ayIjkEnDs0vSR4</t>
  </si>
  <si>
    <t>bfqYgoAJkgMgEUiJ</t>
  </si>
  <si>
    <t>hTxyi+VCfytEco3T</t>
  </si>
  <si>
    <t>QwZU+o1advXIxNCL</t>
  </si>
  <si>
    <t>LXL9iLqGjty07O0k</t>
  </si>
  <si>
    <t>dduGReMhVNkobQyI</t>
  </si>
  <si>
    <t>g9aiMqkXmI984tyC</t>
  </si>
  <si>
    <t>5/yRjKsTVV5UCFC+</t>
  </si>
  <si>
    <t>1QC5/uPKjMzUmMXj</t>
  </si>
  <si>
    <t>dCC/SrGkLWhBRzOR</t>
  </si>
  <si>
    <t>xPaNMmj/55CFPFWn</t>
  </si>
  <si>
    <t>/NMR+aaHK+tMAees</t>
  </si>
  <si>
    <t>kVSSRgZmxtGPaaMY</t>
  </si>
  <si>
    <t>SdBLgliRassboPWE</t>
  </si>
  <si>
    <t>1tlO1gethAxj282Z</t>
  </si>
  <si>
    <t>RIsYOXWJdN9gsQ0q</t>
  </si>
  <si>
    <t>Y+8NRn5Okr9CbH04</t>
  </si>
  <si>
    <t>A8Qfv5G5K8OqPwoL</t>
  </si>
  <si>
    <t>jGkLzaDWJtiJk7v6</t>
  </si>
  <si>
    <t>HAGLBeO+AheRLwls</t>
  </si>
  <si>
    <t>0PFNhxV454oruwhb</t>
  </si>
  <si>
    <t>yF5qK8ugDTISTrQp</t>
  </si>
  <si>
    <t>37D3uMx7VbJicuHP</t>
  </si>
  <si>
    <t>sjHZ45xDcb9cCE8e</t>
  </si>
  <si>
    <t>hiQATtHGcduUfBJo</t>
  </si>
  <si>
    <t>DDeVTLvjU0iBh9cN</t>
  </si>
  <si>
    <t>gVkUe6b++BfPraIA</t>
  </si>
  <si>
    <t>NF12nVpVPFaq4oQX</t>
  </si>
  <si>
    <t>qTfcDmyhPOU8N4gR</t>
  </si>
  <si>
    <t>vmhYyv58aZ6ujlGJ</t>
  </si>
  <si>
    <t>fiXlnqjbvY2GHB9B</t>
  </si>
  <si>
    <t>No_downstream</t>
  </si>
  <si>
    <t>Connected_ID</t>
  </si>
  <si>
    <t>kWh</t>
  </si>
  <si>
    <t>No_B_downstream</t>
  </si>
  <si>
    <t>AnnualOutput</t>
  </si>
  <si>
    <t>PeakOutput</t>
  </si>
  <si>
    <t>capacity_kwh</t>
  </si>
  <si>
    <t>capacity_kwp</t>
  </si>
  <si>
    <t>capex_fixed</t>
  </si>
  <si>
    <t>capex_per_kwp</t>
  </si>
  <si>
    <t>description</t>
  </si>
  <si>
    <t>is_supply</t>
  </si>
  <si>
    <t>name</t>
  </si>
  <si>
    <t>opex_fixed</t>
  </si>
  <si>
    <t>opex_per_kwh</t>
  </si>
  <si>
    <t>opex_per_kwp</t>
  </si>
  <si>
    <t>source_temperature</t>
  </si>
  <si>
    <t>6Er0zUOG2+mqp8wB</t>
  </si>
  <si>
    <t>3.0 MW of low carbon. Aquifer source HP. Assumed peak energy centre capacity of 5.5 MW.</t>
  </si>
  <si>
    <t>Sheperd's Bush AqSHP (33,679m²)</t>
  </si>
  <si>
    <t>Aquifer source HP</t>
  </si>
  <si>
    <t>ZZPOGOxPtrR1spVW</t>
  </si>
  <si>
    <t>25.0 MW of low carbon. ASHP. Assumed peak energy centre capacity of 45.5 MW.</t>
  </si>
  <si>
    <t>White City ASHP</t>
  </si>
  <si>
    <t>KEbCVx/G+f1kOV1Y</t>
  </si>
  <si>
    <t>2.7 MW of low carbon. Aquifer source HP. Assumed peak energy centre capacity of 4.9 MW.</t>
  </si>
  <si>
    <t>Wormholt Park AqSHP (29,679m²)</t>
  </si>
  <si>
    <t>AEZkTGK07CXKCF8R</t>
  </si>
  <si>
    <t>0.5 MW of low carbon. Waste exhaust heat (TfL). Assumed peak energy centre capacity of 0.9 MW.</t>
  </si>
  <si>
    <t>Sheperd's Bush (TfL)</t>
  </si>
  <si>
    <t>Waste exhaust heat (TfL)</t>
  </si>
  <si>
    <t>llaMCm41jZLxq+i+</t>
  </si>
  <si>
    <t>18.1 MW of low carbon. Aquifer source HP. Assumed peak energy centre capacity of 33.0 MW.</t>
  </si>
  <si>
    <t>Holland Park AqSHP (201,396m²)</t>
  </si>
  <si>
    <t>Connected to network</t>
  </si>
  <si>
    <t>Postcode</t>
  </si>
  <si>
    <t>Cost of heat, p/kWh</t>
  </si>
  <si>
    <t>End of model</t>
  </si>
  <si>
    <t>Capex, per kW (Total)</t>
  </si>
  <si>
    <t>System capacity</t>
  </si>
  <si>
    <t>Technology capacity, kW</t>
  </si>
  <si>
    <t>Output T, °C</t>
  </si>
  <si>
    <t>Technology type</t>
  </si>
  <si>
    <t>EC name</t>
  </si>
  <si>
    <t>Fixed Opex, per kW (total)</t>
  </si>
  <si>
    <t>Variable Opex, per kWh (total)</t>
  </si>
  <si>
    <t>Fixed opex, £ (O&amp;M and standing charges)</t>
  </si>
  <si>
    <t>Number of residential connections</t>
  </si>
  <si>
    <t>Number of commerical connections</t>
  </si>
  <si>
    <t>Heat connection charge / Avoided costs</t>
  </si>
  <si>
    <t>Maintenance and service costs, electricity standing charge</t>
  </si>
  <si>
    <t>Import electricity costs for heat pump, electric boilers, energy centre and pumps, incl. CCL</t>
  </si>
  <si>
    <t xml:space="preserve"> toid </t>
  </si>
  <si>
    <t>Undiversified Peak demand, kW</t>
  </si>
  <si>
    <t>Diversity at energy centre</t>
  </si>
  <si>
    <t>Energy centre 1</t>
  </si>
  <si>
    <t>Energy centre 2</t>
  </si>
  <si>
    <t>Energy centre 3</t>
  </si>
  <si>
    <t>Energy centre 4</t>
  </si>
  <si>
    <t>Energy centre 5</t>
  </si>
  <si>
    <t>Energy centre 6</t>
  </si>
  <si>
    <t>Energy centre 7</t>
  </si>
  <si>
    <t>Energy centre 8</t>
  </si>
  <si>
    <t>Energy centre 9</t>
  </si>
  <si>
    <t>Energy centre 10</t>
  </si>
  <si>
    <t>Energy centre costs (incl. technology, back up, M&amp;E, thermal storage, pumps, balance of plant, controls &amp; prelims)</t>
  </si>
  <si>
    <t>Cost of heat generation</t>
  </si>
  <si>
    <t>Metering and billing, pipework system monitoring and maintenance (incl HIUs and substations)</t>
  </si>
  <si>
    <t>Energy centre 1 prioritisation</t>
  </si>
  <si>
    <t>Energy centre 2 prioritisation</t>
  </si>
  <si>
    <t>Energy centre 3 prioritisation</t>
  </si>
  <si>
    <t>Energy centre 4 prioritisation</t>
  </si>
  <si>
    <t>Energy centre 5 prioritisation</t>
  </si>
  <si>
    <t>Energy centre 6 prioritisation</t>
  </si>
  <si>
    <t>Energy centre 7 prioritisation</t>
  </si>
  <si>
    <t>Energy centre 8 prioritisation</t>
  </si>
  <si>
    <t>Energy centre 9 prioritisation</t>
  </si>
  <si>
    <t>Energy centre 10 prioritisation</t>
  </si>
  <si>
    <t>Phase 1 priority</t>
  </si>
  <si>
    <t>Phase 2 priority</t>
  </si>
  <si>
    <t>Phase 3 priority</t>
  </si>
  <si>
    <t>Diversified peak demand</t>
  </si>
  <si>
    <t>Phase 1 ranking</t>
  </si>
  <si>
    <t>Phase 2 ranking</t>
  </si>
  <si>
    <t>Phase 3 ranking</t>
  </si>
  <si>
    <t>Min OPEX</t>
  </si>
  <si>
    <t>Highest Rank</t>
  </si>
  <si>
    <t>Phase 1
ranking</t>
  </si>
  <si>
    <t>Phase 2
ranking</t>
  </si>
  <si>
    <t>Phase 3
ranking</t>
  </si>
  <si>
    <t>Energy centre 1 peak</t>
  </si>
  <si>
    <t>Energy centre 2 peak</t>
  </si>
  <si>
    <t>Energy centre 3 peak</t>
  </si>
  <si>
    <t>Energy centre 4 peak</t>
  </si>
  <si>
    <t>Energy centre 5 peak</t>
  </si>
  <si>
    <t>Energy centre 6 peak</t>
  </si>
  <si>
    <t>Energy centre 7 peak</t>
  </si>
  <si>
    <t>Energy centre 8 peak</t>
  </si>
  <si>
    <t>Energy centre 9 peak</t>
  </si>
  <si>
    <t>Energy centre 10 peak</t>
  </si>
  <si>
    <t>Prioritised Energy centre 1 (variable opex)</t>
  </si>
  <si>
    <t>Prioritised Energy centre 1 (fixed opex)</t>
  </si>
  <si>
    <t>Prioritised Energy centre 2 (fixed opex)</t>
  </si>
  <si>
    <t>Prioritised Energy centre 3 (fixed opex)</t>
  </si>
  <si>
    <t>Prioritised Energy centre 4 (fixed opex)</t>
  </si>
  <si>
    <t>Prioritised Energy centre 5 (fixed opex)</t>
  </si>
  <si>
    <t>Prioritised Energy centre 6 (fixed opex)</t>
  </si>
  <si>
    <t>Prioritised Energy centre 7 (fixed opex)</t>
  </si>
  <si>
    <t>Prioritised Energy centre 8 (fixed opex)</t>
  </si>
  <si>
    <t>Prioritised Energy centre 9 (fixed opex)</t>
  </si>
  <si>
    <t>Prioritised Energy centre 10 (fixed opex)</t>
  </si>
  <si>
    <t>Prioritised Energy centre 2 (variable opex)</t>
  </si>
  <si>
    <t>Prioritised Energy centre 3 (variable opex)</t>
  </si>
  <si>
    <t>Prioritised Energy centre 4 (variable opex)</t>
  </si>
  <si>
    <t>Prioritised Energy centre 5 (variable opex)</t>
  </si>
  <si>
    <t>Prioritised Energy centre 6 (variable opex)</t>
  </si>
  <si>
    <t>Prioritised Energy centre 7 (variable opex)</t>
  </si>
  <si>
    <t>Prioritised Energy centre 8 (variable opex)</t>
  </si>
  <si>
    <t>Prioritised Energy centre 9 (variable opex)</t>
  </si>
  <si>
    <t>Prioritised Energy centre 10 (variable opex)</t>
  </si>
  <si>
    <t>Cost of fuel import</t>
  </si>
  <si>
    <t>Cost of O&amp;M</t>
  </si>
  <si>
    <t>Input / size by Phase, kW</t>
  </si>
  <si>
    <t>Fixed cost, £</t>
  </si>
  <si>
    <t>Assumptions (EC)</t>
  </si>
  <si>
    <t>CAPEX rate</t>
  </si>
  <si>
    <t>Substation cost</t>
  </si>
  <si>
    <t>Cost, £/kW</t>
  </si>
  <si>
    <t>Max £/kW</t>
  </si>
  <si>
    <t>Min £/kW</t>
  </si>
  <si>
    <t>Substation cost projection</t>
  </si>
  <si>
    <t>Exponential, k</t>
  </si>
  <si>
    <t>Constant</t>
  </si>
  <si>
    <t>Levelised cost of heat - counterfactual, p/kWh</t>
  </si>
  <si>
    <t>ASHPs and balance of plant (Cumulative)</t>
  </si>
  <si>
    <t>Gas boilers and balance of plant (Cumulative)</t>
  </si>
  <si>
    <t>Electric heater cost (Cumulative)</t>
  </si>
  <si>
    <t>Development flag</t>
  </si>
  <si>
    <t>H&amp;F and K&amp;C Borough Councils</t>
  </si>
  <si>
    <t>Kensington &amp; Chelsea | Hammersmith &amp; Fulham
Cross-Borough Masterplan</t>
  </si>
  <si>
    <t>ES</t>
  </si>
  <si>
    <t>This ATEM assesses the viability of heat networks with low carbon technologies. It is not a detailed financial model and third parties should conduct their own due diligence to verify investment options and decisions. Sustainable Energy accepts no liability of any kind.</t>
  </si>
  <si>
    <t>Counterfactual Net Present Cost</t>
  </si>
  <si>
    <t>Counterfactual levelised cost of heat, p/kWh</t>
  </si>
  <si>
    <t>Energy centres capacity, kW</t>
  </si>
  <si>
    <t>Heat supplied by energy centres, kWh</t>
  </si>
  <si>
    <t>Commercial electricity tariff for counterfactual, p/kWh</t>
  </si>
  <si>
    <t>Residential electricity tariff for counterfactual, p/kWh</t>
  </si>
  <si>
    <t>Electricity requirement for DHN, kWh</t>
  </si>
  <si>
    <t>CoP</t>
  </si>
  <si>
    <t>Energy centre 1 heat generation</t>
  </si>
  <si>
    <t>Energy centre 2 heat generation</t>
  </si>
  <si>
    <t>Energy centre 3 heat generation</t>
  </si>
  <si>
    <t>Energy centre 4 heat generation</t>
  </si>
  <si>
    <t>Energy centre 5 heat generation</t>
  </si>
  <si>
    <t>Energy centre 6 heat generation</t>
  </si>
  <si>
    <t>Energy centre 7 heat generation</t>
  </si>
  <si>
    <t>Energy centre 8 heat generation</t>
  </si>
  <si>
    <t>Energy centre 9 heat generation</t>
  </si>
  <si>
    <t>Energy centre 10 heat generation</t>
  </si>
  <si>
    <t>Heat generated by energy centres, kWh</t>
  </si>
  <si>
    <t>Energy centre 1 electricity requirement</t>
  </si>
  <si>
    <t>Energy centre 2 electricity requirement</t>
  </si>
  <si>
    <t>Energy centre 3 electricity requirement</t>
  </si>
  <si>
    <t>Energy centre 4 electricity requirement</t>
  </si>
  <si>
    <t>Energy centre 5 electricity requirement</t>
  </si>
  <si>
    <t>Energy centre 6 electricity requirement</t>
  </si>
  <si>
    <t>Energy centre 7 electricity requirement</t>
  </si>
  <si>
    <t>Energy centre 8 electricity requirement</t>
  </si>
  <si>
    <t>Energy centre 9 electricity requirement</t>
  </si>
  <si>
    <t>Energy centre 10 electricity requirement</t>
  </si>
  <si>
    <t>Electricity requirements for heat generation,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</si>
</sst>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6" formatCode="&quot;£&quot;#,##0;[Red]\-&quot;£&quot;#,##0"/>
    <numFmt numFmtId="44" formatCode="_-&quot;£&quot;* #,##0.00_-;\-&quot;£&quot;* #,##0.00_-;_-&quot;£&quot;* &quot;-&quot;??_-;_-@_-"/>
    <numFmt numFmtId="43" formatCode="_-* #,##0.00_-;\-* #,##0.00_-;_-* &quot;-&quot;??_-;_-@_-"/>
    <numFmt numFmtId="164" formatCode="_(* #,##0.00_);_(* \(#,##0.00\);_(* &quot;-&quot;??_);_(@_)"/>
    <numFmt numFmtId="165" formatCode="0.0"/>
    <numFmt numFmtId="166" formatCode="#,##0.0"/>
    <numFmt numFmtId="167" formatCode="_-[$£-809]* #,##0_-;\-[$£-809]* #,##0_-;_-[$£-809]* &quot;-&quot;??_-;_-@_-"/>
    <numFmt numFmtId="168" formatCode="_-* #,##0.0_-;\-* #,##0.0_-;_-* &quot;-&quot;??_-;_-@_-"/>
    <numFmt numFmtId="169" formatCode="_-* #,##0_-;\-* #,##0_-;_-* &quot;-&quot;??_-;_-@_-"/>
    <numFmt numFmtId="170" formatCode="_-&quot;£&quot;* #,##0_-;\-&quot;£&quot;* #,##0_-;_-&quot;£&quot;* &quot;-&quot;??_-;_-@_-"/>
    <numFmt numFmtId="171" formatCode="0.000"/>
    <numFmt numFmtId="172" formatCode="0.0%"/>
    <numFmt numFmtId="173" formatCode="_-[$£-809]* #,##0.00_-;\-[$£-809]* #,##0.00_-;_-[$£-809]* &quot;-&quot;??_-;_-@_-"/>
    <numFmt numFmtId="174" formatCode="_-&quot;£&quot;* #,##0.0_-;\-&quot;£&quot;* #,##0.0_-;_-&quot;£&quot;* &quot;-&quot;??_-;_-@_-"/>
    <numFmt numFmtId="175" formatCode="_(* #,##0.00_);_(* \(#,##0.00\);_(* \-??_);_(@_)"/>
    <numFmt numFmtId="176" formatCode="_-\£* #,##0.00_-;&quot;-£&quot;* #,##0.00_-;_-\£* \-??_-;_-@_-"/>
    <numFmt numFmtId="177" formatCode="_-* #,##0.00_-;\-* #,##0.00_-;_-* \-??_-;_-@_-"/>
    <numFmt numFmtId="178" formatCode="_-* #,##0.0000_-;\-* #,##0.0000_-;_-* &quot;-&quot;??_-;_-@_-"/>
    <numFmt numFmtId="179" formatCode="_-* #,##0.00000_-;\-* #,##0.00000_-;_-* &quot;-&quot;??_-;_-@_-"/>
    <numFmt numFmtId="180" formatCode="_-* #,##0.000_-;\-* #,##0.000_-;_-* &quot;-&quot;??_-;_-@_-"/>
    <numFmt numFmtId="181" formatCode="_-* #,##0.000000_-;\-* #,##0.000000_-;_-* &quot;-&quot;??_-;_-@_-"/>
  </numFmts>
  <fonts count="37" x14ac:knownFonts="1">
    <font>
      <sz val="11"/>
      <color theme="1"/>
      <name val="Calibri"/>
      <family val="2"/>
      <scheme val="minor"/>
    </font>
    <font>
      <sz val="11"/>
      <color theme="1"/>
      <name val="Calibri"/>
      <family val="2"/>
      <scheme val="minor"/>
    </font>
    <font>
      <sz val="11"/>
      <color theme="0"/>
      <name val="Calibri"/>
      <family val="2"/>
      <scheme val="minor"/>
    </font>
    <font>
      <sz val="10"/>
      <color rgb="FF000000"/>
      <name val="Calibri"/>
      <family val="2"/>
      <scheme val="minor"/>
    </font>
    <font>
      <sz val="10"/>
      <color theme="1"/>
      <name val="Calibri"/>
      <family val="2"/>
      <scheme val="minor"/>
    </font>
    <font>
      <sz val="10"/>
      <name val="Calibri"/>
      <family val="2"/>
      <scheme val="minor"/>
    </font>
    <font>
      <b/>
      <i/>
      <sz val="10"/>
      <color rgb="FF000000"/>
      <name val="Calibri"/>
      <family val="2"/>
      <scheme val="minor"/>
    </font>
    <font>
      <b/>
      <sz val="10"/>
      <color theme="1"/>
      <name val="Calibri"/>
      <family val="2"/>
      <scheme val="minor"/>
    </font>
    <font>
      <u/>
      <sz val="11"/>
      <color theme="10"/>
      <name val="Calibri"/>
      <family val="2"/>
      <scheme val="minor"/>
    </font>
    <font>
      <b/>
      <sz val="10"/>
      <name val="Calibri"/>
      <family val="2"/>
      <scheme val="minor"/>
    </font>
    <font>
      <i/>
      <sz val="10"/>
      <name val="Calibri"/>
      <family val="2"/>
      <scheme val="minor"/>
    </font>
    <font>
      <i/>
      <sz val="10"/>
      <color theme="1"/>
      <name val="Calibri"/>
      <family val="2"/>
      <scheme val="minor"/>
    </font>
    <font>
      <b/>
      <i/>
      <sz val="10"/>
      <color theme="1"/>
      <name val="Calibri"/>
      <family val="2"/>
      <scheme val="minor"/>
    </font>
    <font>
      <sz val="10"/>
      <color theme="0"/>
      <name val="Calibri"/>
      <family val="2"/>
      <scheme val="minor"/>
    </font>
    <font>
      <b/>
      <sz val="10"/>
      <color theme="0"/>
      <name val="Calibri"/>
      <family val="2"/>
      <scheme val="minor"/>
    </font>
    <font>
      <u/>
      <sz val="10"/>
      <color theme="10"/>
      <name val="Calibri"/>
      <family val="2"/>
      <scheme val="minor"/>
    </font>
    <font>
      <vertAlign val="subscript"/>
      <sz val="10"/>
      <color theme="1"/>
      <name val="Calibri"/>
      <family val="2"/>
      <scheme val="minor"/>
    </font>
    <font>
      <sz val="10"/>
      <color rgb="FFFF0000"/>
      <name val="Calibri"/>
      <family val="2"/>
      <scheme val="minor"/>
    </font>
    <font>
      <sz val="11"/>
      <color indexed="8"/>
      <name val="Calibri"/>
      <family val="2"/>
    </font>
    <font>
      <sz val="10"/>
      <color indexed="8"/>
      <name val="Calibri"/>
      <family val="2"/>
      <scheme val="minor"/>
    </font>
    <font>
      <sz val="8"/>
      <name val="Calibri"/>
      <family val="2"/>
      <scheme val="minor"/>
    </font>
    <font>
      <sz val="10"/>
      <color theme="5"/>
      <name val="Calibri"/>
      <family val="2"/>
      <scheme val="minor"/>
    </font>
    <font>
      <i/>
      <u/>
      <sz val="10"/>
      <color theme="1"/>
      <name val="Calibri"/>
      <family val="2"/>
      <scheme val="minor"/>
    </font>
    <font>
      <i/>
      <sz val="8"/>
      <color theme="1"/>
      <name val="Calibri"/>
      <family val="2"/>
      <scheme val="minor"/>
    </font>
    <font>
      <b/>
      <i/>
      <sz val="10"/>
      <name val="Calibri"/>
      <family val="2"/>
      <scheme val="minor"/>
    </font>
    <font>
      <sz val="10"/>
      <color theme="8"/>
      <name val="Calibri"/>
      <family val="2"/>
      <scheme val="minor"/>
    </font>
    <font>
      <b/>
      <vertAlign val="superscript"/>
      <sz val="10"/>
      <name val="Calibri"/>
      <family val="2"/>
      <scheme val="minor"/>
    </font>
    <font>
      <i/>
      <sz val="10"/>
      <color rgb="FFFF0000"/>
      <name val="Calibri"/>
      <family val="2"/>
      <scheme val="minor"/>
    </font>
    <font>
      <b/>
      <sz val="10"/>
      <color rgb="FFFF0000"/>
      <name val="Calibri"/>
      <family val="2"/>
      <scheme val="minor"/>
    </font>
    <font>
      <b/>
      <sz val="10"/>
      <color rgb="FF0070C0"/>
      <name val="Calibri"/>
      <family val="2"/>
      <scheme val="minor"/>
    </font>
    <font>
      <i/>
      <sz val="10"/>
      <color theme="4"/>
      <name val="Calibri"/>
      <family val="2"/>
      <scheme val="minor"/>
    </font>
    <font>
      <sz val="10.5"/>
      <name val="Calibri"/>
      <family val="2"/>
    </font>
    <font>
      <sz val="11"/>
      <color rgb="FF000000"/>
      <name val="Calibri"/>
      <family val="2"/>
      <charset val="1"/>
    </font>
    <font>
      <u/>
      <sz val="11"/>
      <color rgb="FF0563C1"/>
      <name val="Calibri"/>
      <family val="2"/>
      <charset val="1"/>
    </font>
    <font>
      <sz val="10"/>
      <color rgb="FF000000"/>
      <name val="Calibri"/>
      <family val="2"/>
    </font>
    <font>
      <b/>
      <sz val="11"/>
      <name val="Calibri"/>
      <family val="2"/>
      <scheme val="minor"/>
    </font>
    <font>
      <sz val="11"/>
      <name val="Calibri"/>
      <family val="2"/>
      <scheme val="minor"/>
    </font>
  </fonts>
  <fills count="19">
    <fill>
      <patternFill patternType="none"/>
    </fill>
    <fill>
      <patternFill patternType="gray125"/>
    </fill>
    <fill>
      <patternFill patternType="solid">
        <fgColor theme="0" tint="-0.14999847407452621"/>
        <bgColor indexed="64"/>
      </patternFill>
    </fill>
    <fill>
      <patternFill patternType="solid">
        <fgColor rgb="FFF57E20"/>
        <bgColor indexed="64"/>
      </patternFill>
    </fill>
    <fill>
      <patternFill patternType="solid">
        <fgColor theme="0"/>
        <bgColor rgb="FF000000"/>
      </patternFill>
    </fill>
    <fill>
      <patternFill patternType="solid">
        <fgColor theme="0"/>
        <bgColor indexed="64"/>
      </patternFill>
    </fill>
    <fill>
      <patternFill patternType="solid">
        <fgColor theme="1"/>
        <bgColor indexed="64"/>
      </patternFill>
    </fill>
    <fill>
      <patternFill patternType="solid">
        <fgColor theme="9" tint="0.79998168889431442"/>
        <bgColor indexed="64"/>
      </patternFill>
    </fill>
    <fill>
      <patternFill patternType="solid">
        <fgColor rgb="FFDAF0F6"/>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rgb="FFE2EFDA"/>
        <bgColor rgb="FF000000"/>
      </patternFill>
    </fill>
    <fill>
      <patternFill patternType="solid">
        <fgColor theme="2"/>
        <bgColor indexed="64"/>
      </patternFill>
    </fill>
    <fill>
      <patternFill patternType="solid">
        <fgColor theme="9" tint="0.79998168889431442"/>
        <bgColor theme="4" tint="0.79998168889431442"/>
      </patternFill>
    </fill>
    <fill>
      <patternFill patternType="solid">
        <fgColor theme="0"/>
        <bgColor theme="4" tint="0.79998168889431442"/>
      </patternFill>
    </fill>
  </fills>
  <borders count="6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theme="2" tint="-0.499984740745262"/>
      </left>
      <right style="hair">
        <color theme="2" tint="-0.499984740745262"/>
      </right>
      <top style="thin">
        <color indexed="64"/>
      </top>
      <bottom style="hair">
        <color theme="2" tint="-0.499984740745262"/>
      </bottom>
      <diagonal/>
    </border>
    <border>
      <left style="hair">
        <color theme="2" tint="-0.499984740745262"/>
      </left>
      <right style="hair">
        <color theme="2" tint="-0.499984740745262"/>
      </right>
      <top style="hair">
        <color theme="2" tint="-0.499984740745262"/>
      </top>
      <bottom style="hair">
        <color theme="2" tint="-0.4999847407452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auto="1"/>
      </left>
      <right/>
      <top style="hair">
        <color auto="1"/>
      </top>
      <bottom style="hair">
        <color auto="1"/>
      </bottom>
      <diagonal/>
    </border>
    <border>
      <left/>
      <right style="thin">
        <color auto="1"/>
      </right>
      <top style="hair">
        <color auto="1"/>
      </top>
      <bottom style="hair">
        <color auto="1"/>
      </bottom>
      <diagonal/>
    </border>
    <border>
      <left style="thin">
        <color indexed="64"/>
      </left>
      <right/>
      <top style="hair">
        <color auto="1"/>
      </top>
      <bottom style="thin">
        <color indexed="64"/>
      </bottom>
      <diagonal/>
    </border>
    <border>
      <left/>
      <right style="thin">
        <color indexed="64"/>
      </right>
      <top style="hair">
        <color auto="1"/>
      </top>
      <bottom style="thin">
        <color indexed="64"/>
      </bottom>
      <diagonal/>
    </border>
    <border>
      <left/>
      <right style="thin">
        <color auto="1"/>
      </right>
      <top style="hair">
        <color auto="1"/>
      </top>
      <bottom/>
      <diagonal/>
    </border>
    <border>
      <left style="thin">
        <color indexed="64"/>
      </left>
      <right style="hair">
        <color theme="2" tint="-0.499984740745262"/>
      </right>
      <top style="thin">
        <color indexed="64"/>
      </top>
      <bottom style="hair">
        <color theme="2" tint="-0.499984740745262"/>
      </bottom>
      <diagonal/>
    </border>
    <border>
      <left style="hair">
        <color theme="2" tint="-0.499984740745262"/>
      </left>
      <right style="thin">
        <color indexed="64"/>
      </right>
      <top style="thin">
        <color indexed="64"/>
      </top>
      <bottom style="hair">
        <color theme="2" tint="-0.499984740745262"/>
      </bottom>
      <diagonal/>
    </border>
    <border>
      <left style="thin">
        <color indexed="64"/>
      </left>
      <right style="hair">
        <color theme="2" tint="-0.499984740745262"/>
      </right>
      <top style="hair">
        <color theme="2" tint="-0.499984740745262"/>
      </top>
      <bottom style="hair">
        <color theme="2" tint="-0.499984740745262"/>
      </bottom>
      <diagonal/>
    </border>
    <border>
      <left style="hair">
        <color theme="2" tint="-0.499984740745262"/>
      </left>
      <right style="thin">
        <color indexed="64"/>
      </right>
      <top style="hair">
        <color theme="2" tint="-0.499984740745262"/>
      </top>
      <bottom style="hair">
        <color theme="2" tint="-0.499984740745262"/>
      </bottom>
      <diagonal/>
    </border>
    <border>
      <left style="thin">
        <color indexed="64"/>
      </left>
      <right style="hair">
        <color theme="2" tint="-0.499984740745262"/>
      </right>
      <top style="hair">
        <color theme="2" tint="-0.499984740745262"/>
      </top>
      <bottom style="thin">
        <color indexed="64"/>
      </bottom>
      <diagonal/>
    </border>
    <border>
      <left style="hair">
        <color theme="2" tint="-0.499984740745262"/>
      </left>
      <right style="hair">
        <color theme="2" tint="-0.499984740745262"/>
      </right>
      <top style="hair">
        <color theme="2" tint="-0.499984740745262"/>
      </top>
      <bottom style="thin">
        <color indexed="64"/>
      </bottom>
      <diagonal/>
    </border>
    <border>
      <left style="hair">
        <color theme="2" tint="-0.499984740745262"/>
      </left>
      <right style="thin">
        <color indexed="64"/>
      </right>
      <top style="hair">
        <color theme="2" tint="-0.499984740745262"/>
      </top>
      <bottom style="thin">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hair">
        <color indexed="64"/>
      </right>
      <top style="thin">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hair">
        <color indexed="64"/>
      </left>
      <right/>
      <top style="thin">
        <color indexed="64"/>
      </top>
      <bottom/>
      <diagonal/>
    </border>
    <border>
      <left style="hair">
        <color indexed="64"/>
      </left>
      <right/>
      <top style="thin">
        <color theme="4" tint="0.39997558519241921"/>
      </top>
      <bottom/>
      <diagonal/>
    </border>
    <border>
      <left/>
      <right/>
      <top style="thin">
        <color theme="4" tint="0.39997558519241921"/>
      </top>
      <bottom/>
      <diagonal/>
    </border>
    <border>
      <left style="hair">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theme="4" tint="0.39997558519241921"/>
      </top>
      <bottom/>
      <diagonal/>
    </border>
    <border>
      <left style="thin">
        <color indexed="64"/>
      </left>
      <right style="thin">
        <color indexed="64"/>
      </right>
      <top style="thin">
        <color theme="4" tint="0.39997558519241921"/>
      </top>
      <bottom/>
      <diagonal/>
    </border>
    <border>
      <left/>
      <right style="thin">
        <color theme="0" tint="-0.14999847407452621"/>
      </right>
      <top/>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top/>
      <bottom/>
      <diagonal/>
    </border>
    <border>
      <left style="thin">
        <color theme="0" tint="-0.14999847407452621"/>
      </left>
      <right/>
      <top/>
      <bottom style="thin">
        <color theme="0" tint="-0.14999847407452621"/>
      </bottom>
      <diagonal/>
    </border>
  </borders>
  <cellStyleXfs count="14">
    <xf numFmtId="0" fontId="0" fillId="0" borderId="0"/>
    <xf numFmtId="43" fontId="1" fillId="0" borderId="0" applyFont="0" applyFill="0" applyBorder="0" applyAlignment="0" applyProtection="0"/>
    <xf numFmtId="9" fontId="1" fillId="0" borderId="0" applyFont="0" applyFill="0" applyBorder="0" applyAlignment="0" applyProtection="0"/>
    <xf numFmtId="0" fontId="8" fillId="0" borderId="0" applyNumberFormat="0" applyFill="0" applyBorder="0" applyAlignment="0" applyProtection="0"/>
    <xf numFmtId="44" fontId="1" fillId="0" borderId="0" applyFont="0" applyFill="0" applyBorder="0" applyAlignment="0" applyProtection="0"/>
    <xf numFmtId="0" fontId="18" fillId="0" borderId="0"/>
    <xf numFmtId="164" fontId="1" fillId="0" borderId="0" applyFont="0" applyFill="0" applyBorder="0" applyAlignment="0" applyProtection="0"/>
    <xf numFmtId="0" fontId="32" fillId="0" borderId="0"/>
    <xf numFmtId="177" fontId="32" fillId="0" borderId="0" applyBorder="0" applyProtection="0"/>
    <xf numFmtId="176" fontId="32" fillId="0" borderId="0" applyBorder="0" applyProtection="0"/>
    <xf numFmtId="9" fontId="32" fillId="0" borderId="0" applyBorder="0" applyProtection="0"/>
    <xf numFmtId="0" fontId="33" fillId="0" borderId="0" applyBorder="0" applyProtection="0"/>
    <xf numFmtId="175" fontId="32" fillId="0" borderId="0" applyBorder="0" applyProtection="0"/>
    <xf numFmtId="0" fontId="32" fillId="0" borderId="0"/>
  </cellStyleXfs>
  <cellXfs count="554">
    <xf numFmtId="0" fontId="0" fillId="0" borderId="0" xfId="0"/>
    <xf numFmtId="0" fontId="4" fillId="5" borderId="0" xfId="0" applyFont="1" applyFill="1"/>
    <xf numFmtId="0" fontId="4" fillId="2" borderId="0" xfId="0" applyFont="1" applyFill="1"/>
    <xf numFmtId="0" fontId="6" fillId="4" borderId="0" xfId="0" applyFont="1" applyFill="1"/>
    <xf numFmtId="0" fontId="3" fillId="4" borderId="0" xfId="0" applyFont="1" applyFill="1" applyAlignment="1">
      <alignment horizontal="left" vertical="center"/>
    </xf>
    <xf numFmtId="0" fontId="3" fillId="4" borderId="0" xfId="0" applyFont="1" applyFill="1" applyAlignment="1">
      <alignment wrapText="1"/>
    </xf>
    <xf numFmtId="0" fontId="7" fillId="2" borderId="0" xfId="0" applyFont="1" applyFill="1"/>
    <xf numFmtId="0" fontId="7" fillId="5" borderId="0" xfId="0" applyFont="1" applyFill="1"/>
    <xf numFmtId="0" fontId="0" fillId="6" borderId="0" xfId="0" applyFill="1"/>
    <xf numFmtId="0" fontId="2" fillId="6" borderId="0" xfId="0" applyFont="1" applyFill="1"/>
    <xf numFmtId="0" fontId="4" fillId="10" borderId="0" xfId="0" applyFont="1" applyFill="1"/>
    <xf numFmtId="0" fontId="4" fillId="0" borderId="0" xfId="0" applyFont="1"/>
    <xf numFmtId="0" fontId="5" fillId="0" borderId="0" xfId="0" applyFont="1"/>
    <xf numFmtId="0" fontId="5" fillId="0" borderId="7" xfId="0" applyFont="1" applyBorder="1"/>
    <xf numFmtId="0" fontId="5" fillId="0" borderId="8" xfId="0" applyFont="1" applyBorder="1"/>
    <xf numFmtId="0" fontId="4" fillId="7" borderId="9" xfId="0" applyFont="1" applyFill="1" applyBorder="1"/>
    <xf numFmtId="0" fontId="7" fillId="0" borderId="10" xfId="0" applyFont="1" applyBorder="1"/>
    <xf numFmtId="0" fontId="5" fillId="0" borderId="10" xfId="0" applyFont="1" applyBorder="1"/>
    <xf numFmtId="0" fontId="9" fillId="0" borderId="11" xfId="0" applyFont="1" applyBorder="1"/>
    <xf numFmtId="0" fontId="4" fillId="0" borderId="11" xfId="0" applyFont="1" applyBorder="1"/>
    <xf numFmtId="0" fontId="7" fillId="0" borderId="11" xfId="0" applyFont="1" applyBorder="1"/>
    <xf numFmtId="0" fontId="5" fillId="0" borderId="11" xfId="0" applyFont="1" applyBorder="1"/>
    <xf numFmtId="0" fontId="10" fillId="0" borderId="11" xfId="0" applyFont="1" applyBorder="1"/>
    <xf numFmtId="0" fontId="11" fillId="0" borderId="11" xfId="0" applyFont="1" applyBorder="1"/>
    <xf numFmtId="0" fontId="12" fillId="0" borderId="11" xfId="0" applyFont="1" applyBorder="1" applyProtection="1">
      <protection locked="0"/>
    </xf>
    <xf numFmtId="0" fontId="11" fillId="0" borderId="11" xfId="0" applyFont="1" applyBorder="1" applyProtection="1">
      <protection locked="0"/>
    </xf>
    <xf numFmtId="0" fontId="4" fillId="0" borderId="11" xfId="0" applyFont="1" applyBorder="1" applyProtection="1">
      <protection locked="0"/>
    </xf>
    <xf numFmtId="165" fontId="4" fillId="0" borderId="11" xfId="0" applyNumberFormat="1" applyFont="1" applyBorder="1"/>
    <xf numFmtId="166" fontId="4" fillId="7" borderId="11" xfId="0" applyNumberFormat="1" applyFont="1" applyFill="1" applyBorder="1"/>
    <xf numFmtId="166" fontId="4" fillId="0" borderId="11" xfId="0" applyNumberFormat="1" applyFont="1" applyBorder="1"/>
    <xf numFmtId="165" fontId="4" fillId="7" borderId="11" xfId="0" applyNumberFormat="1" applyFont="1" applyFill="1" applyBorder="1"/>
    <xf numFmtId="9" fontId="4" fillId="0" borderId="11" xfId="2" applyFont="1" applyBorder="1"/>
    <xf numFmtId="14" fontId="4" fillId="0" borderId="0" xfId="0" applyNumberFormat="1" applyFont="1"/>
    <xf numFmtId="0" fontId="13" fillId="6" borderId="0" xfId="0" applyFont="1" applyFill="1"/>
    <xf numFmtId="0" fontId="7" fillId="0" borderId="0" xfId="0" applyFont="1" applyAlignment="1">
      <alignment horizontal="right"/>
    </xf>
    <xf numFmtId="0" fontId="7" fillId="0" borderId="0" xfId="0" applyFont="1"/>
    <xf numFmtId="0" fontId="9" fillId="2" borderId="1" xfId="0" applyFont="1" applyFill="1" applyBorder="1"/>
    <xf numFmtId="0" fontId="5" fillId="2" borderId="2" xfId="0" applyFont="1" applyFill="1" applyBorder="1" applyAlignment="1">
      <alignment horizontal="right"/>
    </xf>
    <xf numFmtId="0" fontId="9" fillId="2" borderId="3" xfId="0" applyFont="1" applyFill="1" applyBorder="1"/>
    <xf numFmtId="0" fontId="5" fillId="2" borderId="4" xfId="0" applyFont="1" applyFill="1" applyBorder="1" applyAlignment="1">
      <alignment horizontal="right"/>
    </xf>
    <xf numFmtId="0" fontId="9" fillId="2" borderId="5" xfId="0" applyFont="1" applyFill="1" applyBorder="1"/>
    <xf numFmtId="14" fontId="5" fillId="2" borderId="6" xfId="0" applyNumberFormat="1" applyFont="1" applyFill="1" applyBorder="1" applyAlignment="1">
      <alignment horizontal="right"/>
    </xf>
    <xf numFmtId="0" fontId="14" fillId="3" borderId="0" xfId="0" applyFont="1" applyFill="1" applyAlignment="1">
      <alignment horizontal="center" vertical="center"/>
    </xf>
    <xf numFmtId="0" fontId="14" fillId="3" borderId="0" xfId="0" applyFont="1" applyFill="1"/>
    <xf numFmtId="0" fontId="4" fillId="0" borderId="0" xfId="0" applyFont="1" applyAlignment="1">
      <alignment horizontal="center" vertical="center"/>
    </xf>
    <xf numFmtId="14" fontId="4" fillId="0" borderId="0" xfId="0" applyNumberFormat="1" applyFont="1" applyAlignment="1">
      <alignment horizontal="center"/>
    </xf>
    <xf numFmtId="0" fontId="4" fillId="0" borderId="0" xfId="0" applyFont="1" applyAlignment="1">
      <alignment horizontal="center"/>
    </xf>
    <xf numFmtId="0" fontId="4" fillId="7" borderId="0" xfId="0" applyFont="1" applyFill="1"/>
    <xf numFmtId="0" fontId="4" fillId="8" borderId="0" xfId="0" applyFont="1" applyFill="1"/>
    <xf numFmtId="0" fontId="4" fillId="9" borderId="0" xfId="0" applyFont="1" applyFill="1"/>
    <xf numFmtId="0" fontId="15" fillId="0" borderId="0" xfId="3" applyFont="1"/>
    <xf numFmtId="0" fontId="4" fillId="6" borderId="0" xfId="0" applyFont="1" applyFill="1"/>
    <xf numFmtId="0" fontId="5" fillId="10" borderId="0" xfId="0" applyFont="1" applyFill="1"/>
    <xf numFmtId="0" fontId="7" fillId="0" borderId="0" xfId="0" applyFont="1" applyAlignment="1">
      <alignment horizontal="left" indent="1"/>
    </xf>
    <xf numFmtId="0" fontId="4" fillId="0" borderId="0" xfId="0" applyFont="1" applyAlignment="1">
      <alignment horizontal="left" indent="1"/>
    </xf>
    <xf numFmtId="0" fontId="4" fillId="0" borderId="0" xfId="0" applyFont="1" applyAlignment="1">
      <alignment horizontal="left" indent="2"/>
    </xf>
    <xf numFmtId="0" fontId="7" fillId="0" borderId="0" xfId="0" applyFont="1" applyProtection="1">
      <protection locked="0"/>
    </xf>
    <xf numFmtId="0" fontId="4" fillId="0" borderId="0" xfId="0" applyFont="1" applyAlignment="1" applyProtection="1">
      <alignment horizontal="left" indent="1"/>
      <protection locked="0"/>
    </xf>
    <xf numFmtId="0" fontId="4" fillId="0" borderId="0" xfId="0" applyFont="1" applyAlignment="1">
      <alignment horizontal="left"/>
    </xf>
    <xf numFmtId="0" fontId="11" fillId="0" borderId="0" xfId="0" applyFont="1" applyAlignment="1">
      <alignment horizontal="left" indent="1"/>
    </xf>
    <xf numFmtId="0" fontId="11" fillId="0" borderId="0" xfId="0" applyFont="1"/>
    <xf numFmtId="0" fontId="4" fillId="0" borderId="0" xfId="0" applyFont="1" applyAlignment="1">
      <alignment horizontal="center" wrapText="1"/>
    </xf>
    <xf numFmtId="169" fontId="4" fillId="0" borderId="0" xfId="1" applyNumberFormat="1" applyFont="1"/>
    <xf numFmtId="0" fontId="4" fillId="0" borderId="13" xfId="0" applyFont="1" applyBorder="1" applyAlignment="1">
      <alignment horizontal="center" wrapText="1"/>
    </xf>
    <xf numFmtId="0" fontId="4" fillId="0" borderId="13" xfId="0" applyFont="1" applyBorder="1"/>
    <xf numFmtId="0" fontId="4" fillId="0" borderId="14" xfId="0" applyFont="1" applyBorder="1" applyAlignment="1">
      <alignment horizontal="center" wrapText="1"/>
    </xf>
    <xf numFmtId="0" fontId="4" fillId="0" borderId="15" xfId="0" applyFont="1" applyBorder="1"/>
    <xf numFmtId="9" fontId="4" fillId="0" borderId="0" xfId="2" applyFont="1" applyBorder="1"/>
    <xf numFmtId="0" fontId="4" fillId="0" borderId="16" xfId="0" applyFont="1" applyBorder="1"/>
    <xf numFmtId="167" fontId="4" fillId="0" borderId="0" xfId="1" applyNumberFormat="1" applyFont="1" applyBorder="1"/>
    <xf numFmtId="170" fontId="4" fillId="0" borderId="0" xfId="4" applyNumberFormat="1" applyFont="1" applyBorder="1"/>
    <xf numFmtId="170" fontId="4" fillId="0" borderId="16" xfId="4" applyNumberFormat="1" applyFont="1" applyBorder="1"/>
    <xf numFmtId="9" fontId="4" fillId="0" borderId="0" xfId="2" applyFont="1" applyBorder="1" applyAlignment="1">
      <alignment horizontal="center"/>
    </xf>
    <xf numFmtId="0" fontId="4" fillId="0" borderId="17" xfId="0" applyFont="1" applyBorder="1"/>
    <xf numFmtId="0" fontId="4" fillId="0" borderId="18" xfId="0" applyFont="1" applyBorder="1"/>
    <xf numFmtId="0" fontId="4" fillId="0" borderId="19" xfId="0" applyFont="1" applyBorder="1"/>
    <xf numFmtId="167" fontId="7" fillId="0" borderId="0" xfId="1" applyNumberFormat="1" applyFont="1" applyBorder="1"/>
    <xf numFmtId="170" fontId="7" fillId="0" borderId="0" xfId="4" applyNumberFormat="1" applyFont="1" applyBorder="1"/>
    <xf numFmtId="170" fontId="7" fillId="0" borderId="16" xfId="4" applyNumberFormat="1" applyFont="1" applyBorder="1"/>
    <xf numFmtId="0" fontId="7" fillId="0" borderId="15" xfId="0" applyFont="1" applyBorder="1" applyAlignment="1">
      <alignment horizontal="right"/>
    </xf>
    <xf numFmtId="169" fontId="4" fillId="0" borderId="0" xfId="0" applyNumberFormat="1" applyFont="1"/>
    <xf numFmtId="9" fontId="4" fillId="2" borderId="0" xfId="2" applyFont="1" applyFill="1" applyBorder="1"/>
    <xf numFmtId="169" fontId="4" fillId="0" borderId="18" xfId="0" applyNumberFormat="1" applyFont="1" applyBorder="1"/>
    <xf numFmtId="169" fontId="4" fillId="0" borderId="0" xfId="1" applyNumberFormat="1" applyFont="1" applyBorder="1"/>
    <xf numFmtId="0" fontId="4" fillId="10" borderId="9" xfId="0" applyFont="1" applyFill="1" applyBorder="1" applyAlignment="1">
      <alignment horizontal="centerContinuous" vertical="center"/>
    </xf>
    <xf numFmtId="0" fontId="4" fillId="0" borderId="20" xfId="0" applyFont="1" applyBorder="1" applyAlignment="1">
      <alignment vertical="center"/>
    </xf>
    <xf numFmtId="9" fontId="4" fillId="0" borderId="0" xfId="2" applyFont="1" applyFill="1" applyBorder="1" applyAlignment="1">
      <alignment vertical="center"/>
    </xf>
    <xf numFmtId="0" fontId="4" fillId="9" borderId="21" xfId="0" applyFont="1" applyFill="1" applyBorder="1" applyAlignment="1">
      <alignment horizontal="center" vertical="center"/>
    </xf>
    <xf numFmtId="2" fontId="5" fillId="11" borderId="23" xfId="5" applyNumberFormat="1" applyFont="1" applyFill="1" applyBorder="1" applyAlignment="1" applyProtection="1">
      <alignment horizontal="right" vertical="center"/>
      <protection locked="0"/>
    </xf>
    <xf numFmtId="2" fontId="4" fillId="11" borderId="23" xfId="0" applyNumberFormat="1" applyFont="1" applyFill="1" applyBorder="1" applyAlignment="1">
      <alignment vertical="center"/>
    </xf>
    <xf numFmtId="171" fontId="19" fillId="11" borderId="23" xfId="5" applyNumberFormat="1" applyFont="1" applyFill="1" applyBorder="1" applyAlignment="1" applyProtection="1">
      <alignment horizontal="right" vertical="center"/>
      <protection locked="0"/>
    </xf>
    <xf numFmtId="0" fontId="4" fillId="11" borderId="23" xfId="0" applyFont="1" applyFill="1" applyBorder="1" applyAlignment="1">
      <alignment vertical="center"/>
    </xf>
    <xf numFmtId="2" fontId="19" fillId="11" borderId="23" xfId="5" applyNumberFormat="1" applyFont="1" applyFill="1" applyBorder="1" applyAlignment="1" applyProtection="1">
      <alignment horizontal="right" vertical="center"/>
      <protection locked="0"/>
    </xf>
    <xf numFmtId="0" fontId="4" fillId="9" borderId="23" xfId="0" applyFont="1" applyFill="1" applyBorder="1" applyAlignment="1">
      <alignment horizontal="center" vertical="center"/>
    </xf>
    <xf numFmtId="10" fontId="19" fillId="11" borderId="23" xfId="5" applyNumberFormat="1" applyFont="1" applyFill="1" applyBorder="1" applyAlignment="1" applyProtection="1">
      <alignment horizontal="right" vertical="center"/>
      <protection locked="0"/>
    </xf>
    <xf numFmtId="9" fontId="19" fillId="11" borderId="23" xfId="2" applyFont="1" applyFill="1" applyBorder="1" applyAlignment="1" applyProtection="1">
      <alignment horizontal="right" vertical="center"/>
      <protection locked="0"/>
    </xf>
    <xf numFmtId="167" fontId="4" fillId="11" borderId="23" xfId="0" applyNumberFormat="1" applyFont="1" applyFill="1" applyBorder="1" applyAlignment="1">
      <alignment horizontal="center" vertical="center"/>
    </xf>
    <xf numFmtId="0" fontId="4" fillId="11" borderId="26" xfId="0" applyFont="1" applyFill="1" applyBorder="1" applyAlignment="1">
      <alignment vertical="center"/>
    </xf>
    <xf numFmtId="0" fontId="4" fillId="9" borderId="23" xfId="0" applyFont="1" applyFill="1" applyBorder="1" applyAlignment="1">
      <alignment horizontal="center" vertical="center" wrapText="1"/>
    </xf>
    <xf numFmtId="0" fontId="4" fillId="0" borderId="0" xfId="0" applyFont="1" applyAlignment="1">
      <alignment horizontal="centerContinuous" vertical="center"/>
    </xf>
    <xf numFmtId="0" fontId="7" fillId="10" borderId="7" xfId="0" applyFont="1" applyFill="1" applyBorder="1" applyAlignment="1">
      <alignment horizontal="right" vertical="center"/>
    </xf>
    <xf numFmtId="1" fontId="4" fillId="0" borderId="0" xfId="0" applyNumberFormat="1" applyFont="1"/>
    <xf numFmtId="0" fontId="7" fillId="0" borderId="27" xfId="0" applyFont="1" applyBorder="1"/>
    <xf numFmtId="0" fontId="5" fillId="0" borderId="28" xfId="0" applyFont="1" applyBorder="1"/>
    <xf numFmtId="0" fontId="9" fillId="0" borderId="29" xfId="0" applyFont="1" applyBorder="1"/>
    <xf numFmtId="0" fontId="4" fillId="0" borderId="30" xfId="0" applyFont="1" applyBorder="1"/>
    <xf numFmtId="0" fontId="7" fillId="0" borderId="29" xfId="0" applyFont="1" applyBorder="1"/>
    <xf numFmtId="0" fontId="10" fillId="0" borderId="29" xfId="0" applyFont="1" applyBorder="1"/>
    <xf numFmtId="0" fontId="11" fillId="0" borderId="30" xfId="0" applyFont="1" applyBorder="1"/>
    <xf numFmtId="0" fontId="5" fillId="0" borderId="29" xfId="0" applyFont="1" applyBorder="1"/>
    <xf numFmtId="0" fontId="12" fillId="0" borderId="29" xfId="0" applyFont="1" applyBorder="1" applyProtection="1">
      <protection locked="0"/>
    </xf>
    <xf numFmtId="0" fontId="4" fillId="0" borderId="29" xfId="0" applyFont="1" applyBorder="1" applyProtection="1">
      <protection locked="0"/>
    </xf>
    <xf numFmtId="166" fontId="4" fillId="7" borderId="30" xfId="0" applyNumberFormat="1" applyFont="1" applyFill="1" applyBorder="1"/>
    <xf numFmtId="166" fontId="4" fillId="0" borderId="30" xfId="0" applyNumberFormat="1" applyFont="1" applyBorder="1"/>
    <xf numFmtId="9" fontId="4" fillId="0" borderId="30" xfId="2" applyFont="1" applyBorder="1"/>
    <xf numFmtId="0" fontId="4" fillId="0" borderId="31" xfId="0" applyFont="1" applyBorder="1" applyProtection="1">
      <protection locked="0"/>
    </xf>
    <xf numFmtId="0" fontId="4" fillId="0" borderId="32" xfId="0" applyFont="1" applyBorder="1"/>
    <xf numFmtId="9" fontId="4" fillId="0" borderId="32" xfId="2" applyFont="1" applyBorder="1"/>
    <xf numFmtId="9" fontId="4" fillId="0" borderId="33" xfId="2" applyFont="1" applyBorder="1"/>
    <xf numFmtId="169" fontId="4" fillId="2" borderId="0" xfId="1" applyNumberFormat="1" applyFont="1" applyFill="1"/>
    <xf numFmtId="9" fontId="4" fillId="0" borderId="0" xfId="2" applyFont="1" applyFill="1" applyBorder="1"/>
    <xf numFmtId="169" fontId="4" fillId="0" borderId="0" xfId="1" applyNumberFormat="1" applyFont="1" applyFill="1" applyBorder="1"/>
    <xf numFmtId="9" fontId="7" fillId="0" borderId="0" xfId="2" applyFont="1" applyBorder="1" applyAlignment="1">
      <alignment horizontal="center"/>
    </xf>
    <xf numFmtId="0" fontId="5" fillId="0" borderId="15" xfId="0" applyFont="1" applyBorder="1"/>
    <xf numFmtId="14" fontId="7" fillId="0" borderId="0" xfId="0" applyNumberFormat="1" applyFont="1"/>
    <xf numFmtId="9" fontId="4" fillId="0" borderId="0" xfId="2" applyFont="1"/>
    <xf numFmtId="172" fontId="4" fillId="0" borderId="0" xfId="2" applyNumberFormat="1" applyFont="1"/>
    <xf numFmtId="173" fontId="4" fillId="0" borderId="0" xfId="0" applyNumberFormat="1" applyFont="1"/>
    <xf numFmtId="167" fontId="4" fillId="0" borderId="0" xfId="0" applyNumberFormat="1" applyFont="1"/>
    <xf numFmtId="167" fontId="4" fillId="0" borderId="0" xfId="1" applyNumberFormat="1" applyFont="1" applyFill="1" applyBorder="1"/>
    <xf numFmtId="9" fontId="4" fillId="7" borderId="0" xfId="2" applyFont="1" applyFill="1" applyBorder="1"/>
    <xf numFmtId="169" fontId="4" fillId="7" borderId="0" xfId="1" applyNumberFormat="1" applyFont="1" applyFill="1" applyBorder="1"/>
    <xf numFmtId="1" fontId="4" fillId="0" borderId="0" xfId="0" applyNumberFormat="1" applyFont="1" applyAlignment="1">
      <alignment horizontal="right" vertical="center"/>
    </xf>
    <xf numFmtId="173" fontId="4" fillId="7" borderId="0" xfId="0" applyNumberFormat="1" applyFont="1" applyFill="1"/>
    <xf numFmtId="173" fontId="4" fillId="7" borderId="0" xfId="2" applyNumberFormat="1" applyFont="1" applyFill="1" applyBorder="1"/>
    <xf numFmtId="167" fontId="4" fillId="7" borderId="0" xfId="2" applyNumberFormat="1" applyFont="1" applyFill="1" applyBorder="1"/>
    <xf numFmtId="0" fontId="17" fillId="0" borderId="0" xfId="0" applyFont="1"/>
    <xf numFmtId="173" fontId="4" fillId="2" borderId="0" xfId="0" applyNumberFormat="1" applyFont="1" applyFill="1"/>
    <xf numFmtId="0" fontId="4" fillId="2" borderId="0" xfId="0" applyFont="1" applyFill="1" applyAlignment="1">
      <alignment horizontal="right" vertical="center"/>
    </xf>
    <xf numFmtId="9" fontId="4" fillId="2" borderId="0" xfId="2" applyFont="1" applyFill="1" applyBorder="1" applyAlignment="1">
      <alignment horizontal="right" wrapText="1"/>
    </xf>
    <xf numFmtId="170" fontId="4" fillId="0" borderId="0" xfId="4" applyNumberFormat="1" applyFont="1"/>
    <xf numFmtId="170" fontId="4" fillId="0" borderId="0" xfId="0" applyNumberFormat="1" applyFont="1"/>
    <xf numFmtId="43" fontId="4" fillId="0" borderId="0" xfId="1" applyFont="1"/>
    <xf numFmtId="0" fontId="4" fillId="2" borderId="0" xfId="2" applyNumberFormat="1" applyFont="1" applyFill="1" applyBorder="1" applyAlignment="1">
      <alignment horizontal="right"/>
    </xf>
    <xf numFmtId="170" fontId="4" fillId="0" borderId="16" xfId="0" applyNumberFormat="1" applyFont="1" applyBorder="1"/>
    <xf numFmtId="3" fontId="4" fillId="0" borderId="0" xfId="0" applyNumberFormat="1" applyFont="1"/>
    <xf numFmtId="173" fontId="4" fillId="7" borderId="0" xfId="1" applyNumberFormat="1" applyFont="1" applyFill="1" applyBorder="1"/>
    <xf numFmtId="167" fontId="4" fillId="2" borderId="0" xfId="1" applyNumberFormat="1" applyFont="1" applyFill="1"/>
    <xf numFmtId="0" fontId="4" fillId="0" borderId="0" xfId="0" applyFont="1" applyAlignment="1">
      <alignment horizontal="center" vertical="center" wrapText="1"/>
    </xf>
    <xf numFmtId="0" fontId="10" fillId="0" borderId="0" xfId="0" applyFont="1" applyAlignment="1">
      <alignment horizontal="left" indent="1"/>
    </xf>
    <xf numFmtId="9" fontId="4" fillId="0" borderId="0" xfId="0" applyNumberFormat="1" applyFont="1"/>
    <xf numFmtId="6" fontId="5" fillId="0" borderId="0" xfId="0" applyNumberFormat="1" applyFont="1"/>
    <xf numFmtId="167" fontId="4" fillId="0" borderId="0" xfId="4" applyNumberFormat="1" applyFont="1"/>
    <xf numFmtId="2" fontId="4" fillId="11" borderId="26" xfId="0" applyNumberFormat="1" applyFont="1" applyFill="1" applyBorder="1" applyAlignment="1">
      <alignment vertical="center"/>
    </xf>
    <xf numFmtId="0" fontId="7" fillId="10" borderId="7" xfId="0" applyFont="1" applyFill="1" applyBorder="1" applyAlignment="1">
      <alignment vertical="center"/>
    </xf>
    <xf numFmtId="0" fontId="7" fillId="10" borderId="8" xfId="0" applyFont="1" applyFill="1" applyBorder="1" applyAlignment="1">
      <alignment vertical="center"/>
    </xf>
    <xf numFmtId="0" fontId="7" fillId="10" borderId="9" xfId="0" applyFont="1" applyFill="1" applyBorder="1" applyAlignment="1">
      <alignment vertical="center"/>
    </xf>
    <xf numFmtId="0" fontId="7" fillId="10" borderId="8" xfId="0" applyFont="1" applyFill="1" applyBorder="1" applyAlignment="1">
      <alignment horizontal="center" vertical="center" wrapText="1"/>
    </xf>
    <xf numFmtId="0" fontId="7" fillId="10" borderId="9" xfId="0" applyFont="1" applyFill="1" applyBorder="1" applyAlignment="1">
      <alignment horizontal="center" vertical="center" wrapText="1"/>
    </xf>
    <xf numFmtId="0" fontId="4" fillId="0" borderId="7" xfId="0" applyFont="1" applyBorder="1"/>
    <xf numFmtId="0" fontId="4" fillId="9" borderId="9" xfId="0" applyFont="1" applyFill="1" applyBorder="1" applyAlignment="1">
      <alignment horizontal="center"/>
    </xf>
    <xf numFmtId="0" fontId="19" fillId="0" borderId="22" xfId="5" applyFont="1" applyBorder="1" applyAlignment="1" applyProtection="1">
      <alignment horizontal="left" vertical="center"/>
      <protection locked="0"/>
    </xf>
    <xf numFmtId="0" fontId="4" fillId="0" borderId="22" xfId="0" applyFont="1" applyBorder="1" applyAlignment="1" applyProtection="1">
      <alignment horizontal="left" vertical="center"/>
      <protection locked="0"/>
    </xf>
    <xf numFmtId="0" fontId="4" fillId="0" borderId="22" xfId="0" applyFont="1" applyBorder="1" applyAlignment="1">
      <alignment horizontal="left" vertical="center"/>
    </xf>
    <xf numFmtId="0" fontId="5" fillId="0" borderId="22" xfId="0" applyFont="1" applyBorder="1" applyAlignment="1">
      <alignment horizontal="left" vertical="center"/>
    </xf>
    <xf numFmtId="169" fontId="19" fillId="0" borderId="23" xfId="1" applyNumberFormat="1" applyFont="1" applyFill="1" applyBorder="1" applyAlignment="1" applyProtection="1">
      <alignment horizontal="right" vertical="center"/>
    </xf>
    <xf numFmtId="0" fontId="23" fillId="0" borderId="0" xfId="0" applyFont="1"/>
    <xf numFmtId="0" fontId="23" fillId="0" borderId="0" xfId="0" applyFont="1" applyAlignment="1">
      <alignment horizontal="right"/>
    </xf>
    <xf numFmtId="171" fontId="4" fillId="0" borderId="0" xfId="0" applyNumberFormat="1" applyFont="1"/>
    <xf numFmtId="9" fontId="4" fillId="0" borderId="0" xfId="2" applyFont="1" applyFill="1"/>
    <xf numFmtId="168" fontId="11" fillId="7" borderId="0" xfId="1" applyNumberFormat="1" applyFont="1" applyFill="1"/>
    <xf numFmtId="0" fontId="21" fillId="0" borderId="0" xfId="0" applyFont="1"/>
    <xf numFmtId="0" fontId="5" fillId="0" borderId="0" xfId="0" applyFont="1" applyAlignment="1">
      <alignment horizontal="left" indent="1"/>
    </xf>
    <xf numFmtId="172" fontId="4" fillId="11" borderId="26" xfId="2" applyNumberFormat="1" applyFont="1" applyFill="1" applyBorder="1" applyAlignment="1">
      <alignment vertical="center"/>
    </xf>
    <xf numFmtId="170" fontId="5" fillId="0" borderId="0" xfId="4" applyNumberFormat="1" applyFont="1"/>
    <xf numFmtId="43" fontId="4" fillId="0" borderId="0" xfId="0" applyNumberFormat="1" applyFont="1"/>
    <xf numFmtId="43" fontId="5" fillId="0" borderId="0" xfId="1" applyFont="1"/>
    <xf numFmtId="0" fontId="7" fillId="0" borderId="12" xfId="0" applyFont="1" applyBorder="1"/>
    <xf numFmtId="0" fontId="4" fillId="0" borderId="14" xfId="0" applyFont="1" applyBorder="1"/>
    <xf numFmtId="0" fontId="4" fillId="0" borderId="15" xfId="0" applyFont="1" applyBorder="1" applyAlignment="1">
      <alignment horizontal="left" indent="1"/>
    </xf>
    <xf numFmtId="43" fontId="4" fillId="0" borderId="0" xfId="1" applyFont="1" applyBorder="1"/>
    <xf numFmtId="43" fontId="4" fillId="0" borderId="16" xfId="0" applyNumberFormat="1" applyFont="1" applyBorder="1"/>
    <xf numFmtId="0" fontId="4" fillId="12" borderId="16" xfId="0" applyFont="1" applyFill="1" applyBorder="1"/>
    <xf numFmtId="10" fontId="4" fillId="0" borderId="0" xfId="2" applyNumberFormat="1" applyFont="1" applyBorder="1"/>
    <xf numFmtId="0" fontId="7" fillId="0" borderId="15" xfId="0" applyFont="1" applyBorder="1"/>
    <xf numFmtId="43" fontId="4" fillId="0" borderId="16" xfId="1" applyFont="1" applyBorder="1"/>
    <xf numFmtId="0" fontId="4" fillId="0" borderId="17" xfId="0" applyFont="1" applyBorder="1" applyAlignment="1">
      <alignment horizontal="left" indent="1"/>
    </xf>
    <xf numFmtId="169" fontId="4" fillId="0" borderId="18" xfId="1" applyNumberFormat="1" applyFont="1" applyBorder="1"/>
    <xf numFmtId="169" fontId="4" fillId="0" borderId="19" xfId="1" applyNumberFormat="1" applyFont="1" applyBorder="1"/>
    <xf numFmtId="0" fontId="4" fillId="0" borderId="12" xfId="0" applyFont="1" applyBorder="1"/>
    <xf numFmtId="169" fontId="4" fillId="0" borderId="16" xfId="1" applyNumberFormat="1" applyFont="1" applyBorder="1"/>
    <xf numFmtId="43" fontId="4" fillId="0" borderId="0" xfId="1" applyFont="1" applyFill="1"/>
    <xf numFmtId="0" fontId="3" fillId="4" borderId="0" xfId="0" applyFont="1" applyFill="1"/>
    <xf numFmtId="0" fontId="3" fillId="4" borderId="0" xfId="0" applyFont="1" applyFill="1" applyAlignment="1">
      <alignment horizontal="left"/>
    </xf>
    <xf numFmtId="0" fontId="4" fillId="5" borderId="0" xfId="0" applyFont="1" applyFill="1" applyAlignment="1">
      <alignment horizontal="left"/>
    </xf>
    <xf numFmtId="0" fontId="3" fillId="4" borderId="0" xfId="0" applyFont="1" applyFill="1" applyAlignment="1">
      <alignment horizontal="left" wrapText="1"/>
    </xf>
    <xf numFmtId="167" fontId="4" fillId="0" borderId="0" xfId="1" applyNumberFormat="1" applyFont="1" applyFill="1"/>
    <xf numFmtId="0" fontId="4" fillId="0" borderId="12" xfId="0" applyFont="1" applyBorder="1" applyAlignment="1">
      <alignment horizontal="center"/>
    </xf>
    <xf numFmtId="172" fontId="4" fillId="2" borderId="0" xfId="2" applyNumberFormat="1" applyFont="1" applyFill="1" applyBorder="1"/>
    <xf numFmtId="0" fontId="4" fillId="0" borderId="24" xfId="0" applyFont="1" applyBorder="1" applyAlignment="1" applyProtection="1">
      <alignment horizontal="left" vertical="center"/>
      <protection locked="0"/>
    </xf>
    <xf numFmtId="0" fontId="4" fillId="9" borderId="25" xfId="0" applyFont="1" applyFill="1" applyBorder="1" applyAlignment="1">
      <alignment horizontal="center" vertical="center" wrapText="1"/>
    </xf>
    <xf numFmtId="0" fontId="12" fillId="0" borderId="0" xfId="0" applyFont="1"/>
    <xf numFmtId="169" fontId="24" fillId="0" borderId="0" xfId="1" applyNumberFormat="1" applyFont="1" applyFill="1" applyBorder="1"/>
    <xf numFmtId="0" fontId="5" fillId="0" borderId="22" xfId="0" applyFont="1" applyBorder="1" applyAlignment="1">
      <alignment horizontal="left" vertical="center" wrapText="1"/>
    </xf>
    <xf numFmtId="0" fontId="5" fillId="9" borderId="23" xfId="0" applyFont="1" applyFill="1" applyBorder="1" applyAlignment="1">
      <alignment horizontal="center" vertical="center"/>
    </xf>
    <xf numFmtId="0" fontId="25" fillId="0" borderId="0" xfId="0" applyFont="1"/>
    <xf numFmtId="0" fontId="4" fillId="7" borderId="34" xfId="0" applyFont="1" applyFill="1" applyBorder="1" applyAlignment="1">
      <alignment horizontal="center" vertical="center"/>
    </xf>
    <xf numFmtId="0" fontId="0" fillId="0" borderId="0" xfId="0" applyAlignment="1">
      <alignment wrapText="1"/>
    </xf>
    <xf numFmtId="0" fontId="4" fillId="7" borderId="36" xfId="0" applyFont="1" applyFill="1" applyBorder="1" applyAlignment="1">
      <alignment horizontal="center" vertical="center"/>
    </xf>
    <xf numFmtId="0" fontId="4" fillId="7" borderId="44" xfId="0" applyFont="1" applyFill="1" applyBorder="1"/>
    <xf numFmtId="3" fontId="4" fillId="13" borderId="38" xfId="0" applyNumberFormat="1" applyFont="1" applyFill="1" applyBorder="1" applyAlignment="1" applyProtection="1">
      <alignment horizontal="center" vertical="center"/>
      <protection locked="0"/>
    </xf>
    <xf numFmtId="3" fontId="4" fillId="13" borderId="35" xfId="0" applyNumberFormat="1" applyFont="1" applyFill="1" applyBorder="1" applyAlignment="1" applyProtection="1">
      <alignment horizontal="center" vertical="center"/>
      <protection locked="0"/>
    </xf>
    <xf numFmtId="3" fontId="4" fillId="13" borderId="43" xfId="0" applyNumberFormat="1" applyFont="1" applyFill="1" applyBorder="1" applyAlignment="1" applyProtection="1">
      <alignment horizontal="center" vertical="center"/>
      <protection locked="0"/>
    </xf>
    <xf numFmtId="0" fontId="9" fillId="10" borderId="7" xfId="0" applyFont="1" applyFill="1" applyBorder="1" applyAlignment="1">
      <alignment vertical="center" wrapText="1"/>
    </xf>
    <xf numFmtId="0" fontId="9" fillId="10" borderId="8" xfId="0" applyFont="1" applyFill="1" applyBorder="1" applyAlignment="1">
      <alignment vertical="center" wrapText="1"/>
    </xf>
    <xf numFmtId="0" fontId="9" fillId="10" borderId="9" xfId="0" applyFont="1" applyFill="1" applyBorder="1" applyAlignment="1">
      <alignment vertical="center" wrapText="1"/>
    </xf>
    <xf numFmtId="0" fontId="0" fillId="7" borderId="35" xfId="0" applyFill="1" applyBorder="1"/>
    <xf numFmtId="0" fontId="0" fillId="7" borderId="40" xfId="0" applyFill="1" applyBorder="1"/>
    <xf numFmtId="0" fontId="0" fillId="7" borderId="41" xfId="0" applyFill="1" applyBorder="1"/>
    <xf numFmtId="0" fontId="0" fillId="7" borderId="42" xfId="0" applyFill="1" applyBorder="1"/>
    <xf numFmtId="0" fontId="0" fillId="7" borderId="43" xfId="0" applyFill="1" applyBorder="1"/>
    <xf numFmtId="0" fontId="0" fillId="7" borderId="44" xfId="0" applyFill="1" applyBorder="1"/>
    <xf numFmtId="0" fontId="4" fillId="7" borderId="45" xfId="0" applyFont="1" applyFill="1" applyBorder="1" applyAlignment="1">
      <alignment horizontal="center" vertical="center"/>
    </xf>
    <xf numFmtId="0" fontId="9" fillId="10" borderId="18" xfId="0" applyFont="1" applyFill="1" applyBorder="1" applyAlignment="1">
      <alignment vertical="center" wrapText="1"/>
    </xf>
    <xf numFmtId="0" fontId="5" fillId="0" borderId="17" xfId="0" applyFont="1" applyBorder="1" applyAlignment="1">
      <alignment horizontal="center"/>
    </xf>
    <xf numFmtId="0" fontId="5" fillId="0" borderId="19" xfId="0" applyFont="1" applyBorder="1" applyAlignment="1">
      <alignment horizontal="center"/>
    </xf>
    <xf numFmtId="0" fontId="5" fillId="0" borderId="46" xfId="0" applyFont="1" applyBorder="1"/>
    <xf numFmtId="0" fontId="5" fillId="0" borderId="48" xfId="0" applyFont="1" applyBorder="1"/>
    <xf numFmtId="0" fontId="5" fillId="0" borderId="47" xfId="0" applyFont="1" applyBorder="1"/>
    <xf numFmtId="174" fontId="4" fillId="7" borderId="49" xfId="1" applyNumberFormat="1" applyFont="1" applyFill="1" applyBorder="1"/>
    <xf numFmtId="174" fontId="4" fillId="7" borderId="50" xfId="1" applyNumberFormat="1" applyFont="1" applyFill="1" applyBorder="1"/>
    <xf numFmtId="174" fontId="4" fillId="7" borderId="14" xfId="4" applyNumberFormat="1" applyFont="1" applyFill="1" applyBorder="1"/>
    <xf numFmtId="174" fontId="4" fillId="7" borderId="16" xfId="4" applyNumberFormat="1" applyFont="1" applyFill="1" applyBorder="1"/>
    <xf numFmtId="174" fontId="4" fillId="7" borderId="51" xfId="1" applyNumberFormat="1" applyFont="1" applyFill="1" applyBorder="1"/>
    <xf numFmtId="174" fontId="4" fillId="7" borderId="19" xfId="4" applyNumberFormat="1" applyFont="1" applyFill="1" applyBorder="1"/>
    <xf numFmtId="0" fontId="5" fillId="0" borderId="12" xfId="0" applyFont="1" applyBorder="1"/>
    <xf numFmtId="170" fontId="4" fillId="0" borderId="14" xfId="4" applyNumberFormat="1" applyFont="1" applyFill="1" applyBorder="1"/>
    <xf numFmtId="170" fontId="4" fillId="0" borderId="16" xfId="4" applyNumberFormat="1" applyFont="1" applyFill="1" applyBorder="1"/>
    <xf numFmtId="170" fontId="4" fillId="0" borderId="19" xfId="4" applyNumberFormat="1" applyFont="1" applyFill="1" applyBorder="1"/>
    <xf numFmtId="43" fontId="4" fillId="7" borderId="45" xfId="0" applyNumberFormat="1" applyFont="1" applyFill="1" applyBorder="1" applyAlignment="1">
      <alignment horizontal="center" vertical="center"/>
    </xf>
    <xf numFmtId="43" fontId="4" fillId="7" borderId="34" xfId="0" applyNumberFormat="1" applyFont="1" applyFill="1" applyBorder="1" applyAlignment="1">
      <alignment horizontal="center" vertical="center"/>
    </xf>
    <xf numFmtId="169" fontId="4" fillId="7" borderId="34" xfId="1" applyNumberFormat="1" applyFont="1" applyFill="1" applyBorder="1" applyAlignment="1">
      <alignment horizontal="center" vertical="center"/>
    </xf>
    <xf numFmtId="167" fontId="27" fillId="0" borderId="0" xfId="0" applyNumberFormat="1" applyFont="1"/>
    <xf numFmtId="167" fontId="28" fillId="0" borderId="0" xfId="0" applyNumberFormat="1" applyFont="1"/>
    <xf numFmtId="167" fontId="29" fillId="0" borderId="0" xfId="0" applyNumberFormat="1" applyFont="1"/>
    <xf numFmtId="167" fontId="30" fillId="0" borderId="0" xfId="0" applyNumberFormat="1" applyFont="1"/>
    <xf numFmtId="170" fontId="30" fillId="0" borderId="0" xfId="4" applyNumberFormat="1" applyFont="1"/>
    <xf numFmtId="167" fontId="10" fillId="0" borderId="0" xfId="0" applyNumberFormat="1" applyFont="1"/>
    <xf numFmtId="170" fontId="10" fillId="0" borderId="0" xfId="4" applyNumberFormat="1" applyFont="1"/>
    <xf numFmtId="167" fontId="9" fillId="0" borderId="0" xfId="0" applyNumberFormat="1" applyFont="1"/>
    <xf numFmtId="0" fontId="31" fillId="0" borderId="0" xfId="0" applyFont="1" applyAlignment="1">
      <alignment horizontal="left" vertical="center" wrapText="1"/>
    </xf>
    <xf numFmtId="169" fontId="4" fillId="7" borderId="52" xfId="1" applyNumberFormat="1" applyFont="1" applyFill="1" applyBorder="1"/>
    <xf numFmtId="1" fontId="4" fillId="7" borderId="52" xfId="0" applyNumberFormat="1" applyFont="1" applyFill="1" applyBorder="1" applyAlignment="1">
      <alignment horizontal="center" vertical="center"/>
    </xf>
    <xf numFmtId="3" fontId="4" fillId="13" borderId="52" xfId="0" applyNumberFormat="1" applyFont="1" applyFill="1" applyBorder="1" applyAlignment="1">
      <alignment horizontal="center" vertical="center"/>
    </xf>
    <xf numFmtId="3" fontId="4" fillId="7" borderId="52" xfId="0" applyNumberFormat="1" applyFont="1" applyFill="1" applyBorder="1" applyAlignment="1">
      <alignment horizontal="center" vertical="center"/>
    </xf>
    <xf numFmtId="3" fontId="4" fillId="9" borderId="52" xfId="0" applyNumberFormat="1" applyFont="1" applyFill="1" applyBorder="1" applyAlignment="1">
      <alignment horizontal="center" vertical="center"/>
    </xf>
    <xf numFmtId="1" fontId="4" fillId="14" borderId="52" xfId="0" applyNumberFormat="1" applyFont="1" applyFill="1" applyBorder="1" applyAlignment="1">
      <alignment horizontal="center" vertical="center"/>
    </xf>
    <xf numFmtId="0" fontId="4" fillId="7" borderId="52" xfId="0" applyFont="1" applyFill="1" applyBorder="1"/>
    <xf numFmtId="3" fontId="4" fillId="7" borderId="44" xfId="0" applyNumberFormat="1" applyFont="1" applyFill="1" applyBorder="1" applyAlignment="1">
      <alignment horizontal="left"/>
    </xf>
    <xf numFmtId="169" fontId="4" fillId="7" borderId="44" xfId="1" applyNumberFormat="1" applyFont="1" applyFill="1" applyBorder="1"/>
    <xf numFmtId="1" fontId="4" fillId="7" borderId="44" xfId="0" applyNumberFormat="1" applyFont="1" applyFill="1" applyBorder="1" applyAlignment="1">
      <alignment horizontal="center" vertical="center"/>
    </xf>
    <xf numFmtId="3" fontId="4" fillId="13" borderId="44" xfId="0" applyNumberFormat="1" applyFont="1" applyFill="1" applyBorder="1" applyAlignment="1">
      <alignment horizontal="center" vertical="center"/>
    </xf>
    <xf numFmtId="3" fontId="4" fillId="7" borderId="44" xfId="0" applyNumberFormat="1" applyFont="1" applyFill="1" applyBorder="1" applyAlignment="1">
      <alignment horizontal="center" vertical="center"/>
    </xf>
    <xf numFmtId="3" fontId="4" fillId="9" borderId="44" xfId="0" applyNumberFormat="1" applyFont="1" applyFill="1" applyBorder="1" applyAlignment="1">
      <alignment horizontal="center" vertical="center"/>
    </xf>
    <xf numFmtId="1" fontId="4" fillId="0" borderId="44" xfId="0" applyNumberFormat="1" applyFont="1" applyBorder="1" applyAlignment="1">
      <alignment horizontal="center" vertical="center"/>
    </xf>
    <xf numFmtId="1" fontId="4" fillId="14" borderId="44" xfId="0" applyNumberFormat="1" applyFont="1" applyFill="1" applyBorder="1" applyAlignment="1">
      <alignment horizontal="center" vertical="center"/>
    </xf>
    <xf numFmtId="0" fontId="4" fillId="7" borderId="13" xfId="0" applyFont="1" applyFill="1" applyBorder="1" applyAlignment="1">
      <alignment horizontal="center" vertical="center"/>
    </xf>
    <xf numFmtId="0" fontId="9" fillId="10" borderId="0" xfId="0" applyFont="1" applyFill="1" applyAlignment="1">
      <alignment vertical="center" wrapText="1"/>
    </xf>
    <xf numFmtId="169" fontId="9" fillId="10" borderId="0" xfId="0" applyNumberFormat="1" applyFont="1" applyFill="1" applyAlignment="1">
      <alignment vertical="center" wrapText="1"/>
    </xf>
    <xf numFmtId="0" fontId="9" fillId="10" borderId="15" xfId="0" applyFont="1" applyFill="1" applyBorder="1" applyAlignment="1">
      <alignment vertical="center" wrapText="1"/>
    </xf>
    <xf numFmtId="3" fontId="4" fillId="7" borderId="36" xfId="0" applyNumberFormat="1" applyFont="1" applyFill="1" applyBorder="1" applyAlignment="1">
      <alignment horizontal="center" vertical="center"/>
    </xf>
    <xf numFmtId="3" fontId="0" fillId="0" borderId="0" xfId="0" applyNumberFormat="1"/>
    <xf numFmtId="167" fontId="0" fillId="0" borderId="0" xfId="0" applyNumberFormat="1"/>
    <xf numFmtId="1" fontId="0" fillId="7" borderId="45" xfId="1" applyNumberFormat="1" applyFont="1" applyFill="1" applyBorder="1" applyAlignment="1">
      <alignment horizontal="center" vertical="center"/>
    </xf>
    <xf numFmtId="1" fontId="0" fillId="7" borderId="34" xfId="1" applyNumberFormat="1" applyFont="1" applyFill="1" applyBorder="1" applyAlignment="1">
      <alignment horizontal="center" vertical="center"/>
    </xf>
    <xf numFmtId="169" fontId="0" fillId="0" borderId="0" xfId="1" applyNumberFormat="1" applyFont="1" applyFill="1" applyBorder="1"/>
    <xf numFmtId="0" fontId="4" fillId="7" borderId="0" xfId="0" applyFont="1" applyFill="1" applyAlignment="1">
      <alignment horizontal="center" vertical="center"/>
    </xf>
    <xf numFmtId="3" fontId="4" fillId="7" borderId="55" xfId="0" applyNumberFormat="1" applyFont="1" applyFill="1" applyBorder="1" applyAlignment="1">
      <alignment horizontal="left"/>
    </xf>
    <xf numFmtId="0" fontId="4" fillId="7" borderId="55" xfId="0" applyFont="1" applyFill="1" applyBorder="1"/>
    <xf numFmtId="1" fontId="4" fillId="7" borderId="55" xfId="0" applyNumberFormat="1" applyFont="1" applyFill="1" applyBorder="1" applyAlignment="1">
      <alignment horizontal="center" vertical="center"/>
    </xf>
    <xf numFmtId="3" fontId="4" fillId="7" borderId="55" xfId="0" applyNumberFormat="1" applyFont="1" applyFill="1" applyBorder="1" applyAlignment="1">
      <alignment horizontal="center" vertical="center"/>
    </xf>
    <xf numFmtId="0" fontId="0" fillId="15" borderId="35" xfId="0" applyFill="1" applyBorder="1"/>
    <xf numFmtId="0" fontId="0" fillId="15" borderId="43" xfId="0" applyFill="1" applyBorder="1"/>
    <xf numFmtId="164" fontId="4" fillId="9" borderId="52" xfId="0" applyNumberFormat="1" applyFont="1" applyFill="1" applyBorder="1" applyAlignment="1">
      <alignment horizontal="center" vertical="center"/>
    </xf>
    <xf numFmtId="164" fontId="4" fillId="9" borderId="44" xfId="0" applyNumberFormat="1" applyFont="1" applyFill="1" applyBorder="1" applyAlignment="1">
      <alignment horizontal="center" vertical="center"/>
    </xf>
    <xf numFmtId="0" fontId="4" fillId="16" borderId="7" xfId="0" applyFont="1" applyFill="1" applyBorder="1"/>
    <xf numFmtId="0" fontId="4" fillId="16" borderId="8" xfId="0" applyFont="1" applyFill="1" applyBorder="1"/>
    <xf numFmtId="0" fontId="4" fillId="16" borderId="9" xfId="0" applyFont="1" applyFill="1" applyBorder="1"/>
    <xf numFmtId="0" fontId="4" fillId="0" borderId="0" xfId="0" applyFont="1" applyAlignment="1">
      <alignment horizontal="left" vertical="center"/>
    </xf>
    <xf numFmtId="0" fontId="0" fillId="16" borderId="7" xfId="0" applyFill="1" applyBorder="1"/>
    <xf numFmtId="0" fontId="0" fillId="16" borderId="8" xfId="0" applyFill="1" applyBorder="1"/>
    <xf numFmtId="0" fontId="0" fillId="16" borderId="8" xfId="0" applyFill="1" applyBorder="1" applyAlignment="1">
      <alignment wrapText="1"/>
    </xf>
    <xf numFmtId="0" fontId="0" fillId="16" borderId="9" xfId="0" applyFill="1" applyBorder="1" applyAlignment="1">
      <alignment horizontal="center"/>
    </xf>
    <xf numFmtId="43" fontId="4" fillId="7" borderId="34" xfId="1" applyFont="1" applyFill="1" applyBorder="1" applyAlignment="1">
      <alignment horizontal="center" vertical="center"/>
    </xf>
    <xf numFmtId="43" fontId="4" fillId="7" borderId="36" xfId="1" applyFont="1" applyFill="1" applyBorder="1" applyAlignment="1">
      <alignment horizontal="center" vertical="center"/>
    </xf>
    <xf numFmtId="2" fontId="4" fillId="7" borderId="34" xfId="1" applyNumberFormat="1" applyFont="1" applyFill="1" applyBorder="1" applyAlignment="1">
      <alignment horizontal="center" vertical="center"/>
    </xf>
    <xf numFmtId="2" fontId="4" fillId="7" borderId="36" xfId="1" applyNumberFormat="1" applyFont="1" applyFill="1" applyBorder="1" applyAlignment="1">
      <alignment horizontal="center" vertical="center"/>
    </xf>
    <xf numFmtId="0" fontId="0" fillId="7" borderId="37" xfId="0" applyFill="1" applyBorder="1" applyAlignment="1">
      <alignment horizontal="center" vertical="center" wrapText="1"/>
    </xf>
    <xf numFmtId="0" fontId="0" fillId="7" borderId="40" xfId="0" applyFill="1" applyBorder="1" applyAlignment="1">
      <alignment horizontal="center" vertical="center"/>
    </xf>
    <xf numFmtId="169" fontId="0" fillId="7" borderId="38" xfId="1" applyNumberFormat="1" applyFont="1" applyFill="1" applyBorder="1" applyAlignment="1">
      <alignment horizontal="center" vertical="center"/>
    </xf>
    <xf numFmtId="169" fontId="0" fillId="7" borderId="38" xfId="1" applyNumberFormat="1" applyFont="1" applyFill="1" applyBorder="1" applyAlignment="1">
      <alignment horizontal="center" vertical="center" wrapText="1"/>
    </xf>
    <xf numFmtId="169" fontId="0" fillId="7" borderId="39" xfId="1" applyNumberFormat="1" applyFont="1" applyFill="1" applyBorder="1" applyAlignment="1">
      <alignment horizontal="center" vertical="center" wrapText="1"/>
    </xf>
    <xf numFmtId="169" fontId="0" fillId="15" borderId="38" xfId="1" applyNumberFormat="1" applyFont="1" applyFill="1" applyBorder="1" applyAlignment="1">
      <alignment horizontal="center" vertical="center"/>
    </xf>
    <xf numFmtId="169" fontId="0" fillId="7" borderId="35" xfId="1" applyNumberFormat="1" applyFont="1" applyFill="1" applyBorder="1" applyAlignment="1">
      <alignment horizontal="center" vertical="center"/>
    </xf>
    <xf numFmtId="169" fontId="0" fillId="7" borderId="41" xfId="1" applyNumberFormat="1" applyFont="1" applyFill="1" applyBorder="1" applyAlignment="1">
      <alignment horizontal="center" vertical="center"/>
    </xf>
    <xf numFmtId="169" fontId="0" fillId="15" borderId="35" xfId="1" applyNumberFormat="1" applyFont="1" applyFill="1" applyBorder="1" applyAlignment="1">
      <alignment horizontal="center" vertical="center"/>
    </xf>
    <xf numFmtId="43" fontId="0" fillId="7" borderId="35" xfId="1" applyFont="1" applyFill="1" applyBorder="1"/>
    <xf numFmtId="43" fontId="0" fillId="7" borderId="43" xfId="1" applyFont="1" applyFill="1" applyBorder="1"/>
    <xf numFmtId="43" fontId="0" fillId="7" borderId="35" xfId="1" applyFont="1" applyFill="1" applyBorder="1" applyAlignment="1"/>
    <xf numFmtId="43" fontId="0" fillId="7" borderId="43" xfId="1" applyFont="1" applyFill="1" applyBorder="1" applyAlignment="1"/>
    <xf numFmtId="169" fontId="0" fillId="7" borderId="38" xfId="1" applyNumberFormat="1" applyFont="1" applyFill="1" applyBorder="1" applyAlignment="1">
      <alignment horizontal="right" vertical="center"/>
    </xf>
    <xf numFmtId="169" fontId="0" fillId="7" borderId="35" xfId="1" applyNumberFormat="1" applyFont="1" applyFill="1" applyBorder="1"/>
    <xf numFmtId="169" fontId="0" fillId="7" borderId="43" xfId="1" applyNumberFormat="1" applyFont="1" applyFill="1" applyBorder="1"/>
    <xf numFmtId="169" fontId="0" fillId="7" borderId="35" xfId="1" applyNumberFormat="1" applyFont="1" applyFill="1" applyBorder="1" applyAlignment="1"/>
    <xf numFmtId="169" fontId="0" fillId="7" borderId="43" xfId="1" applyNumberFormat="1" applyFont="1" applyFill="1" applyBorder="1" applyAlignment="1"/>
    <xf numFmtId="43" fontId="0" fillId="7" borderId="38" xfId="1" applyFont="1" applyFill="1" applyBorder="1" applyAlignment="1">
      <alignment horizontal="left" vertical="center"/>
    </xf>
    <xf numFmtId="43" fontId="0" fillId="7" borderId="39" xfId="1" applyFont="1" applyFill="1" applyBorder="1" applyAlignment="1">
      <alignment horizontal="left" vertical="center"/>
    </xf>
    <xf numFmtId="43" fontId="0" fillId="7" borderId="41" xfId="1" applyFont="1" applyFill="1" applyBorder="1" applyAlignment="1"/>
    <xf numFmtId="43" fontId="0" fillId="7" borderId="44" xfId="1" applyFont="1" applyFill="1" applyBorder="1" applyAlignment="1"/>
    <xf numFmtId="169" fontId="0" fillId="7" borderId="38" xfId="1" applyNumberFormat="1" applyFont="1" applyFill="1" applyBorder="1" applyAlignment="1">
      <alignment horizontal="left" vertical="center"/>
    </xf>
    <xf numFmtId="3" fontId="4" fillId="7" borderId="44" xfId="0" applyNumberFormat="1" applyFont="1" applyFill="1" applyBorder="1" applyAlignment="1">
      <alignment horizontal="left" vertical="center"/>
    </xf>
    <xf numFmtId="3" fontId="4" fillId="7" borderId="55" xfId="0" applyNumberFormat="1" applyFont="1" applyFill="1" applyBorder="1" applyAlignment="1">
      <alignment horizontal="left" vertical="center"/>
    </xf>
    <xf numFmtId="3" fontId="34" fillId="7" borderId="55" xfId="0" applyNumberFormat="1" applyFont="1" applyFill="1" applyBorder="1" applyAlignment="1">
      <alignment horizontal="center" vertical="center"/>
    </xf>
    <xf numFmtId="3" fontId="4" fillId="7" borderId="44" xfId="0" applyNumberFormat="1" applyFont="1" applyFill="1" applyBorder="1" applyAlignment="1">
      <alignment horizontal="center"/>
    </xf>
    <xf numFmtId="3" fontId="4" fillId="7" borderId="52" xfId="0" applyNumberFormat="1" applyFont="1" applyFill="1" applyBorder="1" applyAlignment="1">
      <alignment horizontal="center"/>
    </xf>
    <xf numFmtId="43" fontId="4" fillId="7" borderId="52" xfId="1" applyFont="1" applyFill="1" applyBorder="1" applyAlignment="1">
      <alignment horizontal="left" vertical="center"/>
    </xf>
    <xf numFmtId="43" fontId="4" fillId="7" borderId="44" xfId="1" applyFont="1" applyFill="1" applyBorder="1" applyAlignment="1">
      <alignment horizontal="left" vertical="center"/>
    </xf>
    <xf numFmtId="169" fontId="5" fillId="0" borderId="0" xfId="1" applyNumberFormat="1" applyFont="1" applyFill="1" applyBorder="1"/>
    <xf numFmtId="43" fontId="0" fillId="7" borderId="37" xfId="1" applyFont="1" applyFill="1" applyBorder="1" applyAlignment="1">
      <alignment wrapText="1"/>
    </xf>
    <xf numFmtId="43" fontId="0" fillId="13" borderId="38" xfId="1" applyFont="1" applyFill="1" applyBorder="1" applyAlignment="1"/>
    <xf numFmtId="43" fontId="0" fillId="13" borderId="35" xfId="1" applyFont="1" applyFill="1" applyBorder="1" applyAlignment="1"/>
    <xf numFmtId="43" fontId="0" fillId="13" borderId="43" xfId="1" applyFont="1" applyFill="1" applyBorder="1" applyAlignment="1"/>
    <xf numFmtId="1" fontId="0" fillId="7" borderId="38" xfId="1" applyNumberFormat="1" applyFont="1" applyFill="1" applyBorder="1" applyAlignment="1">
      <alignment horizontal="center"/>
    </xf>
    <xf numFmtId="1" fontId="0" fillId="7" borderId="35" xfId="1" applyNumberFormat="1" applyFont="1" applyFill="1" applyBorder="1" applyAlignment="1">
      <alignment horizontal="center"/>
    </xf>
    <xf numFmtId="1" fontId="0" fillId="7" borderId="35" xfId="1" applyNumberFormat="1" applyFont="1" applyFill="1" applyBorder="1" applyAlignment="1"/>
    <xf numFmtId="1" fontId="0" fillId="7" borderId="43" xfId="1" applyNumberFormat="1" applyFont="1" applyFill="1" applyBorder="1" applyAlignment="1"/>
    <xf numFmtId="43" fontId="0" fillId="7" borderId="38" xfId="1" applyFont="1" applyFill="1" applyBorder="1" applyAlignment="1">
      <alignment horizontal="left" vertical="center" wrapText="1"/>
    </xf>
    <xf numFmtId="169" fontId="0" fillId="7" borderId="38" xfId="1" applyNumberFormat="1" applyFont="1" applyFill="1" applyBorder="1" applyAlignment="1">
      <alignment horizontal="left" vertical="center" wrapText="1"/>
    </xf>
    <xf numFmtId="170" fontId="1" fillId="0" borderId="0" xfId="4" applyNumberFormat="1" applyFont="1" applyFill="1" applyBorder="1"/>
    <xf numFmtId="0" fontId="1" fillId="0" borderId="0" xfId="0" applyFont="1"/>
    <xf numFmtId="169" fontId="4" fillId="17" borderId="52" xfId="1" applyNumberFormat="1" applyFont="1" applyFill="1" applyBorder="1" applyAlignment="1">
      <alignment horizontal="center" vertical="center"/>
    </xf>
    <xf numFmtId="169" fontId="4" fillId="7" borderId="44" xfId="1" applyNumberFormat="1" applyFont="1" applyFill="1" applyBorder="1" applyAlignment="1">
      <alignment horizontal="center" vertical="center"/>
    </xf>
    <xf numFmtId="169" fontId="4" fillId="17" borderId="44" xfId="1" applyNumberFormat="1" applyFont="1" applyFill="1" applyBorder="1" applyAlignment="1">
      <alignment horizontal="center" vertical="center"/>
    </xf>
    <xf numFmtId="169" fontId="4" fillId="7" borderId="55" xfId="1" applyNumberFormat="1" applyFont="1" applyFill="1" applyBorder="1"/>
    <xf numFmtId="178" fontId="0" fillId="7" borderId="38" xfId="1" applyNumberFormat="1" applyFont="1" applyFill="1" applyBorder="1" applyAlignment="1">
      <alignment horizontal="left" vertical="center"/>
    </xf>
    <xf numFmtId="178" fontId="0" fillId="7" borderId="35" xfId="1" applyNumberFormat="1" applyFont="1" applyFill="1" applyBorder="1" applyAlignment="1"/>
    <xf numFmtId="178" fontId="0" fillId="7" borderId="43" xfId="1" applyNumberFormat="1" applyFont="1" applyFill="1" applyBorder="1" applyAlignment="1"/>
    <xf numFmtId="3" fontId="4" fillId="7" borderId="0" xfId="0" applyNumberFormat="1" applyFont="1" applyFill="1" applyAlignment="1">
      <alignment horizontal="center" vertical="center"/>
    </xf>
    <xf numFmtId="9" fontId="4" fillId="7" borderId="0" xfId="2" applyFont="1" applyFill="1" applyBorder="1" applyAlignment="1">
      <alignment horizontal="center"/>
    </xf>
    <xf numFmtId="9" fontId="4" fillId="0" borderId="0" xfId="2" applyFont="1" applyFill="1" applyBorder="1" applyAlignment="1">
      <alignment horizontal="center"/>
    </xf>
    <xf numFmtId="169" fontId="4" fillId="7" borderId="52" xfId="1" applyNumberFormat="1" applyFont="1" applyFill="1" applyBorder="1" applyAlignment="1">
      <alignment horizontal="center" vertical="center"/>
    </xf>
    <xf numFmtId="169" fontId="0" fillId="7" borderId="38" xfId="1" applyNumberFormat="1" applyFont="1" applyFill="1" applyBorder="1" applyAlignment="1"/>
    <xf numFmtId="178" fontId="0" fillId="15" borderId="38" xfId="1" applyNumberFormat="1" applyFont="1" applyFill="1" applyBorder="1" applyAlignment="1">
      <alignment horizontal="center" vertical="center"/>
    </xf>
    <xf numFmtId="178" fontId="0" fillId="15" borderId="35" xfId="1" applyNumberFormat="1" applyFont="1" applyFill="1" applyBorder="1" applyAlignment="1">
      <alignment horizontal="center" vertical="center"/>
    </xf>
    <xf numFmtId="0" fontId="0" fillId="9" borderId="56" xfId="0" applyFill="1" applyBorder="1"/>
    <xf numFmtId="0" fontId="0" fillId="0" borderId="56" xfId="0" applyBorder="1" applyAlignment="1">
      <alignment horizontal="center"/>
    </xf>
    <xf numFmtId="169" fontId="0" fillId="5" borderId="38" xfId="1" applyNumberFormat="1" applyFont="1" applyFill="1" applyBorder="1" applyAlignment="1"/>
    <xf numFmtId="169" fontId="0" fillId="5" borderId="35" xfId="1" applyNumberFormat="1" applyFont="1" applyFill="1" applyBorder="1" applyAlignment="1"/>
    <xf numFmtId="169" fontId="0" fillId="5" borderId="43" xfId="1" applyNumberFormat="1" applyFont="1" applyFill="1" applyBorder="1" applyAlignment="1"/>
    <xf numFmtId="168" fontId="0" fillId="5" borderId="38" xfId="1" applyNumberFormat="1" applyFont="1" applyFill="1" applyBorder="1" applyAlignment="1"/>
    <xf numFmtId="168" fontId="0" fillId="5" borderId="39" xfId="1" applyNumberFormat="1" applyFont="1" applyFill="1" applyBorder="1" applyAlignment="1"/>
    <xf numFmtId="168" fontId="0" fillId="5" borderId="35" xfId="1" applyNumberFormat="1" applyFont="1" applyFill="1" applyBorder="1" applyAlignment="1"/>
    <xf numFmtId="168" fontId="0" fillId="5" borderId="43" xfId="1" applyNumberFormat="1" applyFont="1" applyFill="1" applyBorder="1" applyAlignment="1"/>
    <xf numFmtId="0" fontId="0" fillId="0" borderId="0" xfId="0" applyAlignment="1">
      <alignment horizontal="left" vertical="center" wrapText="1"/>
    </xf>
    <xf numFmtId="0" fontId="4" fillId="0" borderId="13" xfId="0" applyFont="1" applyBorder="1" applyAlignment="1">
      <alignment wrapText="1"/>
    </xf>
    <xf numFmtId="0" fontId="4" fillId="0" borderId="13" xfId="0" applyFont="1" applyBorder="1" applyAlignment="1">
      <alignment horizontal="center" vertical="center"/>
    </xf>
    <xf numFmtId="0" fontId="4" fillId="0" borderId="14" xfId="0" applyFont="1" applyBorder="1" applyAlignment="1">
      <alignment horizontal="center" vertical="center"/>
    </xf>
    <xf numFmtId="169" fontId="4" fillId="0" borderId="0" xfId="0" applyNumberFormat="1" applyFont="1" applyAlignment="1">
      <alignment horizontal="left" indent="1"/>
    </xf>
    <xf numFmtId="0" fontId="4" fillId="0" borderId="18" xfId="0" applyFont="1" applyBorder="1" applyAlignment="1">
      <alignment horizontal="left" indent="1"/>
    </xf>
    <xf numFmtId="0" fontId="4" fillId="0" borderId="7" xfId="0" applyFont="1" applyBorder="1" applyAlignment="1">
      <alignment horizontal="left" indent="1"/>
    </xf>
    <xf numFmtId="169" fontId="4" fillId="0" borderId="8" xfId="0" applyNumberFormat="1" applyFont="1" applyBorder="1" applyAlignment="1">
      <alignment horizontal="left" indent="1"/>
    </xf>
    <xf numFmtId="169" fontId="4" fillId="0" borderId="8" xfId="1" applyNumberFormat="1" applyFont="1" applyBorder="1"/>
    <xf numFmtId="169" fontId="4" fillId="0" borderId="9" xfId="1" applyNumberFormat="1" applyFont="1" applyBorder="1"/>
    <xf numFmtId="0" fontId="4" fillId="0" borderId="8" xfId="0" applyFont="1" applyBorder="1" applyAlignment="1">
      <alignment horizontal="left" indent="1"/>
    </xf>
    <xf numFmtId="43" fontId="1" fillId="7" borderId="37" xfId="1" applyFont="1" applyFill="1" applyBorder="1" applyAlignment="1">
      <alignment wrapText="1"/>
    </xf>
    <xf numFmtId="169" fontId="4" fillId="0" borderId="14" xfId="1" applyNumberFormat="1" applyFont="1" applyBorder="1"/>
    <xf numFmtId="43" fontId="4" fillId="0" borderId="0" xfId="0" applyNumberFormat="1" applyFont="1" applyAlignment="1">
      <alignment horizontal="left" indent="1"/>
    </xf>
    <xf numFmtId="178" fontId="4" fillId="0" borderId="0" xfId="0" applyNumberFormat="1" applyFont="1" applyAlignment="1">
      <alignment horizontal="left" indent="1"/>
    </xf>
    <xf numFmtId="179" fontId="4" fillId="0" borderId="0" xfId="1" applyNumberFormat="1" applyFont="1" applyBorder="1"/>
    <xf numFmtId="170" fontId="4" fillId="0" borderId="0" xfId="1" applyNumberFormat="1" applyFont="1" applyBorder="1" applyAlignment="1">
      <alignment horizontal="left" indent="1"/>
    </xf>
    <xf numFmtId="167" fontId="4" fillId="0" borderId="0" xfId="1" applyNumberFormat="1" applyFont="1" applyBorder="1" applyAlignment="1">
      <alignment horizontal="left" indent="1"/>
    </xf>
    <xf numFmtId="173" fontId="4" fillId="0" borderId="13" xfId="1" applyNumberFormat="1" applyFont="1" applyBorder="1" applyAlignment="1">
      <alignment horizontal="left" indent="1"/>
    </xf>
    <xf numFmtId="170" fontId="4" fillId="0" borderId="13" xfId="1" applyNumberFormat="1" applyFont="1" applyBorder="1" applyAlignment="1">
      <alignment horizontal="left" indent="1"/>
    </xf>
    <xf numFmtId="170" fontId="4" fillId="0" borderId="14" xfId="1" applyNumberFormat="1" applyFont="1" applyBorder="1" applyAlignment="1">
      <alignment horizontal="left" indent="1"/>
    </xf>
    <xf numFmtId="173" fontId="4" fillId="0" borderId="0" xfId="0" applyNumberFormat="1" applyFont="1" applyAlignment="1">
      <alignment horizontal="left" indent="1"/>
    </xf>
    <xf numFmtId="170" fontId="4" fillId="0" borderId="16" xfId="1" applyNumberFormat="1" applyFont="1" applyBorder="1" applyAlignment="1">
      <alignment horizontal="left" indent="1"/>
    </xf>
    <xf numFmtId="167" fontId="4" fillId="0" borderId="18" xfId="1" applyNumberFormat="1" applyFont="1" applyBorder="1" applyAlignment="1">
      <alignment horizontal="left" indent="1"/>
    </xf>
    <xf numFmtId="170" fontId="4" fillId="0" borderId="18" xfId="1" applyNumberFormat="1" applyFont="1" applyBorder="1" applyAlignment="1">
      <alignment horizontal="left" indent="1"/>
    </xf>
    <xf numFmtId="170" fontId="4" fillId="0" borderId="19" xfId="1" applyNumberFormat="1" applyFont="1" applyBorder="1" applyAlignment="1">
      <alignment horizontal="left" indent="1"/>
    </xf>
    <xf numFmtId="0" fontId="4" fillId="0" borderId="8" xfId="0" applyFont="1" applyBorder="1" applyAlignment="1">
      <alignment horizontal="center" vertical="center"/>
    </xf>
    <xf numFmtId="0" fontId="4" fillId="0" borderId="9" xfId="0" applyFont="1" applyBorder="1" applyAlignment="1">
      <alignment horizontal="center" vertical="center"/>
    </xf>
    <xf numFmtId="43" fontId="4" fillId="0" borderId="7" xfId="0" applyNumberFormat="1" applyFont="1" applyBorder="1" applyAlignment="1">
      <alignment horizontal="left" indent="1"/>
    </xf>
    <xf numFmtId="178" fontId="4" fillId="0" borderId="8" xfId="0" applyNumberFormat="1" applyFont="1" applyBorder="1" applyAlignment="1">
      <alignment horizontal="left" indent="1"/>
    </xf>
    <xf numFmtId="169" fontId="4" fillId="0" borderId="8" xfId="1" applyNumberFormat="1" applyFont="1" applyBorder="1" applyAlignment="1">
      <alignment horizontal="left" indent="1"/>
    </xf>
    <xf numFmtId="169" fontId="4" fillId="0" borderId="9" xfId="1" applyNumberFormat="1" applyFont="1" applyBorder="1" applyAlignment="1">
      <alignment horizontal="left" indent="1"/>
    </xf>
    <xf numFmtId="169" fontId="4" fillId="0" borderId="16" xfId="0" applyNumberFormat="1" applyFont="1" applyBorder="1"/>
    <xf numFmtId="169" fontId="4" fillId="0" borderId="15" xfId="0" applyNumberFormat="1" applyFont="1" applyBorder="1"/>
    <xf numFmtId="169" fontId="5" fillId="0" borderId="16" xfId="0" applyNumberFormat="1" applyFont="1" applyBorder="1"/>
    <xf numFmtId="169" fontId="5" fillId="0" borderId="0" xfId="0" applyNumberFormat="1" applyFont="1"/>
    <xf numFmtId="167" fontId="7" fillId="0" borderId="0" xfId="1" applyNumberFormat="1" applyFont="1" applyFill="1" applyBorder="1"/>
    <xf numFmtId="9" fontId="7" fillId="0" borderId="0" xfId="2" applyFont="1" applyFill="1" applyBorder="1" applyAlignment="1">
      <alignment horizontal="center"/>
    </xf>
    <xf numFmtId="0" fontId="4" fillId="0" borderId="0" xfId="0" applyFont="1" applyAlignment="1">
      <alignment wrapText="1"/>
    </xf>
    <xf numFmtId="0" fontId="36" fillId="0" borderId="0" xfId="0" applyFont="1"/>
    <xf numFmtId="170" fontId="36" fillId="0" borderId="0" xfId="4" applyNumberFormat="1" applyFont="1" applyFill="1" applyBorder="1"/>
    <xf numFmtId="0" fontId="36" fillId="0" borderId="0" xfId="0" applyFont="1" applyAlignment="1">
      <alignment horizontal="center"/>
    </xf>
    <xf numFmtId="0" fontId="4" fillId="10" borderId="12" xfId="0" applyFont="1" applyFill="1" applyBorder="1" applyAlignment="1">
      <alignment horizontal="centerContinuous" vertical="center"/>
    </xf>
    <xf numFmtId="0" fontId="4" fillId="10" borderId="14" xfId="0" applyFont="1" applyFill="1" applyBorder="1" applyAlignment="1">
      <alignment horizontal="centerContinuous" vertical="center"/>
    </xf>
    <xf numFmtId="174" fontId="4" fillId="0" borderId="16" xfId="0" applyNumberFormat="1" applyFont="1" applyBorder="1"/>
    <xf numFmtId="174" fontId="4" fillId="0" borderId="19" xfId="0" applyNumberFormat="1" applyFont="1" applyBorder="1"/>
    <xf numFmtId="0" fontId="36" fillId="0" borderId="15" xfId="0" applyFont="1" applyBorder="1" applyAlignment="1">
      <alignment horizontal="center"/>
    </xf>
    <xf numFmtId="0" fontId="36" fillId="0" borderId="17" xfId="0" applyFont="1" applyBorder="1" applyAlignment="1">
      <alignment horizontal="center"/>
    </xf>
    <xf numFmtId="0" fontId="36" fillId="0" borderId="18" xfId="0" applyFont="1" applyBorder="1"/>
    <xf numFmtId="170" fontId="36" fillId="0" borderId="18" xfId="4" applyNumberFormat="1" applyFont="1" applyFill="1" applyBorder="1"/>
    <xf numFmtId="0" fontId="35" fillId="10" borderId="7" xfId="0" applyFont="1" applyFill="1" applyBorder="1"/>
    <xf numFmtId="0" fontId="35" fillId="10" borderId="8" xfId="0" applyFont="1" applyFill="1" applyBorder="1"/>
    <xf numFmtId="0" fontId="4" fillId="10" borderId="9" xfId="0" applyFont="1" applyFill="1" applyBorder="1"/>
    <xf numFmtId="0" fontId="36" fillId="0" borderId="18" xfId="0" applyFont="1" applyBorder="1" applyAlignment="1">
      <alignment horizontal="center"/>
    </xf>
    <xf numFmtId="0" fontId="22" fillId="0" borderId="15" xfId="0" applyFont="1" applyBorder="1" applyAlignment="1">
      <alignment horizontal="fill"/>
    </xf>
    <xf numFmtId="167" fontId="4" fillId="0" borderId="16" xfId="1" applyNumberFormat="1" applyFont="1" applyBorder="1"/>
    <xf numFmtId="0" fontId="7" fillId="0" borderId="18" xfId="0" applyFont="1" applyBorder="1" applyAlignment="1">
      <alignment horizontal="right"/>
    </xf>
    <xf numFmtId="0" fontId="7" fillId="0" borderId="7" xfId="0" applyFont="1" applyBorder="1"/>
    <xf numFmtId="0" fontId="4" fillId="0" borderId="8" xfId="0" applyFont="1" applyBorder="1"/>
    <xf numFmtId="0" fontId="4" fillId="0" borderId="9" xfId="0" applyFont="1" applyBorder="1"/>
    <xf numFmtId="169" fontId="4" fillId="0" borderId="0" xfId="1" applyNumberFormat="1" applyFont="1" applyBorder="1" applyAlignment="1">
      <alignment horizontal="center"/>
    </xf>
    <xf numFmtId="169" fontId="4" fillId="0" borderId="0" xfId="1" applyNumberFormat="1" applyFont="1" applyFill="1" applyBorder="1" applyAlignment="1">
      <alignment horizontal="right" indent="1"/>
    </xf>
    <xf numFmtId="169" fontId="4" fillId="0" borderId="0" xfId="1" applyNumberFormat="1" applyFont="1" applyBorder="1" applyAlignment="1">
      <alignment horizontal="right" indent="1"/>
    </xf>
    <xf numFmtId="0" fontId="4" fillId="0" borderId="12" xfId="0" applyFont="1" applyBorder="1" applyAlignment="1">
      <alignment horizontal="center" wrapText="1"/>
    </xf>
    <xf numFmtId="1" fontId="4" fillId="18" borderId="52" xfId="0" applyNumberFormat="1" applyFont="1" applyFill="1" applyBorder="1"/>
    <xf numFmtId="0" fontId="4" fillId="18" borderId="13" xfId="0" applyFont="1" applyFill="1" applyBorder="1"/>
    <xf numFmtId="1" fontId="4" fillId="5" borderId="53" xfId="0" applyNumberFormat="1" applyFont="1" applyFill="1" applyBorder="1"/>
    <xf numFmtId="0" fontId="4" fillId="5" borderId="54" xfId="0" applyFont="1" applyFill="1" applyBorder="1"/>
    <xf numFmtId="1" fontId="4" fillId="18" borderId="53" xfId="0" applyNumberFormat="1" applyFont="1" applyFill="1" applyBorder="1"/>
    <xf numFmtId="0" fontId="4" fillId="18" borderId="54" xfId="0" applyFont="1" applyFill="1" applyBorder="1"/>
    <xf numFmtId="0" fontId="4" fillId="18" borderId="14" xfId="0" applyFont="1" applyFill="1" applyBorder="1"/>
    <xf numFmtId="0" fontId="4" fillId="5" borderId="57" xfId="0" applyFont="1" applyFill="1" applyBorder="1"/>
    <xf numFmtId="0" fontId="4" fillId="18" borderId="57" xfId="0" applyFont="1" applyFill="1" applyBorder="1"/>
    <xf numFmtId="170" fontId="4" fillId="0" borderId="0" xfId="1" applyNumberFormat="1" applyFont="1"/>
    <xf numFmtId="0" fontId="4" fillId="18" borderId="46" xfId="0" applyFont="1" applyFill="1" applyBorder="1"/>
    <xf numFmtId="0" fontId="4" fillId="5" borderId="58" xfId="0" applyFont="1" applyFill="1" applyBorder="1"/>
    <xf numFmtId="0" fontId="4" fillId="18" borderId="58" xfId="0" applyFont="1" applyFill="1" applyBorder="1"/>
    <xf numFmtId="178" fontId="4" fillId="0" borderId="0" xfId="0" applyNumberFormat="1" applyFont="1"/>
    <xf numFmtId="169" fontId="4" fillId="7" borderId="18" xfId="1" applyNumberFormat="1" applyFont="1" applyFill="1" applyBorder="1"/>
    <xf numFmtId="167" fontId="4" fillId="0" borderId="18" xfId="1" applyNumberFormat="1" applyFont="1" applyBorder="1"/>
    <xf numFmtId="9" fontId="4" fillId="7" borderId="18" xfId="2" applyFont="1" applyFill="1" applyBorder="1" applyAlignment="1">
      <alignment horizontal="center"/>
    </xf>
    <xf numFmtId="170" fontId="4" fillId="0" borderId="18" xfId="4" applyNumberFormat="1" applyFont="1" applyBorder="1"/>
    <xf numFmtId="170" fontId="4" fillId="0" borderId="19" xfId="4" applyNumberFormat="1" applyFont="1" applyBorder="1"/>
    <xf numFmtId="169" fontId="4" fillId="0" borderId="17" xfId="0" applyNumberFormat="1" applyFont="1" applyBorder="1"/>
    <xf numFmtId="169" fontId="5" fillId="0" borderId="19" xfId="0" applyNumberFormat="1" applyFont="1" applyBorder="1"/>
    <xf numFmtId="0" fontId="4" fillId="0" borderId="7"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7" fillId="0" borderId="7" xfId="0" applyFont="1" applyBorder="1" applyAlignment="1">
      <alignment horizontal="left"/>
    </xf>
    <xf numFmtId="170" fontId="4" fillId="0" borderId="0" xfId="4" applyNumberFormat="1" applyFont="1" applyBorder="1" applyAlignment="1">
      <alignment vertical="center"/>
    </xf>
    <xf numFmtId="170" fontId="4" fillId="0" borderId="16" xfId="4" applyNumberFormat="1" applyFont="1" applyBorder="1" applyAlignment="1">
      <alignment vertical="center"/>
    </xf>
    <xf numFmtId="170" fontId="4" fillId="0" borderId="18" xfId="4" applyNumberFormat="1" applyFont="1" applyBorder="1" applyAlignment="1">
      <alignment vertical="center"/>
    </xf>
    <xf numFmtId="170" fontId="4" fillId="0" borderId="19" xfId="4" applyNumberFormat="1" applyFont="1" applyBorder="1" applyAlignment="1">
      <alignment vertical="center"/>
    </xf>
    <xf numFmtId="167" fontId="9" fillId="0" borderId="18" xfId="0" applyNumberFormat="1" applyFont="1" applyBorder="1"/>
    <xf numFmtId="167" fontId="9" fillId="0" borderId="19" xfId="0" applyNumberFormat="1" applyFont="1" applyBorder="1"/>
    <xf numFmtId="167" fontId="4" fillId="0" borderId="13" xfId="1" applyNumberFormat="1" applyFont="1" applyBorder="1"/>
    <xf numFmtId="9" fontId="4" fillId="0" borderId="13" xfId="2" applyFont="1" applyBorder="1" applyAlignment="1">
      <alignment horizontal="center"/>
    </xf>
    <xf numFmtId="170" fontId="4" fillId="0" borderId="13" xfId="4" applyNumberFormat="1" applyFont="1" applyBorder="1"/>
    <xf numFmtId="170" fontId="4" fillId="0" borderId="14" xfId="4" applyNumberFormat="1" applyFont="1" applyBorder="1"/>
    <xf numFmtId="169" fontId="4" fillId="0" borderId="18" xfId="1" applyNumberFormat="1" applyFont="1" applyFill="1" applyBorder="1"/>
    <xf numFmtId="167" fontId="4" fillId="0" borderId="18" xfId="1" applyNumberFormat="1" applyFont="1" applyFill="1" applyBorder="1"/>
    <xf numFmtId="0" fontId="12" fillId="0" borderId="12" xfId="0" applyFont="1" applyBorder="1"/>
    <xf numFmtId="43" fontId="4" fillId="0" borderId="15" xfId="0" applyNumberFormat="1" applyFont="1" applyBorder="1"/>
    <xf numFmtId="43" fontId="4" fillId="0" borderId="17" xfId="0" applyNumberFormat="1" applyFont="1" applyBorder="1"/>
    <xf numFmtId="169" fontId="4" fillId="0" borderId="19" xfId="0" applyNumberFormat="1" applyFont="1" applyBorder="1"/>
    <xf numFmtId="0" fontId="4" fillId="0" borderId="46" xfId="0" applyFont="1" applyBorder="1"/>
    <xf numFmtId="0" fontId="7" fillId="0" borderId="48" xfId="0" applyFont="1" applyBorder="1" applyAlignment="1">
      <alignment horizontal="right"/>
    </xf>
    <xf numFmtId="0" fontId="4" fillId="0" borderId="48" xfId="0" applyFont="1" applyBorder="1"/>
    <xf numFmtId="0" fontId="4" fillId="0" borderId="47" xfId="0" applyFont="1" applyBorder="1"/>
    <xf numFmtId="0" fontId="4" fillId="0" borderId="48" xfId="0" applyFont="1" applyBorder="1" applyAlignment="1">
      <alignment horizontal="right"/>
    </xf>
    <xf numFmtId="0" fontId="4" fillId="0" borderId="56" xfId="0" applyFont="1" applyBorder="1" applyAlignment="1">
      <alignment horizontal="left" vertical="center"/>
    </xf>
    <xf numFmtId="0" fontId="4" fillId="0" borderId="46" xfId="0" applyFont="1" applyBorder="1" applyAlignment="1">
      <alignment wrapText="1"/>
    </xf>
    <xf numFmtId="0" fontId="4" fillId="0" borderId="47" xfId="0" applyFont="1" applyBorder="1" applyAlignment="1">
      <alignment wrapText="1"/>
    </xf>
    <xf numFmtId="43" fontId="4" fillId="0" borderId="46" xfId="0" applyNumberFormat="1" applyFont="1" applyBorder="1" applyAlignment="1">
      <alignment horizontal="left" indent="1"/>
    </xf>
    <xf numFmtId="43" fontId="4" fillId="0" borderId="48" xfId="0" applyNumberFormat="1" applyFont="1" applyBorder="1" applyAlignment="1">
      <alignment horizontal="left" indent="1"/>
    </xf>
    <xf numFmtId="43" fontId="4" fillId="0" borderId="47" xfId="0" applyNumberFormat="1" applyFont="1" applyBorder="1" applyAlignment="1">
      <alignment horizontal="left" indent="1"/>
    </xf>
    <xf numFmtId="170" fontId="1" fillId="0" borderId="13" xfId="4" applyNumberFormat="1" applyFont="1" applyFill="1" applyBorder="1"/>
    <xf numFmtId="170" fontId="1" fillId="0" borderId="14" xfId="4" applyNumberFormat="1" applyFont="1" applyFill="1" applyBorder="1"/>
    <xf numFmtId="167" fontId="1" fillId="0" borderId="0" xfId="0" applyNumberFormat="1" applyFont="1"/>
    <xf numFmtId="167" fontId="1" fillId="0" borderId="16" xfId="0" applyNumberFormat="1" applyFont="1" applyBorder="1"/>
    <xf numFmtId="167" fontId="1" fillId="0" borderId="18" xfId="0" applyNumberFormat="1" applyFont="1" applyBorder="1"/>
    <xf numFmtId="167" fontId="1" fillId="0" borderId="19" xfId="0" applyNumberFormat="1" applyFont="1" applyBorder="1"/>
    <xf numFmtId="0" fontId="7" fillId="0" borderId="56" xfId="0" applyFont="1" applyBorder="1"/>
    <xf numFmtId="0" fontId="4" fillId="0" borderId="46" xfId="0" applyFont="1" applyBorder="1" applyAlignment="1">
      <alignment horizontal="left" indent="1"/>
    </xf>
    <xf numFmtId="0" fontId="4" fillId="0" borderId="48" xfId="0" applyFont="1" applyBorder="1" applyAlignment="1">
      <alignment horizontal="left" indent="1"/>
    </xf>
    <xf numFmtId="0" fontId="4" fillId="0" borderId="47" xfId="0" applyFont="1" applyBorder="1" applyAlignment="1">
      <alignment horizontal="left" indent="1"/>
    </xf>
    <xf numFmtId="170" fontId="1" fillId="0" borderId="16" xfId="4" applyNumberFormat="1" applyFont="1" applyFill="1" applyBorder="1"/>
    <xf numFmtId="170" fontId="1" fillId="0" borderId="18" xfId="4" applyNumberFormat="1" applyFont="1" applyFill="1" applyBorder="1"/>
    <xf numFmtId="170" fontId="1" fillId="0" borderId="19" xfId="4" applyNumberFormat="1" applyFont="1" applyFill="1" applyBorder="1"/>
    <xf numFmtId="0" fontId="4" fillId="0" borderId="13" xfId="0" applyFont="1" applyBorder="1" applyAlignment="1">
      <alignment horizontal="left" indent="1"/>
    </xf>
    <xf numFmtId="169" fontId="4" fillId="0" borderId="16" xfId="1" applyNumberFormat="1" applyFont="1" applyFill="1" applyBorder="1"/>
    <xf numFmtId="0" fontId="9" fillId="10" borderId="18" xfId="0" applyFont="1" applyFill="1" applyBorder="1" applyAlignment="1">
      <alignment horizontal="center" vertical="center" wrapText="1"/>
    </xf>
    <xf numFmtId="0" fontId="9" fillId="10" borderId="7" xfId="0" applyFont="1" applyFill="1" applyBorder="1" applyAlignment="1">
      <alignment horizontal="center" vertical="center" wrapText="1"/>
    </xf>
    <xf numFmtId="0" fontId="9" fillId="10" borderId="8" xfId="0" applyFont="1" applyFill="1" applyBorder="1" applyAlignment="1">
      <alignment horizontal="center" vertical="center" wrapText="1"/>
    </xf>
    <xf numFmtId="170" fontId="4" fillId="7" borderId="45" xfId="1" applyNumberFormat="1" applyFont="1" applyFill="1" applyBorder="1" applyAlignment="1">
      <alignment horizontal="center" vertical="center"/>
    </xf>
    <xf numFmtId="170" fontId="4" fillId="7" borderId="34" xfId="1" applyNumberFormat="1" applyFont="1" applyFill="1" applyBorder="1" applyAlignment="1">
      <alignment horizontal="center" vertical="center"/>
    </xf>
    <xf numFmtId="170" fontId="4" fillId="7" borderId="34" xfId="0" applyNumberFormat="1" applyFont="1" applyFill="1" applyBorder="1" applyAlignment="1">
      <alignment horizontal="center" vertical="center"/>
    </xf>
    <xf numFmtId="170" fontId="4" fillId="7" borderId="36" xfId="0" applyNumberFormat="1" applyFont="1" applyFill="1" applyBorder="1" applyAlignment="1">
      <alignment horizontal="center" vertical="center"/>
    </xf>
    <xf numFmtId="169" fontId="4" fillId="7" borderId="36" xfId="1" applyNumberFormat="1" applyFont="1" applyFill="1" applyBorder="1" applyAlignment="1">
      <alignment horizontal="center" vertical="center"/>
    </xf>
    <xf numFmtId="0" fontId="3" fillId="4" borderId="60" xfId="0" applyFont="1" applyFill="1" applyBorder="1"/>
    <xf numFmtId="0" fontId="3" fillId="4" borderId="65" xfId="0" applyFont="1" applyFill="1" applyBorder="1"/>
    <xf numFmtId="0" fontId="3" fillId="4" borderId="66" xfId="0" applyFont="1" applyFill="1" applyBorder="1"/>
    <xf numFmtId="0" fontId="3" fillId="4" borderId="62" xfId="0" applyFont="1" applyFill="1" applyBorder="1" applyAlignment="1">
      <alignment horizontal="left" vertical="center"/>
    </xf>
    <xf numFmtId="173" fontId="4" fillId="0" borderId="0" xfId="1" applyNumberFormat="1" applyFont="1"/>
    <xf numFmtId="169" fontId="4" fillId="0" borderId="15" xfId="1" applyNumberFormat="1" applyFont="1" applyFill="1" applyBorder="1"/>
    <xf numFmtId="168" fontId="4" fillId="0" borderId="52" xfId="1" applyNumberFormat="1" applyFont="1" applyFill="1" applyBorder="1"/>
    <xf numFmtId="169" fontId="4" fillId="0" borderId="52" xfId="1" applyNumberFormat="1" applyFont="1" applyFill="1" applyBorder="1"/>
    <xf numFmtId="169" fontId="4" fillId="0" borderId="52" xfId="0" applyNumberFormat="1" applyFont="1" applyBorder="1"/>
    <xf numFmtId="170" fontId="4" fillId="0" borderId="52" xfId="4" applyNumberFormat="1" applyFont="1" applyFill="1" applyBorder="1"/>
    <xf numFmtId="168" fontId="4" fillId="0" borderId="44" xfId="1" applyNumberFormat="1" applyFont="1" applyFill="1" applyBorder="1"/>
    <xf numFmtId="169" fontId="4" fillId="0" borderId="44" xfId="1" applyNumberFormat="1" applyFont="1" applyFill="1" applyBorder="1"/>
    <xf numFmtId="169" fontId="4" fillId="0" borderId="44" xfId="0" applyNumberFormat="1" applyFont="1" applyBorder="1"/>
    <xf numFmtId="170" fontId="4" fillId="0" borderId="44" xfId="4" applyNumberFormat="1" applyFont="1" applyFill="1" applyBorder="1"/>
    <xf numFmtId="169" fontId="5" fillId="0" borderId="16" xfId="1" applyNumberFormat="1" applyFont="1" applyFill="1" applyBorder="1"/>
    <xf numFmtId="169" fontId="4" fillId="0" borderId="12" xfId="0" applyNumberFormat="1" applyFont="1" applyBorder="1"/>
    <xf numFmtId="169" fontId="4" fillId="0" borderId="13" xfId="0" applyNumberFormat="1" applyFont="1" applyBorder="1"/>
    <xf numFmtId="169" fontId="4" fillId="0" borderId="14" xfId="0" applyNumberFormat="1" applyFont="1" applyBorder="1"/>
    <xf numFmtId="169" fontId="4" fillId="7" borderId="36" xfId="1" applyNumberFormat="1" applyFont="1" applyFill="1" applyBorder="1"/>
    <xf numFmtId="0" fontId="4" fillId="7" borderId="36" xfId="0" applyFont="1" applyFill="1" applyBorder="1"/>
    <xf numFmtId="166" fontId="4" fillId="7" borderId="0" xfId="0" applyNumberFormat="1" applyFont="1" applyFill="1" applyAlignment="1">
      <alignment horizontal="center"/>
    </xf>
    <xf numFmtId="180" fontId="0" fillId="7" borderId="0" xfId="1" applyNumberFormat="1" applyFont="1" applyFill="1" applyBorder="1" applyAlignment="1"/>
    <xf numFmtId="0" fontId="4" fillId="0" borderId="12" xfId="0" applyFont="1" applyBorder="1" applyAlignment="1">
      <alignment horizontal="left" indent="1"/>
    </xf>
    <xf numFmtId="169" fontId="4" fillId="0" borderId="13" xfId="1" applyNumberFormat="1" applyFont="1" applyBorder="1"/>
    <xf numFmtId="169" fontId="4" fillId="0" borderId="12" xfId="1" applyNumberFormat="1" applyFont="1" applyBorder="1"/>
    <xf numFmtId="169" fontId="4" fillId="0" borderId="15" xfId="1" applyNumberFormat="1" applyFont="1" applyBorder="1"/>
    <xf numFmtId="169" fontId="4" fillId="0" borderId="17" xfId="1" applyNumberFormat="1" applyFont="1" applyBorder="1"/>
    <xf numFmtId="181" fontId="4" fillId="0" borderId="0" xfId="0" applyNumberFormat="1" applyFont="1"/>
    <xf numFmtId="0" fontId="4" fillId="5" borderId="0" xfId="0" applyFont="1" applyFill="1" applyAlignment="1">
      <alignment horizontal="left"/>
    </xf>
    <xf numFmtId="0" fontId="6" fillId="4" borderId="0" xfId="0" applyFont="1" applyFill="1" applyAlignment="1">
      <alignment horizontal="left"/>
    </xf>
    <xf numFmtId="0" fontId="3" fillId="4" borderId="0" xfId="0" applyFont="1" applyFill="1" applyAlignment="1">
      <alignment horizontal="left"/>
    </xf>
    <xf numFmtId="0" fontId="3" fillId="4" borderId="0" xfId="0" applyFont="1" applyFill="1" applyAlignment="1">
      <alignment horizontal="left" wrapText="1"/>
    </xf>
    <xf numFmtId="0" fontId="3" fillId="4" borderId="0" xfId="0" applyFont="1" applyFill="1"/>
    <xf numFmtId="0" fontId="4" fillId="0" borderId="0" xfId="0" quotePrefix="1" applyFont="1" applyAlignment="1">
      <alignment horizontal="left"/>
    </xf>
    <xf numFmtId="0" fontId="3" fillId="4" borderId="0" xfId="0" applyFont="1" applyFill="1" applyAlignment="1">
      <alignment horizontal="center"/>
    </xf>
    <xf numFmtId="0" fontId="3" fillId="4" borderId="59" xfId="0" applyFont="1" applyFill="1" applyBorder="1" applyAlignment="1">
      <alignment horizontal="center"/>
    </xf>
    <xf numFmtId="14" fontId="3" fillId="5" borderId="60" xfId="0" applyNumberFormat="1" applyFont="1" applyFill="1" applyBorder="1" applyAlignment="1">
      <alignment horizontal="center"/>
    </xf>
    <xf numFmtId="0" fontId="3" fillId="5" borderId="60" xfId="0" applyFont="1" applyFill="1" applyBorder="1" applyAlignment="1">
      <alignment horizontal="center"/>
    </xf>
    <xf numFmtId="0" fontId="3" fillId="5" borderId="61" xfId="0" applyFont="1" applyFill="1" applyBorder="1" applyAlignment="1">
      <alignment horizontal="center"/>
    </xf>
    <xf numFmtId="0" fontId="5" fillId="4" borderId="0" xfId="0" applyFont="1" applyFill="1" applyAlignment="1">
      <alignment horizontal="left"/>
    </xf>
    <xf numFmtId="0" fontId="3" fillId="5" borderId="0" xfId="0" applyFont="1" applyFill="1" applyAlignment="1">
      <alignment horizontal="center"/>
    </xf>
    <xf numFmtId="0" fontId="3" fillId="5" borderId="59" xfId="0" applyFont="1" applyFill="1" applyBorder="1" applyAlignment="1">
      <alignment horizontal="center"/>
    </xf>
    <xf numFmtId="0" fontId="3" fillId="4" borderId="60" xfId="0" applyFont="1" applyFill="1" applyBorder="1"/>
    <xf numFmtId="0" fontId="3" fillId="4" borderId="63" xfId="0" applyFont="1" applyFill="1" applyBorder="1" applyAlignment="1">
      <alignment horizontal="center" wrapText="1"/>
    </xf>
    <xf numFmtId="0" fontId="3" fillId="4" borderId="64" xfId="0" applyFont="1" applyFill="1" applyBorder="1" applyAlignment="1">
      <alignment horizontal="center" wrapText="1"/>
    </xf>
    <xf numFmtId="0" fontId="4" fillId="0" borderId="12" xfId="0" applyFont="1" applyBorder="1" applyAlignment="1">
      <alignment horizontal="center"/>
    </xf>
    <xf numFmtId="0" fontId="4" fillId="0" borderId="14" xfId="0" applyFont="1" applyBorder="1" applyAlignment="1">
      <alignment horizontal="center"/>
    </xf>
    <xf numFmtId="0" fontId="5" fillId="0" borderId="46" xfId="0" applyFont="1" applyBorder="1" applyAlignment="1">
      <alignment horizontal="center"/>
    </xf>
    <xf numFmtId="0" fontId="5" fillId="0" borderId="47" xfId="0" applyFont="1" applyBorder="1" applyAlignment="1">
      <alignment horizontal="center"/>
    </xf>
    <xf numFmtId="0" fontId="4" fillId="0" borderId="7" xfId="0" applyFont="1" applyBorder="1" applyAlignment="1">
      <alignment horizontal="center" wrapText="1"/>
    </xf>
    <xf numFmtId="0" fontId="4" fillId="0" borderId="8" xfId="0" applyFont="1" applyBorder="1" applyAlignment="1">
      <alignment horizontal="center" wrapText="1"/>
    </xf>
    <xf numFmtId="0" fontId="4" fillId="0" borderId="9" xfId="0" applyFont="1" applyBorder="1" applyAlignment="1">
      <alignment horizontal="center" wrapText="1"/>
    </xf>
  </cellXfs>
  <cellStyles count="14">
    <cellStyle name="Comma" xfId="1" builtinId="3"/>
    <cellStyle name="Comma 16" xfId="6" xr:uid="{4316D61C-0703-4D25-9BD6-BBF3F3BEA042}"/>
    <cellStyle name="Comma 16 2" xfId="12" xr:uid="{A7E2A06F-1091-4434-9C06-B97034C655CA}"/>
    <cellStyle name="Comma 2" xfId="8" xr:uid="{DA877597-8C3F-408D-BC53-B0AA8CAD0BBD}"/>
    <cellStyle name="Currency" xfId="4" builtinId="4"/>
    <cellStyle name="Currency 2" xfId="9" xr:uid="{67B466E0-A6A5-407B-AF81-5F2433DB509F}"/>
    <cellStyle name="Hyperlink" xfId="3" builtinId="8"/>
    <cellStyle name="Hyperlink 2" xfId="11" xr:uid="{3FF7CA3A-FBA5-4F07-9CBF-DC68261D9C7C}"/>
    <cellStyle name="Normal" xfId="0" builtinId="0"/>
    <cellStyle name="Normal 2" xfId="5" xr:uid="{55537CBE-6D8E-40E7-ADD6-C95C69A54396}"/>
    <cellStyle name="Normal 2 2" xfId="13" xr:uid="{119B8271-0251-4FE2-8280-33F39882007A}"/>
    <cellStyle name="Normal 3" xfId="7" xr:uid="{61EF21D9-13B2-4333-B34F-B3946CE1CC5D}"/>
    <cellStyle name="Percent" xfId="2" builtinId="5"/>
    <cellStyle name="Percent 2" xfId="10" xr:uid="{A466A8BD-2F18-481F-B81C-152BD4C5A6E7}"/>
  </cellStyles>
  <dxfs count="141">
    <dxf>
      <fill>
        <patternFill>
          <bgColor theme="2" tint="-0.24994659260841701"/>
        </patternFill>
      </fill>
    </dxf>
    <dxf>
      <fill>
        <patternFill>
          <bgColor theme="2" tint="-0.24994659260841701"/>
        </patternFill>
      </fill>
    </dxf>
    <dxf>
      <font>
        <color theme="0"/>
      </font>
      <fill>
        <patternFill>
          <bgColor theme="0"/>
        </patternFill>
      </fill>
    </dxf>
    <dxf>
      <numFmt numFmtId="180" formatCode="_-* #,##0.000_-;\-* #,##0.000_-;_-* &quot;-&quot;??_-;_-@_-"/>
      <fill>
        <patternFill patternType="solid">
          <fgColor indexed="64"/>
          <bgColor theme="9" tint="0.79998168889431442"/>
        </patternFill>
      </fill>
    </dxf>
    <dxf>
      <font>
        <b val="0"/>
        <i val="0"/>
        <strike val="0"/>
        <condense val="0"/>
        <extend val="0"/>
        <outline val="0"/>
        <shadow val="0"/>
        <u val="none"/>
        <vertAlign val="baseline"/>
        <sz val="11"/>
        <color theme="1"/>
        <name val="Calibri"/>
        <family val="2"/>
        <scheme val="minor"/>
      </font>
      <numFmt numFmtId="169" formatCode="_-* #,##0_-;\-* #,##0_-;_-* &quot;-&quot;??_-;_-@_-"/>
      <fill>
        <patternFill patternType="solid">
          <fgColor indexed="64"/>
          <bgColor theme="9" tint="0.79998168889431442"/>
        </patternFill>
      </fill>
      <alignment horizontal="general" vertical="bottom" textRotation="0" wrapText="0" indent="0" justifyLastLine="0" shrinkToFit="0" readingOrder="0"/>
      <border diagonalUp="0" diagonalDown="0" outline="0">
        <left style="hair">
          <color indexed="64"/>
        </left>
        <right/>
        <top style="hair">
          <color indexed="64"/>
        </top>
        <bottom style="hair">
          <color indexed="64"/>
        </bottom>
      </border>
    </dxf>
    <dxf>
      <font>
        <b val="0"/>
        <i val="0"/>
        <strike val="0"/>
        <condense val="0"/>
        <extend val="0"/>
        <outline val="0"/>
        <shadow val="0"/>
        <u val="none"/>
        <vertAlign val="baseline"/>
        <sz val="11"/>
        <color theme="1"/>
        <name val="Calibri"/>
        <family val="2"/>
        <scheme val="minor"/>
      </font>
      <numFmt numFmtId="169" formatCode="_-* #,##0_-;\-* #,##0_-;_-* &quot;-&quot;??_-;_-@_-"/>
      <fill>
        <patternFill patternType="solid">
          <fgColor indexed="64"/>
          <bgColor theme="9" tint="0.79998168889431442"/>
        </patternFill>
      </fill>
      <alignment horizontal="general" vertical="bottom" textRotation="0" wrapText="0" indent="0" justifyLastLine="0" shrinkToFit="0" readingOrder="0"/>
      <border diagonalUp="0" diagonalDown="0">
        <left style="hair">
          <color indexed="64"/>
        </left>
        <right style="hair">
          <color indexed="64"/>
        </right>
        <top style="hair">
          <color indexed="64"/>
        </top>
        <bottom style="hair">
          <color indexed="64"/>
        </bottom>
      </border>
    </dxf>
    <dxf>
      <numFmt numFmtId="169" formatCode="_-* #,##0_-;\-* #,##0_-;_-* &quot;-&quot;??_-;_-@_-"/>
      <fill>
        <patternFill patternType="solid">
          <fgColor indexed="64"/>
          <bgColor theme="9" tint="0.79998168889431442"/>
        </patternFill>
      </fill>
      <alignment textRotation="0" wrapText="0" indent="0" justifyLastLine="0" shrinkToFit="0" readingOrder="0"/>
      <border diagonalUp="0" diagonalDown="0">
        <left style="hair">
          <color indexed="64"/>
        </left>
        <right style="hair">
          <color indexed="64"/>
        </right>
        <top style="hair">
          <color indexed="64"/>
        </top>
        <bottom style="hair">
          <color indexed="64"/>
        </bottom>
      </border>
    </dxf>
    <dxf>
      <numFmt numFmtId="168" formatCode="_-* #,##0.0_-;\-* #,##0.0_-;_-* &quot;-&quot;??_-;_-@_-"/>
      <fill>
        <patternFill patternType="solid">
          <fgColor indexed="64"/>
          <bgColor theme="0"/>
        </patternFill>
      </fill>
      <alignment horizontal="general" vertical="bottom" textRotation="0" wrapText="0" indent="0" justifyLastLine="0" shrinkToFit="0" readingOrder="0"/>
      <border diagonalUp="0" diagonalDown="0">
        <left style="hair">
          <color indexed="64"/>
        </left>
        <right/>
        <top/>
        <bottom style="hair">
          <color indexed="64"/>
        </bottom>
        <vertical/>
        <horizontal/>
      </border>
    </dxf>
    <dxf>
      <numFmt numFmtId="168" formatCode="_-* #,##0.0_-;\-* #,##0.0_-;_-* &quot;-&quot;??_-;_-@_-"/>
      <fill>
        <patternFill patternType="solid">
          <fgColor indexed="64"/>
          <bgColor theme="0"/>
        </patternFill>
      </fill>
      <alignment horizontal="general" vertical="bottom"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168" formatCode="_-* #,##0.0_-;\-* #,##0.0_-;_-* &quot;-&quot;??_-;_-@_-"/>
      <fill>
        <patternFill patternType="solid">
          <fgColor indexed="64"/>
          <bgColor theme="0"/>
        </patternFill>
      </fill>
      <alignment horizontal="general" vertical="bottom" textRotation="0" wrapText="0" indent="0" justifyLastLine="0" shrinkToFit="0" readingOrder="0"/>
      <border diagonalUp="0" diagonalDown="0">
        <left style="hair">
          <color indexed="64"/>
        </left>
        <right style="hair">
          <color indexed="64"/>
        </right>
        <top style="hair">
          <color indexed="64"/>
        </top>
        <bottom style="hair">
          <color indexed="64"/>
        </bottom>
        <vertical/>
        <horizontal/>
      </border>
    </dxf>
    <dxf>
      <numFmt numFmtId="169" formatCode="_-* #,##0_-;\-* #,##0_-;_-* &quot;-&quot;??_-;_-@_-"/>
      <fill>
        <patternFill patternType="solid">
          <fgColor indexed="64"/>
          <bgColor theme="0"/>
        </patternFill>
      </fill>
      <alignment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numFmt numFmtId="169" formatCode="_-* #,##0_-;\-* #,##0_-;_-* &quot;-&quot;??_-;_-@_-"/>
      <fill>
        <patternFill patternType="solid">
          <fgColor indexed="64"/>
          <bgColor theme="0"/>
        </patternFill>
      </fill>
      <alignment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numFmt numFmtId="169" formatCode="_-* #,##0_-;\-* #,##0_-;_-* &quot;-&quot;??_-;_-@_-"/>
      <fill>
        <patternFill patternType="solid">
          <fgColor indexed="64"/>
          <bgColor theme="0"/>
        </patternFill>
      </fill>
      <alignment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numFmt numFmtId="169" formatCode="_-* #,##0_-;\-* #,##0_-;_-* &quot;-&quot;??_-;_-@_-"/>
      <fill>
        <patternFill patternType="solid">
          <fgColor indexed="64"/>
          <bgColor theme="9" tint="0.79998168889431442"/>
        </patternFill>
      </fill>
      <alignment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numFmt numFmtId="169" formatCode="_-* #,##0_-;\-* #,##0_-;_-* &quot;-&quot;??_-;_-@_-"/>
      <fill>
        <patternFill patternType="solid">
          <fgColor indexed="64"/>
          <bgColor theme="9" tint="0.79998168889431442"/>
        </patternFill>
      </fill>
      <alignment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numFmt numFmtId="169" formatCode="_-* #,##0_-;\-* #,##0_-;_-* &quot;-&quot;??_-;_-@_-"/>
      <fill>
        <patternFill patternType="solid">
          <fgColor indexed="64"/>
          <bgColor theme="9" tint="0.79998168889431442"/>
        </patternFill>
      </fill>
      <alignment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numFmt numFmtId="1" formatCode="0"/>
      <fill>
        <patternFill patternType="solid">
          <fgColor indexed="64"/>
          <bgColor theme="9" tint="0.79998168889431442"/>
        </patternFill>
      </fill>
      <alignment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numFmt numFmtId="35" formatCode="_-* #,##0.00_-;\-* #,##0.00_-;_-* &quot;-&quot;??_-;_-@_-"/>
      <fill>
        <patternFill patternType="solid">
          <fgColor indexed="64"/>
          <bgColor rgb="FFFF0000"/>
        </patternFill>
      </fill>
      <alignment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numFmt numFmtId="35" formatCode="_-* #,##0.00_-;\-* #,##0.00_-;_-* &quot;-&quot;??_-;_-@_-"/>
      <fill>
        <patternFill patternType="solid">
          <fgColor indexed="64"/>
          <bgColor theme="9" tint="0.79998168889431442"/>
        </patternFill>
      </fill>
      <alignment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numFmt numFmtId="178" formatCode="_-* #,##0.0000_-;\-* #,##0.0000_-;_-* &quot;-&quot;??_-;_-@_-"/>
      <fill>
        <patternFill patternType="solid">
          <fgColor indexed="64"/>
          <bgColor theme="9" tint="0.79998168889431442"/>
        </patternFill>
      </fill>
      <alignment textRotation="0" wrapText="0" indent="0" justifyLastLine="0" shrinkToFit="0" readingOrder="0"/>
      <border diagonalUp="0" diagonalDown="0">
        <left style="hair">
          <color indexed="64"/>
        </left>
        <right style="hair">
          <color indexed="64"/>
        </right>
        <top style="hair">
          <color indexed="64"/>
        </top>
        <bottom style="hair">
          <color indexed="64"/>
        </bottom>
      </border>
    </dxf>
    <dxf>
      <numFmt numFmtId="35" formatCode="_-* #,##0.00_-;\-* #,##0.00_-;_-* &quot;-&quot;??_-;_-@_-"/>
      <fill>
        <patternFill patternType="solid">
          <fgColor indexed="64"/>
          <bgColor theme="9" tint="0.79998168889431442"/>
        </patternFill>
      </fill>
      <alignment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numFmt numFmtId="35" formatCode="_-* #,##0.00_-;\-* #,##0.00_-;_-* &quot;-&quot;??_-;_-@_-"/>
      <fill>
        <patternFill patternType="solid">
          <fgColor indexed="64"/>
          <bgColor theme="9" tint="0.79998168889431442"/>
        </patternFill>
      </fill>
      <alignment textRotation="0" wrapText="0" indent="0" justifyLastLine="0" shrinkToFit="0" readingOrder="0"/>
      <border diagonalUp="0" diagonalDown="0">
        <left style="hair">
          <color indexed="64"/>
        </left>
        <right style="hair">
          <color indexed="64"/>
        </right>
        <top style="hair">
          <color indexed="64"/>
        </top>
        <bottom style="hair">
          <color indexed="64"/>
        </bottom>
      </border>
    </dxf>
    <dxf>
      <numFmt numFmtId="35" formatCode="_-* #,##0.00_-;\-* #,##0.00_-;_-* &quot;-&quot;??_-;_-@_-"/>
      <fill>
        <patternFill patternType="solid">
          <fgColor indexed="64"/>
          <bgColor theme="9" tint="0.79998168889431442"/>
        </patternFill>
      </fill>
      <alignment textRotation="0" wrapText="0" indent="0" justifyLastLine="0" shrinkToFit="0" readingOrder="0"/>
      <border diagonalUp="0" diagonalDown="0">
        <left style="hair">
          <color indexed="64"/>
        </left>
        <right style="hair">
          <color indexed="64"/>
        </right>
        <top style="hair">
          <color indexed="64"/>
        </top>
        <bottom style="hair">
          <color indexed="64"/>
        </bottom>
      </border>
    </dxf>
    <dxf>
      <numFmt numFmtId="169" formatCode="_-* #,##0_-;\-* #,##0_-;_-* &quot;-&quot;??_-;_-@_-"/>
      <fill>
        <patternFill patternType="solid">
          <fgColor indexed="64"/>
          <bgColor theme="9" tint="0.79998168889431442"/>
        </patternFill>
      </fill>
      <border diagonalUp="0" diagonalDown="0" outline="0">
        <left style="hair">
          <color indexed="64"/>
        </left>
        <right style="hair">
          <color indexed="64"/>
        </right>
        <top style="hair">
          <color indexed="64"/>
        </top>
        <bottom style="hair">
          <color indexed="64"/>
        </bottom>
      </border>
    </dxf>
    <dxf>
      <numFmt numFmtId="169" formatCode="_-* #,##0_-;\-* #,##0_-;_-* &quot;-&quot;??_-;_-@_-"/>
      <fill>
        <patternFill patternType="solid">
          <fgColor indexed="64"/>
          <bgColor theme="9" tint="0.79998168889431442"/>
        </patternFill>
      </fill>
      <border diagonalUp="0" diagonalDown="0" outline="0">
        <left style="hair">
          <color indexed="64"/>
        </left>
        <right style="hair">
          <color indexed="64"/>
        </right>
        <top style="hair">
          <color indexed="64"/>
        </top>
        <bottom style="hair">
          <color indexed="64"/>
        </bottom>
      </border>
    </dxf>
    <dxf>
      <numFmt numFmtId="169" formatCode="_-* #,##0_-;\-* #,##0_-;_-* &quot;-&quot;??_-;_-@_-"/>
      <fill>
        <patternFill patternType="solid">
          <fgColor indexed="64"/>
          <bgColor theme="9" tint="0.79998168889431442"/>
        </patternFill>
      </fill>
      <alignment textRotation="0" wrapText="0" indent="0" justifyLastLine="0" shrinkToFit="0" readingOrder="0"/>
      <border diagonalUp="0" diagonalDown="0" outline="0">
        <left style="hair">
          <color indexed="64"/>
        </left>
        <right style="hair">
          <color indexed="64"/>
        </right>
        <top style="hair">
          <color indexed="64"/>
        </top>
        <bottom style="hair">
          <color indexed="64"/>
        </bottom>
      </border>
    </dxf>
    <dxf>
      <numFmt numFmtId="169" formatCode="_-* #,##0_-;\-* #,##0_-;_-* &quot;-&quot;??_-;_-@_-"/>
      <fill>
        <patternFill patternType="solid">
          <fgColor indexed="64"/>
          <bgColor theme="9" tint="0.79998168889431442"/>
        </patternFill>
      </fill>
      <border diagonalUp="0" diagonalDown="0" outline="0">
        <left style="hair">
          <color indexed="64"/>
        </left>
        <right style="hair">
          <color indexed="64"/>
        </right>
        <top style="hair">
          <color indexed="64"/>
        </top>
        <bottom style="hair">
          <color indexed="64"/>
        </bottom>
      </border>
    </dxf>
    <dxf>
      <font>
        <b val="0"/>
        <i val="0"/>
        <strike val="0"/>
        <condense val="0"/>
        <extend val="0"/>
        <outline val="0"/>
        <shadow val="0"/>
        <u val="none"/>
        <vertAlign val="baseline"/>
        <sz val="11"/>
        <color theme="1"/>
        <name val="Calibri"/>
        <family val="2"/>
        <scheme val="minor"/>
      </font>
      <numFmt numFmtId="35" formatCode="_-* #,##0.00_-;\-* #,##0.00_-;_-* &quot;-&quot;??_-;_-@_-"/>
      <fill>
        <patternFill patternType="solid">
          <fgColor indexed="64"/>
          <bgColor theme="9" tint="0.79998168889431442"/>
        </patternFill>
      </fill>
      <border diagonalUp="0" diagonalDown="0">
        <left style="hair">
          <color indexed="64"/>
        </left>
        <right style="hair">
          <color indexed="64"/>
        </right>
        <top style="hair">
          <color indexed="64"/>
        </top>
        <bottom style="hair">
          <color indexed="64"/>
        </bottom>
        <vertical/>
        <horizontal/>
      </border>
    </dxf>
    <dxf>
      <fill>
        <patternFill patternType="solid">
          <fgColor indexed="64"/>
          <bgColor theme="9" tint="0.79998168889431442"/>
        </patternFill>
      </fill>
      <border diagonalUp="0" diagonalDown="0">
        <left style="hair">
          <color indexed="64"/>
        </left>
        <right style="hair">
          <color indexed="64"/>
        </right>
        <top style="hair">
          <color indexed="64"/>
        </top>
        <bottom style="hair">
          <color indexed="64"/>
        </bottom>
      </border>
    </dxf>
    <dxf>
      <fill>
        <patternFill patternType="solid">
          <fgColor indexed="64"/>
          <bgColor theme="9" tint="0.79998168889431442"/>
        </patternFill>
      </fill>
      <border diagonalUp="0" diagonalDown="0">
        <left/>
        <right style="hair">
          <color indexed="64"/>
        </right>
        <top style="hair">
          <color indexed="64"/>
        </top>
        <bottom style="hair">
          <color indexed="64"/>
        </bottom>
        <vertical style="hair">
          <color indexed="64"/>
        </vertical>
        <horizontal style="hair">
          <color indexed="64"/>
        </horizontal>
      </border>
    </dxf>
    <dxf>
      <border diagonalUp="0" diagonalDown="0">
        <left style="thin">
          <color indexed="64"/>
        </left>
        <right style="thin">
          <color indexed="64"/>
        </right>
        <top style="thin">
          <color indexed="64"/>
        </top>
        <bottom style="thin">
          <color indexed="64"/>
        </bottom>
      </border>
    </dxf>
    <dxf>
      <fill>
        <patternFill patternType="solid">
          <fgColor indexed="64"/>
          <bgColor theme="9" tint="0.79998168889431442"/>
        </patternFill>
      </fill>
    </dxf>
    <dxf>
      <border>
        <bottom style="thin">
          <color indexed="64"/>
        </bottom>
      </border>
    </dxf>
    <dxf>
      <font>
        <b val="0"/>
        <i val="0"/>
        <strike val="0"/>
        <condense val="0"/>
        <extend val="0"/>
        <outline val="0"/>
        <shadow val="0"/>
        <u val="none"/>
        <vertAlign val="baseline"/>
        <sz val="11"/>
        <color theme="1"/>
        <name val="Lato"/>
        <family val="2"/>
        <scheme val="none"/>
      </font>
      <alignment horizontal="left" vertical="center" textRotation="0" wrapText="1" indent="0" justifyLastLine="0" shrinkToFit="0" readingOrder="0"/>
      <border diagonalUp="0" diagonalDown="0">
        <left/>
        <right/>
        <top/>
        <bottom/>
        <vertical/>
        <horizontal/>
      </border>
    </dxf>
    <dxf>
      <font>
        <sz val="10"/>
      </font>
      <numFmt numFmtId="170" formatCode="_-&quot;£&quot;* #,##0_-;\-&quot;£&quot;* #,##0_-;_-&quot;£&quot;* &quot;-&quot;??_-;_-@_-"/>
      <fill>
        <patternFill patternType="solid">
          <fgColor indexed="64"/>
          <bgColor theme="9" tint="0.79998168889431442"/>
        </patternFill>
      </fill>
      <alignment horizontal="center" vertical="center" textRotation="0" wrapText="0" indent="0" justifyLastLine="0" shrinkToFit="0" readingOrder="0"/>
      <border diagonalUp="0" diagonalDown="0" outline="0">
        <left/>
        <right/>
        <top style="hair">
          <color indexed="64"/>
        </top>
        <bottom style="hair">
          <color indexed="64"/>
        </bottom>
      </border>
    </dxf>
    <dxf>
      <font>
        <sz val="10"/>
      </font>
      <numFmt numFmtId="1" formatCode="0"/>
      <fill>
        <patternFill patternType="solid">
          <fgColor indexed="64"/>
          <bgColor theme="9" tint="0.79998168889431442"/>
        </patternFill>
      </fill>
      <alignment horizontal="center" vertical="center" textRotation="0" wrapText="0" indent="0" justifyLastLine="0" shrinkToFit="0" readingOrder="0"/>
      <border diagonalUp="0" diagonalDown="0" outline="0">
        <left/>
        <right/>
        <top style="hair">
          <color indexed="64"/>
        </top>
        <bottom style="hair">
          <color indexed="64"/>
        </bottom>
      </border>
    </dxf>
    <dxf>
      <font>
        <b val="0"/>
        <i val="0"/>
        <strike val="0"/>
        <condense val="0"/>
        <extend val="0"/>
        <outline val="0"/>
        <shadow val="0"/>
        <u val="none"/>
        <vertAlign val="baseline"/>
        <sz val="10"/>
        <color theme="1"/>
        <name val="Calibri"/>
        <family val="2"/>
        <scheme val="minor"/>
      </font>
      <numFmt numFmtId="35" formatCode="_-* #,##0.00_-;\-* #,##0.00_-;_-* &quot;-&quot;??_-;_-@_-"/>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border>
    </dxf>
    <dxf>
      <font>
        <sz val="10"/>
      </font>
      <numFmt numFmtId="0" formatCode="General"/>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border>
    </dxf>
    <dxf>
      <font>
        <sz val="10"/>
      </font>
      <fill>
        <patternFill patternType="solid">
          <fgColor indexed="64"/>
          <bgColor theme="9" tint="0.79998168889431442"/>
        </patternFill>
      </fill>
      <alignment horizontal="center" vertical="center" textRotation="0" wrapText="0" indent="0" justifyLastLine="0" shrinkToFit="0" readingOrder="0"/>
      <border diagonalUp="0" diagonalDown="0" outline="0">
        <left/>
        <right/>
        <top style="hair">
          <color indexed="64"/>
        </top>
        <bottom style="hair">
          <color indexed="64"/>
        </bottom>
      </border>
    </dxf>
    <dxf>
      <font>
        <sz val="10"/>
      </font>
      <numFmt numFmtId="2" formatCode="0.00"/>
      <fill>
        <patternFill patternType="solid">
          <fgColor indexed="64"/>
          <bgColor theme="9" tint="0.79998168889431442"/>
        </patternFill>
      </fill>
      <alignment horizontal="center" vertical="center" textRotation="0" wrapText="0" indent="0" justifyLastLine="0" shrinkToFit="0" readingOrder="0"/>
      <border diagonalUp="0" diagonalDown="0" outline="0">
        <left/>
        <right/>
        <top style="hair">
          <color indexed="64"/>
        </top>
        <bottom style="hair">
          <color indexed="64"/>
        </bottom>
      </border>
    </dxf>
    <dxf>
      <font>
        <sz val="10"/>
      </font>
      <numFmt numFmtId="0" formatCode="General"/>
      <fill>
        <patternFill patternType="solid">
          <fgColor indexed="64"/>
          <bgColor theme="9" tint="0.79998168889431442"/>
        </patternFill>
      </fill>
      <alignment horizontal="center" vertical="center" textRotation="0" wrapText="0" indent="0" justifyLastLine="0" shrinkToFit="0" readingOrder="0"/>
      <border diagonalUp="0" diagonalDown="0" outline="0">
        <left/>
        <right/>
        <top style="hair">
          <color indexed="64"/>
        </top>
        <bottom style="hair">
          <color indexed="64"/>
        </bottom>
      </border>
    </dxf>
    <dxf>
      <font>
        <sz val="10"/>
      </font>
      <numFmt numFmtId="0" formatCode="General"/>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numFmt numFmtId="0" formatCode="General"/>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numFmt numFmtId="0" formatCode="General"/>
      <fill>
        <patternFill patternType="solid">
          <fgColor indexed="64"/>
          <bgColor theme="9" tint="0.79998168889431442"/>
        </patternFill>
      </fill>
      <alignment horizontal="center" vertical="center" textRotation="0" wrapText="0" indent="0" justifyLastLine="0" shrinkToFit="0" readingOrder="0"/>
      <border diagonalUp="0" diagonalDown="0" outline="0">
        <left/>
        <right/>
        <top style="hair">
          <color indexed="64"/>
        </top>
        <bottom style="hair">
          <color indexed="64"/>
        </bottom>
      </border>
    </dxf>
    <dxf>
      <font>
        <sz val="10"/>
      </font>
      <numFmt numFmtId="169" formatCode="_-* #,##0_-;\-* #,##0_-;_-* &quot;-&quot;??_-;_-@_-"/>
      <fill>
        <patternFill patternType="solid">
          <fgColor indexed="64"/>
          <bgColor theme="9" tint="0.79998168889431442"/>
        </patternFill>
      </fill>
      <alignment horizontal="center" vertical="center" textRotation="0" wrapText="0" indent="0" justifyLastLine="0" shrinkToFit="0" readingOrder="0"/>
      <border diagonalUp="0" diagonalDown="0" outline="0">
        <left/>
        <right/>
        <top style="hair">
          <color indexed="64"/>
        </top>
        <bottom style="hair">
          <color indexed="64"/>
        </bottom>
      </border>
    </dxf>
    <dxf>
      <font>
        <sz val="10"/>
      </font>
      <numFmt numFmtId="169" formatCode="_-* #,##0_-;\-* #,##0_-;_-* &quot;-&quot;??_-;_-@_-"/>
      <fill>
        <patternFill patternType="solid">
          <fgColor indexed="64"/>
          <bgColor theme="9" tint="0.79998168889431442"/>
        </patternFill>
      </fill>
      <alignment horizontal="center" vertical="center" textRotation="0" wrapText="0" indent="0" justifyLastLine="0" shrinkToFit="0" readingOrder="0"/>
      <border diagonalUp="0" diagonalDown="0" outline="0">
        <left/>
        <right/>
        <top style="hair">
          <color indexed="64"/>
        </top>
        <bottom style="hair">
          <color indexed="64"/>
        </bottom>
      </border>
    </dxf>
    <dxf>
      <font>
        <sz val="10"/>
      </font>
      <numFmt numFmtId="0" formatCode="General"/>
      <fill>
        <patternFill patternType="solid">
          <fgColor indexed="64"/>
          <bgColor theme="9" tint="0.79998168889431442"/>
        </patternFill>
      </fill>
      <alignment horizontal="center" vertical="center" textRotation="0" wrapText="0" indent="0" justifyLastLine="0" shrinkToFit="0" readingOrder="0"/>
      <border diagonalUp="0" diagonalDown="0" outline="0">
        <left/>
        <right/>
        <top style="hair">
          <color indexed="64"/>
        </top>
        <bottom style="hair">
          <color indexed="64"/>
        </bottom>
      </border>
    </dxf>
    <dxf>
      <font>
        <sz val="10"/>
      </font>
      <numFmt numFmtId="0" formatCode="General"/>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numFmt numFmtId="0" formatCode="General"/>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border diagonalUp="0" diagonalDown="0">
        <left style="thin">
          <color indexed="64"/>
        </left>
        <right style="thin">
          <color indexed="64"/>
        </right>
        <top style="thin">
          <color indexed="64"/>
        </top>
        <bottom style="thin">
          <color indexed="64"/>
        </bottom>
      </border>
    </dxf>
    <dxf>
      <font>
        <sz val="10"/>
      </font>
      <fill>
        <patternFill patternType="solid">
          <fgColor indexed="64"/>
          <bgColor theme="9" tint="0.79998168889431442"/>
        </patternFill>
      </fill>
      <alignment horizontal="center"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auto="1"/>
        <name val="Calibri"/>
        <family val="2"/>
        <scheme val="minor"/>
      </font>
      <fill>
        <patternFill patternType="solid">
          <fgColor indexed="64"/>
          <bgColor theme="5"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none">
          <fgColor indexed="64"/>
          <bgColor auto="1"/>
        </patternFill>
      </fill>
      <alignment horizontal="center" vertical="bottom" textRotation="0" wrapText="0"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0"/>
        <color theme="1"/>
        <name val="Calibri"/>
        <family val="2"/>
        <scheme val="minor"/>
      </font>
      <fill>
        <patternFill>
          <bgColor theme="0"/>
        </patternFill>
      </fill>
      <border diagonalUp="0" diagonalDown="0" outline="0">
        <left/>
        <right/>
        <top style="thin">
          <color theme="4" tint="0.39997558519241921"/>
        </top>
        <bottom/>
      </border>
    </dxf>
    <dxf>
      <font>
        <b val="0"/>
        <i val="0"/>
        <strike val="0"/>
        <condense val="0"/>
        <extend val="0"/>
        <outline val="0"/>
        <shadow val="0"/>
        <u val="none"/>
        <vertAlign val="baseline"/>
        <sz val="10"/>
        <color theme="1"/>
        <name val="Calibri"/>
        <family val="2"/>
        <scheme val="minor"/>
      </font>
      <fill>
        <patternFill>
          <bgColor theme="0"/>
        </patternFill>
      </fill>
      <border diagonalUp="0" diagonalDown="0" outline="0">
        <left/>
        <right/>
        <top style="thin">
          <color theme="4" tint="0.39997558519241921"/>
        </top>
        <bottom/>
      </border>
    </dxf>
    <dxf>
      <font>
        <b val="0"/>
        <i val="0"/>
        <strike val="0"/>
        <condense val="0"/>
        <extend val="0"/>
        <outline val="0"/>
        <shadow val="0"/>
        <u val="none"/>
        <vertAlign val="baseline"/>
        <sz val="10"/>
        <color theme="1"/>
        <name val="Calibri"/>
        <family val="2"/>
        <scheme val="minor"/>
      </font>
      <fill>
        <patternFill>
          <bgColor theme="0"/>
        </patternFill>
      </fill>
      <border diagonalUp="0" diagonalDown="0" outline="0">
        <left/>
        <right/>
        <top style="thin">
          <color theme="4" tint="0.39997558519241921"/>
        </top>
        <bottom/>
      </border>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0"/>
        </patternFill>
      </fill>
      <border diagonalUp="0" diagonalDown="0">
        <left style="thin">
          <color indexed="64"/>
        </left>
        <right style="thin">
          <color indexed="64"/>
        </right>
        <top style="thin">
          <color theme="4" tint="0.39997558519241921"/>
        </top>
        <bottom/>
        <vertical/>
        <horizontal/>
      </border>
    </dxf>
    <dxf>
      <font>
        <b val="0"/>
        <i val="0"/>
        <strike val="0"/>
        <condense val="0"/>
        <extend val="0"/>
        <outline val="0"/>
        <shadow val="0"/>
        <u val="none"/>
        <vertAlign val="baseline"/>
        <sz val="10"/>
        <color theme="1"/>
        <name val="Calibri"/>
        <family val="2"/>
        <scheme val="minor"/>
      </font>
      <fill>
        <patternFill>
          <bgColor theme="0"/>
        </patternFill>
      </fill>
      <border diagonalUp="0" diagonalDown="0">
        <left/>
        <right style="thin">
          <color indexed="64"/>
        </right>
        <top style="thin">
          <color theme="4" tint="0.39997558519241921"/>
        </top>
        <bottom/>
        <vertical/>
      </border>
    </dxf>
    <dxf>
      <font>
        <b val="0"/>
        <i val="0"/>
        <strike val="0"/>
        <condense val="0"/>
        <extend val="0"/>
        <outline val="0"/>
        <shadow val="0"/>
        <u val="none"/>
        <vertAlign val="baseline"/>
        <sz val="10"/>
        <color theme="1"/>
        <name val="Calibri"/>
        <family val="2"/>
        <scheme val="minor"/>
      </font>
      <numFmt numFmtId="0" formatCode="General"/>
      <fill>
        <patternFill>
          <bgColor theme="0"/>
        </patternFill>
      </fill>
      <border diagonalUp="0" diagonalDown="0" outline="0">
        <left/>
        <right/>
        <top style="thin">
          <color theme="4" tint="0.39997558519241921"/>
        </top>
        <bottom/>
      </border>
    </dxf>
    <dxf>
      <font>
        <b val="0"/>
        <i val="0"/>
        <strike val="0"/>
        <condense val="0"/>
        <extend val="0"/>
        <outline val="0"/>
        <shadow val="0"/>
        <u val="none"/>
        <vertAlign val="baseline"/>
        <sz val="10"/>
        <color theme="1"/>
        <name val="Calibri"/>
        <family val="2"/>
        <scheme val="minor"/>
      </font>
      <numFmt numFmtId="1" formatCode="0"/>
      <fill>
        <patternFill>
          <bgColor theme="0"/>
        </patternFill>
      </fill>
      <border diagonalUp="0" diagonalDown="0" outline="0">
        <left/>
        <right/>
        <top style="thin">
          <color theme="4" tint="0.39997558519241921"/>
        </top>
        <bottom/>
      </border>
    </dxf>
    <dxf>
      <font>
        <b val="0"/>
        <i val="0"/>
        <strike val="0"/>
        <condense val="0"/>
        <extend val="0"/>
        <outline val="0"/>
        <shadow val="0"/>
        <u val="none"/>
        <vertAlign val="baseline"/>
        <sz val="10"/>
        <color theme="1"/>
        <name val="Calibri"/>
        <family val="2"/>
        <scheme val="minor"/>
      </font>
      <numFmt numFmtId="170" formatCode="_-&quot;£&quot;* #,##0_-;\-&quot;£&quot;* #,##0_-;_-&quot;£&quot;* &quot;-&quot;??_-;_-@_-"/>
      <fill>
        <patternFill patternType="none">
          <fgColor indexed="64"/>
          <bgColor auto="1"/>
        </patternFill>
      </fill>
      <border diagonalUp="0" diagonalDown="0" outline="0">
        <left/>
        <right/>
        <top style="hair">
          <color indexed="64"/>
        </top>
        <bottom/>
      </border>
    </dxf>
    <dxf>
      <font>
        <b val="0"/>
        <i val="0"/>
        <strike val="0"/>
        <condense val="0"/>
        <extend val="0"/>
        <outline val="0"/>
        <shadow val="0"/>
        <u val="none"/>
        <vertAlign val="baseline"/>
        <sz val="10"/>
        <color theme="1"/>
        <name val="Calibri"/>
        <family val="2"/>
        <scheme val="minor"/>
      </font>
      <numFmt numFmtId="169" formatCode="_-* #,##0_-;\-* #,##0_-;_-* &quot;-&quot;??_-;_-@_-"/>
      <fill>
        <patternFill patternType="none">
          <fgColor indexed="64"/>
          <bgColor auto="1"/>
        </patternFill>
      </fill>
      <border diagonalUp="0" diagonalDown="0" outline="0">
        <left/>
        <right style="hair">
          <color indexed="64"/>
        </right>
        <top style="hair">
          <color indexed="64"/>
        </top>
        <bottom/>
      </border>
    </dxf>
    <dxf>
      <font>
        <b val="0"/>
        <i val="0"/>
        <strike val="0"/>
        <condense val="0"/>
        <extend val="0"/>
        <outline val="0"/>
        <shadow val="0"/>
        <u val="none"/>
        <vertAlign val="baseline"/>
        <sz val="10"/>
        <color theme="1"/>
        <name val="Calibri"/>
        <family val="2"/>
        <scheme val="minor"/>
      </font>
      <numFmt numFmtId="169" formatCode="_-* #,##0_-;\-* #,##0_-;_-* &quot;-&quot;??_-;_-@_-"/>
      <fill>
        <patternFill patternType="none">
          <fgColor indexed="64"/>
          <bgColor auto="1"/>
        </patternFill>
      </fill>
      <border diagonalUp="0" diagonalDown="0" outline="0">
        <left/>
        <right style="hair">
          <color indexed="64"/>
        </right>
        <top style="hair">
          <color indexed="64"/>
        </top>
        <bottom/>
      </border>
    </dxf>
    <dxf>
      <font>
        <b val="0"/>
        <i val="0"/>
        <strike val="0"/>
        <condense val="0"/>
        <extend val="0"/>
        <outline val="0"/>
        <shadow val="0"/>
        <u val="none"/>
        <vertAlign val="baseline"/>
        <sz val="10"/>
        <color theme="1"/>
        <name val="Calibri"/>
        <family val="2"/>
        <scheme val="minor"/>
      </font>
      <numFmt numFmtId="168" formatCode="_-* #,##0.0_-;\-* #,##0.0_-;_-* &quot;-&quot;??_-;_-@_-"/>
      <fill>
        <patternFill patternType="none">
          <fgColor indexed="64"/>
          <bgColor auto="1"/>
        </patternFill>
      </fill>
      <border diagonalUp="0" diagonalDown="0" outline="0">
        <left style="hair">
          <color indexed="64"/>
        </left>
        <right style="hair">
          <color indexed="64"/>
        </right>
        <top style="hair">
          <color indexed="64"/>
        </top>
        <bottom/>
      </border>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outline="0">
        <left/>
        <right style="hair">
          <color indexed="64"/>
        </right>
        <top style="hair">
          <color indexed="64"/>
        </top>
        <bottom/>
      </border>
    </dxf>
    <dxf>
      <font>
        <b val="0"/>
        <i val="0"/>
        <strike val="0"/>
        <condense val="0"/>
        <extend val="0"/>
        <outline val="0"/>
        <shadow val="0"/>
        <u val="none"/>
        <vertAlign val="baseline"/>
        <sz val="10"/>
        <color theme="1"/>
        <name val="Calibri"/>
        <family val="2"/>
        <scheme val="minor"/>
      </font>
      <numFmt numFmtId="169" formatCode="_-* #,##0_-;\-* #,##0_-;_-* &quot;-&quot;??_-;_-@_-"/>
      <fill>
        <patternFill>
          <bgColor theme="9" tint="0.79998168889431442"/>
        </patternFill>
      </fill>
      <alignment horizontal="center" vertical="center" textRotation="0" wrapText="0" indent="0" justifyLastLine="0" shrinkToFit="0" readingOrder="0"/>
      <border diagonalUp="0" diagonalDown="0" outline="0">
        <left/>
        <right/>
        <top style="hair">
          <color indexed="64"/>
        </top>
        <bottom/>
      </border>
    </dxf>
    <dxf>
      <font>
        <b val="0"/>
        <i val="0"/>
        <strike val="0"/>
        <condense val="0"/>
        <extend val="0"/>
        <outline val="0"/>
        <shadow val="0"/>
        <u val="none"/>
        <vertAlign val="baseline"/>
        <sz val="10"/>
        <color theme="1"/>
        <name val="Calibri"/>
        <family val="2"/>
        <scheme val="minor"/>
      </font>
      <numFmt numFmtId="169" formatCode="_-* #,##0_-;\-* #,##0_-;_-* &quot;-&quot;??_-;_-@_-"/>
      <fill>
        <patternFill>
          <bgColor theme="9" tint="0.79998168889431442"/>
        </patternFill>
      </fill>
      <alignment horizontal="center" vertical="center" textRotation="0" wrapText="0" indent="0" justifyLastLine="0" shrinkToFit="0" readingOrder="0"/>
      <border diagonalUp="0" diagonalDown="0" outline="0">
        <left style="hair">
          <color indexed="64"/>
        </left>
        <right style="hair">
          <color indexed="64"/>
        </right>
        <top style="hair">
          <color indexed="64"/>
        </top>
        <bottom/>
      </border>
    </dxf>
    <dxf>
      <font>
        <b val="0"/>
        <i val="0"/>
        <strike val="0"/>
        <condense val="0"/>
        <extend val="0"/>
        <outline val="0"/>
        <shadow val="0"/>
        <u val="none"/>
        <vertAlign val="baseline"/>
        <sz val="10"/>
        <color theme="1"/>
        <name val="Calibri"/>
        <family val="2"/>
        <scheme val="minor"/>
      </font>
      <numFmt numFmtId="1" formatCode="0"/>
      <alignment horizontal="center" vertical="center" textRotation="0" wrapText="0" indent="0" justifyLastLine="0" shrinkToFit="0" readingOrder="0"/>
      <border diagonalUp="0" diagonalDown="0" outline="0">
        <left style="hair">
          <color indexed="64"/>
        </left>
        <right style="hair">
          <color indexed="64"/>
        </right>
        <top style="hair">
          <color indexed="64"/>
        </top>
        <bottom/>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7" tint="0.79998168889431442"/>
        </patternFill>
      </fill>
      <alignment horizontal="center" vertical="center" textRotation="0" wrapText="0" indent="0" justifyLastLine="0" shrinkToFit="0" readingOrder="0"/>
      <border diagonalUp="0" diagonalDown="0">
        <left style="hair">
          <color indexed="64"/>
        </left>
        <right/>
        <top style="hair">
          <color indexed="64"/>
        </top>
        <bottom/>
        <vertical/>
        <horizontal/>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9" tint="0.79998168889431442"/>
        </patternFill>
      </fill>
      <alignment horizontal="center" vertical="center" textRotation="0" wrapText="0" indent="0" justifyLastLine="0" shrinkToFit="0" readingOrder="0"/>
      <border diagonalUp="0" diagonalDown="0">
        <left style="hair">
          <color indexed="64"/>
        </left>
        <right/>
        <top style="hair">
          <color indexed="64"/>
        </top>
        <bottom/>
        <vertical/>
        <horizontal/>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rgb="FFFF0000"/>
        </patternFill>
      </fill>
      <alignment horizontal="center" vertical="center" textRotation="0" wrapText="0" indent="0" justifyLastLine="0" shrinkToFit="0" readingOrder="0"/>
      <border diagonalUp="0" diagonalDown="0">
        <left style="hair">
          <color indexed="64"/>
        </left>
        <right/>
        <top style="hair">
          <color indexed="64"/>
        </top>
        <bottom/>
        <vertical/>
        <horizontal/>
      </border>
    </dxf>
    <dxf>
      <font>
        <b val="0"/>
        <i val="0"/>
        <strike val="0"/>
        <condense val="0"/>
        <extend val="0"/>
        <outline val="0"/>
        <shadow val="0"/>
        <u val="none"/>
        <vertAlign val="baseline"/>
        <sz val="10"/>
        <color theme="1"/>
        <name val="Calibri"/>
        <family val="2"/>
        <scheme val="minor"/>
      </font>
      <numFmt numFmtId="1" formatCode="0"/>
      <fill>
        <patternFill patternType="solid">
          <fgColor indexed="64"/>
          <bgColor theme="9" tint="0.79998168889431442"/>
        </patternFill>
      </fill>
      <alignment horizontal="center" vertical="center" textRotation="0" wrapText="0" indent="0" justifyLastLine="0" shrinkToFit="0" readingOrder="0"/>
      <border diagonalUp="0" diagonalDown="0" outline="0">
        <left/>
        <right/>
        <top style="hair">
          <color indexed="64"/>
        </top>
        <bottom/>
      </border>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center" textRotation="0" wrapText="0" indent="0" justifyLastLine="0" shrinkToFit="0" readingOrder="0"/>
      <border diagonalUp="0" diagonalDown="0">
        <left/>
        <right/>
        <top style="hair">
          <color indexed="64"/>
        </top>
        <bottom/>
      </border>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left" vertical="center" textRotation="0" wrapText="0" indent="0" justifyLastLine="0" shrinkToFit="0" readingOrder="0"/>
      <border diagonalUp="0" diagonalDown="0" outline="0">
        <left/>
        <right/>
        <top style="hair">
          <color indexed="64"/>
        </top>
        <bottom/>
      </border>
    </dxf>
    <dxf>
      <font>
        <b val="0"/>
        <i val="0"/>
        <strike val="0"/>
        <condense val="0"/>
        <extend val="0"/>
        <outline val="0"/>
        <shadow val="0"/>
        <u val="none"/>
        <vertAlign val="baseline"/>
        <sz val="10"/>
        <color theme="1"/>
        <name val="Calibri"/>
        <family val="2"/>
        <scheme val="minor"/>
      </font>
      <numFmt numFmtId="169" formatCode="_-* #,##0_-;\-* #,##0_-;_-* &quot;-&quot;??_-;_-@_-"/>
      <fill>
        <patternFill patternType="solid">
          <fgColor indexed="64"/>
          <bgColor theme="9" tint="0.79998168889431442"/>
        </patternFill>
      </fill>
      <alignment horizontal="center" vertical="center" textRotation="0" wrapText="0" indent="0" justifyLastLine="0" shrinkToFit="0" readingOrder="0"/>
      <border diagonalUp="0" diagonalDown="0" outline="0">
        <left/>
        <right style="hair">
          <color indexed="64"/>
        </right>
        <top style="hair">
          <color indexed="64"/>
        </top>
        <bottom/>
      </border>
    </dxf>
    <dxf>
      <font>
        <b val="0"/>
        <i val="0"/>
        <strike val="0"/>
        <condense val="0"/>
        <extend val="0"/>
        <outline val="0"/>
        <shadow val="0"/>
        <u val="none"/>
        <vertAlign val="baseline"/>
        <sz val="10"/>
        <color theme="1"/>
        <name val="Calibri"/>
        <family val="2"/>
        <scheme val="minor"/>
      </font>
      <numFmt numFmtId="169" formatCode="_-* #,##0_-;\-* #,##0_-;_-* &quot;-&quot;??_-;_-@_-"/>
      <fill>
        <patternFill patternType="solid">
          <fgColor indexed="64"/>
          <bgColor theme="9" tint="0.79998168889431442"/>
        </patternFill>
      </fill>
      <border diagonalUp="0" diagonalDown="0" outline="0">
        <left style="hair">
          <color indexed="64"/>
        </left>
        <right style="hair">
          <color indexed="64"/>
        </right>
        <top style="hair">
          <color indexed="64"/>
        </top>
        <bottom/>
      </border>
    </dxf>
    <dxf>
      <font>
        <b val="0"/>
        <i val="0"/>
        <strike val="0"/>
        <condense val="0"/>
        <extend val="0"/>
        <outline val="0"/>
        <shadow val="0"/>
        <u val="none"/>
        <vertAlign val="baseline"/>
        <sz val="10"/>
        <color theme="1"/>
        <name val="Calibri"/>
        <family val="2"/>
        <scheme val="minor"/>
      </font>
      <numFmt numFmtId="169" formatCode="_-* #,##0_-;\-* #,##0_-;_-* &quot;-&quot;??_-;_-@_-"/>
      <fill>
        <patternFill patternType="solid">
          <fgColor indexed="64"/>
          <bgColor theme="9" tint="0.79998168889431442"/>
        </patternFill>
      </fill>
      <border diagonalUp="0" diagonalDown="0" outline="0">
        <left/>
        <right style="hair">
          <color indexed="64"/>
        </right>
        <top style="hair">
          <color indexed="64"/>
        </top>
        <bottom/>
      </border>
    </dxf>
    <dxf>
      <font>
        <b val="0"/>
        <i val="0"/>
        <strike val="0"/>
        <condense val="0"/>
        <extend val="0"/>
        <outline val="0"/>
        <shadow val="0"/>
        <u val="none"/>
        <vertAlign val="baseline"/>
        <sz val="10"/>
        <color theme="1"/>
        <name val="Calibri"/>
        <family val="2"/>
        <scheme val="minor"/>
      </font>
      <numFmt numFmtId="164" formatCode="_(* #,##0.00_);_(* \(#,##0.00\);_(* &quot;-&quot;??_);_(@_)"/>
      <fill>
        <patternFill patternType="solid">
          <fgColor indexed="64"/>
          <bgColor theme="7" tint="0.79998168889431442"/>
        </patternFill>
      </fill>
      <alignment horizontal="center" vertical="center" textRotation="0" wrapText="0" indent="0" justifyLastLine="0" shrinkToFit="0" readingOrder="0"/>
      <border diagonalUp="0" diagonalDown="0" outline="0">
        <left/>
        <right/>
        <top style="hair">
          <color indexed="64"/>
        </top>
        <bottom/>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9" tint="0.79998168889431442"/>
        </patternFill>
      </fill>
      <alignment horizontal="center" vertical="bottom" textRotation="0" wrapText="0" indent="0" justifyLastLine="0" shrinkToFit="0" readingOrder="0"/>
      <border diagonalUp="0" diagonalDown="0" outline="0">
        <left style="hair">
          <color indexed="64"/>
        </left>
        <right style="hair">
          <color indexed="64"/>
        </right>
        <top style="hair">
          <color indexed="64"/>
        </top>
        <bottom/>
      </border>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9" tint="0.79998168889431442"/>
        </patternFill>
      </fill>
      <alignment horizontal="center" vertical="center" textRotation="0" wrapText="0" indent="0" justifyLastLine="0" shrinkToFit="0" readingOrder="0"/>
      <border diagonalUp="0" diagonalDown="0" outline="0">
        <left/>
        <right style="hair">
          <color indexed="64"/>
        </right>
        <top style="hair">
          <color indexed="64"/>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family val="2"/>
        <scheme val="minor"/>
      </font>
    </dxf>
    <dxf>
      <font>
        <b/>
        <i val="0"/>
        <strike val="0"/>
        <condense val="0"/>
        <extend val="0"/>
        <outline val="0"/>
        <shadow val="0"/>
        <u val="none"/>
        <vertAlign val="baseline"/>
        <sz val="10"/>
        <color auto="1"/>
        <name val="Calibri"/>
        <family val="2"/>
        <scheme val="minor"/>
      </font>
      <fill>
        <patternFill patternType="solid">
          <fgColor indexed="64"/>
          <bgColor theme="5" tint="0.79998168889431442"/>
        </patternFill>
      </fill>
      <alignment horizontal="general" vertical="center" textRotation="0" wrapText="1" indent="0" justifyLastLine="0" shrinkToFit="0" readingOrder="0"/>
    </dxf>
    <dxf>
      <fill>
        <patternFill patternType="solid">
          <fgColor rgb="FF000000"/>
          <bgColor rgb="FFE2EFDA"/>
        </patternFill>
      </fill>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rgb="FF000000"/>
          <bgColor rgb="FFE2EFDA"/>
        </patternFill>
      </fill>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rgb="FF000000"/>
          <bgColor rgb="FFE2EFDA"/>
        </patternFill>
      </fill>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rgb="FF000000"/>
          <bgColor rgb="FFE2EFDA"/>
        </patternFill>
      </fill>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rgb="FF000000"/>
          <bgColor rgb="FFE2EFDA"/>
        </patternFill>
      </fill>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theme="9" tint="0.79998168889431442"/>
        </patternFill>
      </fill>
      <border diagonalUp="0" diagonalDown="0">
        <left style="hair">
          <color indexed="64"/>
        </left>
        <right/>
        <top style="hair">
          <color indexed="64"/>
        </top>
        <bottom style="hair">
          <color indexed="64"/>
        </bottom>
        <vertical style="hair">
          <color indexed="64"/>
        </vertical>
        <horizontal style="hair">
          <color indexed="64"/>
        </horizontal>
      </border>
    </dxf>
    <dxf>
      <fill>
        <patternFill patternType="solid">
          <fgColor indexed="64"/>
          <bgColor theme="9" tint="0.79998168889431442"/>
        </patternFill>
      </fill>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theme="9" tint="0.79998168889431442"/>
        </patternFill>
      </fill>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theme="9" tint="0.79998168889431442"/>
        </patternFill>
      </fill>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theme="9" tint="0.79998168889431442"/>
        </patternFill>
      </fill>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theme="9" tint="0.79998168889431442"/>
        </patternFill>
      </fill>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theme="9" tint="0.79998168889431442"/>
        </patternFill>
      </fill>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theme="9" tint="0.79998168889431442"/>
        </patternFill>
      </fill>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theme="9" tint="0.79998168889431442"/>
        </patternFill>
      </fill>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solid">
          <fgColor indexed="64"/>
          <bgColor theme="9" tint="0.79998168889431442"/>
        </patternFill>
      </fill>
      <border diagonalUp="0" diagonalDown="0">
        <left/>
        <right style="hair">
          <color indexed="64"/>
        </right>
        <top style="hair">
          <color indexed="64"/>
        </top>
        <bottom style="hair">
          <color indexed="64"/>
        </bottom>
        <vertical style="hair">
          <color indexed="64"/>
        </vertical>
        <horizontal style="hair">
          <color indexed="64"/>
        </horizontal>
      </border>
    </dxf>
    <dxf>
      <border diagonalUp="0" diagonalDown="0">
        <left style="thin">
          <color rgb="FF000000"/>
        </left>
        <right style="thin">
          <color rgb="FF000000"/>
        </right>
        <top style="thin">
          <color rgb="FF000000"/>
        </top>
        <bottom style="thin">
          <color rgb="FF000000"/>
        </bottom>
      </border>
    </dxf>
    <dxf>
      <fill>
        <patternFill patternType="solid">
          <fgColor rgb="FF000000"/>
          <bgColor rgb="FFE2EFDA"/>
        </patternFill>
      </fill>
    </dxf>
    <dxf>
      <border>
        <bottom style="thin">
          <color rgb="FF000000"/>
        </bottom>
      </border>
    </dxf>
    <dxf>
      <font>
        <b val="0"/>
        <i val="0"/>
        <strike val="0"/>
        <condense val="0"/>
        <extend val="0"/>
        <outline val="0"/>
        <shadow val="0"/>
        <u val="none"/>
        <vertAlign val="baseline"/>
        <sz val="11"/>
        <color theme="1"/>
        <name val="Lato"/>
        <family val="2"/>
        <scheme val="none"/>
      </font>
      <alignment horizontal="left" vertical="center" textRotation="0" wrapText="1" indent="0" justifyLastLine="0" shrinkToFit="0" readingOrder="0"/>
      <border diagonalUp="0" diagonalDown="0">
        <left/>
        <right/>
        <top/>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font>
        <sz val="10"/>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style="hair">
          <color indexed="64"/>
        </bottom>
        <vertical/>
        <horizontal/>
      </border>
    </dxf>
    <dxf>
      <border diagonalUp="0" diagonalDown="0">
        <left style="thin">
          <color rgb="FF000000"/>
        </left>
        <right style="thin">
          <color rgb="FF000000"/>
        </right>
        <top style="thin">
          <color rgb="FF000000"/>
        </top>
        <bottom style="thin">
          <color rgb="FF000000"/>
        </bottom>
      </border>
    </dxf>
    <dxf>
      <font>
        <sz val="10"/>
      </font>
      <fill>
        <patternFill patternType="solid">
          <fgColor rgb="FF000000"/>
          <bgColor rgb="FFE2EFDA"/>
        </patternFill>
      </fill>
      <alignment horizontal="center" vertical="center" textRotation="0" wrapText="0" indent="0" justifyLastLine="0" shrinkToFit="0" readingOrder="0"/>
    </dxf>
    <dxf>
      <border outline="0">
        <bottom style="thin">
          <color rgb="FF000000"/>
        </bottom>
      </border>
    </dxf>
    <dxf>
      <font>
        <b/>
        <i val="0"/>
        <strike val="0"/>
        <condense val="0"/>
        <extend val="0"/>
        <outline val="0"/>
        <shadow val="0"/>
        <u val="none"/>
        <vertAlign val="baseline"/>
        <sz val="10"/>
        <color auto="1"/>
        <name val="Calibri"/>
        <family val="2"/>
        <scheme val="minor"/>
      </font>
      <fill>
        <patternFill patternType="solid">
          <fgColor indexed="64"/>
          <bgColor theme="5"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3" formatCode="#,##0"/>
      <fill>
        <patternFill patternType="solid">
          <fgColor indexed="64"/>
          <bgColor theme="9" tint="0.79998168889431442"/>
        </patternFill>
      </fill>
      <alignment horizontal="center" vertical="center" textRotation="0" wrapText="0" indent="0" justifyLastLine="0" shrinkToFit="0" readingOrder="0"/>
      <border diagonalUp="0" diagonalDown="0">
        <left style="hair">
          <color indexed="64"/>
        </left>
        <right/>
        <top/>
        <bottom/>
        <vertical/>
        <horizontal/>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7" tint="0.79998168889431442"/>
        </patternFill>
      </fill>
      <alignment horizontal="center" vertical="center" textRotation="0" wrapText="0" indent="0" justifyLastLine="0" shrinkToFit="0" readingOrder="0"/>
      <border diagonalUp="0" diagonalDown="0">
        <left style="hair">
          <color indexed="64"/>
        </left>
        <right/>
        <top style="hair">
          <color indexed="64"/>
        </top>
        <bottom/>
        <vertical/>
        <horizontal/>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9" tint="0.79998168889431442"/>
        </patternFill>
      </fill>
      <alignment horizontal="center" vertical="center" textRotation="0" wrapText="0" indent="0" justifyLastLine="0" shrinkToFit="0" readingOrder="0"/>
      <border diagonalUp="0" diagonalDown="0">
        <left style="hair">
          <color indexed="64"/>
        </left>
        <right/>
        <top/>
        <bottom/>
        <vertical/>
        <horizontal/>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9" tint="0.79998168889431442"/>
        </patternFill>
      </fill>
      <alignment horizontal="center" vertical="center" textRotation="0" wrapText="0" indent="0" justifyLastLine="0" shrinkToFit="0" readingOrder="0"/>
      <border diagonalUp="0" diagonalDown="0">
        <left style="hair">
          <color indexed="64"/>
        </left>
        <right/>
        <top/>
        <bottom/>
        <vertical/>
        <horizontal/>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9" tint="0.79998168889431442"/>
        </patternFill>
      </fill>
      <alignment horizontal="center" vertical="center" textRotation="0" wrapText="0" indent="0" justifyLastLine="0" shrinkToFit="0" readingOrder="0"/>
      <border diagonalUp="0" diagonalDown="0">
        <left style="hair">
          <color indexed="64"/>
        </left>
        <right/>
        <top/>
        <bottom/>
        <vertical/>
        <horizontal/>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9" tint="0.79998168889431442"/>
        </patternFill>
      </fill>
      <alignment horizontal="center" vertical="center" textRotation="0" wrapText="0" indent="0" justifyLastLine="0" shrinkToFit="0" readingOrder="0"/>
      <border diagonalUp="0" diagonalDown="0">
        <left style="hair">
          <color indexed="64"/>
        </left>
        <right/>
        <top/>
        <bottom/>
        <vertical/>
        <horizontal/>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9" tint="0.79998168889431442"/>
        </patternFill>
      </fill>
      <alignment horizontal="center" vertical="center" textRotation="0" wrapText="0" indent="0" justifyLastLine="0" shrinkToFit="0" readingOrder="0"/>
      <border diagonalUp="0" diagonalDown="0" outline="0">
        <left/>
        <right/>
        <top style="hair">
          <color indexed="64"/>
        </top>
        <bottom/>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9" tint="0.79998168889431442"/>
        </patternFill>
      </fill>
      <alignment horizontal="left" vertical="center" textRotation="0" wrapText="0" indent="0" justifyLastLine="0" shrinkToFit="0" readingOrder="0"/>
      <border diagonalUp="0" diagonalDown="0" outline="0">
        <left style="hair">
          <color indexed="64"/>
        </left>
        <right/>
        <top style="hair">
          <color indexed="64"/>
        </top>
        <bottom/>
      </border>
    </dxf>
    <dxf>
      <font>
        <b val="0"/>
        <i val="0"/>
        <strike val="0"/>
        <condense val="0"/>
        <extend val="0"/>
        <outline val="0"/>
        <shadow val="0"/>
        <u val="none"/>
        <vertAlign val="baseline"/>
        <sz val="10"/>
        <color theme="1"/>
        <name val="Calibri"/>
        <family val="2"/>
        <scheme val="minor"/>
      </font>
      <numFmt numFmtId="1" formatCode="0"/>
      <fill>
        <patternFill patternType="solid">
          <fgColor indexed="64"/>
          <bgColor theme="9" tint="0.79998168889431442"/>
        </patternFill>
      </fill>
      <alignment horizontal="center" vertical="center" textRotation="0" wrapText="0" indent="0" justifyLastLine="0" shrinkToFit="0" readingOrder="0"/>
      <border diagonalUp="0" diagonalDown="0" outline="0">
        <left style="hair">
          <color indexed="64"/>
        </left>
        <right style="hair">
          <color indexed="64"/>
        </right>
        <top style="hair">
          <color indexed="64"/>
        </top>
        <bottom/>
      </border>
    </dxf>
    <dxf>
      <font>
        <b val="0"/>
        <i val="0"/>
        <strike val="0"/>
        <condense val="0"/>
        <extend val="0"/>
        <outline val="0"/>
        <shadow val="0"/>
        <u val="none"/>
        <vertAlign val="baseline"/>
        <sz val="10"/>
        <color theme="1"/>
        <name val="Calibri"/>
        <family val="2"/>
        <scheme val="minor"/>
      </font>
      <numFmt numFmtId="1" formatCode="0"/>
      <fill>
        <patternFill patternType="solid">
          <fgColor indexed="64"/>
          <bgColor theme="9" tint="0.79998168889431442"/>
        </patternFill>
      </fill>
      <alignment horizontal="center" vertical="center" textRotation="0" wrapText="0" indent="0" justifyLastLine="0" shrinkToFit="0" readingOrder="0"/>
      <border diagonalUp="0" diagonalDown="0">
        <left style="hair">
          <color indexed="64"/>
        </left>
        <right/>
        <top style="hair">
          <color indexed="64"/>
        </top>
        <bottom/>
        <vertical/>
        <horizontal/>
      </border>
    </dxf>
    <dxf>
      <font>
        <b val="0"/>
        <i val="0"/>
        <strike val="0"/>
        <condense val="0"/>
        <extend val="0"/>
        <outline val="0"/>
        <shadow val="0"/>
        <u val="none"/>
        <vertAlign val="baseline"/>
        <sz val="10"/>
        <color theme="1"/>
        <name val="Calibri"/>
        <family val="2"/>
        <scheme val="minor"/>
      </font>
      <numFmt numFmtId="1" formatCode="0"/>
      <fill>
        <patternFill patternType="solid">
          <fgColor indexed="64"/>
          <bgColor theme="9" tint="0.79998168889431442"/>
        </patternFill>
      </fill>
      <alignment horizontal="center" vertical="center" textRotation="0" wrapText="0" indent="0" justifyLastLine="0" shrinkToFit="0" readingOrder="0"/>
      <border diagonalUp="0" diagonalDown="0">
        <left style="hair">
          <color indexed="64"/>
        </left>
        <right/>
        <top style="hair">
          <color indexed="64"/>
        </top>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style="hair">
          <color indexed="64"/>
        </left>
        <right/>
        <top style="hair">
          <color indexed="64"/>
        </top>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border diagonalUp="0" diagonalDown="0">
        <left style="hair">
          <color indexed="64"/>
        </left>
        <right/>
        <top style="hair">
          <color indexed="64"/>
        </top>
        <bottom/>
        <vertical/>
        <horizontal/>
      </border>
    </dxf>
    <dxf>
      <font>
        <b val="0"/>
        <i val="0"/>
        <strike val="0"/>
        <condense val="0"/>
        <extend val="0"/>
        <outline val="0"/>
        <shadow val="0"/>
        <u val="none"/>
        <vertAlign val="baseline"/>
        <sz val="10"/>
        <color theme="1"/>
        <name val="Calibri"/>
        <family val="2"/>
        <scheme val="minor"/>
      </font>
      <numFmt numFmtId="166" formatCode="#,##0.0"/>
      <fill>
        <patternFill patternType="solid">
          <fgColor indexed="64"/>
          <bgColor theme="9"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9" tint="0.79998168889431442"/>
        </patternFill>
      </fill>
      <alignment horizontal="left" vertical="bottom" textRotation="0" wrapText="0" indent="0" justifyLastLine="0" shrinkToFit="0" readingOrder="0"/>
      <border diagonalUp="0" diagonalDown="0">
        <left style="hair">
          <color indexed="64"/>
        </left>
        <right/>
        <top style="hair">
          <color indexed="64"/>
        </top>
        <bottom/>
        <vertical/>
        <horizontal/>
      </border>
    </dxf>
    <dxf>
      <font>
        <b val="0"/>
        <i val="0"/>
        <strike val="0"/>
        <condense val="0"/>
        <extend val="0"/>
        <outline val="0"/>
        <shadow val="0"/>
        <u val="none"/>
        <vertAlign val="baseline"/>
        <sz val="10"/>
        <color theme="1"/>
        <name val="Calibri"/>
        <family val="2"/>
        <scheme val="minor"/>
      </font>
      <fill>
        <patternFill patternType="solid">
          <fgColor indexed="64"/>
          <bgColor theme="9" tint="0.79998168889431442"/>
        </patternFill>
      </fill>
      <alignment horizontal="center" vertical="center" textRotation="0" wrapText="0" indent="0" justifyLastLine="0" shrinkToFit="0" readingOrder="0"/>
      <border diagonalUp="0" diagonalDown="0">
        <left/>
        <right/>
        <top style="hair">
          <color indexed="64"/>
        </top>
        <bottom/>
        <vertical/>
        <horizontal/>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family val="2"/>
        <scheme val="none"/>
      </font>
    </dxf>
    <dxf>
      <border>
        <bottom style="thin">
          <color indexed="64"/>
        </bottom>
      </border>
    </dxf>
    <dxf>
      <font>
        <b/>
        <i val="0"/>
        <strike val="0"/>
        <condense val="0"/>
        <extend val="0"/>
        <outline val="0"/>
        <shadow val="0"/>
        <u val="none"/>
        <vertAlign val="baseline"/>
        <sz val="10"/>
        <color auto="1"/>
        <name val="Calibri"/>
        <family val="2"/>
        <scheme val="minor"/>
      </font>
      <fill>
        <patternFill patternType="solid">
          <fgColor indexed="64"/>
          <bgColor theme="5" tint="0.79998168889431442"/>
        </patternFill>
      </fill>
      <alignment horizontal="general" vertical="center" textRotation="0" wrapText="1" indent="0" justifyLastLine="0" shrinkToFit="0" readingOrder="0"/>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autoTitleDeleted val="1"/>
    <c:plotArea>
      <c:layout>
        <c:manualLayout>
          <c:layoutTarget val="inner"/>
          <c:xMode val="edge"/>
          <c:yMode val="edge"/>
          <c:x val="0.15385526618575474"/>
          <c:y val="3.8785368271123118E-2"/>
          <c:w val="0.80404032723355567"/>
          <c:h val="0.8195869452148693"/>
        </c:manualLayout>
      </c:layout>
      <c:scatterChart>
        <c:scatterStyle val="lineMarker"/>
        <c:varyColors val="0"/>
        <c:ser>
          <c:idx val="0"/>
          <c:order val="0"/>
          <c:tx>
            <c:strRef>
              <c:f>Dashboard!$F$8</c:f>
              <c:strCache>
                <c:ptCount val="1"/>
                <c:pt idx="0">
                  <c:v>HEAT NETWORK</c:v>
                </c:pt>
              </c:strCache>
            </c:strRef>
          </c:tx>
          <c:spPr>
            <a:ln w="25400" cap="rnd">
              <a:noFill/>
              <a:round/>
            </a:ln>
            <a:effectLst/>
          </c:spPr>
          <c:marker>
            <c:symbol val="circle"/>
            <c:size val="5"/>
            <c:spPr>
              <a:solidFill>
                <a:schemeClr val="accent2"/>
              </a:solidFill>
              <a:ln w="9525">
                <a:solidFill>
                  <a:schemeClr val="accent2"/>
                </a:solidFill>
              </a:ln>
              <a:effectLst/>
            </c:spPr>
          </c:marker>
          <c:dLbls>
            <c:dLbl>
              <c:idx val="0"/>
              <c:layout>
                <c:manualLayout>
                  <c:x val="-0.15823557018223161"/>
                  <c:y val="0.23729316373318982"/>
                </c:manualLayout>
              </c:layout>
              <c:tx>
                <c:rich>
                  <a:bodyPr/>
                  <a:lstStyle/>
                  <a:p>
                    <a:fld id="{B1F01278-770B-402A-B212-D65DB14DA191}" type="SERIESNAME">
                      <a:rPr lang="en-US"/>
                      <a:pPr/>
                      <a:t>[SERIES NAME]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032A-4049-8322-0DFA7E89DB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2.5"/>
            <c:spPr>
              <a:noFill/>
              <a:ln w="9525" cap="flat" cmpd="sng" algn="ctr">
                <a:solidFill>
                  <a:schemeClr val="tx1">
                    <a:lumMod val="65000"/>
                    <a:lumOff val="35000"/>
                  </a:schemeClr>
                </a:solidFill>
                <a:round/>
              </a:ln>
              <a:effectLst/>
            </c:spPr>
          </c:errBars>
          <c:errBars>
            <c:errDir val="y"/>
            <c:errBarType val="both"/>
            <c:errValType val="percentage"/>
            <c:noEndCap val="0"/>
            <c:val val="5"/>
            <c:spPr>
              <a:noFill/>
              <a:ln w="9525" cap="flat" cmpd="sng" algn="ctr">
                <a:solidFill>
                  <a:schemeClr val="tx1">
                    <a:lumMod val="65000"/>
                    <a:lumOff val="35000"/>
                  </a:schemeClr>
                </a:solidFill>
                <a:round/>
              </a:ln>
              <a:effectLst/>
            </c:spPr>
          </c:errBars>
          <c:xVal>
            <c:numRef>
              <c:f>Dashboard!$F$24</c:f>
              <c:numCache>
                <c:formatCode>_-* #,##0_-;\-* #,##0_-;_-* "-"??_-;_-@_-</c:formatCode>
                <c:ptCount val="1"/>
                <c:pt idx="0">
                  <c:v>68402.480773757648</c:v>
                </c:pt>
              </c:numCache>
            </c:numRef>
          </c:xVal>
          <c:yVal>
            <c:numRef>
              <c:f>Dashboard!$F$10</c:f>
              <c:numCache>
                <c:formatCode>_-"£"* #,##0_-;\-"£"* #,##0_-;_-"£"* "-"??_-;_-@_-</c:formatCode>
                <c:ptCount val="1"/>
                <c:pt idx="0">
                  <c:v>344747561.45221466</c:v>
                </c:pt>
              </c:numCache>
            </c:numRef>
          </c:yVal>
          <c:smooth val="0"/>
          <c:extLst>
            <c:ext xmlns:c16="http://schemas.microsoft.com/office/drawing/2014/chart" uri="{C3380CC4-5D6E-409C-BE32-E72D297353CC}">
              <c16:uniqueId val="{00000005-032A-4049-8322-0DFA7E89DBFF}"/>
            </c:ext>
          </c:extLst>
        </c:ser>
        <c:ser>
          <c:idx val="1"/>
          <c:order val="1"/>
          <c:tx>
            <c:strRef>
              <c:f>Dashboard!$G$8</c:f>
              <c:strCache>
                <c:ptCount val="1"/>
                <c:pt idx="0">
                  <c:v>COUNTERFACTUAL </c:v>
                </c:pt>
              </c:strCache>
            </c:strRef>
          </c:tx>
          <c:spPr>
            <a:ln w="25400" cap="rnd">
              <a:noFill/>
              <a:round/>
            </a:ln>
            <a:effectLst/>
          </c:spPr>
          <c:marker>
            <c:symbol val="circle"/>
            <c:size val="5"/>
            <c:spPr>
              <a:solidFill>
                <a:schemeClr val="accent2">
                  <a:shade val="86000"/>
                </a:schemeClr>
              </a:solidFill>
              <a:ln w="9525">
                <a:solidFill>
                  <a:schemeClr val="accent2">
                    <a:shade val="86000"/>
                  </a:schemeClr>
                </a:solidFill>
              </a:ln>
              <a:effectLst/>
            </c:spPr>
          </c:marker>
          <c:dLbls>
            <c:dLbl>
              <c:idx val="0"/>
              <c:layout>
                <c:manualLayout>
                  <c:x val="-0.21237857812258013"/>
                  <c:y val="6.4072195711239472E-3"/>
                </c:manualLayout>
              </c:layout>
              <c:tx>
                <c:rich>
                  <a:bodyPr/>
                  <a:lstStyle/>
                  <a:p>
                    <a:fld id="{D65B38A7-C68D-4E57-A29D-80B2A5E2D60C}" type="SERIESNAME">
                      <a:rPr lang="en-US"/>
                      <a:pPr/>
                      <a:t>[SERIES NAME]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032A-4049-8322-0DFA7E89DB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x"/>
            <c:errBarType val="both"/>
            <c:errValType val="percentage"/>
            <c:noEndCap val="0"/>
            <c:val val="2.5"/>
            <c:spPr>
              <a:noFill/>
              <a:ln w="9525" cap="flat" cmpd="sng" algn="ctr">
                <a:solidFill>
                  <a:schemeClr val="tx1">
                    <a:lumMod val="65000"/>
                    <a:lumOff val="35000"/>
                  </a:schemeClr>
                </a:solidFill>
                <a:round/>
              </a:ln>
              <a:effectLst/>
            </c:spPr>
          </c:errBars>
          <c:errBars>
            <c:errDir val="y"/>
            <c:errBarType val="both"/>
            <c:errValType val="percentage"/>
            <c:noEndCap val="0"/>
            <c:val val="5"/>
            <c:spPr>
              <a:noFill/>
              <a:ln w="9525" cap="flat" cmpd="sng" algn="ctr">
                <a:solidFill>
                  <a:schemeClr val="tx1">
                    <a:lumMod val="65000"/>
                    <a:lumOff val="35000"/>
                  </a:schemeClr>
                </a:solidFill>
                <a:round/>
              </a:ln>
              <a:effectLst/>
            </c:spPr>
          </c:errBars>
          <c:xVal>
            <c:numRef>
              <c:f>Dashboard!$G$24</c:f>
              <c:numCache>
                <c:formatCode>_-* #,##0_-;\-* #,##0_-;_-* "-"??_-;_-@_-</c:formatCode>
                <c:ptCount val="1"/>
                <c:pt idx="0">
                  <c:v>67940.53452860855</c:v>
                </c:pt>
              </c:numCache>
            </c:numRef>
          </c:xVal>
          <c:yVal>
            <c:numRef>
              <c:f>Dashboard!$G$10</c:f>
              <c:numCache>
                <c:formatCode>_-"£"* #,##0_-;\-"£"* #,##0_-;_-"£"* "-"??_-;_-@_-</c:formatCode>
                <c:ptCount val="1"/>
                <c:pt idx="0">
                  <c:v>349926830.87569857</c:v>
                </c:pt>
              </c:numCache>
            </c:numRef>
          </c:yVal>
          <c:smooth val="0"/>
          <c:extLst>
            <c:ext xmlns:c16="http://schemas.microsoft.com/office/drawing/2014/chart" uri="{C3380CC4-5D6E-409C-BE32-E72D297353CC}">
              <c16:uniqueId val="{00000006-032A-4049-8322-0DFA7E89DBFF}"/>
            </c:ext>
          </c:extLst>
        </c:ser>
        <c:dLbls>
          <c:showLegendKey val="0"/>
          <c:showVal val="0"/>
          <c:showCatName val="0"/>
          <c:showSerName val="0"/>
          <c:showPercent val="0"/>
          <c:showBubbleSize val="0"/>
        </c:dLbls>
        <c:axId val="81080176"/>
        <c:axId val="81082672"/>
      </c:scatterChart>
      <c:valAx>
        <c:axId val="81080176"/>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sz="1050"/>
                  <a:t>Carbon</a:t>
                </a:r>
                <a:r>
                  <a:rPr lang="en-GB" sz="1050" baseline="0"/>
                  <a:t> emitted, tCO2e</a:t>
                </a:r>
                <a:endParaRPr lang="en-GB" sz="1050"/>
              </a:p>
            </c:rich>
          </c:tx>
          <c:layout>
            <c:manualLayout>
              <c:xMode val="edge"/>
              <c:yMode val="edge"/>
              <c:x val="0.45132956689265996"/>
              <c:y val="0.93443693489523005"/>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82672"/>
        <c:crosses val="autoZero"/>
        <c:crossBetween val="midCat"/>
      </c:valAx>
      <c:valAx>
        <c:axId val="810826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sz="1050"/>
                  <a:t>Net</a:t>
                </a:r>
                <a:r>
                  <a:rPr lang="en-GB" sz="1050" baseline="0"/>
                  <a:t> present cost</a:t>
                </a:r>
                <a:endParaRPr lang="en-GB" sz="1050"/>
              </a:p>
            </c:rich>
          </c:tx>
          <c:layout>
            <c:manualLayout>
              <c:xMode val="edge"/>
              <c:yMode val="edge"/>
              <c:x val="5.518051502303472E-4"/>
              <c:y val="0.29956454924999659"/>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_-&quot;£&quot;* #,##0_-;\-&quot;£&quot;* #,##0_-;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801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NPC - Net Present Cost</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384086343413323"/>
          <c:y val="0.11821485709582029"/>
          <c:w val="0.8447701938735922"/>
          <c:h val="0.72001894609169403"/>
        </c:manualLayout>
      </c:layout>
      <c:lineChart>
        <c:grouping val="standard"/>
        <c:varyColors val="0"/>
        <c:ser>
          <c:idx val="0"/>
          <c:order val="0"/>
          <c:tx>
            <c:strRef>
              <c:f>'Financial Analysis'!$B$114</c:f>
              <c:strCache>
                <c:ptCount val="1"/>
                <c:pt idx="0">
                  <c:v>Heat network</c:v>
                </c:pt>
              </c:strCache>
            </c:strRef>
          </c:tx>
          <c:spPr>
            <a:ln w="28575" cap="rnd">
              <a:solidFill>
                <a:schemeClr val="accent1"/>
              </a:solidFill>
              <a:round/>
            </a:ln>
            <a:effectLst/>
          </c:spPr>
          <c:marker>
            <c:symbol val="none"/>
          </c:marker>
          <c:cat>
            <c:numRef>
              <c:f>CO2e!$C$21:$AQ$21</c:f>
              <c:numCache>
                <c:formatCode>General</c:formatCode>
                <c:ptCount val="41"/>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numCache>
            </c:numRef>
          </c:cat>
          <c:val>
            <c:numRef>
              <c:f>'Financial Analysis'!$D$115:$AR$115</c:f>
              <c:numCache>
                <c:formatCode>_-"£"* #,##0_-;\-"£"* #,##0_-;_-"£"* "-"??_-;_-@_-</c:formatCode>
                <c:ptCount val="41"/>
                <c:pt idx="0" formatCode="_-[$£-809]* #,##0_-;\-[$£-809]* #,##0_-;_-[$£-809]* &quot;-&quot;??_-;_-@_-">
                  <c:v>65210622.489293784</c:v>
                </c:pt>
                <c:pt idx="1">
                  <c:v>78446826.918943793</c:v>
                </c:pt>
                <c:pt idx="2">
                  <c:v>91531545.613728657</c:v>
                </c:pt>
                <c:pt idx="3">
                  <c:v>104560532.35343517</c:v>
                </c:pt>
                <c:pt idx="4">
                  <c:v>117670519.50561818</c:v>
                </c:pt>
                <c:pt idx="5">
                  <c:v>130816493.33405374</c:v>
                </c:pt>
                <c:pt idx="6">
                  <c:v>143870846.2558001</c:v>
                </c:pt>
                <c:pt idx="7">
                  <c:v>156781743.20419142</c:v>
                </c:pt>
                <c:pt idx="8">
                  <c:v>169560851.91549137</c:v>
                </c:pt>
                <c:pt idx="9">
                  <c:v>182280536.40269691</c:v>
                </c:pt>
                <c:pt idx="10">
                  <c:v>194959797.98883221</c:v>
                </c:pt>
                <c:pt idx="11">
                  <c:v>207554591.58672705</c:v>
                </c:pt>
                <c:pt idx="12">
                  <c:v>220196009.87359634</c:v>
                </c:pt>
                <c:pt idx="13">
                  <c:v>232811346.74443823</c:v>
                </c:pt>
                <c:pt idx="14">
                  <c:v>245370932.97619149</c:v>
                </c:pt>
                <c:pt idx="15">
                  <c:v>257930519.20794475</c:v>
                </c:pt>
                <c:pt idx="16">
                  <c:v>270490105.43969798</c:v>
                </c:pt>
                <c:pt idx="17">
                  <c:v>283049691.67145121</c:v>
                </c:pt>
                <c:pt idx="18">
                  <c:v>295609277.90320444</c:v>
                </c:pt>
                <c:pt idx="19">
                  <c:v>308168864.13495767</c:v>
                </c:pt>
                <c:pt idx="20">
                  <c:v>320728450.3667109</c:v>
                </c:pt>
                <c:pt idx="21">
                  <c:v>333288036.59846413</c:v>
                </c:pt>
                <c:pt idx="22">
                  <c:v>345847622.83021736</c:v>
                </c:pt>
                <c:pt idx="23">
                  <c:v>358407209.06197059</c:v>
                </c:pt>
                <c:pt idx="24">
                  <c:v>370966795.29372382</c:v>
                </c:pt>
                <c:pt idx="25">
                  <c:v>383526381.52547705</c:v>
                </c:pt>
                <c:pt idx="26">
                  <c:v>396085967.75723028</c:v>
                </c:pt>
                <c:pt idx="27">
                  <c:v>408645553.98898351</c:v>
                </c:pt>
                <c:pt idx="28">
                  <c:v>421205140.22073674</c:v>
                </c:pt>
                <c:pt idx="29">
                  <c:v>433764726.45248997</c:v>
                </c:pt>
                <c:pt idx="30">
                  <c:v>446324312.6842432</c:v>
                </c:pt>
                <c:pt idx="31">
                  <c:v>458883898.91599643</c:v>
                </c:pt>
                <c:pt idx="32">
                  <c:v>471443485.14774966</c:v>
                </c:pt>
                <c:pt idx="33">
                  <c:v>484003071.37950289</c:v>
                </c:pt>
                <c:pt idx="34">
                  <c:v>496562657.61125612</c:v>
                </c:pt>
                <c:pt idx="35">
                  <c:v>509122243.84300935</c:v>
                </c:pt>
                <c:pt idx="36">
                  <c:v>521681830.07476258</c:v>
                </c:pt>
                <c:pt idx="37">
                  <c:v>534241416.30651581</c:v>
                </c:pt>
                <c:pt idx="38">
                  <c:v>546801002.53826904</c:v>
                </c:pt>
                <c:pt idx="39">
                  <c:v>559360588.77002227</c:v>
                </c:pt>
                <c:pt idx="40">
                  <c:v>571920175.0017755</c:v>
                </c:pt>
              </c:numCache>
            </c:numRef>
          </c:val>
          <c:smooth val="0"/>
          <c:extLst>
            <c:ext xmlns:c16="http://schemas.microsoft.com/office/drawing/2014/chart" uri="{C3380CC4-5D6E-409C-BE32-E72D297353CC}">
              <c16:uniqueId val="{00000000-1D45-465F-AB59-0D280F57DBFE}"/>
            </c:ext>
          </c:extLst>
        </c:ser>
        <c:ser>
          <c:idx val="1"/>
          <c:order val="1"/>
          <c:tx>
            <c:strRef>
              <c:f>'Financial Analysis'!$B$118</c:f>
              <c:strCache>
                <c:ptCount val="1"/>
                <c:pt idx="0">
                  <c:v>Counterfactual </c:v>
                </c:pt>
              </c:strCache>
            </c:strRef>
          </c:tx>
          <c:spPr>
            <a:ln w="28575" cap="rnd">
              <a:solidFill>
                <a:schemeClr val="accent2"/>
              </a:solidFill>
              <a:round/>
            </a:ln>
            <a:effectLst/>
          </c:spPr>
          <c:marker>
            <c:symbol val="none"/>
          </c:marker>
          <c:cat>
            <c:numRef>
              <c:f>CO2e!$C$21:$AQ$21</c:f>
              <c:numCache>
                <c:formatCode>General</c:formatCode>
                <c:ptCount val="41"/>
                <c:pt idx="0">
                  <c:v>2026</c:v>
                </c:pt>
                <c:pt idx="1">
                  <c:v>2027</c:v>
                </c:pt>
                <c:pt idx="2">
                  <c:v>2028</c:v>
                </c:pt>
                <c:pt idx="3">
                  <c:v>2029</c:v>
                </c:pt>
                <c:pt idx="4">
                  <c:v>2030</c:v>
                </c:pt>
                <c:pt idx="5">
                  <c:v>2031</c:v>
                </c:pt>
                <c:pt idx="6">
                  <c:v>2032</c:v>
                </c:pt>
                <c:pt idx="7">
                  <c:v>2033</c:v>
                </c:pt>
                <c:pt idx="8">
                  <c:v>2034</c:v>
                </c:pt>
                <c:pt idx="9">
                  <c:v>2035</c:v>
                </c:pt>
                <c:pt idx="10">
                  <c:v>2036</c:v>
                </c:pt>
                <c:pt idx="11">
                  <c:v>2037</c:v>
                </c:pt>
                <c:pt idx="12">
                  <c:v>2038</c:v>
                </c:pt>
                <c:pt idx="13">
                  <c:v>2039</c:v>
                </c:pt>
                <c:pt idx="14">
                  <c:v>2040</c:v>
                </c:pt>
                <c:pt idx="15">
                  <c:v>2041</c:v>
                </c:pt>
                <c:pt idx="16">
                  <c:v>2042</c:v>
                </c:pt>
                <c:pt idx="17">
                  <c:v>2043</c:v>
                </c:pt>
                <c:pt idx="18">
                  <c:v>2044</c:v>
                </c:pt>
                <c:pt idx="19">
                  <c:v>2045</c:v>
                </c:pt>
                <c:pt idx="20">
                  <c:v>2046</c:v>
                </c:pt>
                <c:pt idx="21">
                  <c:v>2047</c:v>
                </c:pt>
                <c:pt idx="22">
                  <c:v>2048</c:v>
                </c:pt>
                <c:pt idx="23">
                  <c:v>2049</c:v>
                </c:pt>
                <c:pt idx="24">
                  <c:v>2050</c:v>
                </c:pt>
                <c:pt idx="25">
                  <c:v>2051</c:v>
                </c:pt>
                <c:pt idx="26">
                  <c:v>2052</c:v>
                </c:pt>
                <c:pt idx="27">
                  <c:v>2053</c:v>
                </c:pt>
                <c:pt idx="28">
                  <c:v>2054</c:v>
                </c:pt>
                <c:pt idx="29">
                  <c:v>2055</c:v>
                </c:pt>
                <c:pt idx="30">
                  <c:v>2056</c:v>
                </c:pt>
                <c:pt idx="31">
                  <c:v>2057</c:v>
                </c:pt>
                <c:pt idx="32">
                  <c:v>2058</c:v>
                </c:pt>
                <c:pt idx="33">
                  <c:v>2059</c:v>
                </c:pt>
                <c:pt idx="34">
                  <c:v>2060</c:v>
                </c:pt>
                <c:pt idx="35">
                  <c:v>2061</c:v>
                </c:pt>
                <c:pt idx="36">
                  <c:v>2062</c:v>
                </c:pt>
                <c:pt idx="37">
                  <c:v>2063</c:v>
                </c:pt>
                <c:pt idx="38">
                  <c:v>2064</c:v>
                </c:pt>
                <c:pt idx="39">
                  <c:v>2065</c:v>
                </c:pt>
                <c:pt idx="40">
                  <c:v>2066</c:v>
                </c:pt>
              </c:numCache>
            </c:numRef>
          </c:cat>
          <c:val>
            <c:numRef>
              <c:f>'Financial Analysis'!$D$119:$AR$119</c:f>
              <c:numCache>
                <c:formatCode>_-"£"* #,##0_-;\-"£"* #,##0_-;_-"£"* "-"??_-;_-@_-</c:formatCode>
                <c:ptCount val="41"/>
                <c:pt idx="0">
                  <c:v>62984348.098999985</c:v>
                </c:pt>
                <c:pt idx="1">
                  <c:v>78538679.889495373</c:v>
                </c:pt>
                <c:pt idx="2">
                  <c:v>94093011.679990754</c:v>
                </c:pt>
                <c:pt idx="3">
                  <c:v>109647343.47048613</c:v>
                </c:pt>
                <c:pt idx="4">
                  <c:v>125201675.26098152</c:v>
                </c:pt>
                <c:pt idx="5">
                  <c:v>140756007.0514769</c:v>
                </c:pt>
                <c:pt idx="6">
                  <c:v>156310338.84197229</c:v>
                </c:pt>
                <c:pt idx="7">
                  <c:v>171864670.63246769</c:v>
                </c:pt>
                <c:pt idx="8">
                  <c:v>187419002.42296308</c:v>
                </c:pt>
                <c:pt idx="9">
                  <c:v>202973334.21345848</c:v>
                </c:pt>
                <c:pt idx="10">
                  <c:v>218527666.00395387</c:v>
                </c:pt>
                <c:pt idx="11">
                  <c:v>234081997.79444927</c:v>
                </c:pt>
                <c:pt idx="12">
                  <c:v>249636329.58494467</c:v>
                </c:pt>
                <c:pt idx="13">
                  <c:v>265190661.37544006</c:v>
                </c:pt>
                <c:pt idx="14">
                  <c:v>280744993.16593546</c:v>
                </c:pt>
                <c:pt idx="15">
                  <c:v>296299324.95643085</c:v>
                </c:pt>
                <c:pt idx="16">
                  <c:v>311853656.74692625</c:v>
                </c:pt>
                <c:pt idx="17">
                  <c:v>327407988.53742164</c:v>
                </c:pt>
                <c:pt idx="18">
                  <c:v>342962320.32791704</c:v>
                </c:pt>
                <c:pt idx="19">
                  <c:v>358516652.11841244</c:v>
                </c:pt>
                <c:pt idx="20">
                  <c:v>374070983.90890783</c:v>
                </c:pt>
                <c:pt idx="21">
                  <c:v>389625315.69940323</c:v>
                </c:pt>
                <c:pt idx="22">
                  <c:v>405179647.48989862</c:v>
                </c:pt>
                <c:pt idx="23">
                  <c:v>420733979.28039402</c:v>
                </c:pt>
                <c:pt idx="24">
                  <c:v>436288311.07088941</c:v>
                </c:pt>
                <c:pt idx="25">
                  <c:v>451842642.86138481</c:v>
                </c:pt>
                <c:pt idx="26">
                  <c:v>467396974.6518802</c:v>
                </c:pt>
                <c:pt idx="27">
                  <c:v>482951306.4423756</c:v>
                </c:pt>
                <c:pt idx="28">
                  <c:v>498505638.232871</c:v>
                </c:pt>
                <c:pt idx="29">
                  <c:v>514059970.02336639</c:v>
                </c:pt>
                <c:pt idx="30">
                  <c:v>529614301.81386179</c:v>
                </c:pt>
                <c:pt idx="31">
                  <c:v>545168633.60435712</c:v>
                </c:pt>
                <c:pt idx="32">
                  <c:v>560722965.39485252</c:v>
                </c:pt>
                <c:pt idx="33">
                  <c:v>576277297.18534791</c:v>
                </c:pt>
                <c:pt idx="34">
                  <c:v>591831628.97584331</c:v>
                </c:pt>
                <c:pt idx="35">
                  <c:v>607385960.76633871</c:v>
                </c:pt>
                <c:pt idx="36">
                  <c:v>622940292.5568341</c:v>
                </c:pt>
                <c:pt idx="37">
                  <c:v>638494624.3473295</c:v>
                </c:pt>
                <c:pt idx="38">
                  <c:v>654048956.13782489</c:v>
                </c:pt>
                <c:pt idx="39">
                  <c:v>669603287.92832029</c:v>
                </c:pt>
                <c:pt idx="40">
                  <c:v>685157619.71881568</c:v>
                </c:pt>
              </c:numCache>
            </c:numRef>
          </c:val>
          <c:smooth val="0"/>
          <c:extLst>
            <c:ext xmlns:c16="http://schemas.microsoft.com/office/drawing/2014/chart" uri="{C3380CC4-5D6E-409C-BE32-E72D297353CC}">
              <c16:uniqueId val="{00000002-1D45-465F-AB59-0D280F57DBFE}"/>
            </c:ext>
          </c:extLst>
        </c:ser>
        <c:dLbls>
          <c:showLegendKey val="0"/>
          <c:showVal val="0"/>
          <c:showCatName val="0"/>
          <c:showSerName val="0"/>
          <c:showPercent val="0"/>
          <c:showBubbleSize val="0"/>
        </c:dLbls>
        <c:smooth val="0"/>
        <c:axId val="1704630447"/>
        <c:axId val="1704637935"/>
        <c:extLst/>
      </c:lineChart>
      <c:catAx>
        <c:axId val="1704630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637935"/>
        <c:crosses val="autoZero"/>
        <c:auto val="1"/>
        <c:lblAlgn val="ctr"/>
        <c:lblOffset val="100"/>
        <c:noMultiLvlLbl val="0"/>
      </c:catAx>
      <c:valAx>
        <c:axId val="1704637935"/>
        <c:scaling>
          <c:orientation val="minMax"/>
        </c:scaling>
        <c:delete val="0"/>
        <c:axPos val="l"/>
        <c:majorGridlines>
          <c:spPr>
            <a:ln w="9525" cap="flat" cmpd="sng" algn="ctr">
              <a:solidFill>
                <a:schemeClr val="tx1">
                  <a:lumMod val="15000"/>
                  <a:lumOff val="85000"/>
                </a:schemeClr>
              </a:solidFill>
              <a:round/>
            </a:ln>
            <a:effectLst/>
          </c:spPr>
        </c:majorGridlines>
        <c:numFmt formatCode="_-[$£-809]* #,##0_-;\-[$£-809]* #,##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630447"/>
        <c:crosses val="autoZero"/>
        <c:crossBetween val="between"/>
      </c:valAx>
      <c:spPr>
        <a:noFill/>
        <a:ln>
          <a:noFill/>
        </a:ln>
        <a:effectLst/>
      </c:spPr>
    </c:plotArea>
    <c:legend>
      <c:legendPos val="b"/>
      <c:layout>
        <c:manualLayout>
          <c:xMode val="edge"/>
          <c:yMode val="edge"/>
          <c:x val="6.8926916016588471E-2"/>
          <c:y val="0.92192737899616017"/>
          <c:w val="0.93107308398341149"/>
          <c:h val="5.48503928206514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 lastClr="FFFFFF"/>
      </a:solidFill>
      <a:round/>
    </a:ln>
    <a:effectLst/>
  </c:spPr>
  <c:txPr>
    <a:bodyPr/>
    <a:lstStyle/>
    <a:p>
      <a:pPr>
        <a:defRPr sz="1200"/>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GB"/>
              <a:t>Tonnes of carbon emissions</a:t>
            </a:r>
          </a:p>
        </c:rich>
      </c:tx>
      <c:layout>
        <c:manualLayout>
          <c:xMode val="edge"/>
          <c:yMode val="edge"/>
          <c:x val="0.35777403825701759"/>
          <c:y val="2.2447775439501248E-2"/>
        </c:manualLayout>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3179109484194889E-2"/>
          <c:y val="9.7448563194682813E-2"/>
          <c:w val="0.88096542864973459"/>
          <c:h val="0.73139346448911235"/>
        </c:manualLayout>
      </c:layout>
      <c:lineChart>
        <c:grouping val="standard"/>
        <c:varyColors val="0"/>
        <c:ser>
          <c:idx val="2"/>
          <c:order val="1"/>
          <c:tx>
            <c:v>Total heat network emissions, tCO2</c:v>
          </c:tx>
          <c:spPr>
            <a:ln w="28575" cap="rnd">
              <a:solidFill>
                <a:schemeClr val="accent3"/>
              </a:solidFill>
              <a:round/>
            </a:ln>
            <a:effectLst/>
          </c:spPr>
          <c:marker>
            <c:symbol val="none"/>
          </c:marker>
          <c:cat>
            <c:numRef>
              <c:f>CO2e!$D$21:$AQ$21</c:f>
              <c:numCache>
                <c:formatCode>General</c:formatCode>
                <c:ptCount val="40"/>
                <c:pt idx="0">
                  <c:v>2027</c:v>
                </c:pt>
                <c:pt idx="1">
                  <c:v>2028</c:v>
                </c:pt>
                <c:pt idx="2">
                  <c:v>2029</c:v>
                </c:pt>
                <c:pt idx="3">
                  <c:v>2030</c:v>
                </c:pt>
                <c:pt idx="4">
                  <c:v>2031</c:v>
                </c:pt>
                <c:pt idx="5">
                  <c:v>2032</c:v>
                </c:pt>
                <c:pt idx="6">
                  <c:v>2033</c:v>
                </c:pt>
                <c:pt idx="7">
                  <c:v>2034</c:v>
                </c:pt>
                <c:pt idx="8">
                  <c:v>2035</c:v>
                </c:pt>
                <c:pt idx="9">
                  <c:v>2036</c:v>
                </c:pt>
                <c:pt idx="10">
                  <c:v>2037</c:v>
                </c:pt>
                <c:pt idx="11">
                  <c:v>2038</c:v>
                </c:pt>
                <c:pt idx="12">
                  <c:v>2039</c:v>
                </c:pt>
                <c:pt idx="13">
                  <c:v>2040</c:v>
                </c:pt>
                <c:pt idx="14">
                  <c:v>2041</c:v>
                </c:pt>
                <c:pt idx="15">
                  <c:v>2042</c:v>
                </c:pt>
                <c:pt idx="16">
                  <c:v>2043</c:v>
                </c:pt>
                <c:pt idx="17">
                  <c:v>2044</c:v>
                </c:pt>
                <c:pt idx="18">
                  <c:v>2045</c:v>
                </c:pt>
                <c:pt idx="19">
                  <c:v>2046</c:v>
                </c:pt>
                <c:pt idx="20">
                  <c:v>2047</c:v>
                </c:pt>
                <c:pt idx="21">
                  <c:v>2048</c:v>
                </c:pt>
                <c:pt idx="22">
                  <c:v>2049</c:v>
                </c:pt>
                <c:pt idx="23">
                  <c:v>2050</c:v>
                </c:pt>
                <c:pt idx="24">
                  <c:v>2051</c:v>
                </c:pt>
                <c:pt idx="25">
                  <c:v>2052</c:v>
                </c:pt>
                <c:pt idx="26">
                  <c:v>2053</c:v>
                </c:pt>
                <c:pt idx="27">
                  <c:v>2054</c:v>
                </c:pt>
                <c:pt idx="28">
                  <c:v>2055</c:v>
                </c:pt>
                <c:pt idx="29">
                  <c:v>2056</c:v>
                </c:pt>
                <c:pt idx="30">
                  <c:v>2057</c:v>
                </c:pt>
                <c:pt idx="31">
                  <c:v>2058</c:v>
                </c:pt>
                <c:pt idx="32">
                  <c:v>2059</c:v>
                </c:pt>
                <c:pt idx="33">
                  <c:v>2060</c:v>
                </c:pt>
                <c:pt idx="34">
                  <c:v>2061</c:v>
                </c:pt>
                <c:pt idx="35">
                  <c:v>2062</c:v>
                </c:pt>
                <c:pt idx="36">
                  <c:v>2063</c:v>
                </c:pt>
                <c:pt idx="37">
                  <c:v>2064</c:v>
                </c:pt>
                <c:pt idx="38">
                  <c:v>2065</c:v>
                </c:pt>
                <c:pt idx="39">
                  <c:v>2066</c:v>
                </c:pt>
              </c:numCache>
            </c:numRef>
          </c:cat>
          <c:val>
            <c:numRef>
              <c:f>CO2e!$D$38:$AQ$38</c:f>
              <c:numCache>
                <c:formatCode>_-* #,##0_-;\-* #,##0_-;_-* "-"??_-;_-@_-</c:formatCode>
                <c:ptCount val="40"/>
                <c:pt idx="0">
                  <c:v>9724.1616213131947</c:v>
                </c:pt>
                <c:pt idx="1">
                  <c:v>8758.0966656282362</c:v>
                </c:pt>
                <c:pt idx="2">
                  <c:v>7737.1979359632887</c:v>
                </c:pt>
                <c:pt idx="3">
                  <c:v>6658.3530714453227</c:v>
                </c:pt>
                <c:pt idx="4">
                  <c:v>5387.321964848632</c:v>
                </c:pt>
                <c:pt idx="5">
                  <c:v>4358.9214392081612</c:v>
                </c:pt>
                <c:pt idx="6">
                  <c:v>3526.8350837691942</c:v>
                </c:pt>
                <c:pt idx="7">
                  <c:v>2853.5879532540603</c:v>
                </c:pt>
                <c:pt idx="8">
                  <c:v>2308.8587964975554</c:v>
                </c:pt>
                <c:pt idx="9">
                  <c:v>1868.1144683433301</c:v>
                </c:pt>
                <c:pt idx="10">
                  <c:v>1511.5050223632754</c:v>
                </c:pt>
                <c:pt idx="11">
                  <c:v>1222.9697223294156</c:v>
                </c:pt>
                <c:pt idx="12">
                  <c:v>989.51370958463258</c:v>
                </c:pt>
                <c:pt idx="13">
                  <c:v>800.62274934407787</c:v>
                </c:pt>
                <c:pt idx="14">
                  <c:v>664.62768979238103</c:v>
                </c:pt>
                <c:pt idx="15">
                  <c:v>630.7417716083437</c:v>
                </c:pt>
                <c:pt idx="16">
                  <c:v>617.86416639067124</c:v>
                </c:pt>
                <c:pt idx="17">
                  <c:v>580.72983719411741</c:v>
                </c:pt>
                <c:pt idx="18">
                  <c:v>493.17432010999465</c:v>
                </c:pt>
                <c:pt idx="19">
                  <c:v>447.76086507999707</c:v>
                </c:pt>
                <c:pt idx="20">
                  <c:v>412.8543285949379</c:v>
                </c:pt>
                <c:pt idx="21">
                  <c:v>391.84165903505129</c:v>
                </c:pt>
                <c:pt idx="22">
                  <c:v>364.62471912771332</c:v>
                </c:pt>
                <c:pt idx="23">
                  <c:v>358.36477723130042</c:v>
                </c:pt>
                <c:pt idx="24">
                  <c:v>358.36477723130042</c:v>
                </c:pt>
                <c:pt idx="25">
                  <c:v>358.36477723130042</c:v>
                </c:pt>
                <c:pt idx="26">
                  <c:v>358.36477723130042</c:v>
                </c:pt>
                <c:pt idx="27">
                  <c:v>358.36477723130042</c:v>
                </c:pt>
                <c:pt idx="28">
                  <c:v>358.36477723130042</c:v>
                </c:pt>
                <c:pt idx="29">
                  <c:v>358.36477723130042</c:v>
                </c:pt>
                <c:pt idx="30">
                  <c:v>358.36477723130042</c:v>
                </c:pt>
                <c:pt idx="31">
                  <c:v>358.36477723130042</c:v>
                </c:pt>
                <c:pt idx="32">
                  <c:v>358.36477723130042</c:v>
                </c:pt>
                <c:pt idx="33">
                  <c:v>358.36477723130042</c:v>
                </c:pt>
                <c:pt idx="34">
                  <c:v>358.36477723130042</c:v>
                </c:pt>
                <c:pt idx="35">
                  <c:v>358.36477723130042</c:v>
                </c:pt>
                <c:pt idx="36">
                  <c:v>358.36477723130042</c:v>
                </c:pt>
                <c:pt idx="37">
                  <c:v>358.36477723130042</c:v>
                </c:pt>
                <c:pt idx="38">
                  <c:v>358.36477723130042</c:v>
                </c:pt>
                <c:pt idx="39">
                  <c:v>358.36477723130042</c:v>
                </c:pt>
              </c:numCache>
            </c:numRef>
          </c:val>
          <c:smooth val="0"/>
          <c:extLst>
            <c:ext xmlns:c16="http://schemas.microsoft.com/office/drawing/2014/chart" uri="{C3380CC4-5D6E-409C-BE32-E72D297353CC}">
              <c16:uniqueId val="{00000001-96BB-4319-8E59-99D1DE2C7679}"/>
            </c:ext>
          </c:extLst>
        </c:ser>
        <c:ser>
          <c:idx val="1"/>
          <c:order val="2"/>
          <c:tx>
            <c:v>Counterfactual emissions, tCO2</c:v>
          </c:tx>
          <c:spPr>
            <a:ln w="28575" cap="rnd">
              <a:solidFill>
                <a:schemeClr val="accent2"/>
              </a:solidFill>
              <a:round/>
            </a:ln>
            <a:effectLst/>
          </c:spPr>
          <c:marker>
            <c:symbol val="none"/>
          </c:marker>
          <c:cat>
            <c:numRef>
              <c:f>CO2e!$D$21:$AQ$21</c:f>
              <c:numCache>
                <c:formatCode>General</c:formatCode>
                <c:ptCount val="40"/>
                <c:pt idx="0">
                  <c:v>2027</c:v>
                </c:pt>
                <c:pt idx="1">
                  <c:v>2028</c:v>
                </c:pt>
                <c:pt idx="2">
                  <c:v>2029</c:v>
                </c:pt>
                <c:pt idx="3">
                  <c:v>2030</c:v>
                </c:pt>
                <c:pt idx="4">
                  <c:v>2031</c:v>
                </c:pt>
                <c:pt idx="5">
                  <c:v>2032</c:v>
                </c:pt>
                <c:pt idx="6">
                  <c:v>2033</c:v>
                </c:pt>
                <c:pt idx="7">
                  <c:v>2034</c:v>
                </c:pt>
                <c:pt idx="8">
                  <c:v>2035</c:v>
                </c:pt>
                <c:pt idx="9">
                  <c:v>2036</c:v>
                </c:pt>
                <c:pt idx="10">
                  <c:v>2037</c:v>
                </c:pt>
                <c:pt idx="11">
                  <c:v>2038</c:v>
                </c:pt>
                <c:pt idx="12">
                  <c:v>2039</c:v>
                </c:pt>
                <c:pt idx="13">
                  <c:v>2040</c:v>
                </c:pt>
                <c:pt idx="14">
                  <c:v>2041</c:v>
                </c:pt>
                <c:pt idx="15">
                  <c:v>2042</c:v>
                </c:pt>
                <c:pt idx="16">
                  <c:v>2043</c:v>
                </c:pt>
                <c:pt idx="17">
                  <c:v>2044</c:v>
                </c:pt>
                <c:pt idx="18">
                  <c:v>2045</c:v>
                </c:pt>
                <c:pt idx="19">
                  <c:v>2046</c:v>
                </c:pt>
                <c:pt idx="20">
                  <c:v>2047</c:v>
                </c:pt>
                <c:pt idx="21">
                  <c:v>2048</c:v>
                </c:pt>
                <c:pt idx="22">
                  <c:v>2049</c:v>
                </c:pt>
                <c:pt idx="23">
                  <c:v>2050</c:v>
                </c:pt>
                <c:pt idx="24">
                  <c:v>2051</c:v>
                </c:pt>
                <c:pt idx="25">
                  <c:v>2052</c:v>
                </c:pt>
                <c:pt idx="26">
                  <c:v>2053</c:v>
                </c:pt>
                <c:pt idx="27">
                  <c:v>2054</c:v>
                </c:pt>
                <c:pt idx="28">
                  <c:v>2055</c:v>
                </c:pt>
                <c:pt idx="29">
                  <c:v>2056</c:v>
                </c:pt>
                <c:pt idx="30">
                  <c:v>2057</c:v>
                </c:pt>
                <c:pt idx="31">
                  <c:v>2058</c:v>
                </c:pt>
                <c:pt idx="32">
                  <c:v>2059</c:v>
                </c:pt>
                <c:pt idx="33">
                  <c:v>2060</c:v>
                </c:pt>
                <c:pt idx="34">
                  <c:v>2061</c:v>
                </c:pt>
                <c:pt idx="35">
                  <c:v>2062</c:v>
                </c:pt>
                <c:pt idx="36">
                  <c:v>2063</c:v>
                </c:pt>
                <c:pt idx="37">
                  <c:v>2064</c:v>
                </c:pt>
                <c:pt idx="38">
                  <c:v>2065</c:v>
                </c:pt>
                <c:pt idx="39">
                  <c:v>2066</c:v>
                </c:pt>
              </c:numCache>
            </c:numRef>
          </c:cat>
          <c:val>
            <c:numRef>
              <c:f>CO2e!$D$55:$AQ$55</c:f>
              <c:numCache>
                <c:formatCode>_-* #,##0_-;\-* #,##0_-;_-* "-"??_-;_-@_-</c:formatCode>
                <c:ptCount val="40"/>
                <c:pt idx="0">
                  <c:v>9658.4909044418782</c:v>
                </c:pt>
                <c:pt idx="1">
                  <c:v>8698.9501284913476</c:v>
                </c:pt>
                <c:pt idx="2">
                  <c:v>7684.9458905102074</c:v>
                </c:pt>
                <c:pt idx="3">
                  <c:v>6613.3868485037201</c:v>
                </c:pt>
                <c:pt idx="4">
                  <c:v>5350.9394663643661</c:v>
                </c:pt>
                <c:pt idx="5">
                  <c:v>4329.4840947001121</c:v>
                </c:pt>
                <c:pt idx="6">
                  <c:v>3503.0171139269005</c:v>
                </c:pt>
                <c:pt idx="7">
                  <c:v>2834.3166603813861</c:v>
                </c:pt>
                <c:pt idx="8">
                  <c:v>2293.2662530757852</c:v>
                </c:pt>
                <c:pt idx="9">
                  <c:v>1855.4984278956997</c:v>
                </c:pt>
                <c:pt idx="10">
                  <c:v>1501.2972921507674</c:v>
                </c:pt>
                <c:pt idx="11">
                  <c:v>1214.7105734685761</c:v>
                </c:pt>
                <c:pt idx="12">
                  <c:v>982.83117208751901</c:v>
                </c:pt>
                <c:pt idx="13">
                  <c:v>795.21585958427886</c:v>
                </c:pt>
                <c:pt idx="14">
                  <c:v>660.13922296707347</c:v>
                </c:pt>
                <c:pt idx="15">
                  <c:v>626.4821484227914</c:v>
                </c:pt>
                <c:pt idx="16">
                  <c:v>613.69151024651171</c:v>
                </c:pt>
                <c:pt idx="17">
                  <c:v>576.80796236292235</c:v>
                </c:pt>
                <c:pt idx="18">
                  <c:v>489.84373878016964</c:v>
                </c:pt>
                <c:pt idx="19">
                  <c:v>444.73697694014186</c:v>
                </c:pt>
                <c:pt idx="20">
                  <c:v>410.06617669268741</c:v>
                </c:pt>
                <c:pt idx="21">
                  <c:v>389.1954131527865</c:v>
                </c:pt>
                <c:pt idx="22">
                  <c:v>362.16227890647752</c:v>
                </c:pt>
                <c:pt idx="23">
                  <c:v>355.94461262084928</c:v>
                </c:pt>
                <c:pt idx="24">
                  <c:v>355.94461262084928</c:v>
                </c:pt>
                <c:pt idx="25">
                  <c:v>355.94461262084928</c:v>
                </c:pt>
                <c:pt idx="26">
                  <c:v>355.94461262084928</c:v>
                </c:pt>
                <c:pt idx="27">
                  <c:v>355.94461262084928</c:v>
                </c:pt>
                <c:pt idx="28">
                  <c:v>355.94461262084928</c:v>
                </c:pt>
                <c:pt idx="29">
                  <c:v>355.94461262084928</c:v>
                </c:pt>
                <c:pt idx="30">
                  <c:v>355.94461262084928</c:v>
                </c:pt>
                <c:pt idx="31">
                  <c:v>355.94461262084928</c:v>
                </c:pt>
                <c:pt idx="32">
                  <c:v>355.94461262084928</c:v>
                </c:pt>
                <c:pt idx="33">
                  <c:v>355.94461262084928</c:v>
                </c:pt>
                <c:pt idx="34">
                  <c:v>355.94461262084928</c:v>
                </c:pt>
                <c:pt idx="35">
                  <c:v>355.94461262084928</c:v>
                </c:pt>
                <c:pt idx="36">
                  <c:v>355.94461262084928</c:v>
                </c:pt>
                <c:pt idx="37">
                  <c:v>355.94461262084928</c:v>
                </c:pt>
                <c:pt idx="38">
                  <c:v>355.94461262084928</c:v>
                </c:pt>
                <c:pt idx="39">
                  <c:v>355.94461262084928</c:v>
                </c:pt>
              </c:numCache>
            </c:numRef>
          </c:val>
          <c:smooth val="0"/>
          <c:extLst>
            <c:ext xmlns:c16="http://schemas.microsoft.com/office/drawing/2014/chart" uri="{C3380CC4-5D6E-409C-BE32-E72D297353CC}">
              <c16:uniqueId val="{00000002-96BB-4319-8E59-99D1DE2C7679}"/>
            </c:ext>
          </c:extLst>
        </c:ser>
        <c:dLbls>
          <c:showLegendKey val="0"/>
          <c:showVal val="0"/>
          <c:showCatName val="0"/>
          <c:showSerName val="0"/>
          <c:showPercent val="0"/>
          <c:showBubbleSize val="0"/>
        </c:dLbls>
        <c:smooth val="0"/>
        <c:axId val="1890512639"/>
        <c:axId val="1890530943"/>
        <c:extLst>
          <c:ext xmlns:c15="http://schemas.microsoft.com/office/drawing/2012/chart" uri="{02D57815-91ED-43cb-92C2-25804820EDAC}">
            <c15:filteredLineSeries>
              <c15:ser>
                <c:idx val="0"/>
                <c:order val="0"/>
                <c:tx>
                  <c:v>Gas boiler emissions, tCO2e</c:v>
                </c:tx>
                <c:spPr>
                  <a:ln w="28575" cap="rnd">
                    <a:solidFill>
                      <a:schemeClr val="accent1"/>
                    </a:solidFill>
                    <a:round/>
                  </a:ln>
                  <a:effectLst/>
                </c:spPr>
                <c:marker>
                  <c:symbol val="none"/>
                </c:marker>
                <c:cat>
                  <c:numRef>
                    <c:extLst>
                      <c:ext uri="{02D57815-91ED-43cb-92C2-25804820EDAC}">
                        <c15:formulaRef>
                          <c15:sqref>CO2e!$D$21:$AQ$21</c15:sqref>
                        </c15:formulaRef>
                      </c:ext>
                    </c:extLst>
                    <c:numCache>
                      <c:formatCode>General</c:formatCode>
                      <c:ptCount val="40"/>
                      <c:pt idx="0">
                        <c:v>2027</c:v>
                      </c:pt>
                      <c:pt idx="1">
                        <c:v>2028</c:v>
                      </c:pt>
                      <c:pt idx="2">
                        <c:v>2029</c:v>
                      </c:pt>
                      <c:pt idx="3">
                        <c:v>2030</c:v>
                      </c:pt>
                      <c:pt idx="4">
                        <c:v>2031</c:v>
                      </c:pt>
                      <c:pt idx="5">
                        <c:v>2032</c:v>
                      </c:pt>
                      <c:pt idx="6">
                        <c:v>2033</c:v>
                      </c:pt>
                      <c:pt idx="7">
                        <c:v>2034</c:v>
                      </c:pt>
                      <c:pt idx="8">
                        <c:v>2035</c:v>
                      </c:pt>
                      <c:pt idx="9">
                        <c:v>2036</c:v>
                      </c:pt>
                      <c:pt idx="10">
                        <c:v>2037</c:v>
                      </c:pt>
                      <c:pt idx="11">
                        <c:v>2038</c:v>
                      </c:pt>
                      <c:pt idx="12">
                        <c:v>2039</c:v>
                      </c:pt>
                      <c:pt idx="13">
                        <c:v>2040</c:v>
                      </c:pt>
                      <c:pt idx="14">
                        <c:v>2041</c:v>
                      </c:pt>
                      <c:pt idx="15">
                        <c:v>2042</c:v>
                      </c:pt>
                      <c:pt idx="16">
                        <c:v>2043</c:v>
                      </c:pt>
                      <c:pt idx="17">
                        <c:v>2044</c:v>
                      </c:pt>
                      <c:pt idx="18">
                        <c:v>2045</c:v>
                      </c:pt>
                      <c:pt idx="19">
                        <c:v>2046</c:v>
                      </c:pt>
                      <c:pt idx="20">
                        <c:v>2047</c:v>
                      </c:pt>
                      <c:pt idx="21">
                        <c:v>2048</c:v>
                      </c:pt>
                      <c:pt idx="22">
                        <c:v>2049</c:v>
                      </c:pt>
                      <c:pt idx="23">
                        <c:v>2050</c:v>
                      </c:pt>
                      <c:pt idx="24">
                        <c:v>2051</c:v>
                      </c:pt>
                      <c:pt idx="25">
                        <c:v>2052</c:v>
                      </c:pt>
                      <c:pt idx="26">
                        <c:v>2053</c:v>
                      </c:pt>
                      <c:pt idx="27">
                        <c:v>2054</c:v>
                      </c:pt>
                      <c:pt idx="28">
                        <c:v>2055</c:v>
                      </c:pt>
                      <c:pt idx="29">
                        <c:v>2056</c:v>
                      </c:pt>
                      <c:pt idx="30">
                        <c:v>2057</c:v>
                      </c:pt>
                      <c:pt idx="31">
                        <c:v>2058</c:v>
                      </c:pt>
                      <c:pt idx="32">
                        <c:v>2059</c:v>
                      </c:pt>
                      <c:pt idx="33">
                        <c:v>2060</c:v>
                      </c:pt>
                      <c:pt idx="34">
                        <c:v>2061</c:v>
                      </c:pt>
                      <c:pt idx="35">
                        <c:v>2062</c:v>
                      </c:pt>
                      <c:pt idx="36">
                        <c:v>2063</c:v>
                      </c:pt>
                      <c:pt idx="37">
                        <c:v>2064</c:v>
                      </c:pt>
                      <c:pt idx="38">
                        <c:v>2065</c:v>
                      </c:pt>
                      <c:pt idx="39">
                        <c:v>2066</c:v>
                      </c:pt>
                    </c:numCache>
                  </c:numRef>
                </c:cat>
                <c:val>
                  <c:numRef>
                    <c:extLst>
                      <c:ext uri="{02D57815-91ED-43cb-92C2-25804820EDAC}">
                        <c15:formulaRef>
                          <c15:sqref>CO2e!$D$37:$AQ$37</c15:sqref>
                        </c15:formulaRef>
                      </c:ext>
                    </c:extLst>
                    <c:numCache>
                      <c:formatCode>_-* #,##0_-;\-* #,##0_-;_-* "-"??_-;_-@_-</c:formatCode>
                      <c:ptCount val="40"/>
                      <c:pt idx="0">
                        <c:v>26960.826885947583</c:v>
                      </c:pt>
                      <c:pt idx="1">
                        <c:v>26960.826885947583</c:v>
                      </c:pt>
                      <c:pt idx="2">
                        <c:v>26960.826885947583</c:v>
                      </c:pt>
                      <c:pt idx="3">
                        <c:v>26960.826885947583</c:v>
                      </c:pt>
                      <c:pt idx="4">
                        <c:v>26960.826885947583</c:v>
                      </c:pt>
                      <c:pt idx="5">
                        <c:v>26960.826885947583</c:v>
                      </c:pt>
                      <c:pt idx="6">
                        <c:v>26960.826885947583</c:v>
                      </c:pt>
                      <c:pt idx="7">
                        <c:v>26960.826885947583</c:v>
                      </c:pt>
                      <c:pt idx="8">
                        <c:v>26960.826885947583</c:v>
                      </c:pt>
                      <c:pt idx="9">
                        <c:v>26960.826885947583</c:v>
                      </c:pt>
                      <c:pt idx="10">
                        <c:v>26960.826885947583</c:v>
                      </c:pt>
                      <c:pt idx="11">
                        <c:v>26960.826885947583</c:v>
                      </c:pt>
                      <c:pt idx="12">
                        <c:v>26960.826885947583</c:v>
                      </c:pt>
                      <c:pt idx="13">
                        <c:v>26960.826885947583</c:v>
                      </c:pt>
                      <c:pt idx="14">
                        <c:v>26960.826885947583</c:v>
                      </c:pt>
                      <c:pt idx="15">
                        <c:v>26960.826885947583</c:v>
                      </c:pt>
                      <c:pt idx="16">
                        <c:v>26960.826885947583</c:v>
                      </c:pt>
                      <c:pt idx="17">
                        <c:v>26960.826885947583</c:v>
                      </c:pt>
                      <c:pt idx="18">
                        <c:v>26960.826885947583</c:v>
                      </c:pt>
                      <c:pt idx="19">
                        <c:v>26960.826885947583</c:v>
                      </c:pt>
                      <c:pt idx="20">
                        <c:v>26960.826885947583</c:v>
                      </c:pt>
                      <c:pt idx="21">
                        <c:v>26960.826885947583</c:v>
                      </c:pt>
                      <c:pt idx="22">
                        <c:v>26960.826885947583</c:v>
                      </c:pt>
                      <c:pt idx="23">
                        <c:v>26960.826885947583</c:v>
                      </c:pt>
                      <c:pt idx="24">
                        <c:v>26960.826885947583</c:v>
                      </c:pt>
                      <c:pt idx="25">
                        <c:v>26960.826885947583</c:v>
                      </c:pt>
                      <c:pt idx="26">
                        <c:v>26960.826885947583</c:v>
                      </c:pt>
                      <c:pt idx="27">
                        <c:v>26960.826885947583</c:v>
                      </c:pt>
                      <c:pt idx="28">
                        <c:v>26960.826885947583</c:v>
                      </c:pt>
                      <c:pt idx="29">
                        <c:v>26960.826885947583</c:v>
                      </c:pt>
                      <c:pt idx="30">
                        <c:v>26960.826885947583</c:v>
                      </c:pt>
                      <c:pt idx="31">
                        <c:v>26960.826885947583</c:v>
                      </c:pt>
                      <c:pt idx="32">
                        <c:v>26960.826885947583</c:v>
                      </c:pt>
                      <c:pt idx="33">
                        <c:v>26960.826885947583</c:v>
                      </c:pt>
                      <c:pt idx="34">
                        <c:v>26960.826885947583</c:v>
                      </c:pt>
                      <c:pt idx="35">
                        <c:v>26960.826885947583</c:v>
                      </c:pt>
                      <c:pt idx="36">
                        <c:v>26960.826885947583</c:v>
                      </c:pt>
                      <c:pt idx="37">
                        <c:v>26960.826885947583</c:v>
                      </c:pt>
                      <c:pt idx="38">
                        <c:v>26960.826885947583</c:v>
                      </c:pt>
                      <c:pt idx="39">
                        <c:v>26960.826885947583</c:v>
                      </c:pt>
                    </c:numCache>
                  </c:numRef>
                </c:val>
                <c:smooth val="0"/>
                <c:extLst>
                  <c:ext xmlns:c16="http://schemas.microsoft.com/office/drawing/2014/chart" uri="{C3380CC4-5D6E-409C-BE32-E72D297353CC}">
                    <c16:uniqueId val="{00000000-96BB-4319-8E59-99D1DE2C7679}"/>
                  </c:ext>
                </c:extLst>
              </c15:ser>
            </c15:filteredLineSeries>
          </c:ext>
        </c:extLst>
      </c:lineChart>
      <c:catAx>
        <c:axId val="1890512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530943"/>
        <c:crosses val="autoZero"/>
        <c:auto val="1"/>
        <c:lblAlgn val="ctr"/>
        <c:lblOffset val="100"/>
        <c:noMultiLvlLbl val="0"/>
      </c:catAx>
      <c:valAx>
        <c:axId val="18905309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a:t>Tonnes carbon, tCO2e</a:t>
                </a:r>
              </a:p>
            </c:rich>
          </c:tx>
          <c:layout>
            <c:manualLayout>
              <c:xMode val="edge"/>
              <c:yMode val="edge"/>
              <c:x val="1.1175835970020913E-2"/>
              <c:y val="0.27703220992629257"/>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512639"/>
        <c:crosses val="autoZero"/>
        <c:crossBetween val="between"/>
      </c:valAx>
      <c:spPr>
        <a:noFill/>
        <a:ln>
          <a:noFill/>
        </a:ln>
        <a:effectLst/>
      </c:spPr>
    </c:plotArea>
    <c:legend>
      <c:legendPos val="b"/>
      <c:layout>
        <c:manualLayout>
          <c:xMode val="edge"/>
          <c:yMode val="edge"/>
          <c:x val="0.15926685556438133"/>
          <c:y val="0.91836710960143464"/>
          <c:w val="0.68146628887123739"/>
          <c:h val="5.4505232339016454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 lastClr="FFFFFF"/>
      </a:solidFill>
      <a:round/>
    </a:ln>
    <a:effectLst/>
  </c:spPr>
  <c:txPr>
    <a:bodyPr/>
    <a:lstStyle/>
    <a:p>
      <a:pPr>
        <a:defRPr sz="1200"/>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GB"/>
              <a:t>Cumulative cashflow for heat network - 40 years</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572928383952004E-2"/>
          <c:y val="0.14259848541389414"/>
          <c:w val="0.67515510561179848"/>
          <c:h val="0.7238849522055375"/>
        </c:manualLayout>
      </c:layout>
      <c:barChart>
        <c:barDir val="col"/>
        <c:grouping val="clustered"/>
        <c:varyColors val="0"/>
        <c:ser>
          <c:idx val="1"/>
          <c:order val="0"/>
          <c:tx>
            <c:v>CAPEX</c:v>
          </c:tx>
          <c:spPr>
            <a:solidFill>
              <a:schemeClr val="accent2"/>
            </a:solidFill>
            <a:ln>
              <a:noFill/>
            </a:ln>
            <a:effectLst/>
          </c:spPr>
          <c:invertIfNegative val="0"/>
          <c:val>
            <c:numRef>
              <c:f>'Financial Analysis'!$D$178:$AR$178</c:f>
              <c:numCache>
                <c:formatCode>_-[$£-809]* #,##0_-;\-[$£-809]* #,##0_-;_-[$£-809]* "-"??_-;_-@_-</c:formatCode>
                <c:ptCount val="41"/>
                <c:pt idx="0">
                  <c:v>-65210622.489293784</c:v>
                </c:pt>
                <c:pt idx="1">
                  <c:v>-3260531.1244646893</c:v>
                </c:pt>
                <c:pt idx="2">
                  <c:v>-3260531.1244646893</c:v>
                </c:pt>
                <c:pt idx="3">
                  <c:v>-3260531.1244646893</c:v>
                </c:pt>
                <c:pt idx="4">
                  <c:v>-3260531.1244646893</c:v>
                </c:pt>
                <c:pt idx="5">
                  <c:v>-3260531.1244646893</c:v>
                </c:pt>
                <c:pt idx="6">
                  <c:v>-3260531.1244646893</c:v>
                </c:pt>
                <c:pt idx="7">
                  <c:v>-3260531.1244646893</c:v>
                </c:pt>
                <c:pt idx="8">
                  <c:v>-3260531.1244646893</c:v>
                </c:pt>
                <c:pt idx="9">
                  <c:v>-3260531.1244646893</c:v>
                </c:pt>
                <c:pt idx="10">
                  <c:v>-3260531.1244646893</c:v>
                </c:pt>
                <c:pt idx="11">
                  <c:v>-3260531.1244646893</c:v>
                </c:pt>
                <c:pt idx="12">
                  <c:v>-3260531.1244646893</c:v>
                </c:pt>
                <c:pt idx="13">
                  <c:v>-3260531.1244646893</c:v>
                </c:pt>
                <c:pt idx="14">
                  <c:v>-3260531.1244646893</c:v>
                </c:pt>
                <c:pt idx="15">
                  <c:v>-3260531.1244646893</c:v>
                </c:pt>
                <c:pt idx="16">
                  <c:v>-3260531.1244646893</c:v>
                </c:pt>
                <c:pt idx="17">
                  <c:v>-3260531.1244646893</c:v>
                </c:pt>
                <c:pt idx="18">
                  <c:v>-3260531.1244646893</c:v>
                </c:pt>
                <c:pt idx="19">
                  <c:v>-3260531.1244646893</c:v>
                </c:pt>
                <c:pt idx="20">
                  <c:v>-3260531.1244646893</c:v>
                </c:pt>
                <c:pt idx="21">
                  <c:v>-3260531.1244646893</c:v>
                </c:pt>
                <c:pt idx="22">
                  <c:v>-3260531.1244646893</c:v>
                </c:pt>
                <c:pt idx="23">
                  <c:v>-3260531.1244646893</c:v>
                </c:pt>
                <c:pt idx="24">
                  <c:v>-3260531.1244646893</c:v>
                </c:pt>
                <c:pt idx="25">
                  <c:v>-3260531.1244646893</c:v>
                </c:pt>
                <c:pt idx="26">
                  <c:v>-3260531.1244646893</c:v>
                </c:pt>
                <c:pt idx="27">
                  <c:v>-3260531.1244646893</c:v>
                </c:pt>
                <c:pt idx="28">
                  <c:v>-3260531.1244646893</c:v>
                </c:pt>
                <c:pt idx="29">
                  <c:v>-3260531.1244646893</c:v>
                </c:pt>
                <c:pt idx="30">
                  <c:v>-3260531.1244646893</c:v>
                </c:pt>
                <c:pt idx="31">
                  <c:v>-3260531.1244646893</c:v>
                </c:pt>
                <c:pt idx="32">
                  <c:v>-3260531.1244646893</c:v>
                </c:pt>
                <c:pt idx="33">
                  <c:v>-3260531.1244646893</c:v>
                </c:pt>
                <c:pt idx="34">
                  <c:v>-3260531.1244646893</c:v>
                </c:pt>
                <c:pt idx="35">
                  <c:v>-3260531.1244646893</c:v>
                </c:pt>
                <c:pt idx="36">
                  <c:v>-3260531.1244646893</c:v>
                </c:pt>
                <c:pt idx="37">
                  <c:v>-3260531.1244646893</c:v>
                </c:pt>
                <c:pt idx="38">
                  <c:v>-3260531.1244646893</c:v>
                </c:pt>
                <c:pt idx="39">
                  <c:v>-3260531.1244646893</c:v>
                </c:pt>
                <c:pt idx="40">
                  <c:v>-3260531.1244646893</c:v>
                </c:pt>
              </c:numCache>
            </c:numRef>
          </c:val>
          <c:extLst>
            <c:ext xmlns:c16="http://schemas.microsoft.com/office/drawing/2014/chart" uri="{C3380CC4-5D6E-409C-BE32-E72D297353CC}">
              <c16:uniqueId val="{00000000-1205-479A-A078-EE75406D29B3}"/>
            </c:ext>
          </c:extLst>
        </c:ser>
        <c:ser>
          <c:idx val="4"/>
          <c:order val="1"/>
          <c:tx>
            <c:v>Grant funding</c:v>
          </c:tx>
          <c:spPr>
            <a:solidFill>
              <a:schemeClr val="accent5"/>
            </a:solidFill>
            <a:ln>
              <a:noFill/>
            </a:ln>
            <a:effectLst/>
          </c:spPr>
          <c:invertIfNegative val="0"/>
          <c:val>
            <c:numRef>
              <c:f>#REF!</c:f>
              <c:numCache>
                <c:formatCode>General</c:formatCode>
                <c:ptCount val="1"/>
                <c:pt idx="0">
                  <c:v>1</c:v>
                </c:pt>
              </c:numCache>
            </c:numRef>
          </c:val>
          <c:extLst>
            <c:ext xmlns:c16="http://schemas.microsoft.com/office/drawing/2014/chart" uri="{C3380CC4-5D6E-409C-BE32-E72D297353CC}">
              <c16:uniqueId val="{00000002-1205-479A-A078-EE75406D29B3}"/>
            </c:ext>
          </c:extLst>
        </c:ser>
        <c:ser>
          <c:idx val="3"/>
          <c:order val="2"/>
          <c:tx>
            <c:v>Operational expenditure</c:v>
          </c:tx>
          <c:spPr>
            <a:solidFill>
              <a:schemeClr val="accent4"/>
            </a:solidFill>
            <a:ln>
              <a:noFill/>
            </a:ln>
            <a:effectLst/>
          </c:spPr>
          <c:invertIfNegative val="0"/>
          <c:val>
            <c:numRef>
              <c:f>'Financial Analysis'!$D$183:$AR$183</c:f>
              <c:numCache>
                <c:formatCode>_-"£"* #,##0_-;\-"£"* #,##0_-;_-"£"* "-"??_-;_-@_-</c:formatCode>
                <c:ptCount val="41"/>
                <c:pt idx="0">
                  <c:v>-9975673.3051853254</c:v>
                </c:pt>
                <c:pt idx="1">
                  <c:v>-9824187.5703201815</c:v>
                </c:pt>
                <c:pt idx="2">
                  <c:v>-9768455.6152418219</c:v>
                </c:pt>
                <c:pt idx="3">
                  <c:v>-9849456.0277183261</c:v>
                </c:pt>
                <c:pt idx="4">
                  <c:v>-9885442.7039708626</c:v>
                </c:pt>
                <c:pt idx="5">
                  <c:v>-9793821.7972816732</c:v>
                </c:pt>
                <c:pt idx="6">
                  <c:v>-9650365.8239266239</c:v>
                </c:pt>
                <c:pt idx="7">
                  <c:v>-9518577.5868352633</c:v>
                </c:pt>
                <c:pt idx="8">
                  <c:v>-9459153.3627408314</c:v>
                </c:pt>
                <c:pt idx="9">
                  <c:v>-9418730.4616706055</c:v>
                </c:pt>
                <c:pt idx="10">
                  <c:v>-9334262.4734301642</c:v>
                </c:pt>
                <c:pt idx="11">
                  <c:v>-9380887.1624046005</c:v>
                </c:pt>
                <c:pt idx="12">
                  <c:v>-9354805.7463771999</c:v>
                </c:pt>
                <c:pt idx="13">
                  <c:v>-9299055.1072885618</c:v>
                </c:pt>
                <c:pt idx="14">
                  <c:v>-9299055.1072885618</c:v>
                </c:pt>
                <c:pt idx="15">
                  <c:v>-9299055.1072885618</c:v>
                </c:pt>
                <c:pt idx="16">
                  <c:v>-9299055.1072885618</c:v>
                </c:pt>
                <c:pt idx="17">
                  <c:v>-9299055.1072885618</c:v>
                </c:pt>
                <c:pt idx="18">
                  <c:v>-9299055.1072885618</c:v>
                </c:pt>
                <c:pt idx="19">
                  <c:v>-9299055.1072885618</c:v>
                </c:pt>
                <c:pt idx="20">
                  <c:v>-9299055.1072885618</c:v>
                </c:pt>
                <c:pt idx="21" formatCode="General">
                  <c:v>-9299055.1072885618</c:v>
                </c:pt>
                <c:pt idx="22" formatCode="General">
                  <c:v>-9299055.1072885618</c:v>
                </c:pt>
                <c:pt idx="23" formatCode="General">
                  <c:v>-9299055.1072885618</c:v>
                </c:pt>
                <c:pt idx="24" formatCode="General">
                  <c:v>-9299055.1072885618</c:v>
                </c:pt>
                <c:pt idx="25" formatCode="General">
                  <c:v>-9299055.1072885618</c:v>
                </c:pt>
                <c:pt idx="26" formatCode="General">
                  <c:v>-9299055.1072885618</c:v>
                </c:pt>
                <c:pt idx="27" formatCode="General">
                  <c:v>-9299055.1072885618</c:v>
                </c:pt>
                <c:pt idx="28" formatCode="General">
                  <c:v>-9299055.1072885618</c:v>
                </c:pt>
                <c:pt idx="29" formatCode="General">
                  <c:v>-9299055.1072885618</c:v>
                </c:pt>
                <c:pt idx="30" formatCode="General">
                  <c:v>-9299055.1072885618</c:v>
                </c:pt>
                <c:pt idx="31" formatCode="General">
                  <c:v>-9299055.1072885618</c:v>
                </c:pt>
                <c:pt idx="32" formatCode="General">
                  <c:v>-9299055.1072885618</c:v>
                </c:pt>
                <c:pt idx="33" formatCode="General">
                  <c:v>-9299055.1072885618</c:v>
                </c:pt>
                <c:pt idx="34" formatCode="General">
                  <c:v>-9299055.1072885618</c:v>
                </c:pt>
                <c:pt idx="35" formatCode="General">
                  <c:v>-9299055.1072885618</c:v>
                </c:pt>
                <c:pt idx="36" formatCode="General">
                  <c:v>-9299055.1072885618</c:v>
                </c:pt>
                <c:pt idx="37" formatCode="General">
                  <c:v>-9299055.1072885618</c:v>
                </c:pt>
                <c:pt idx="38" formatCode="General">
                  <c:v>-9299055.1072885618</c:v>
                </c:pt>
                <c:pt idx="39" formatCode="General">
                  <c:v>-9299055.1072885618</c:v>
                </c:pt>
                <c:pt idx="40" formatCode="General">
                  <c:v>-9299055.1072885618</c:v>
                </c:pt>
              </c:numCache>
            </c:numRef>
          </c:val>
          <c:extLst>
            <c:ext xmlns:c16="http://schemas.microsoft.com/office/drawing/2014/chart" uri="{C3380CC4-5D6E-409C-BE32-E72D297353CC}">
              <c16:uniqueId val="{00000003-1205-479A-A078-EE75406D29B3}"/>
            </c:ext>
          </c:extLst>
        </c:ser>
        <c:ser>
          <c:idx val="2"/>
          <c:order val="3"/>
          <c:tx>
            <c:v>Revenue</c:v>
          </c:tx>
          <c:spPr>
            <a:solidFill>
              <a:schemeClr val="accent3"/>
            </a:solidFill>
            <a:ln>
              <a:noFill/>
            </a:ln>
            <a:effectLst/>
          </c:spPr>
          <c:invertIfNegative val="0"/>
          <c:val>
            <c:numRef>
              <c:f>'Financial Analysis'!$E$77:$AR$77</c:f>
              <c:numCache>
                <c:formatCode>_-[$£-809]* #,##0_-;\-[$£-809]* #,##0_-;_-[$£-809]* "-"??_-;_-@_-</c:formatCode>
                <c:ptCount val="40"/>
                <c:pt idx="0">
                  <c:v>18793964.139862116</c:v>
                </c:pt>
                <c:pt idx="1">
                  <c:v>18384612.003223304</c:v>
                </c:pt>
                <c:pt idx="2">
                  <c:v>18234010.3976616</c:v>
                </c:pt>
                <c:pt idx="3">
                  <c:v>18452893.660467833</c:v>
                </c:pt>
                <c:pt idx="4">
                  <c:v>18550138.61114005</c:v>
                </c:pt>
                <c:pt idx="5">
                  <c:v>18302556.131196354</c:v>
                </c:pt>
                <c:pt idx="6">
                  <c:v>17914902.407505691</c:v>
                </c:pt>
                <c:pt idx="7">
                  <c:v>17558777.809468545</c:v>
                </c:pt>
                <c:pt idx="8">
                  <c:v>17398198.774598934</c:v>
                </c:pt>
                <c:pt idx="9">
                  <c:v>17288966.040988952</c:v>
                </c:pt>
                <c:pt idx="10">
                  <c:v>17060712.525932975</c:v>
                </c:pt>
                <c:pt idx="11">
                  <c:v>17186704.033112161</c:v>
                </c:pt>
                <c:pt idx="12">
                  <c:v>17116225.55943352</c:v>
                </c:pt>
                <c:pt idx="13">
                  <c:v>16965573.465028528</c:v>
                </c:pt>
                <c:pt idx="14">
                  <c:v>16965573.465028528</c:v>
                </c:pt>
                <c:pt idx="15">
                  <c:v>16965573.465028528</c:v>
                </c:pt>
                <c:pt idx="16">
                  <c:v>16965573.465028528</c:v>
                </c:pt>
                <c:pt idx="17">
                  <c:v>16965573.465028528</c:v>
                </c:pt>
                <c:pt idx="18">
                  <c:v>16965573.465028528</c:v>
                </c:pt>
                <c:pt idx="19">
                  <c:v>16965573.465028528</c:v>
                </c:pt>
                <c:pt idx="20">
                  <c:v>16965573.465028528</c:v>
                </c:pt>
                <c:pt idx="21">
                  <c:v>16965573.465028528</c:v>
                </c:pt>
                <c:pt idx="22">
                  <c:v>16965573.465028528</c:v>
                </c:pt>
                <c:pt idx="23">
                  <c:v>16965573.465028528</c:v>
                </c:pt>
                <c:pt idx="24">
                  <c:v>16965573.465028528</c:v>
                </c:pt>
                <c:pt idx="25">
                  <c:v>16965573.465028528</c:v>
                </c:pt>
                <c:pt idx="26">
                  <c:v>16965573.465028528</c:v>
                </c:pt>
                <c:pt idx="27">
                  <c:v>16965573.465028528</c:v>
                </c:pt>
                <c:pt idx="28">
                  <c:v>16965573.465028528</c:v>
                </c:pt>
                <c:pt idx="29">
                  <c:v>16965573.465028528</c:v>
                </c:pt>
                <c:pt idx="30">
                  <c:v>16965573.465028528</c:v>
                </c:pt>
                <c:pt idx="31">
                  <c:v>16965573.465028528</c:v>
                </c:pt>
                <c:pt idx="32">
                  <c:v>16965573.465028528</c:v>
                </c:pt>
                <c:pt idx="33">
                  <c:v>16965573.465028528</c:v>
                </c:pt>
                <c:pt idx="34">
                  <c:v>16965573.465028528</c:v>
                </c:pt>
                <c:pt idx="35">
                  <c:v>16965573.465028528</c:v>
                </c:pt>
                <c:pt idx="36">
                  <c:v>16965573.465028528</c:v>
                </c:pt>
                <c:pt idx="37">
                  <c:v>16965573.465028528</c:v>
                </c:pt>
                <c:pt idx="38">
                  <c:v>16965573.465028528</c:v>
                </c:pt>
                <c:pt idx="39">
                  <c:v>16965573.465028528</c:v>
                </c:pt>
              </c:numCache>
            </c:numRef>
          </c:val>
          <c:extLst>
            <c:ext xmlns:c16="http://schemas.microsoft.com/office/drawing/2014/chart" uri="{C3380CC4-5D6E-409C-BE32-E72D297353CC}">
              <c16:uniqueId val="{00000004-1205-479A-A078-EE75406D29B3}"/>
            </c:ext>
          </c:extLst>
        </c:ser>
        <c:dLbls>
          <c:showLegendKey val="0"/>
          <c:showVal val="0"/>
          <c:showCatName val="0"/>
          <c:showSerName val="0"/>
          <c:showPercent val="0"/>
          <c:showBubbleSize val="0"/>
        </c:dLbls>
        <c:gapWidth val="100"/>
        <c:overlap val="45"/>
        <c:axId val="151764568"/>
        <c:axId val="151764960"/>
      </c:barChart>
      <c:lineChart>
        <c:grouping val="standard"/>
        <c:varyColors val="0"/>
        <c:ser>
          <c:idx val="0"/>
          <c:order val="4"/>
          <c:tx>
            <c:v>Cumulative cashflow</c:v>
          </c:tx>
          <c:spPr>
            <a:ln w="28575" cap="rnd">
              <a:solidFill>
                <a:schemeClr val="accent1"/>
              </a:solidFill>
              <a:round/>
            </a:ln>
            <a:effectLst/>
          </c:spPr>
          <c:marker>
            <c:symbol val="none"/>
          </c:marker>
          <c:val>
            <c:numRef>
              <c:f>'Financial Analysis'!$D$164:$AR$164</c:f>
              <c:numCache>
                <c:formatCode>_-"£"* #,##0_-;\-"£"* #,##0_-;_-"£"* "-"??_-;_-@_-</c:formatCode>
                <c:ptCount val="41"/>
                <c:pt idx="0">
                  <c:v>-65210622.489293784</c:v>
                </c:pt>
                <c:pt idx="1">
                  <c:v>-59652862.77908168</c:v>
                </c:pt>
                <c:pt idx="2">
                  <c:v>-54352969.470643245</c:v>
                </c:pt>
                <c:pt idx="3">
                  <c:v>-49147945.812688157</c:v>
                </c:pt>
                <c:pt idx="4">
                  <c:v>-43805039.304403335</c:v>
                </c:pt>
                <c:pt idx="5">
                  <c:v>-38400874.521698833</c:v>
                </c:pt>
                <c:pt idx="6">
                  <c:v>-33152671.312248841</c:v>
                </c:pt>
                <c:pt idx="7">
                  <c:v>-28148665.853134461</c:v>
                </c:pt>
                <c:pt idx="8">
                  <c:v>-23368996.754965868</c:v>
                </c:pt>
                <c:pt idx="9">
                  <c:v>-18690482.467572454</c:v>
                </c:pt>
                <c:pt idx="10">
                  <c:v>-14080778.012718797</c:v>
                </c:pt>
                <c:pt idx="11">
                  <c:v>-9614859.0846806746</c:v>
                </c:pt>
                <c:pt idx="12">
                  <c:v>-5069573.3384378031</c:v>
                </c:pt>
                <c:pt idx="13">
                  <c:v>-568684.64984617196</c:v>
                </c:pt>
                <c:pt idx="14">
                  <c:v>3837302.5834291056</c:v>
                </c:pt>
                <c:pt idx="15">
                  <c:v>8243289.8167043831</c:v>
                </c:pt>
                <c:pt idx="16">
                  <c:v>12649277.049979661</c:v>
                </c:pt>
                <c:pt idx="17">
                  <c:v>17055264.283254936</c:v>
                </c:pt>
                <c:pt idx="18">
                  <c:v>21461251.516530216</c:v>
                </c:pt>
                <c:pt idx="19">
                  <c:v>25867238.749805495</c:v>
                </c:pt>
                <c:pt idx="20">
                  <c:v>30273225.983080775</c:v>
                </c:pt>
                <c:pt idx="21">
                  <c:v>34679213.216356054</c:v>
                </c:pt>
                <c:pt idx="22">
                  <c:v>39085200.449631333</c:v>
                </c:pt>
                <c:pt idx="23">
                  <c:v>43491187.682906613</c:v>
                </c:pt>
                <c:pt idx="24">
                  <c:v>47897174.916181892</c:v>
                </c:pt>
                <c:pt idx="25">
                  <c:v>52303162.149457172</c:v>
                </c:pt>
                <c:pt idx="26">
                  <c:v>56709149.382732451</c:v>
                </c:pt>
                <c:pt idx="27">
                  <c:v>61115136.61600773</c:v>
                </c:pt>
                <c:pt idx="28">
                  <c:v>65521123.84928301</c:v>
                </c:pt>
                <c:pt idx="29">
                  <c:v>69927111.082558289</c:v>
                </c:pt>
                <c:pt idx="30">
                  <c:v>74333098.315833569</c:v>
                </c:pt>
                <c:pt idx="31">
                  <c:v>78739085.549108848</c:v>
                </c:pt>
                <c:pt idx="32">
                  <c:v>83145072.782384127</c:v>
                </c:pt>
                <c:pt idx="33">
                  <c:v>87551060.015659407</c:v>
                </c:pt>
                <c:pt idx="34">
                  <c:v>91957047.248934686</c:v>
                </c:pt>
                <c:pt idx="35">
                  <c:v>96363034.482209966</c:v>
                </c:pt>
                <c:pt idx="36">
                  <c:v>100769021.71548524</c:v>
                </c:pt>
                <c:pt idx="37">
                  <c:v>105175008.94876052</c:v>
                </c:pt>
                <c:pt idx="38">
                  <c:v>109580996.1820358</c:v>
                </c:pt>
                <c:pt idx="39">
                  <c:v>113986983.41531108</c:v>
                </c:pt>
                <c:pt idx="40">
                  <c:v>118392970.64858636</c:v>
                </c:pt>
              </c:numCache>
            </c:numRef>
          </c:val>
          <c:smooth val="0"/>
          <c:extLst>
            <c:ext xmlns:c15="http://schemas.microsoft.com/office/drawing/2012/chart" uri="{02D57815-91ED-43cb-92C2-25804820EDAC}">
              <c15:filteredCategoryTitle>
                <c15:cat>
                  <c:numRef>
                    <c:extLst>
                      <c:ext uri="{02D57815-91ED-43cb-92C2-25804820EDAC}">
                        <c15:formulaRef>
                          <c15:sqref>#REF!</c15:sqref>
                        </c15:formulaRef>
                      </c:ext>
                    </c:extLst>
                    <c:numCache>
                      <c:formatCode>General</c:formatCode>
                      <c:ptCount val="1"/>
                      <c:pt idx="0">
                        <c:v>1</c:v>
                      </c:pt>
                    </c:numCache>
                  </c:numRef>
                </c15:cat>
              </c15:filteredCategoryTitle>
            </c:ext>
            <c:ext xmlns:c16="http://schemas.microsoft.com/office/drawing/2014/chart" uri="{C3380CC4-5D6E-409C-BE32-E72D297353CC}">
              <c16:uniqueId val="{00000005-1205-479A-A078-EE75406D29B3}"/>
            </c:ext>
          </c:extLst>
        </c:ser>
        <c:dLbls>
          <c:showLegendKey val="0"/>
          <c:showVal val="0"/>
          <c:showCatName val="0"/>
          <c:showSerName val="0"/>
          <c:showPercent val="0"/>
          <c:showBubbleSize val="0"/>
        </c:dLbls>
        <c:marker val="1"/>
        <c:smooth val="0"/>
        <c:axId val="151764568"/>
        <c:axId val="151764960"/>
      </c:lineChart>
      <c:catAx>
        <c:axId val="151764568"/>
        <c:scaling>
          <c:orientation val="minMax"/>
        </c:scaling>
        <c:delete val="0"/>
        <c:axPos val="b"/>
        <c:title>
          <c:tx>
            <c:rich>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GB" sz="1100"/>
                  <a:t>Network year</a:t>
                </a:r>
              </a:p>
            </c:rich>
          </c:tx>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51764960"/>
        <c:crosses val="autoZero"/>
        <c:auto val="1"/>
        <c:lblAlgn val="ctr"/>
        <c:lblOffset val="100"/>
        <c:noMultiLvlLbl val="0"/>
      </c:catAx>
      <c:valAx>
        <c:axId val="151764960"/>
        <c:scaling>
          <c:orientation val="minMax"/>
        </c:scaling>
        <c:delete val="0"/>
        <c:axPos val="l"/>
        <c:majorGridlines>
          <c:spPr>
            <a:ln w="9525" cap="flat" cmpd="sng" algn="ctr">
              <a:solidFill>
                <a:schemeClr val="tx1">
                  <a:lumMod val="15000"/>
                  <a:lumOff val="85000"/>
                </a:schemeClr>
              </a:solidFill>
              <a:round/>
            </a:ln>
            <a:effectLst/>
          </c:spPr>
        </c:majorGridlines>
        <c:numFmt formatCode="_-[$£-809]* #,##0_-;\-[$£-809]* #,##0_-;_-[$£-809]* &quot;-&quot;??_-;_-@_-"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51764568"/>
        <c:crosses val="autoZero"/>
        <c:crossBetween val="between"/>
      </c:valAx>
      <c:spPr>
        <a:noFill/>
        <a:ln>
          <a:noFill/>
        </a:ln>
        <a:effectLst/>
      </c:spPr>
    </c:plotArea>
    <c:legend>
      <c:legendPos val="r"/>
      <c:layout>
        <c:manualLayout>
          <c:xMode val="edge"/>
          <c:yMode val="edge"/>
          <c:x val="0.7926113247863249"/>
          <c:y val="0.137909126984127"/>
          <c:w val="0.20738867521367524"/>
          <c:h val="0.6969635627530363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bg1"/>
      </a:solidFill>
      <a:round/>
    </a:ln>
    <a:effectLst/>
  </c:spPr>
  <c:txPr>
    <a:bodyPr/>
    <a:lstStyle/>
    <a:p>
      <a:pPr>
        <a:defRPr sz="1000"/>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CAPEX!$F$55</c:f>
              <c:strCache>
                <c:ptCount val="1"/>
                <c:pt idx="0">
                  <c:v>Cost, £/kW</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0"/>
            <c:dispEq val="1"/>
            <c:trendlineLbl>
              <c:layout>
                <c:manualLayout>
                  <c:x val="7.6461111111111113E-3"/>
                  <c:y val="-0.10573689323467603"/>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rgbClr val="FF0000"/>
                      </a:solidFill>
                      <a:latin typeface="+mn-lt"/>
                      <a:ea typeface="+mn-ea"/>
                      <a:cs typeface="+mn-cs"/>
                    </a:defRPr>
                  </a:pPr>
                  <a:endParaRPr lang="en-US"/>
                </a:p>
              </c:txPr>
            </c:trendlineLbl>
          </c:trendline>
          <c:xVal>
            <c:numRef>
              <c:f>CAPEX!$B$56:$B$64</c:f>
              <c:numCache>
                <c:formatCode>General</c:formatCode>
                <c:ptCount val="9"/>
                <c:pt idx="0">
                  <c:v>100</c:v>
                </c:pt>
                <c:pt idx="1">
                  <c:v>200</c:v>
                </c:pt>
                <c:pt idx="2">
                  <c:v>400</c:v>
                </c:pt>
                <c:pt idx="3">
                  <c:v>600</c:v>
                </c:pt>
                <c:pt idx="4">
                  <c:v>800</c:v>
                </c:pt>
                <c:pt idx="5">
                  <c:v>1000</c:v>
                </c:pt>
                <c:pt idx="6">
                  <c:v>1200</c:v>
                </c:pt>
                <c:pt idx="7">
                  <c:v>1400</c:v>
                </c:pt>
                <c:pt idx="8">
                  <c:v>1600</c:v>
                </c:pt>
              </c:numCache>
            </c:numRef>
          </c:xVal>
          <c:yVal>
            <c:numRef>
              <c:f>CAPEX!$F$56:$F$64</c:f>
              <c:numCache>
                <c:formatCode>_-"£"* #,##0.0_-;\-"£"* #,##0.0_-;_-"£"* "-"??_-;_-@_-</c:formatCode>
                <c:ptCount val="9"/>
                <c:pt idx="0">
                  <c:v>281.45</c:v>
                </c:pt>
                <c:pt idx="1">
                  <c:v>165.55</c:v>
                </c:pt>
                <c:pt idx="2">
                  <c:v>99.412499999999994</c:v>
                </c:pt>
                <c:pt idx="3">
                  <c:v>77.25333333333333</c:v>
                </c:pt>
                <c:pt idx="4">
                  <c:v>66.102500000000006</c:v>
                </c:pt>
                <c:pt idx="5">
                  <c:v>60.941000000000003</c:v>
                </c:pt>
                <c:pt idx="6">
                  <c:v>55.198333333333331</c:v>
                </c:pt>
                <c:pt idx="7">
                  <c:v>51.741428571428571</c:v>
                </c:pt>
                <c:pt idx="8">
                  <c:v>50.154375000000002</c:v>
                </c:pt>
              </c:numCache>
            </c:numRef>
          </c:yVal>
          <c:smooth val="0"/>
          <c:extLst>
            <c:ext xmlns:c16="http://schemas.microsoft.com/office/drawing/2014/chart" uri="{C3380CC4-5D6E-409C-BE32-E72D297353CC}">
              <c16:uniqueId val="{00000001-95D6-4E4F-95DF-F059C9CA8CB0}"/>
            </c:ext>
          </c:extLst>
        </c:ser>
        <c:dLbls>
          <c:showLegendKey val="0"/>
          <c:showVal val="0"/>
          <c:showCatName val="0"/>
          <c:showSerName val="0"/>
          <c:showPercent val="0"/>
          <c:showBubbleSize val="0"/>
        </c:dLbls>
        <c:axId val="738564144"/>
        <c:axId val="738563784"/>
      </c:scatterChart>
      <c:valAx>
        <c:axId val="738564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563784"/>
        <c:crosses val="autoZero"/>
        <c:crossBetween val="midCat"/>
      </c:valAx>
      <c:valAx>
        <c:axId val="7385637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_-;\-&quot;£&quot;* #,##0.0_-;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56414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png"/><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6</xdr:col>
      <xdr:colOff>400050</xdr:colOff>
      <xdr:row>0</xdr:row>
      <xdr:rowOff>38100</xdr:rowOff>
    </xdr:from>
    <xdr:to>
      <xdr:col>11</xdr:col>
      <xdr:colOff>133350</xdr:colOff>
      <xdr:row>5</xdr:row>
      <xdr:rowOff>95250</xdr:rowOff>
    </xdr:to>
    <xdr:pic>
      <xdr:nvPicPr>
        <xdr:cNvPr id="2" name="Picture 1">
          <a:extLst>
            <a:ext uri="{FF2B5EF4-FFF2-40B4-BE49-F238E27FC236}">
              <a16:creationId xmlns:a16="http://schemas.microsoft.com/office/drawing/2014/main" id="{3E186D20-990D-4935-986D-C89A76A9A8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10175" y="38100"/>
          <a:ext cx="2781300" cy="1323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390525</xdr:colOff>
      <xdr:row>0</xdr:row>
      <xdr:rowOff>95249</xdr:rowOff>
    </xdr:from>
    <xdr:to>
      <xdr:col>4</xdr:col>
      <xdr:colOff>38099</xdr:colOff>
      <xdr:row>5</xdr:row>
      <xdr:rowOff>101600</xdr:rowOff>
    </xdr:to>
    <xdr:pic>
      <xdr:nvPicPr>
        <xdr:cNvPr id="2" name="Picture 1">
          <a:extLst>
            <a:ext uri="{FF2B5EF4-FFF2-40B4-BE49-F238E27FC236}">
              <a16:creationId xmlns:a16="http://schemas.microsoft.com/office/drawing/2014/main" id="{6CD8BB84-0AC8-AE97-FEAF-72FE19745E40}"/>
            </a:ext>
          </a:extLst>
        </xdr:cNvPr>
        <xdr:cNvPicPr>
          <a:picLocks noChangeAspect="1"/>
        </xdr:cNvPicPr>
      </xdr:nvPicPr>
      <xdr:blipFill rotWithShape="1">
        <a:blip xmlns:r="http://schemas.openxmlformats.org/officeDocument/2006/relationships" r:embed="rId1"/>
        <a:srcRect t="17276" b="11976"/>
        <a:stretch/>
      </xdr:blipFill>
      <xdr:spPr>
        <a:xfrm>
          <a:off x="3409950" y="95249"/>
          <a:ext cx="2552699" cy="819151"/>
        </a:xfrm>
        <a:prstGeom prst="rect">
          <a:avLst/>
        </a:prstGeom>
      </xdr:spPr>
    </xdr:pic>
    <xdr:clientData/>
  </xdr:twoCellAnchor>
  <xdr:twoCellAnchor>
    <xdr:from>
      <xdr:col>9</xdr:col>
      <xdr:colOff>1294841</xdr:colOff>
      <xdr:row>2</xdr:row>
      <xdr:rowOff>44823</xdr:rowOff>
    </xdr:from>
    <xdr:to>
      <xdr:col>14</xdr:col>
      <xdr:colOff>1703294</xdr:colOff>
      <xdr:row>24</xdr:row>
      <xdr:rowOff>11206</xdr:rowOff>
    </xdr:to>
    <xdr:graphicFrame macro="">
      <xdr:nvGraphicFramePr>
        <xdr:cNvPr id="4" name="Chart 3">
          <a:extLst>
            <a:ext uri="{FF2B5EF4-FFF2-40B4-BE49-F238E27FC236}">
              <a16:creationId xmlns:a16="http://schemas.microsoft.com/office/drawing/2014/main" id="{2DC1EE5F-7D29-4328-A377-7E5CC9B21C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24</xdr:row>
      <xdr:rowOff>56030</xdr:rowOff>
    </xdr:from>
    <xdr:to>
      <xdr:col>14</xdr:col>
      <xdr:colOff>1692088</xdr:colOff>
      <xdr:row>47</xdr:row>
      <xdr:rowOff>0</xdr:rowOff>
    </xdr:to>
    <xdr:graphicFrame macro="">
      <xdr:nvGraphicFramePr>
        <xdr:cNvPr id="6" name="Chart 1">
          <a:extLst>
            <a:ext uri="{FF2B5EF4-FFF2-40B4-BE49-F238E27FC236}">
              <a16:creationId xmlns:a16="http://schemas.microsoft.com/office/drawing/2014/main" id="{916F81C8-7A7D-4610-B443-7055978EC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1299880</xdr:colOff>
      <xdr:row>47</xdr:row>
      <xdr:rowOff>0</xdr:rowOff>
    </xdr:from>
    <xdr:to>
      <xdr:col>15</xdr:col>
      <xdr:colOff>11205</xdr:colOff>
      <xdr:row>70</xdr:row>
      <xdr:rowOff>69850</xdr:rowOff>
    </xdr:to>
    <xdr:graphicFrame macro="">
      <xdr:nvGraphicFramePr>
        <xdr:cNvPr id="7" name="Chart 1">
          <a:extLst>
            <a:ext uri="{FF2B5EF4-FFF2-40B4-BE49-F238E27FC236}">
              <a16:creationId xmlns:a16="http://schemas.microsoft.com/office/drawing/2014/main" id="{1C5994A0-CD4B-4405-B289-B7D5DF01D6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314325</xdr:colOff>
      <xdr:row>40</xdr:row>
      <xdr:rowOff>76199</xdr:rowOff>
    </xdr:from>
    <xdr:to>
      <xdr:col>8</xdr:col>
      <xdr:colOff>1000125</xdr:colOff>
      <xdr:row>63</xdr:row>
      <xdr:rowOff>57150</xdr:rowOff>
    </xdr:to>
    <xdr:graphicFrame macro="">
      <xdr:nvGraphicFramePr>
        <xdr:cNvPr id="3" name="Chart 2">
          <a:extLst>
            <a:ext uri="{FF2B5EF4-FFF2-40B4-BE49-F238E27FC236}">
              <a16:creationId xmlns:a16="http://schemas.microsoft.com/office/drawing/2014/main" id="{4A0F7483-0BF7-40F0-8D21-75C45143C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285749</xdr:colOff>
      <xdr:row>54</xdr:row>
      <xdr:rowOff>4762</xdr:rowOff>
    </xdr:from>
    <xdr:to>
      <xdr:col>12</xdr:col>
      <xdr:colOff>970649</xdr:colOff>
      <xdr:row>70</xdr:row>
      <xdr:rowOff>104775</xdr:rowOff>
    </xdr:to>
    <xdr:graphicFrame macro="">
      <xdr:nvGraphicFramePr>
        <xdr:cNvPr id="2" name="Chart 1">
          <a:extLst>
            <a:ext uri="{FF2B5EF4-FFF2-40B4-BE49-F238E27FC236}">
              <a16:creationId xmlns:a16="http://schemas.microsoft.com/office/drawing/2014/main" id="{17D935BA-31FB-4B7A-86A7-EB225245EF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5748A9-E7B1-464D-8100-C6F76326252D}" name="Heat_connections_input" displayName="Heat_connections_input" ref="C4:R70" totalsRowShown="0" headerRowDxfId="140" dataDxfId="138" headerRowBorderDxfId="139" tableBorderDxfId="137">
  <autoFilter ref="C4:R70" xr:uid="{B6FE6C72-BDC0-4371-A115-FB81062EFD3B}"/>
  <tableColumns count="16">
    <tableColumn id="1" xr3:uid="{1D1637AB-F7EE-4F5B-B223-35E0B0B4FF2E}" name="ID" dataDxfId="136"/>
    <tableColumn id="2" xr3:uid="{45BFAABC-DEE3-41EA-A065-414783AC6488}" name="AnnualDemand" dataDxfId="135"/>
    <tableColumn id="3" xr3:uid="{AEFC8294-A910-4FD0-8A31-F054AF2AD503}" name="PeakDemand" dataDxfId="134"/>
    <tableColumn id="4" xr3:uid="{659C5573-32E8-4741-9D07-B43A06BAA6EB}" name="ConnectionCount" dataDxfId="133"/>
    <tableColumn id="5" xr3:uid="{FB5FAE02-7322-43A0-9565-EFC2230E3BDB}" name="abp_class" dataDxfId="132"/>
    <tableColumn id="6" xr3:uid="{9C28E534-D97B-492F-A3AA-FD29514F92C3}" name="addresses" dataDxfId="131"/>
    <tableColumn id="7" xr3:uid="{5562827E-EEC9-4B3F-90BA-BA9A3CF4BCBE}" name="area_name" dataDxfId="130"/>
    <tableColumn id="8" xr3:uid="{BB162548-905C-44FD-AD25-FAE592D9B808}" name="cibse_category" dataDxfId="129"/>
    <tableColumn id="9" xr3:uid="{E6A92A9B-CCAC-47A9-B6FA-AE13D69084A2}" name="class_desc" dataDxfId="128"/>
    <tableColumn id="10" xr3:uid="{5EB9F6A4-FB39-478B-8631-C4DE53658389}" name="council_tenure" dataDxfId="127"/>
    <tableColumn id="27" xr3:uid="{5476EA85-7CE7-435E-8EF3-0AC811E00EC9}" name="has_community_heating" dataDxfId="126"/>
    <tableColumn id="26" xr3:uid="{CCE3E33B-5170-4BD9-B7B2-8C3AA2DDEE7C}" name="postcode" dataDxfId="125"/>
    <tableColumn id="28" xr3:uid="{AC73E848-13B4-4659-A205-2273C92B3562}" name="site_name" dataDxfId="124"/>
    <tableColumn id="25" xr3:uid="{DE81D936-3206-4C4C-868D-FB5D566CEF3A}" name=" toid " dataDxfId="123"/>
    <tableColumn id="11" xr3:uid="{5B48419B-C345-408C-A5BE-46BA2C08E35E}" name="type" dataDxfId="122"/>
    <tableColumn id="30" xr3:uid="{D1DC94E3-489A-4E11-ACA1-A81BCB334068}" name="unheated" dataDxfId="1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B99C0F3-3F7C-4A32-A868-45CC010084AD}" name="Pipe_data_input" displayName="Pipe_data_input" ref="C4:O1186" totalsRowShown="0" headerRowDxfId="120" dataDxfId="118" headerRowBorderDxfId="119" tableBorderDxfId="117">
  <autoFilter ref="C4:O1186" xr:uid="{DE698728-F579-4EE1-A75A-374FF958E607}"/>
  <tableColumns count="13">
    <tableColumn id="1" xr3:uid="{39F05CE0-4966-4DE7-B2CE-2DDED6F0E66F}" name="ID" dataDxfId="116"/>
    <tableColumn id="2" xr3:uid="{9B96A920-6774-47B1-9784-9BFE923D06EE}" name="Diameter" dataDxfId="115"/>
    <tableColumn id="3" xr3:uid="{E61368A2-15E2-45AA-A5FE-8EDEB90C8A5F}" name="Losses" dataDxfId="114"/>
    <tableColumn id="4" xr3:uid="{4A9B5E8A-1457-4FCC-89C8-D0291E435325}" name="kW" dataDxfId="113"/>
    <tableColumn id="5" xr3:uid="{0ABFD9DB-7216-431F-9F09-6E0F5F8DCC0A}" name="Length" dataDxfId="112"/>
    <tableColumn id="6" xr3:uid="{DD09D166-45C9-473D-A8D8-34B30B1B4FED}" name="Surface" dataDxfId="111"/>
    <tableColumn id="7" xr3:uid="{89428C01-D33F-4330-9F3F-8F3C25EDA4E9}" name="Diversity" dataDxfId="110"/>
    <tableColumn id="13" xr3:uid="{92CC5128-61B0-4413-A9F4-A2C0844291B2}" name="Category" dataDxfId="109"/>
    <tableColumn id="12" xr3:uid="{B76EFCC0-4C13-4B78-B9A6-7EE5D6532983}" name="area_fid" dataDxfId="108"/>
    <tableColumn id="8" xr3:uid="{FB97C3DD-A5C5-4691-AD14-1C85AAEEE10B}" name="area_name" dataDxfId="107"/>
    <tableColumn id="9" xr3:uid="{C082AB43-C329-48B5-9959-0EFA3624B15D}" name="cost_category" dataDxfId="106"/>
    <tableColumn id="16" xr3:uid="{6CF75867-6041-44BC-A5E1-5A5F1BAF463F}" name="form" dataDxfId="105"/>
    <tableColumn id="15" xr3:uid="{0A969BCB-0C73-48B6-B466-6EED3249B6DE}" name="hierarchy" dataDxfId="10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D80FD2-820B-45CC-85AD-CF36532ABB03}" name="Heat_supplies_input" displayName="Heat_supplies_input" ref="C5:Q29" totalsRowShown="0" headerRowDxfId="103" dataDxfId="101" headerRowBorderDxfId="102" tableBorderDxfId="100">
  <autoFilter ref="C5:Q29" xr:uid="{3D5FD672-2E61-498E-803E-76B7F297F479}"/>
  <tableColumns count="15">
    <tableColumn id="1" xr3:uid="{E09E72AA-8F11-4BED-A692-89BE809EC60B}" name="ID" dataDxfId="99"/>
    <tableColumn id="5" xr3:uid="{F04AD458-3D8F-4323-BA44-75B00E450203}" name="AnnualOutput" dataDxfId="98"/>
    <tableColumn id="2" xr3:uid="{4D733056-2AF5-47DD-BA37-BB36FEFA6EB8}" name="PeakOutput" dataDxfId="97"/>
    <tableColumn id="3" xr3:uid="{DE417852-1652-4C02-ABB1-C48F1D8494F9}" name="capacity_kwh" dataDxfId="96"/>
    <tableColumn id="6" xr3:uid="{F1326B2E-B9EC-4974-9612-5576A589BC70}" name="capacity_kwp" dataDxfId="95"/>
    <tableColumn id="10" xr3:uid="{22BB7DB3-8532-48D3-A612-D6525FF2805F}" name="capex_fixed" dataDxfId="94"/>
    <tableColumn id="9" xr3:uid="{E6A4EB43-E97C-4AFC-B675-5454B0D7677B}" name="capex_per_kwp" dataDxfId="93"/>
    <tableColumn id="8" xr3:uid="{CC92BACA-1D75-461A-9B4C-0F7E8AAA8EB7}" name="description" dataDxfId="92"/>
    <tableColumn id="7" xr3:uid="{051E2788-A71C-4571-8485-08022333E174}" name="is_supply" dataDxfId="91"/>
    <tableColumn id="4" xr3:uid="{97453088-41D8-4487-8797-F780CBDBC586}" name="name" dataDxfId="90"/>
    <tableColumn id="11" xr3:uid="{5D614DC9-75BB-4269-928A-BDFC790272AB}" name="opex_fixed" dataDxfId="89"/>
    <tableColumn id="12" xr3:uid="{6FBB7C1B-2EE2-4E2A-BEDB-26E1C456D2B0}" name="opex_per_kwh" dataDxfId="88"/>
    <tableColumn id="13" xr3:uid="{A0E24CAA-C47F-4FF1-99C6-DD6F3489B286}" name="opex_per_kwp" dataDxfId="87"/>
    <tableColumn id="14" xr3:uid="{C068269A-BB9E-4095-A252-5FF296551C7E}" name="source_temperature" dataDxfId="86"/>
    <tableColumn id="15" xr3:uid="{5CF74B90-F279-4A04-81E0-C60C22B76F2A}" name="type" dataDxfId="8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FE6C72-BDC0-4371-A115-FB81062EFD3B}" name="Heat_connections" displayName="Heat_connections" ref="C4:AD242" totalsRowShown="0" headerRowDxfId="84" dataDxfId="83" tableBorderDxfId="82">
  <autoFilter ref="C4:AD242" xr:uid="{B6FE6C72-BDC0-4371-A115-FB81062EFD3B}"/>
  <tableColumns count="28">
    <tableColumn id="1" xr3:uid="{C999897C-4DD6-4D2F-9F83-18680A4DAA3F}" name="Ref" dataDxfId="81">
      <calculatedColumnFormula array="1">IFERROR(_xlfn.XLOOKUP($C$3,Heat_connections_input[#Headers],Heat_connections_input[#This Row],0,0,),"-")</calculatedColumnFormula>
    </tableColumn>
    <tableColumn id="2" xr3:uid="{34D9F76A-DD96-46FB-A56D-E16A32593C3D}" name="TOID" dataDxfId="80">
      <calculatedColumnFormula array="1">IFERROR(_xlfn.XLOOKUP($D$3,Heat_connections_input[#Headers],Heat_connections_input[#This Row],0,0,),"-")</calculatedColumnFormula>
    </tableColumn>
    <tableColumn id="3" xr3:uid="{C64E5AA1-93C9-4C18-B648-42F40B83B937}" name="Category" dataDxfId="79">
      <calculatedColumnFormula array="1">IFERROR(_xlfn.XLOOKUP($E$3,Heat_connections_input[#Headers],Heat_connections_input[#This Row],0,0,),"-")</calculatedColumnFormula>
    </tableColumn>
    <tableColumn id="4" xr3:uid="{19AAB8DC-2821-410A-976F-487F75A56F0D}" name="Annual Demand, kWh" dataDxfId="78">
      <calculatedColumnFormula array="1">IFERROR(_xlfn.XLOOKUP($F$3,Heat_connections_input[#Headers],Heat_connections_input[#This Row],0,0,),0)</calculatedColumnFormula>
    </tableColumn>
    <tableColumn id="5" xr3:uid="{01A7E2B2-E99D-4274-AED1-14BBBAAB820E}" name="Peak Demand, kW" dataDxfId="77" dataCellStyle="Comma">
      <calculatedColumnFormula array="1">IFERROR(_xlfn.XLOOKUP($G$3,Heat_connections_input[#Headers],Heat_connections_input[#This Row],0,0,),0)</calculatedColumnFormula>
    </tableColumn>
    <tableColumn id="6" xr3:uid="{65CE81E2-9268-4AAD-A425-E88CD97F1922}" name="No. of connections" dataDxfId="76" dataCellStyle="Comma">
      <calculatedColumnFormula array="1">IFERROR(_xlfn.XLOOKUP($H$3,Heat_connections_input[#Headers],Heat_connections_input[#This Row],0,0,),0)</calculatedColumnFormula>
    </tableColumn>
    <tableColumn id="7" xr3:uid="{A3FCFAFE-4830-4949-BE28-C0EB05808F80}" name="Building class" dataDxfId="75" dataCellStyle="Comma">
      <calculatedColumnFormula array="1">IFERROR(_xlfn.XLOOKUP($I$3,Heat_connections_input[#Headers],Heat_connections_input[#This Row],0,0,),"-")</calculatedColumnFormula>
    </tableColumn>
    <tableColumn id="25" xr3:uid="{ECF8EA96-2817-44FE-A088-D90EEDB01A1D}" name="Postcode" dataDxfId="74" dataCellStyle="Comma">
      <calculatedColumnFormula array="1">IFERROR(_xlfn.XLOOKUP($J$3,Heat_connections_input[#Headers],Heat_connections_input[#This Row],0,0,1),"-")</calculatedColumnFormula>
    </tableColumn>
    <tableColumn id="8" xr3:uid="{22802A8B-A189-4846-A4FE-A3D02DB2F9CD}" name="Existing/planned development" dataDxfId="73"/>
    <tableColumn id="9" xr3:uid="{E61E741F-EFA1-4D4B-AD03-31C773CB63B4}" name="End of model ouput" dataDxfId="72"/>
    <tableColumn id="10" xr3:uid="{D5F22BBA-E2FE-4E9A-9032-435C0ABCE912}" name="Phase" dataDxfId="71"/>
    <tableColumn id="11" xr3:uid="{E8BEDF36-FC99-4893-8305-CBF0EA79D378}" name="Connected to heat network" dataDxfId="70"/>
    <tableColumn id="12" xr3:uid="{4CA27B04-2B7E-4688-A072-E9905B73BAA0}" name="Connection year" dataDxfId="69">
      <calculatedColumnFormula>IF(Heat_connections[[#This Row],[Ref]]&lt;&gt;"-",
IF(M5=1,Dashboard!$C$26,IF(M5=2,Dashboard!$C$27,Dashboard!$C$28)),"-")</calculatedColumnFormula>
    </tableColumn>
    <tableColumn id="26" xr3:uid="{924ACC08-F43F-4EE8-9863-C768BD119EFB}" name="Number of residential connections" dataDxfId="68" dataCellStyle="Comma">
      <calculatedColumnFormula>IF(Heat_connections[[#This Row],[Category]]="Domestic",Heat_connections[[#This Row],[No. of connections]],0)</calculatedColumnFormula>
    </tableColumn>
    <tableColumn id="27" xr3:uid="{DF96ABCE-0985-461C-9C00-003C7F3A4DC8}" name="Number of commerical connections" dataDxfId="67" dataCellStyle="Comma">
      <calculatedColumnFormula>IF(Heat_connections[[#This Row],[Category]]&lt;&gt;"Domestic",Heat_connections[[#This Row],[No. of connections]],0)</calculatedColumnFormula>
    </tableColumn>
    <tableColumn id="13" xr3:uid="{8D368ED6-4514-41E1-AC04-4D91A1013E9E}" name="Cost of heat overwrite, £" dataDxfId="66"/>
    <tableColumn id="14" xr3:uid="{CFA839FA-A963-456A-8834-5A4E155DD7CB}" name="Cost of heat, p/kWh" dataDxfId="65" dataCellStyle="Comma">
      <calculatedColumnFormula>IF(Heat_connections[[#This Row],[TOID]]&lt;&gt;"-",
IF(ISBLANK('Heat connections'!$R5),Dashboard!$C$14,'Heat connections'!$R5),0)</calculatedColumnFormula>
    </tableColumn>
    <tableColumn id="15" xr3:uid="{2719EAA5-1BDB-46F4-BC7D-B0DF547B2193}" name="Connection charge/avoided cost, £" dataDxfId="64" dataCellStyle="Comma">
      <calculatedColumnFormula>IF(Heat_connections[[#This Row],[Peak Demand, kW]]&lt;&gt;0,'Heat connections'!$G5*Dashboard!$C$21,0)</calculatedColumnFormula>
    </tableColumn>
    <tableColumn id="16" xr3:uid="{159419A1-7C28-4BAF-A5CF-0091505D272D}" name="2nd side improvement cost, £" dataDxfId="63">
      <calculatedColumnFormula>IF(Heat_connections[[#This Row],[Ref]]&lt;&gt;"-",48.436*Heat_connections[[#This Row],[Peak Demand, kW]]+1068.7,0)</calculatedColumnFormula>
    </tableColumn>
    <tableColumn id="17" xr3:uid="{17F6C0A1-D9F8-4CAE-88DF-A75525623F4B}" name="Substation cost, £" dataDxfId="62" dataCellStyle="Currency">
      <calculatedColumnFormula>IF(Heat_connections[[#This Row],[Ref]]&lt;&gt;"-",
_xlfn.XLOOKUP('Heat connections'!$G5,'Technical inputs'!$F$79:$F$94,'Technical inputs'!$I$79:$I$94,0,1,1),0)</calculatedColumnFormula>
    </tableColumn>
    <tableColumn id="18" xr3:uid="{A137395E-8BD0-444E-980E-D4421B970E21}" name="Residential flag" dataDxfId="61">
      <calculatedColumnFormula>IF('Heat connections'!$E5="Domestic",1,0)</calculatedColumnFormula>
    </tableColumn>
    <tableColumn id="19" xr3:uid="{39864F4D-0925-4592-85F7-97AF42481590}" name="Commercial flag" dataDxfId="60">
      <calculatedColumnFormula>IF(AND(Heat_connections[[#This Row],[Ref]]&lt;&gt;"-",'Heat connections'!$E5&lt;&gt;"Domestic"),1,0)</calculatedColumnFormula>
    </tableColumn>
    <tableColumn id="20" xr3:uid="{21DF3A8F-5500-4907-9C54-482FE6935E57}" name="Industrial flag" dataDxfId="59"/>
    <tableColumn id="31" xr3:uid="{D653B2DB-9DFF-42C3-8F2E-50F9DB8433DB}" name="Development flag" dataDxfId="58">
      <calculatedColumnFormula>IF(Heat_connections[[#This Row],[Existing/planned development]]&lt;&gt;0,1,0)</calculatedColumnFormula>
    </tableColumn>
    <tableColumn id="21" xr3:uid="{C7AC0259-8538-4371-ADC5-EEB4E161E9CD}" name="Phase 1 flag" dataDxfId="57">
      <calculatedColumnFormula>IF('Heat connections'!$M5=1,1,0)</calculatedColumnFormula>
    </tableColumn>
    <tableColumn id="22" xr3:uid="{FF6E116F-8AED-49E6-B835-81B5717936FE}" name="Phase 2 flag" dataDxfId="56">
      <calculatedColumnFormula>IF('Heat connections'!$M5=2,1,0)</calculatedColumnFormula>
    </tableColumn>
    <tableColumn id="23" xr3:uid="{3DC43C7C-0231-4B32-A754-D6F6B64FF7CC}" name="Phase 3 flag" dataDxfId="55">
      <calculatedColumnFormula>IF('Heat connections'!$M5=3,1,0)</calculatedColumnFormula>
    </tableColumn>
    <tableColumn id="24" xr3:uid="{5F77B889-5E1B-41FC-A63E-314C22B0C60E}" name="Connected to network" dataDxfId="54">
      <calculatedColumnFormula>IF(AND(Heat_connections[[#This Row],[Connected to heat network]]="Yes",Heat_connections[[#This Row],[Ref]]&lt;&gt;"-"),"Yes","No")</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698728-F579-4EE1-A75A-374FF958E607}" name="Pipe_data" displayName="Pipe_data" ref="C5:R165" totalsRowShown="0" headerRowDxfId="53" dataDxfId="51" headerRowBorderDxfId="52" tableBorderDxfId="50">
  <autoFilter ref="C5:R165" xr:uid="{DE698728-F579-4EE1-A75A-374FF958E607}"/>
  <tableColumns count="16">
    <tableColumn id="1" xr3:uid="{89C79375-B12D-4D36-ABF8-92E9A3513702}" name="ID" dataDxfId="49">
      <calculatedColumnFormula array="1">_xlfn.XLOOKUP(C$4,Pipe_data_input[#Headers],'Pipe data inputs'!C5:O5,0,0,)</calculatedColumnFormula>
    </tableColumn>
    <tableColumn id="2" xr3:uid="{677F41A0-08AA-410F-9BA2-EC3C8971C4B3}" name="Length" dataDxfId="48" dataCellStyle="Comma">
      <calculatedColumnFormula array="1">_xlfn.XLOOKUP(D$4,Pipe_data_input[#Headers],'Pipe data inputs'!C5:O5,0,0,)</calculatedColumnFormula>
    </tableColumn>
    <tableColumn id="3" xr3:uid="{81DD8145-3E9B-4FEA-94C0-CFF76D1BC65C}" name="Surface" dataDxfId="47">
      <calculatedColumnFormula array="1">_xlfn.XLOOKUP(E$4,Pipe_data_input[#Headers],'Pipe data inputs'!C5:O5,0,0,)</calculatedColumnFormula>
    </tableColumn>
    <tableColumn id="4" xr3:uid="{094FF738-848E-4A7E-B8D5-A7AEE7F01CEF}" name="Nominal Diameter" dataDxfId="46">
      <calculatedColumnFormula array="1">_xlfn.XLOOKUP(F$4,Pipe_data_input[#Headers],'Pipe data inputs'!C5:O5,0,0,)</calculatedColumnFormula>
    </tableColumn>
    <tableColumn id="5" xr3:uid="{16CDA998-3218-4F82-8A12-D200831E9130}" name="Losses (kWh/y)" dataDxfId="45" dataCellStyle="Comma">
      <calculatedColumnFormula array="1">_xlfn.XLOOKUP(G$4,Pipe_data_input[#Headers],'Pipe data inputs'!C5:O5,0,0,)</calculatedColumnFormula>
    </tableColumn>
    <tableColumn id="6" xr3:uid="{8E48BFDB-3914-4FAB-A8D5-42CAA81E4478}" name="Delivered Power, kW" dataDxfId="44" dataCellStyle="Comma">
      <calculatedColumnFormula array="1">_xlfn.XLOOKUP(H$4,Pipe_data_input[#Headers],'Pipe data inputs'!C5:O5,0,0,)</calculatedColumnFormula>
    </tableColumn>
    <tableColumn id="7" xr3:uid="{8280696E-9A0A-48EA-802F-B929F20EF9F2}" name="Delivered demand, kWh/y" dataDxfId="43">
      <calculatedColumnFormula array="1">_xlfn.XLOOKUP(I$4,Pipe_data_input[#Headers],'Pipe data inputs'!C5:O5,0,0,)</calculatedColumnFormula>
    </tableColumn>
    <tableColumn id="13" xr3:uid="{0FF7F9BE-7A3F-4F9B-B711-6316BE8B4881}" name="Number of buildings downstream" dataDxfId="42">
      <calculatedColumnFormula array="1">_xlfn.XLOOKUP(J$4,Pipe_data_input[#Headers],'Pipe data inputs'!C5:O5,0,0,)</calculatedColumnFormula>
    </tableColumn>
    <tableColumn id="12" xr3:uid="{88986684-CF47-4AC9-8272-8238C342641B}" name="Number of connected users downstream" dataDxfId="41">
      <calculatedColumnFormula array="1">_xlfn.XLOOKUP(K$4,Pipe_data_input[#Headers],'Pipe data inputs'!C5:O5,0,0,)</calculatedColumnFormula>
    </tableColumn>
    <tableColumn id="8" xr3:uid="{AC6CA5C8-00A5-4612-9A63-4310A29683D5}" name="Connected buildings ID" dataDxfId="40">
      <calculatedColumnFormula array="1">_xlfn.XLOOKUP(L$4,Pipe_data_input[#Headers],'Pipe data inputs'!C5:O5,0,0,)</calculatedColumnFormula>
    </tableColumn>
    <tableColumn id="9" xr3:uid="{F5F6B212-C94A-4B93-932E-B79B884947F8}" name="Assumed diversity from model" dataDxfId="39" dataCellStyle="Comma">
      <calculatedColumnFormula array="1">_xlfn.XLOOKUP(M$4,Pipe_data_input[#Headers],'Pipe data inputs'!C5:O5,0,0,)</calculatedColumnFormula>
    </tableColumn>
    <tableColumn id="10" xr3:uid="{7599D949-B282-4C9E-A350-D9EFF2E3A82D}" name="End of model ouput" dataDxfId="38"/>
    <tableColumn id="11" xr3:uid="{E0991A22-32B0-4E7D-8487-966B03EC5D52}" name="Tag" dataDxfId="37">
      <calculatedColumnFormula>IF(Pipe_data[[#This Row],[ID]]&gt;0, IF(Pipe_data[[#This Row],[Assumed diversity from model]]=1, "Feed", "Main"), "-" )</calculatedColumnFormula>
    </tableColumn>
    <tableColumn id="21" xr3:uid="{952C36C0-E018-4D45-BA90-9B032A98674E}" name="Phase overwrite" dataDxfId="36"/>
    <tableColumn id="14" xr3:uid="{1535D1DA-EF9B-47A0-8A2D-2AA6A6F77D82}" name="Phase" dataDxfId="35">
      <calculatedColumnFormula>IF(Pipe_data[[#This Row],[Phase overwrite]]&gt;0,Pipe_data[[#This Row],[Phase overwrite]],
IF(Pipe_data[[#This Row],[Tag]]="Feed",
_xlfn.XLOOKUP(Pipe_data[[#This Row],[Connected buildings ID]],'Heat connections'!$D$5:$D$242,'Heat connections'!$M$5:$M$242,1,0,1),1))</calculatedColumnFormula>
    </tableColumn>
    <tableColumn id="20" xr3:uid="{F667CCF5-34A7-4DA8-B125-D2D01DBF39A5}" name="Network cost, £" dataDxfId="34">
      <calculatedColumnFormula>IF(Pipe_data[[#This Row],[Surface]]="Hard (Default)",
_xlfn.XLOOKUP(Pipe_data[[#This Row],[Nominal Diameter]],'Technical inputs'!$B$79:$B$100,'Technical inputs'!$C$79:$C$100,0,0,1),
_xlfn.XLOOKUP(Pipe_data[[#This Row],[Nominal Diameter]],'Technical inputs'!$B$79:$B$100,'Technical inputs'!$D$79:$D$100,0,0,1)) * Pipe_data[[#This Row],[Length]]</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5FD672-2E61-498E-803E-76B7F297F479}" name="Heat_supplies" displayName="Heat_supplies" ref="C5:AC29" totalsRowShown="0" headerRowDxfId="33" dataDxfId="31" headerRowBorderDxfId="32" tableBorderDxfId="30">
  <autoFilter ref="C5:AC29" xr:uid="{3D5FD672-2E61-498E-803E-76B7F297F479}"/>
  <tableColumns count="27">
    <tableColumn id="1" xr3:uid="{07260424-5D26-4EEA-BB7B-C75FAD39E713}" name="ID" dataDxfId="29" dataCellStyle="Comma">
      <calculatedColumnFormula array="1">_xlfn.XLOOKUP(C$4,Heat_supplies_input[#Headers],Heat_supplies_input[#This Row],0,0,)</calculatedColumnFormula>
    </tableColumn>
    <tableColumn id="5" xr3:uid="{060FFF6A-5F98-4B0C-BD42-937ABD18F4D0}" name="Technology type" dataDxfId="28" dataCellStyle="Comma">
      <calculatedColumnFormula array="1">_xlfn.XLOOKUP(D$4,Heat_supplies_input[#Headers],Heat_supplies_input[#This Row],0,0,)</calculatedColumnFormula>
    </tableColumn>
    <tableColumn id="17" xr3:uid="{ECAC2E8B-DB8D-4389-BDE8-5D1B7DB2F273}" name="EC name" dataDxfId="27" dataCellStyle="Comma">
      <calculatedColumnFormula array="1">_xlfn.XLOOKUP(E$4,Heat_supplies_input[#Headers],Heat_supplies_input[#This Row],0,0,)</calculatedColumnFormula>
    </tableColumn>
    <tableColumn id="16" xr3:uid="{FC0517F7-25CB-4174-9C86-132D946598CA}" name="Technology capacity, kW" dataDxfId="26" dataCellStyle="Comma">
      <calculatedColumnFormula array="1">_xlfn.XLOOKUP(F$4,Heat_supplies_input[#Headers],Heat_supplies_input[#This Row],0,0,)</calculatedColumnFormula>
    </tableColumn>
    <tableColumn id="2" xr3:uid="{8E1CA60F-4946-4549-9464-B3EA178EEC0B}" name="kWh/yr output, incl losses" dataDxfId="25" dataCellStyle="Comma">
      <calculatedColumnFormula array="1">_xlfn.XLOOKUP(G$4,Heat_supplies_input[#Headers],Heat_supplies_input[#This Row],0,0,)</calculatedColumnFormula>
    </tableColumn>
    <tableColumn id="3" xr3:uid="{7FB5F215-8D91-4CF5-B451-5F38F5D021AD}" name="Output T, °C" dataDxfId="24" dataCellStyle="Comma">
      <calculatedColumnFormula array="1">_xlfn.XLOOKUP(H$4,Heat_supplies_input[#Headers],Heat_supplies_input[#This Row],0,0,)</calculatedColumnFormula>
    </tableColumn>
    <tableColumn id="6" xr3:uid="{088FA7FF-6B2D-4E2A-B3C4-67B0E4D85B20}" name="Capex, fixed" dataDxfId="23" dataCellStyle="Comma">
      <calculatedColumnFormula array="1">_xlfn.XLOOKUP(I$4,Heat_supplies_input[#Headers],Heat_supplies_input[#This Row],0,0,)</calculatedColumnFormula>
    </tableColumn>
    <tableColumn id="10" xr3:uid="{161AD70C-90A6-493B-9C6F-9B05A1C0A8EC}" name="Capex, per kWp" dataDxfId="22" dataCellStyle="Comma">
      <calculatedColumnFormula array="1">_xlfn.XLOOKUP(J$4,Heat_supplies_input[#Headers],Heat_supplies_input[#This Row],0,0,)</calculatedColumnFormula>
    </tableColumn>
    <tableColumn id="9" xr3:uid="{4419FAA7-3FB3-4B94-83AF-6E77B7572948}" name="Opex, fixed" dataDxfId="21" dataCellStyle="Comma">
      <calculatedColumnFormula array="1">_xlfn.XLOOKUP(K$4,Heat_supplies_input[#Headers],Heat_supplies_input[#This Row],0,0,)</calculatedColumnFormula>
    </tableColumn>
    <tableColumn id="8" xr3:uid="{BC542941-5107-49B2-B11A-15A8C15E9A55}" name="Opex, per kWp" dataDxfId="20" dataCellStyle="Comma">
      <calculatedColumnFormula array="1">_xlfn.XLOOKUP(L$4,Heat_supplies_input[#Headers],Heat_supplies_input[#This Row],0,0,)</calculatedColumnFormula>
    </tableColumn>
    <tableColumn id="7" xr3:uid="{C1FA69D2-2DBB-44C4-A17C-97E909B9EBCE}" name="Opex, per kWh" dataDxfId="19" dataCellStyle="Comma">
      <calculatedColumnFormula array="1">_xlfn.XLOOKUP(M$4,Heat_supplies_input[#Headers],Heat_supplies_input[#This Row],"",0,)</calculatedColumnFormula>
    </tableColumn>
    <tableColumn id="4" xr3:uid="{703DD405-6964-4343-AE73-D745B597245D}" name="System capacity" dataDxfId="18" dataCellStyle="Comma">
      <calculatedColumnFormula array="1">_xlfn.XLOOKUP(N$4,Heat_supplies_input[#Headers],Heat_supplies_input[#This Row],0,0,)</calculatedColumnFormula>
    </tableColumn>
    <tableColumn id="11" xr3:uid="{3811329C-02B9-48C7-9CB2-8A36DA42B482}" name="End of model" dataDxfId="17" dataCellStyle="Comma"/>
    <tableColumn id="12" xr3:uid="{EFAFFB5A-EC63-4BD9-A17C-4956E76879D9}" name="Phase" dataDxfId="16" dataCellStyle="Comma"/>
    <tableColumn id="13" xr3:uid="{EDD9B5E6-3784-4E14-9262-D82F03A2B4F3}" name="Fixed Opex, per kW (total)" dataDxfId="15" dataCellStyle="Comma">
      <calculatedColumnFormula>Heat_supplies[[#This Row],[Technology capacity, kW]]*Heat_supplies[[#This Row],[Opex, per kWp]]</calculatedColumnFormula>
    </tableColumn>
    <tableColumn id="14" xr3:uid="{0971A742-4380-454D-BC7F-AE12129729FB}" name="Variable Opex, per kWh (total)" dataDxfId="14" dataCellStyle="Comma">
      <calculatedColumnFormula>Heat_supplies[[#This Row],[Opex, per kWh]]*Heat_supplies[[#This Row],[kWh/yr output, incl losses]]</calculatedColumnFormula>
    </tableColumn>
    <tableColumn id="15" xr3:uid="{D3D07922-78DD-4426-B6FA-75DD9C49E332}" name="Capex, per kW (Total)" dataDxfId="13" dataCellStyle="Comma">
      <calculatedColumnFormula>Heat_supplies[[#This Row],[Capex, per kWp]]*Heat_supplies[[#This Row],[Technology capacity, kW]]</calculatedColumnFormula>
    </tableColumn>
    <tableColumn id="19" xr3:uid="{1F0CDD8F-050F-4D41-A419-14BDF539E18F}" name="Phase 1 flag" dataDxfId="12" dataCellStyle="Comma">
      <calculatedColumnFormula>IF(Heat_supplies[[#This Row],[Phase]]=1,1,"")</calculatedColumnFormula>
    </tableColumn>
    <tableColumn id="20" xr3:uid="{4B150EA5-187B-488B-98EB-68D4793CE930}" name="Phase 2 flag" dataDxfId="11" dataCellStyle="Comma">
      <calculatedColumnFormula>IF(Heat_supplies[[#This Row],[Phase]]=2,1,0)</calculatedColumnFormula>
    </tableColumn>
    <tableColumn id="21" xr3:uid="{08B67AED-8B8A-44C7-A54A-4D0216AF6A25}" name="Phase 3 flag" dataDxfId="10" dataCellStyle="Comma">
      <calculatedColumnFormula>IF(Heat_supplies[[#This Row],[Phase]]=3,1,0)</calculatedColumnFormula>
    </tableColumn>
    <tableColumn id="18" xr3:uid="{255AEFA3-1305-4C4B-B22A-44F7D2CA755C}" name="Phase 1 ranking" dataDxfId="9" dataCellStyle="Comma">
      <calculatedColumnFormula>IF(Heat_supplies[[#This Row],[Phase 1 flag]]=1,Heat_supplies[[#This Row],[Opex, per kWh]]/$W$4,"")</calculatedColumnFormula>
    </tableColumn>
    <tableColumn id="26" xr3:uid="{D03F90B1-A988-4990-B105-38259C78B38E}" name="Phase 2 ranking" dataDxfId="8" dataCellStyle="Comma">
      <calculatedColumnFormula>IF(OR(Heat_supplies[[#This Row],[Phase 2 flag]]=1,Heat_supplies[[#This Row],[Phase 1 flag]]=1),Heat_supplies[[#This Row],[Opex, per kWh]]/$W$4,"")</calculatedColumnFormula>
    </tableColumn>
    <tableColumn id="27" xr3:uid="{E675731B-907E-485D-94C1-D69C57CC9F82}" name="Phase 3 ranking" dataDxfId="7" dataCellStyle="Comma">
      <calculatedColumnFormula>IF(OR(Heat_supplies[[#This Row],[Phase 3 flag]]=1,Heat_supplies[[#This Row],[Phase 2 flag]]=1,Heat_supplies[[#This Row],[Phase 1 flag]]=1),Heat_supplies[[#This Row],[Opex, per kWh]]/$W$4,"")</calculatedColumnFormula>
    </tableColumn>
    <tableColumn id="22" xr3:uid="{1BF375E1-D51F-4A7B-89F1-AD3F195ECF3A}" name="Phase 1 priority" dataDxfId="6" dataCellStyle="Comma">
      <calculatedColumnFormula>IFERROR(RANK(Heat_supplies[[#This Row],[Phase 1 ranking]],Heat_supplies[Phase 1 ranking],1)+COUNTIF($W$6:W6,W6)-1,"-")</calculatedColumnFormula>
    </tableColumn>
    <tableColumn id="25" xr3:uid="{EFA949BD-9B3B-445E-B49D-27737B6EC0AF}" name="Phase 2 priority" dataDxfId="5" dataCellStyle="Comma">
      <calculatedColumnFormula>IFERROR(RANK(Heat_supplies[[#This Row],[Phase 2 ranking]],Heat_supplies[Phase 2 ranking],1)+COUNTIF($X$6:X6,X6)-1,"-")</calculatedColumnFormula>
    </tableColumn>
    <tableColumn id="30" xr3:uid="{89FF78F1-A926-4767-B6EA-F37E8B4876C2}" name="Phase 3 priority" dataDxfId="4" dataCellStyle="Comma">
      <calculatedColumnFormula>IFERROR(RANK(Heat_supplies[[#This Row],[Phase 3 ranking]],Heat_supplies[Phase 3 ranking],1)+COUNTIF($Y$6:Y6,Y6)-1,"-")</calculatedColumnFormula>
    </tableColumn>
    <tableColumn id="23" xr3:uid="{D15A243A-7F0C-4BA0-A7C2-D90E2250331D}" name="CoP" dataDxfId="3">
      <calculatedColumnFormula>13/(Heat_supplies[[#This Row],[Opex, per kWh]]*100)</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hyperlink" Target="https://www.gov.uk/government/collections/energy-and-emissions-projec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4D1D2-0FFB-4241-B869-3FB07AE301FB}">
  <dimension ref="B2:E12"/>
  <sheetViews>
    <sheetView workbookViewId="0"/>
  </sheetViews>
  <sheetFormatPr defaultColWidth="9.140625" defaultRowHeight="12.75" x14ac:dyDescent="0.2"/>
  <cols>
    <col min="1" max="1" width="4.140625" style="11" customWidth="1"/>
    <col min="2" max="2" width="29.7109375" style="11" customWidth="1"/>
    <col min="3" max="4" width="19.140625" style="11" customWidth="1"/>
    <col min="5" max="5" width="38.7109375" style="11" customWidth="1"/>
    <col min="6" max="6" width="19.140625" style="11" customWidth="1"/>
    <col min="7" max="16384" width="9.140625" style="11"/>
  </cols>
  <sheetData>
    <row r="2" spans="2:5" ht="13.5" thickBot="1" x14ac:dyDescent="0.25"/>
    <row r="3" spans="2:5" x14ac:dyDescent="0.2">
      <c r="B3" s="36" t="s">
        <v>0</v>
      </c>
      <c r="C3" s="37" t="s">
        <v>1</v>
      </c>
    </row>
    <row r="4" spans="2:5" x14ac:dyDescent="0.2">
      <c r="B4" s="38" t="s">
        <v>2</v>
      </c>
      <c r="C4" s="39" t="s">
        <v>8</v>
      </c>
    </row>
    <row r="5" spans="2:5" ht="13.5" thickBot="1" x14ac:dyDescent="0.25">
      <c r="B5" s="40" t="s">
        <v>3</v>
      </c>
      <c r="C5" s="41">
        <v>45100</v>
      </c>
    </row>
    <row r="8" spans="2:5" x14ac:dyDescent="0.2">
      <c r="B8" s="42" t="s">
        <v>4</v>
      </c>
      <c r="C8" s="42" t="s">
        <v>5</v>
      </c>
      <c r="D8" s="42" t="s">
        <v>6</v>
      </c>
      <c r="E8" s="43" t="s">
        <v>7</v>
      </c>
    </row>
    <row r="9" spans="2:5" x14ac:dyDescent="0.2">
      <c r="B9" s="44" t="s">
        <v>8</v>
      </c>
      <c r="C9" s="45">
        <v>45065</v>
      </c>
      <c r="D9" s="46" t="s">
        <v>410</v>
      </c>
    </row>
    <row r="10" spans="2:5" x14ac:dyDescent="0.2">
      <c r="B10" s="44" t="s">
        <v>9</v>
      </c>
      <c r="C10" s="45">
        <v>45100</v>
      </c>
      <c r="D10" s="46" t="s">
        <v>410</v>
      </c>
    </row>
    <row r="11" spans="2:5" x14ac:dyDescent="0.2">
      <c r="B11" s="44"/>
      <c r="C11" s="45"/>
      <c r="D11" s="46"/>
    </row>
    <row r="12" spans="2:5" x14ac:dyDescent="0.2">
      <c r="B12" s="4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B7C85C-E174-4770-9F39-A259E28C1240}">
  <dimension ref="A1:BI92"/>
  <sheetViews>
    <sheetView workbookViewId="0">
      <selection sqref="A1:B1"/>
    </sheetView>
  </sheetViews>
  <sheetFormatPr defaultRowHeight="15" x14ac:dyDescent="0.25"/>
  <cols>
    <col min="2" max="2" width="33.7109375" customWidth="1"/>
  </cols>
  <sheetData>
    <row r="1" spans="1:61" x14ac:dyDescent="0.25">
      <c r="A1" s="534"/>
      <c r="B1" s="544"/>
      <c r="C1" s="502"/>
      <c r="D1" s="502"/>
      <c r="E1" s="502"/>
      <c r="F1" s="192"/>
      <c r="G1" s="192"/>
      <c r="H1" s="192"/>
      <c r="I1" s="192"/>
      <c r="J1" s="192"/>
      <c r="K1" s="192"/>
      <c r="L1" s="192"/>
      <c r="M1" s="192"/>
      <c r="N1" s="192"/>
      <c r="O1" s="192"/>
      <c r="P1" s="192"/>
      <c r="Q1" s="192"/>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row>
    <row r="2" spans="1:61" ht="39.75" customHeight="1" x14ac:dyDescent="0.25">
      <c r="A2" s="192"/>
      <c r="B2" s="505" t="s">
        <v>10</v>
      </c>
      <c r="C2" s="545" t="s">
        <v>2112</v>
      </c>
      <c r="D2" s="545"/>
      <c r="E2" s="546"/>
      <c r="F2" s="192"/>
      <c r="G2" s="192"/>
      <c r="H2" s="192"/>
      <c r="I2" s="192"/>
      <c r="J2" s="192"/>
      <c r="K2" s="192"/>
      <c r="L2" s="192"/>
      <c r="M2" s="192"/>
      <c r="N2" s="192"/>
      <c r="O2" s="192"/>
      <c r="P2" s="192"/>
      <c r="Q2" s="192"/>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row>
    <row r="3" spans="1:61" x14ac:dyDescent="0.25">
      <c r="A3" s="192"/>
      <c r="B3" s="503" t="s">
        <v>11</v>
      </c>
      <c r="C3" s="536">
        <v>2116</v>
      </c>
      <c r="D3" s="536"/>
      <c r="E3" s="537"/>
      <c r="F3" s="192"/>
      <c r="G3" s="192"/>
      <c r="H3" s="192"/>
      <c r="I3" s="192"/>
      <c r="J3" s="192"/>
      <c r="K3" s="192"/>
      <c r="L3" s="192"/>
      <c r="M3" s="192"/>
      <c r="N3" s="192"/>
      <c r="O3" s="192"/>
      <c r="P3" s="192"/>
      <c r="Q3" s="192"/>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row>
    <row r="4" spans="1:61" x14ac:dyDescent="0.25">
      <c r="A4" s="192"/>
      <c r="B4" s="503" t="s">
        <v>12</v>
      </c>
      <c r="C4" s="536" t="s">
        <v>2111</v>
      </c>
      <c r="D4" s="536"/>
      <c r="E4" s="537"/>
      <c r="F4" s="192"/>
      <c r="G4" s="192"/>
      <c r="H4" s="192"/>
      <c r="I4" s="192"/>
      <c r="J4" s="192"/>
      <c r="K4" s="192"/>
      <c r="L4" s="192"/>
      <c r="M4" s="192"/>
      <c r="N4" s="192"/>
      <c r="O4" s="192"/>
      <c r="P4" s="192"/>
      <c r="Q4" s="192"/>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row>
    <row r="5" spans="1:61" x14ac:dyDescent="0.25">
      <c r="A5" s="192"/>
      <c r="B5" s="503" t="s">
        <v>13</v>
      </c>
      <c r="C5" s="536" t="s">
        <v>2113</v>
      </c>
      <c r="D5" s="536"/>
      <c r="E5" s="537"/>
      <c r="F5" s="192"/>
      <c r="G5" s="192"/>
      <c r="H5" s="192"/>
      <c r="I5" s="192"/>
      <c r="J5" s="192"/>
      <c r="K5" s="192"/>
      <c r="L5" s="192"/>
      <c r="M5" s="192"/>
      <c r="N5" s="192"/>
      <c r="O5" s="192"/>
      <c r="P5" s="192"/>
      <c r="Q5" s="192"/>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row r="6" spans="1:61" x14ac:dyDescent="0.25">
      <c r="A6" s="192"/>
      <c r="B6" s="503" t="s">
        <v>14</v>
      </c>
      <c r="C6" s="542" t="s">
        <v>410</v>
      </c>
      <c r="D6" s="542"/>
      <c r="E6" s="543"/>
      <c r="F6" s="192"/>
      <c r="G6" s="192"/>
      <c r="H6" s="192"/>
      <c r="I6" s="192"/>
      <c r="J6" s="192"/>
      <c r="K6" s="192"/>
      <c r="L6" s="192"/>
      <c r="M6" s="192"/>
      <c r="N6" s="192"/>
      <c r="O6" s="192"/>
      <c r="P6" s="192"/>
      <c r="Q6" s="192"/>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row>
    <row r="7" spans="1:61" x14ac:dyDescent="0.25">
      <c r="A7" s="192"/>
      <c r="B7" s="503" t="s">
        <v>15</v>
      </c>
      <c r="C7" s="536"/>
      <c r="D7" s="536"/>
      <c r="E7" s="537"/>
      <c r="F7" s="192"/>
      <c r="G7" s="192"/>
      <c r="H7" s="192"/>
      <c r="I7" s="192"/>
      <c r="J7" s="192"/>
      <c r="K7" s="192"/>
      <c r="L7" s="192"/>
      <c r="M7" s="192"/>
      <c r="N7" s="192"/>
      <c r="O7" s="192"/>
      <c r="P7" s="192"/>
      <c r="Q7" s="192"/>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row>
    <row r="8" spans="1:61" x14ac:dyDescent="0.25">
      <c r="A8" s="192"/>
      <c r="B8" s="503" t="s">
        <v>16</v>
      </c>
      <c r="C8" s="536"/>
      <c r="D8" s="536"/>
      <c r="E8" s="537"/>
      <c r="F8" s="192"/>
      <c r="G8" s="192"/>
      <c r="H8" s="192"/>
      <c r="I8" s="192"/>
      <c r="J8" s="192"/>
      <c r="K8" s="192"/>
      <c r="L8" s="192"/>
      <c r="M8" s="192"/>
      <c r="N8" s="192"/>
      <c r="O8" s="192"/>
      <c r="P8" s="192"/>
      <c r="Q8" s="192"/>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row>
    <row r="9" spans="1:61" x14ac:dyDescent="0.25">
      <c r="A9" s="192"/>
      <c r="B9" s="503" t="s">
        <v>0</v>
      </c>
      <c r="C9" s="536" t="s">
        <v>17</v>
      </c>
      <c r="D9" s="536"/>
      <c r="E9" s="537"/>
      <c r="F9" s="192"/>
      <c r="G9" s="192"/>
      <c r="H9" s="192"/>
      <c r="I9" s="192"/>
      <c r="J9" s="192"/>
      <c r="K9" s="192"/>
      <c r="L9" s="192"/>
      <c r="M9" s="192"/>
      <c r="N9" s="192"/>
      <c r="O9" s="192"/>
      <c r="P9" s="192"/>
      <c r="Q9" s="192"/>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row>
    <row r="10" spans="1:61" x14ac:dyDescent="0.25">
      <c r="A10" s="192"/>
      <c r="B10" s="503" t="s">
        <v>18</v>
      </c>
      <c r="C10" s="536" t="s">
        <v>9</v>
      </c>
      <c r="D10" s="536"/>
      <c r="E10" s="537"/>
      <c r="F10" s="192"/>
      <c r="G10" s="192"/>
      <c r="H10" s="192"/>
      <c r="I10" s="192"/>
      <c r="J10" s="192"/>
      <c r="K10" s="192"/>
      <c r="L10" s="192"/>
      <c r="M10" s="192"/>
      <c r="N10" s="192"/>
      <c r="O10" s="192"/>
      <c r="P10" s="192"/>
      <c r="Q10" s="192"/>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row>
    <row r="11" spans="1:61" x14ac:dyDescent="0.25">
      <c r="A11" s="192"/>
      <c r="B11" s="504" t="s">
        <v>19</v>
      </c>
      <c r="C11" s="538">
        <v>45100</v>
      </c>
      <c r="D11" s="539"/>
      <c r="E11" s="540"/>
      <c r="F11" s="192"/>
      <c r="G11" s="192"/>
      <c r="H11" s="192"/>
      <c r="I11" s="192"/>
      <c r="J11" s="192"/>
      <c r="K11" s="192"/>
      <c r="L11" s="192"/>
      <c r="M11" s="192"/>
      <c r="N11" s="192"/>
      <c r="O11" s="192"/>
      <c r="P11" s="192"/>
      <c r="Q11" s="192"/>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row>
    <row r="12" spans="1:61" x14ac:dyDescent="0.25">
      <c r="A12" s="534"/>
      <c r="B12" s="534"/>
      <c r="C12" s="192"/>
      <c r="D12" s="192"/>
      <c r="E12" s="192"/>
      <c r="F12" s="192"/>
      <c r="G12" s="192"/>
      <c r="H12" s="192"/>
      <c r="I12" s="192"/>
      <c r="J12" s="192"/>
      <c r="K12" s="192"/>
      <c r="L12" s="192"/>
      <c r="M12" s="192"/>
      <c r="N12" s="192"/>
      <c r="O12" s="192"/>
      <c r="P12" s="192"/>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row>
    <row r="13" spans="1:61" x14ac:dyDescent="0.25">
      <c r="A13" s="2"/>
      <c r="B13" s="2" t="s">
        <v>20</v>
      </c>
      <c r="C13" s="2"/>
      <c r="D13" s="2"/>
      <c r="E13" s="2"/>
      <c r="F13" s="2"/>
      <c r="G13" s="2"/>
      <c r="H13" s="2"/>
      <c r="I13" s="2"/>
      <c r="J13" s="2"/>
      <c r="K13" s="2"/>
      <c r="L13" s="2"/>
      <c r="M13" s="2"/>
      <c r="N13" s="2"/>
      <c r="O13" s="2"/>
      <c r="P13" s="2"/>
      <c r="Q13" s="2"/>
      <c r="R13" s="2"/>
      <c r="S13" s="2"/>
      <c r="T13" s="2"/>
      <c r="U13" s="2"/>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row>
    <row r="14" spans="1:61" x14ac:dyDescent="0.25">
      <c r="A14" s="534"/>
      <c r="B14" s="534"/>
      <c r="C14" s="192"/>
      <c r="D14" s="192"/>
      <c r="E14" s="192"/>
      <c r="F14" s="192"/>
      <c r="G14" s="192"/>
      <c r="H14" s="192"/>
      <c r="I14" s="192"/>
      <c r="J14" s="192"/>
      <c r="K14" s="192"/>
      <c r="L14" s="192"/>
      <c r="M14" s="192"/>
      <c r="N14" s="192"/>
      <c r="O14" s="192"/>
      <c r="P14" s="192"/>
      <c r="Q14" s="192"/>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row>
    <row r="15" spans="1:61" x14ac:dyDescent="0.25">
      <c r="A15" s="192"/>
      <c r="B15" s="532" t="s">
        <v>21</v>
      </c>
      <c r="C15" s="532"/>
      <c r="D15" s="532"/>
      <c r="E15" s="532"/>
      <c r="F15" s="532"/>
      <c r="G15" s="532"/>
      <c r="H15" s="532"/>
      <c r="I15" s="532"/>
      <c r="J15" s="532"/>
      <c r="K15" s="532"/>
      <c r="L15" s="192"/>
      <c r="M15" s="192"/>
      <c r="N15" s="192"/>
      <c r="O15" s="192"/>
      <c r="P15" s="192"/>
      <c r="Q15" s="192"/>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row>
    <row r="16" spans="1:61" x14ac:dyDescent="0.25">
      <c r="A16" s="192"/>
      <c r="B16" s="536"/>
      <c r="C16" s="536"/>
      <c r="D16" s="536"/>
      <c r="E16" s="536"/>
      <c r="F16" s="536"/>
      <c r="G16" s="536"/>
      <c r="H16" s="536"/>
      <c r="I16" s="536"/>
      <c r="J16" s="536"/>
      <c r="K16" s="536"/>
      <c r="L16" s="192"/>
      <c r="M16" s="192"/>
      <c r="N16" s="192"/>
      <c r="O16" s="192"/>
      <c r="P16" s="192"/>
      <c r="Q16" s="192"/>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row>
    <row r="17" spans="1:61" x14ac:dyDescent="0.25">
      <c r="A17" s="192"/>
      <c r="B17" s="541" t="s">
        <v>22</v>
      </c>
      <c r="C17" s="541"/>
      <c r="D17" s="541"/>
      <c r="E17" s="541"/>
      <c r="F17" s="541"/>
      <c r="G17" s="541"/>
      <c r="H17" s="541"/>
      <c r="I17" s="541"/>
      <c r="J17" s="541"/>
      <c r="K17" s="541"/>
      <c r="L17" s="192"/>
      <c r="M17" s="192"/>
      <c r="N17" s="192"/>
      <c r="O17" s="192"/>
      <c r="P17" s="192"/>
      <c r="Q17" s="192"/>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row>
    <row r="18" spans="1:61" x14ac:dyDescent="0.25">
      <c r="A18" s="192"/>
      <c r="B18" s="536"/>
      <c r="C18" s="536"/>
      <c r="D18" s="536"/>
      <c r="E18" s="536"/>
      <c r="F18" s="536"/>
      <c r="G18" s="536"/>
      <c r="H18" s="536"/>
      <c r="I18" s="536"/>
      <c r="J18" s="536"/>
      <c r="K18" s="536"/>
      <c r="L18" s="192"/>
      <c r="M18" s="192"/>
      <c r="N18" s="192"/>
      <c r="O18" s="192"/>
      <c r="P18" s="192"/>
      <c r="Q18" s="192"/>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row>
    <row r="19" spans="1:61" x14ac:dyDescent="0.25">
      <c r="A19" s="192"/>
      <c r="B19" s="532" t="s">
        <v>23</v>
      </c>
      <c r="C19" s="532"/>
      <c r="D19" s="532"/>
      <c r="E19" s="532"/>
      <c r="F19" s="532"/>
      <c r="G19" s="532"/>
      <c r="H19" s="532"/>
      <c r="I19" s="532"/>
      <c r="J19" s="532"/>
      <c r="K19" s="532"/>
      <c r="L19" s="192"/>
      <c r="M19" s="192"/>
      <c r="N19" s="192"/>
      <c r="O19" s="192"/>
      <c r="P19" s="192"/>
      <c r="Q19" s="192"/>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row>
    <row r="20" spans="1:61" x14ac:dyDescent="0.25">
      <c r="A20" s="192"/>
      <c r="B20" s="192"/>
      <c r="C20" s="193"/>
      <c r="D20" s="193"/>
      <c r="E20" s="193"/>
      <c r="F20" s="193"/>
      <c r="G20" s="193"/>
      <c r="H20" s="193"/>
      <c r="I20" s="193"/>
      <c r="J20" s="193"/>
      <c r="K20" s="193"/>
      <c r="L20" s="192"/>
      <c r="M20" s="192"/>
      <c r="N20" s="192"/>
      <c r="O20" s="192"/>
      <c r="P20" s="192"/>
      <c r="Q20" s="192"/>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row>
    <row r="21" spans="1:61" x14ac:dyDescent="0.25">
      <c r="A21" s="192"/>
      <c r="B21" s="531" t="s">
        <v>24</v>
      </c>
      <c r="C21" s="532"/>
      <c r="D21" s="532"/>
      <c r="E21" s="532"/>
      <c r="F21" s="532"/>
      <c r="G21" s="532"/>
      <c r="H21" s="532"/>
      <c r="I21" s="532"/>
      <c r="J21" s="532"/>
      <c r="K21" s="532"/>
      <c r="L21" s="192"/>
      <c r="M21" s="192"/>
      <c r="N21" s="192"/>
      <c r="O21" s="192"/>
      <c r="P21" s="192"/>
      <c r="Q21" s="192"/>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row>
    <row r="22" spans="1:61" ht="28.5" customHeight="1" x14ac:dyDescent="0.25">
      <c r="A22" s="192"/>
      <c r="B22" s="533" t="s">
        <v>2114</v>
      </c>
      <c r="C22" s="533"/>
      <c r="D22" s="533"/>
      <c r="E22" s="533"/>
      <c r="F22" s="533"/>
      <c r="G22" s="533"/>
      <c r="H22" s="533"/>
      <c r="I22" s="533"/>
      <c r="J22" s="533"/>
      <c r="K22" s="533"/>
      <c r="L22" s="192"/>
      <c r="M22" s="192"/>
      <c r="N22" s="192"/>
      <c r="O22" s="192"/>
      <c r="P22" s="192"/>
      <c r="Q22" s="192"/>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row>
    <row r="23" spans="1:61" x14ac:dyDescent="0.25">
      <c r="A23" s="534"/>
      <c r="B23" s="534"/>
      <c r="C23" s="192"/>
      <c r="D23" s="192"/>
      <c r="E23" s="192"/>
      <c r="F23" s="192"/>
      <c r="G23" s="192"/>
      <c r="H23" s="192"/>
      <c r="I23" s="192"/>
      <c r="J23" s="192"/>
      <c r="K23" s="192"/>
      <c r="L23" s="192"/>
      <c r="M23" s="192"/>
      <c r="N23" s="192"/>
      <c r="O23" s="192"/>
      <c r="P23" s="192"/>
      <c r="Q23" s="192"/>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row>
    <row r="24" spans="1:61" x14ac:dyDescent="0.25">
      <c r="A24" s="2"/>
      <c r="B24" s="2" t="s">
        <v>25</v>
      </c>
      <c r="C24" s="2"/>
      <c r="D24" s="2"/>
      <c r="E24" s="2"/>
      <c r="F24" s="2"/>
      <c r="G24" s="2"/>
      <c r="H24" s="2"/>
      <c r="I24" s="2"/>
      <c r="J24" s="2"/>
      <c r="K24" s="2"/>
      <c r="L24" s="2"/>
      <c r="M24" s="2"/>
      <c r="N24" s="2"/>
      <c r="O24" s="2"/>
      <c r="P24" s="2"/>
      <c r="Q24" s="2"/>
      <c r="R24" s="2"/>
      <c r="S24" s="2"/>
      <c r="T24" s="2"/>
      <c r="U24" s="2"/>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x14ac:dyDescent="0.25">
      <c r="A25" s="534"/>
      <c r="B25" s="534"/>
      <c r="C25" s="192"/>
      <c r="D25" s="192"/>
      <c r="E25" s="192"/>
      <c r="F25" s="192"/>
      <c r="G25" s="192"/>
      <c r="H25" s="192"/>
      <c r="I25" s="192"/>
      <c r="J25" s="192"/>
      <c r="K25" s="192"/>
      <c r="L25" s="192"/>
      <c r="M25" s="192"/>
      <c r="N25" s="192"/>
      <c r="O25" s="192"/>
      <c r="P25" s="192"/>
      <c r="Q25" s="192"/>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x14ac:dyDescent="0.25">
      <c r="A26" s="192"/>
      <c r="B26" s="3" t="s">
        <v>26</v>
      </c>
      <c r="C26" s="192"/>
      <c r="D26" s="192"/>
      <c r="E26" s="192"/>
      <c r="F26" s="192"/>
      <c r="G26" s="192"/>
      <c r="H26" s="192"/>
      <c r="I26" s="192"/>
      <c r="J26" s="192"/>
      <c r="K26" s="192"/>
      <c r="L26" s="192"/>
      <c r="M26" s="192"/>
      <c r="N26" s="192"/>
      <c r="O26" s="192"/>
      <c r="P26" s="192"/>
      <c r="Q26" s="192"/>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x14ac:dyDescent="0.25">
      <c r="A27" s="192"/>
      <c r="B27" s="4" t="s">
        <v>27</v>
      </c>
      <c r="C27" s="4"/>
      <c r="D27" s="4"/>
      <c r="E27" s="4"/>
      <c r="F27" s="4"/>
      <c r="G27" s="4"/>
      <c r="H27" s="4"/>
      <c r="I27" s="4"/>
      <c r="J27" s="4"/>
      <c r="K27" s="4"/>
      <c r="L27" s="192"/>
      <c r="M27" s="192"/>
      <c r="N27" s="192"/>
      <c r="O27" s="192"/>
      <c r="P27" s="192"/>
      <c r="Q27" s="192"/>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x14ac:dyDescent="0.25">
      <c r="A28" s="192"/>
      <c r="B28" s="4"/>
      <c r="C28" s="4"/>
      <c r="D28" s="4"/>
      <c r="E28" s="4"/>
      <c r="F28" s="4"/>
      <c r="G28" s="4"/>
      <c r="H28" s="4"/>
      <c r="I28" s="4"/>
      <c r="J28" s="4"/>
      <c r="K28" s="4"/>
      <c r="L28" s="192"/>
      <c r="M28" s="192"/>
      <c r="N28" s="192"/>
      <c r="O28" s="192"/>
      <c r="P28" s="192"/>
      <c r="Q28" s="192"/>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x14ac:dyDescent="0.25">
      <c r="A29" s="192"/>
      <c r="B29" s="4" t="s">
        <v>28</v>
      </c>
      <c r="C29" s="195"/>
      <c r="D29" s="195"/>
      <c r="E29" s="195"/>
      <c r="F29" s="195"/>
      <c r="G29" s="195"/>
      <c r="H29" s="195"/>
      <c r="I29" s="195"/>
      <c r="J29" s="195"/>
      <c r="K29" s="195"/>
      <c r="L29" s="192"/>
      <c r="M29" s="192"/>
      <c r="N29" s="192"/>
      <c r="O29" s="192"/>
      <c r="P29" s="192"/>
      <c r="Q29" s="192"/>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x14ac:dyDescent="0.25">
      <c r="A30" s="192"/>
      <c r="B30" s="4"/>
      <c r="C30" s="195"/>
      <c r="D30" s="195"/>
      <c r="E30" s="195"/>
      <c r="F30" s="195"/>
      <c r="G30" s="195"/>
      <c r="H30" s="195"/>
      <c r="I30" s="195"/>
      <c r="J30" s="195"/>
      <c r="K30" s="195"/>
      <c r="L30" s="192"/>
      <c r="M30" s="192"/>
      <c r="N30" s="192"/>
      <c r="O30" s="192"/>
      <c r="P30" s="192"/>
      <c r="Q30" s="192"/>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x14ac:dyDescent="0.25">
      <c r="A31" s="192"/>
      <c r="B31" s="4" t="s">
        <v>29</v>
      </c>
      <c r="C31" s="195"/>
      <c r="D31" s="195"/>
      <c r="E31" s="195"/>
      <c r="F31" s="195"/>
      <c r="G31" s="195"/>
      <c r="H31" s="195"/>
      <c r="I31" s="195"/>
      <c r="J31" s="195"/>
      <c r="K31" s="195"/>
      <c r="L31" s="192"/>
      <c r="M31" s="192"/>
      <c r="N31" s="192"/>
      <c r="O31" s="192"/>
      <c r="P31" s="192"/>
      <c r="Q31" s="192"/>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x14ac:dyDescent="0.25">
      <c r="A32" s="192"/>
      <c r="B32" s="4"/>
      <c r="C32" s="195"/>
      <c r="D32" s="195"/>
      <c r="E32" s="195"/>
      <c r="F32" s="195"/>
      <c r="G32" s="195"/>
      <c r="H32" s="195"/>
      <c r="I32" s="195"/>
      <c r="J32" s="195"/>
      <c r="K32" s="195"/>
      <c r="L32" s="192"/>
      <c r="M32" s="192"/>
      <c r="N32" s="192"/>
      <c r="O32" s="192"/>
      <c r="P32" s="192"/>
      <c r="Q32" s="192"/>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x14ac:dyDescent="0.25">
      <c r="A33" s="192"/>
      <c r="B33" s="4"/>
      <c r="C33" s="195"/>
      <c r="D33" s="195"/>
      <c r="E33" s="195"/>
      <c r="F33" s="195"/>
      <c r="G33" s="195"/>
      <c r="H33" s="195"/>
      <c r="I33" s="195"/>
      <c r="J33" s="195"/>
      <c r="K33" s="195"/>
      <c r="L33" s="192"/>
      <c r="M33" s="192"/>
      <c r="N33" s="192"/>
      <c r="O33" s="192"/>
      <c r="P33" s="192"/>
      <c r="Q33" s="192"/>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x14ac:dyDescent="0.25">
      <c r="A34" s="192"/>
      <c r="B34" s="5" t="s">
        <v>30</v>
      </c>
      <c r="C34" s="5"/>
      <c r="D34" s="5"/>
      <c r="E34" s="5"/>
      <c r="F34" s="5"/>
      <c r="G34" s="5"/>
      <c r="H34" s="5"/>
      <c r="I34" s="5"/>
      <c r="J34" s="5"/>
      <c r="K34" s="5"/>
      <c r="L34" s="192"/>
      <c r="M34" s="192"/>
      <c r="N34" s="192"/>
      <c r="O34" s="192"/>
      <c r="P34" s="192"/>
      <c r="Q34" s="192"/>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x14ac:dyDescent="0.25">
      <c r="A35" s="192"/>
      <c r="B35" s="3"/>
      <c r="C35" s="192" t="s">
        <v>31</v>
      </c>
      <c r="D35" s="192"/>
      <c r="E35" s="192"/>
      <c r="F35" s="192"/>
      <c r="G35" s="192"/>
      <c r="H35" s="192"/>
      <c r="I35" s="192"/>
      <c r="J35" s="192"/>
      <c r="K35" s="192"/>
      <c r="L35" s="192"/>
      <c r="M35" s="192"/>
      <c r="N35" s="192"/>
      <c r="O35" s="192"/>
      <c r="P35" s="192"/>
      <c r="Q35" s="192"/>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x14ac:dyDescent="0.25">
      <c r="A36" s="192"/>
      <c r="B36" s="4"/>
      <c r="C36" s="4" t="s">
        <v>32</v>
      </c>
      <c r="D36" s="4"/>
      <c r="E36" s="4"/>
      <c r="F36" s="4"/>
      <c r="G36" s="4"/>
      <c r="H36" s="4"/>
      <c r="I36" s="4"/>
      <c r="J36" s="4"/>
      <c r="K36" s="4"/>
      <c r="L36" s="192"/>
      <c r="M36" s="192"/>
      <c r="N36" s="192"/>
      <c r="O36" s="192"/>
      <c r="P36" s="192"/>
      <c r="Q36" s="192"/>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row>
    <row r="37" spans="1:61" x14ac:dyDescent="0.25">
      <c r="A37" s="192"/>
      <c r="B37" s="4"/>
      <c r="C37" s="4" t="s">
        <v>33</v>
      </c>
      <c r="D37" s="4"/>
      <c r="E37" s="4"/>
      <c r="F37" s="4"/>
      <c r="G37" s="4"/>
      <c r="H37" s="4"/>
      <c r="I37" s="4"/>
      <c r="J37" s="4"/>
      <c r="K37" s="4"/>
      <c r="L37" s="192"/>
      <c r="M37" s="192"/>
      <c r="N37" s="192"/>
      <c r="O37" s="192"/>
      <c r="P37" s="192"/>
      <c r="Q37" s="192"/>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row>
    <row r="38" spans="1:61" x14ac:dyDescent="0.25">
      <c r="A38" s="192"/>
      <c r="B38" s="4"/>
      <c r="C38" s="4" t="s">
        <v>34</v>
      </c>
      <c r="D38" s="4"/>
      <c r="E38" s="4"/>
      <c r="F38" s="4"/>
      <c r="G38" s="4"/>
      <c r="H38" s="4"/>
      <c r="I38" s="4"/>
      <c r="J38" s="4"/>
      <c r="K38" s="4"/>
      <c r="L38" s="192"/>
      <c r="M38" s="192"/>
      <c r="N38" s="192"/>
      <c r="O38" s="192"/>
      <c r="P38" s="192"/>
      <c r="Q38" s="192"/>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row>
    <row r="39" spans="1:61" x14ac:dyDescent="0.25">
      <c r="A39" s="192"/>
      <c r="B39" s="4"/>
      <c r="C39" s="4" t="s">
        <v>35</v>
      </c>
      <c r="D39" s="195"/>
      <c r="E39" s="195"/>
      <c r="F39" s="195"/>
      <c r="G39" s="195"/>
      <c r="H39" s="195"/>
      <c r="I39" s="195"/>
      <c r="J39" s="195"/>
      <c r="K39" s="195"/>
      <c r="L39" s="192"/>
      <c r="M39" s="192"/>
      <c r="N39" s="192"/>
      <c r="O39" s="192"/>
      <c r="P39" s="192"/>
      <c r="Q39" s="192"/>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row>
    <row r="40" spans="1:61" x14ac:dyDescent="0.25">
      <c r="A40" s="192"/>
      <c r="B40" s="192"/>
      <c r="C40" s="4" t="s">
        <v>36</v>
      </c>
      <c r="D40" s="192"/>
      <c r="E40" s="192"/>
      <c r="F40" s="192"/>
      <c r="G40" s="192"/>
      <c r="H40" s="192"/>
      <c r="I40" s="192"/>
      <c r="J40" s="192"/>
      <c r="K40" s="192"/>
      <c r="L40" s="192"/>
      <c r="M40" s="192"/>
      <c r="N40" s="192"/>
      <c r="O40" s="192"/>
      <c r="P40" s="192"/>
      <c r="Q40" s="192"/>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row>
    <row r="41" spans="1:61" x14ac:dyDescent="0.25">
      <c r="A41" s="192"/>
      <c r="B41" s="192"/>
      <c r="C41" s="4" t="s">
        <v>37</v>
      </c>
      <c r="D41" s="192"/>
      <c r="E41" s="192"/>
      <c r="F41" s="192"/>
      <c r="G41" s="192"/>
      <c r="H41" s="192"/>
      <c r="I41" s="192"/>
      <c r="J41" s="192"/>
      <c r="K41" s="192"/>
      <c r="L41" s="192"/>
      <c r="M41" s="192"/>
      <c r="N41" s="192"/>
      <c r="O41" s="192"/>
      <c r="P41" s="192"/>
      <c r="Q41" s="192"/>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x14ac:dyDescent="0.25">
      <c r="A42" s="192"/>
      <c r="B42" s="192"/>
      <c r="C42" s="192" t="s">
        <v>38</v>
      </c>
      <c r="D42" s="192"/>
      <c r="E42" s="192"/>
      <c r="F42" s="192"/>
      <c r="G42" s="192"/>
      <c r="H42" s="192"/>
      <c r="I42" s="192"/>
      <c r="J42" s="192"/>
      <c r="K42" s="192"/>
      <c r="L42" s="192"/>
      <c r="M42" s="192"/>
      <c r="N42" s="192"/>
      <c r="O42" s="192"/>
      <c r="P42" s="192"/>
      <c r="Q42" s="192"/>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x14ac:dyDescent="0.25">
      <c r="A43" s="1"/>
      <c r="B43" s="1"/>
      <c r="C43" s="192" t="s">
        <v>39</v>
      </c>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x14ac:dyDescent="0.25">
      <c r="A44" s="1"/>
      <c r="B44" s="1"/>
      <c r="C44" s="1" t="s">
        <v>40</v>
      </c>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row>
    <row r="45" spans="1:61" x14ac:dyDescent="0.25">
      <c r="A45" s="1"/>
      <c r="B45" s="1"/>
      <c r="C45" s="1" t="s">
        <v>41</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x14ac:dyDescent="0.25">
      <c r="A47" s="1"/>
      <c r="B47" s="3"/>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x14ac:dyDescent="0.25">
      <c r="A48" s="2"/>
      <c r="B48" s="6" t="s">
        <v>42</v>
      </c>
      <c r="C48" s="2"/>
      <c r="D48" s="2"/>
      <c r="E48" s="2"/>
      <c r="F48" s="2"/>
      <c r="G48" s="2"/>
      <c r="H48" s="2"/>
      <c r="I48" s="2"/>
      <c r="J48" s="2"/>
      <c r="K48" s="2"/>
      <c r="L48" s="2"/>
      <c r="M48" s="2"/>
      <c r="N48" s="2"/>
      <c r="O48" s="2"/>
      <c r="P48" s="2"/>
      <c r="Q48" s="2"/>
      <c r="R48" s="2"/>
      <c r="S48" s="2"/>
      <c r="T48" s="2"/>
      <c r="U48" s="2"/>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row r="49" spans="1:61" x14ac:dyDescent="0.25">
      <c r="A49" s="1"/>
      <c r="B49" s="7"/>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row>
    <row r="50" spans="1:61" x14ac:dyDescent="0.25">
      <c r="A50" s="1"/>
      <c r="B50" s="1" t="s">
        <v>43</v>
      </c>
      <c r="C50" s="535" t="s">
        <v>44</v>
      </c>
      <c r="D50" s="535"/>
      <c r="E50" s="535"/>
      <c r="F50" s="535"/>
      <c r="G50" s="535"/>
      <c r="H50" s="535"/>
      <c r="I50" s="535"/>
      <c r="J50" s="535"/>
      <c r="K50" s="535"/>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x14ac:dyDescent="0.25">
      <c r="A51" s="1"/>
      <c r="B51" s="1" t="s">
        <v>45</v>
      </c>
      <c r="C51" s="530" t="s">
        <v>46</v>
      </c>
      <c r="D51" s="530"/>
      <c r="E51" s="530"/>
      <c r="F51" s="530"/>
      <c r="G51" s="530"/>
      <c r="H51" s="530"/>
      <c r="I51" s="530"/>
      <c r="J51" s="530"/>
      <c r="K51" s="530"/>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spans="1:61" x14ac:dyDescent="0.25">
      <c r="A52" s="1"/>
      <c r="B52" s="1" t="s">
        <v>47</v>
      </c>
      <c r="C52" s="194" t="s">
        <v>48</v>
      </c>
      <c r="D52" s="194"/>
      <c r="E52" s="194"/>
      <c r="F52" s="194"/>
      <c r="G52" s="194"/>
      <c r="H52" s="194"/>
      <c r="I52" s="194"/>
      <c r="J52" s="194"/>
      <c r="K52" s="194"/>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row>
    <row r="53" spans="1:61" x14ac:dyDescent="0.25">
      <c r="A53" s="1"/>
      <c r="B53" s="1" t="s">
        <v>49</v>
      </c>
      <c r="C53" s="530" t="s">
        <v>50</v>
      </c>
      <c r="D53" s="530"/>
      <c r="E53" s="530"/>
      <c r="F53" s="530"/>
      <c r="G53" s="530"/>
      <c r="H53" s="530"/>
      <c r="I53" s="530"/>
      <c r="J53" s="530"/>
      <c r="K53" s="530"/>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x14ac:dyDescent="0.25">
      <c r="A54" s="1"/>
      <c r="B54" s="1" t="s">
        <v>51</v>
      </c>
      <c r="C54" s="530" t="s">
        <v>52</v>
      </c>
      <c r="D54" s="530"/>
      <c r="E54" s="530"/>
      <c r="F54" s="530"/>
      <c r="G54" s="530"/>
      <c r="H54" s="530"/>
      <c r="I54" s="530"/>
      <c r="J54" s="530"/>
      <c r="K54" s="530"/>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x14ac:dyDescent="0.25">
      <c r="A55" s="1"/>
      <c r="B55" s="1" t="s">
        <v>53</v>
      </c>
      <c r="C55" s="530" t="s">
        <v>54</v>
      </c>
      <c r="D55" s="530"/>
      <c r="E55" s="530"/>
      <c r="F55" s="530"/>
      <c r="G55" s="530"/>
      <c r="H55" s="530"/>
      <c r="I55" s="530"/>
      <c r="J55" s="530"/>
      <c r="K55" s="530"/>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x14ac:dyDescent="0.25">
      <c r="A56" s="1"/>
      <c r="B56" s="1"/>
      <c r="C56" s="194"/>
      <c r="D56" s="194"/>
      <c r="E56" s="194"/>
      <c r="F56" s="194"/>
      <c r="G56" s="194"/>
      <c r="H56" s="194"/>
      <c r="I56" s="194"/>
      <c r="J56" s="194"/>
      <c r="K56" s="194"/>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x14ac:dyDescent="0.25">
      <c r="A57" s="6"/>
      <c r="B57" s="6" t="s">
        <v>55</v>
      </c>
      <c r="C57" s="2"/>
      <c r="D57" s="2"/>
      <c r="E57" s="2"/>
      <c r="F57" s="2"/>
      <c r="G57" s="2"/>
      <c r="H57" s="2"/>
      <c r="I57" s="2"/>
      <c r="J57" s="2"/>
      <c r="K57" s="2"/>
      <c r="L57" s="2"/>
      <c r="M57" s="2"/>
      <c r="N57" s="2"/>
      <c r="O57" s="2"/>
      <c r="P57" s="2"/>
      <c r="Q57" s="2"/>
      <c r="R57" s="2"/>
      <c r="S57" s="2"/>
      <c r="T57" s="2"/>
      <c r="U57" s="2"/>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row>
    <row r="58" spans="1:6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row>
    <row r="59" spans="1:61" x14ac:dyDescent="0.25">
      <c r="A59" s="1"/>
      <c r="B59" s="1" t="s">
        <v>56</v>
      </c>
      <c r="C59" s="194" t="s">
        <v>57</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x14ac:dyDescent="0.25">
      <c r="A60" s="1"/>
      <c r="B60" s="1" t="s">
        <v>58</v>
      </c>
      <c r="C60" s="194" t="s">
        <v>59</v>
      </c>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x14ac:dyDescent="0.25">
      <c r="A61" s="1"/>
      <c r="B61" s="1" t="s">
        <v>60</v>
      </c>
      <c r="C61" s="194" t="s">
        <v>61</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row>
    <row r="62" spans="1:61" x14ac:dyDescent="0.25">
      <c r="A62" s="1"/>
      <c r="B62" s="1" t="s">
        <v>62</v>
      </c>
      <c r="C62" s="194" t="s">
        <v>63</v>
      </c>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x14ac:dyDescent="0.25">
      <c r="A63" s="1"/>
      <c r="B63" s="1" t="s">
        <v>64</v>
      </c>
      <c r="C63" s="194" t="s">
        <v>65</v>
      </c>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x14ac:dyDescent="0.25">
      <c r="A64" s="1"/>
      <c r="B64" s="1" t="s">
        <v>66</v>
      </c>
      <c r="C64" s="194" t="s">
        <v>67</v>
      </c>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row>
    <row r="65" spans="1:61" x14ac:dyDescent="0.25">
      <c r="A65" s="1"/>
      <c r="B65" s="1" t="s">
        <v>68</v>
      </c>
      <c r="C65" s="194" t="s">
        <v>69</v>
      </c>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x14ac:dyDescent="0.25">
      <c r="A66" s="1"/>
      <c r="B66" s="1" t="s">
        <v>70</v>
      </c>
      <c r="C66" s="194" t="s">
        <v>71</v>
      </c>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x14ac:dyDescent="0.25">
      <c r="A67" s="1"/>
      <c r="B67" s="1" t="s">
        <v>72</v>
      </c>
      <c r="C67" s="1" t="s">
        <v>53</v>
      </c>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row>
    <row r="69" spans="1:6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x14ac:dyDescent="0.25">
      <c r="A70" s="8"/>
      <c r="B70" s="9" t="s">
        <v>73</v>
      </c>
      <c r="C70" s="8"/>
      <c r="D70" s="8"/>
      <c r="E70" s="8"/>
      <c r="F70" s="8"/>
      <c r="G70" s="8"/>
      <c r="H70" s="8"/>
      <c r="I70" s="8"/>
      <c r="J70" s="8"/>
      <c r="K70" s="8"/>
      <c r="L70" s="8"/>
      <c r="M70" s="8"/>
      <c r="N70" s="8"/>
      <c r="O70" s="8"/>
      <c r="P70" s="8"/>
      <c r="Q70" s="8"/>
      <c r="R70" s="8"/>
      <c r="S70" s="8"/>
      <c r="T70" s="8"/>
      <c r="U70" s="8"/>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row>
    <row r="71" spans="1:6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row>
    <row r="72" spans="1:6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row>
    <row r="73" spans="1:6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row>
    <row r="75" spans="1:6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row>
    <row r="76" spans="1:6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row>
    <row r="77" spans="1:6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row>
    <row r="78" spans="1:6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spans="1:6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row>
    <row r="80" spans="1:6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row>
    <row r="81" spans="1:6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1:6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row>
    <row r="83" spans="1:6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row>
    <row r="84" spans="1:6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row>
    <row r="85" spans="1:6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1:6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row>
    <row r="87" spans="1:6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1:6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1:6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row>
    <row r="90" spans="1:6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spans="1:6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1:6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row>
  </sheetData>
  <mergeCells count="27">
    <mergeCell ref="C6:E6"/>
    <mergeCell ref="A1:B1"/>
    <mergeCell ref="C2:E2"/>
    <mergeCell ref="C3:E3"/>
    <mergeCell ref="C4:E4"/>
    <mergeCell ref="C5:E5"/>
    <mergeCell ref="B19:K19"/>
    <mergeCell ref="C7:E7"/>
    <mergeCell ref="C8:E8"/>
    <mergeCell ref="C9:E9"/>
    <mergeCell ref="C10:E10"/>
    <mergeCell ref="C11:E11"/>
    <mergeCell ref="A12:B12"/>
    <mergeCell ref="A14:B14"/>
    <mergeCell ref="B15:K15"/>
    <mergeCell ref="B16:K16"/>
    <mergeCell ref="B17:K17"/>
    <mergeCell ref="B18:K18"/>
    <mergeCell ref="C53:K53"/>
    <mergeCell ref="C54:K54"/>
    <mergeCell ref="C55:K55"/>
    <mergeCell ref="B21:K21"/>
    <mergeCell ref="B22:K22"/>
    <mergeCell ref="A23:B23"/>
    <mergeCell ref="A25:B25"/>
    <mergeCell ref="C50:K50"/>
    <mergeCell ref="C51:K5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28396-5CBD-4CDC-9072-347EC4838D37}">
  <sheetPr>
    <tabColor theme="5"/>
  </sheetPr>
  <dimension ref="A1:Q72"/>
  <sheetViews>
    <sheetView tabSelected="1" zoomScaleNormal="100" workbookViewId="0">
      <selection activeCell="F23" sqref="F23"/>
    </sheetView>
  </sheetViews>
  <sheetFormatPr defaultColWidth="9.140625" defaultRowHeight="12.75" x14ac:dyDescent="0.2"/>
  <cols>
    <col min="1" max="1" width="3.28515625" style="11" customWidth="1"/>
    <col min="2" max="2" width="50.85546875" style="11" customWidth="1"/>
    <col min="3" max="3" width="25.85546875" style="11" customWidth="1"/>
    <col min="4" max="4" width="17.7109375" style="11" customWidth="1"/>
    <col min="5" max="5" width="49.42578125" style="11" customWidth="1"/>
    <col min="6" max="6" width="19.85546875" style="11" customWidth="1"/>
    <col min="7" max="7" width="20.5703125" style="11" customWidth="1"/>
    <col min="8" max="8" width="19.85546875" style="11" customWidth="1"/>
    <col min="9" max="11" width="19.5703125" style="11" customWidth="1"/>
    <col min="12" max="13" width="15.85546875" style="11" customWidth="1"/>
    <col min="14" max="15" width="25.85546875" style="11" customWidth="1"/>
    <col min="16" max="16" width="8" style="11" customWidth="1"/>
    <col min="17" max="26" width="25.85546875" style="11" customWidth="1"/>
    <col min="27" max="16384" width="9.140625" style="11"/>
  </cols>
  <sheetData>
    <row r="1" spans="2:7" x14ac:dyDescent="0.2">
      <c r="C1" s="1"/>
      <c r="D1" s="1"/>
    </row>
    <row r="2" spans="2:7" x14ac:dyDescent="0.2">
      <c r="B2" s="47" t="s">
        <v>74</v>
      </c>
      <c r="C2" s="1"/>
      <c r="D2" s="1"/>
    </row>
    <row r="3" spans="2:7" x14ac:dyDescent="0.2">
      <c r="B3" s="48" t="s">
        <v>75</v>
      </c>
      <c r="C3" s="1"/>
      <c r="D3" s="1"/>
    </row>
    <row r="4" spans="2:7" x14ac:dyDescent="0.2">
      <c r="B4" s="49" t="s">
        <v>76</v>
      </c>
      <c r="C4" s="1"/>
      <c r="D4" s="1"/>
    </row>
    <row r="5" spans="2:7" x14ac:dyDescent="0.2">
      <c r="B5" s="2" t="s">
        <v>77</v>
      </c>
      <c r="C5" s="1"/>
      <c r="D5" s="1"/>
    </row>
    <row r="6" spans="2:7" x14ac:dyDescent="0.2">
      <c r="B6" s="11" t="s">
        <v>80</v>
      </c>
      <c r="E6" s="159" t="s">
        <v>78</v>
      </c>
      <c r="F6" s="160" t="s">
        <v>79</v>
      </c>
    </row>
    <row r="7" spans="2:7" ht="29.25" customHeight="1" x14ac:dyDescent="0.2">
      <c r="D7" s="11" t="s">
        <v>81</v>
      </c>
    </row>
    <row r="8" spans="2:7" x14ac:dyDescent="0.2">
      <c r="B8" s="100" t="s">
        <v>84</v>
      </c>
      <c r="C8" s="84"/>
      <c r="D8" s="99"/>
      <c r="E8" s="154"/>
      <c r="F8" s="157" t="s">
        <v>82</v>
      </c>
      <c r="G8" s="158" t="s">
        <v>83</v>
      </c>
    </row>
    <row r="9" spans="2:7" x14ac:dyDescent="0.2">
      <c r="B9" s="85" t="s">
        <v>86</v>
      </c>
      <c r="C9" s="87" t="s">
        <v>87</v>
      </c>
      <c r="E9" s="177" t="s">
        <v>85</v>
      </c>
      <c r="F9" s="64"/>
      <c r="G9" s="178"/>
    </row>
    <row r="10" spans="2:7" x14ac:dyDescent="0.2">
      <c r="B10" s="161" t="s">
        <v>89</v>
      </c>
      <c r="C10" s="88">
        <v>7.5</v>
      </c>
      <c r="E10" s="179" t="s">
        <v>88</v>
      </c>
      <c r="F10" s="70">
        <f>IF($F$6=Lists!$B$12,'Financial Analysis'!C140,IF($F$6=Lists!$B$13,'Financial Analysis'!C155,'Financial Analysis'!C170))</f>
        <v>344747561.45221466</v>
      </c>
      <c r="G10" s="71">
        <f>IF($F$6=Lists!$B$12,'Financial Analysis'!C143,IF($F$6=Lists!$B$13,'Financial Analysis'!C158,'Financial Analysis'!C173))</f>
        <v>349926830.87569857</v>
      </c>
    </row>
    <row r="11" spans="2:7" x14ac:dyDescent="0.2">
      <c r="B11" s="162" t="s">
        <v>91</v>
      </c>
      <c r="C11" s="89">
        <v>25</v>
      </c>
      <c r="E11" s="179" t="s">
        <v>90</v>
      </c>
      <c r="F11" s="180">
        <f>IF($F$6=Lists!$B$12,'Financial Analysis'!C141,IF($F$6=Lists!$B$13,'Financial Analysis'!C156,'Financial Analysis'!C171))</f>
        <v>12.594658305161863</v>
      </c>
      <c r="G11" s="181">
        <f>IF($F$6=Lists!$B$12,'Financial Analysis'!C144,IF($F$6=Lists!$B$13,'Financial Analysis'!C159,'Financial Analysis'!C174))</f>
        <v>12.783872489547599</v>
      </c>
    </row>
    <row r="12" spans="2:7" x14ac:dyDescent="0.2">
      <c r="B12" s="161" t="s">
        <v>93</v>
      </c>
      <c r="C12" s="90">
        <v>0.77500000000000002</v>
      </c>
      <c r="E12" s="179" t="s">
        <v>92</v>
      </c>
      <c r="F12" s="70">
        <f>IF($F$6=Lists!$B$12,'Financial Analysis'!C137,IF($F$6=Lists!$B$13,'Financial Analysis'!C152,'Financial Analysis'!C167))</f>
        <v>34266003.706868052</v>
      </c>
      <c r="G12" s="182"/>
    </row>
    <row r="13" spans="2:7" x14ac:dyDescent="0.2">
      <c r="B13" s="161" t="s">
        <v>95</v>
      </c>
      <c r="C13" s="91">
        <v>0.77500000000000002</v>
      </c>
      <c r="E13" s="179" t="s">
        <v>94</v>
      </c>
      <c r="F13" s="183">
        <f>IF($C$35=Lists!$B$4,IF($F$6=Lists!$B$12,'Financial Analysis'!C136,IF($F$6=Lists!$B$13,'Financial Analysis'!C151,'Financial Analysis'!C166)),"")</f>
        <v>6.8593310651230865E-2</v>
      </c>
      <c r="G13" s="182"/>
    </row>
    <row r="14" spans="2:7" x14ac:dyDescent="0.2">
      <c r="B14" s="161" t="s">
        <v>449</v>
      </c>
      <c r="C14" s="92">
        <v>8</v>
      </c>
      <c r="E14" s="179" t="s">
        <v>96</v>
      </c>
      <c r="F14" s="11">
        <f>IF($C$35=Lists!$B$4,IF($F$6=Lists!$B$12,'Financial Analysis'!C138,IF($F$6=Lists!$B$13,'Financial Analysis'!C153,'Financial Analysis'!C168)),"")</f>
        <v>14</v>
      </c>
      <c r="G14" s="182"/>
    </row>
    <row r="15" spans="2:7" x14ac:dyDescent="0.2">
      <c r="B15" s="161" t="s">
        <v>97</v>
      </c>
      <c r="C15" s="165">
        <f>'Operating model'!F58</f>
        <v>41143.678389449989</v>
      </c>
      <c r="E15" s="179" t="s">
        <v>60</v>
      </c>
      <c r="F15" s="70">
        <f>IF($F$6=Lists!$B$12,SUM('Financial Analysis'!D86:X86),IF($F$6=Lists!$B$13,SUM('Financial Analysis'!D86:AH86),IF($F$6=Lists!$B$14,SUM('Financial Analysis'!D86:AR86),"")))</f>
        <v>65210622.489293784</v>
      </c>
      <c r="G15" s="71">
        <f>IF($F$6=Lists!$B$12,SUM('Financial Analysis'!D88:X88),IF($F$6=Lists!$B$13,SUM('Financial Analysis'!D88:AH88),IF($F$6=Lists!$B$14,SUM('Financial Analysis'!D88:AR88),"")))</f>
        <v>62984348.098999985</v>
      </c>
    </row>
    <row r="16" spans="2:7" x14ac:dyDescent="0.2">
      <c r="B16" s="161" t="s">
        <v>99</v>
      </c>
      <c r="C16" s="165">
        <f>'Operating model'!G58</f>
        <v>41143.678389449989</v>
      </c>
      <c r="E16" s="179" t="s">
        <v>98</v>
      </c>
      <c r="F16" s="128">
        <f>IF($F$6=Lists!$B$12,SUM('Financial Analysis'!D92:X92),IF($F$6=Lists!$B$13,SUM('Financial Analysis'!D92:AH92),IF($F$6=Lists!$B$14,SUM('Financial Analysis'!D92:AR92),"")))</f>
        <v>130421244.97858761</v>
      </c>
      <c r="G16" s="71">
        <f>IF($F$6=Lists!$B$12,SUM('Financial Analysis'!D93:X93),IF($F$6=Lists!$B$13,SUM('Financial Analysis'!D93:AH93),IF($F$6=Lists!$B$14,SUM('Financial Analysis'!D93:AR93),"")))</f>
        <v>167958261.59733331</v>
      </c>
    </row>
    <row r="17" spans="2:9" x14ac:dyDescent="0.2">
      <c r="B17" s="161" t="s">
        <v>100</v>
      </c>
      <c r="C17" s="165">
        <f>'Operating model'!H58</f>
        <v>41143.678389449989</v>
      </c>
      <c r="E17" s="179" t="s">
        <v>70</v>
      </c>
      <c r="F17" s="70">
        <f>IF($F$6=Lists!$B$12,SUM('Financial Analysis'!D66:X66),IF($F$6=Lists!$B$13,SUM('Financial Analysis'!D66:AH66),IF($F$6=Lists!$B$14,SUM('Financial Analysis'!D66:AR66),"")))</f>
        <v>376288307.53389448</v>
      </c>
      <c r="G17" s="71">
        <f>IF($F$6=Lists!$B$12,SUM('Financial Analysis'!D72:X72),IF($F$6=Lists!$B$13,SUM('Financial Analysis'!D72:AH72),IF($F$6=Lists!$B$14,SUM('Financial Analysis'!D72:AR72),"")))</f>
        <v>454215010.02248222</v>
      </c>
    </row>
    <row r="18" spans="2:9" x14ac:dyDescent="0.2">
      <c r="B18" s="161" t="s">
        <v>103</v>
      </c>
      <c r="C18" s="93" t="s">
        <v>104</v>
      </c>
      <c r="E18" s="179"/>
      <c r="G18" s="68"/>
    </row>
    <row r="19" spans="2:9" x14ac:dyDescent="0.2">
      <c r="B19" s="163" t="s">
        <v>106</v>
      </c>
      <c r="C19" s="93" t="s">
        <v>107</v>
      </c>
      <c r="E19" s="184" t="s">
        <v>101</v>
      </c>
      <c r="G19" s="68"/>
    </row>
    <row r="20" spans="2:9" x14ac:dyDescent="0.2">
      <c r="B20" s="203" t="s">
        <v>109</v>
      </c>
      <c r="C20" s="204" t="s">
        <v>110</v>
      </c>
      <c r="E20" s="179" t="s">
        <v>102</v>
      </c>
      <c r="F20" s="175">
        <f>CO2e!D40</f>
        <v>78.020891957084856</v>
      </c>
      <c r="G20" s="181">
        <f>CO2e!D56</f>
        <v>77.493989165328358</v>
      </c>
    </row>
    <row r="21" spans="2:9" x14ac:dyDescent="0.2">
      <c r="B21" s="163" t="s">
        <v>112</v>
      </c>
      <c r="C21" s="96">
        <v>20</v>
      </c>
      <c r="E21" s="179" t="s">
        <v>105</v>
      </c>
      <c r="F21" s="180">
        <f>IF(Dashboard!$F$6=Lists!$B$12,CO2e!$W$40,IF(Dashboard!$F$6=Lists!$B$13,CO2e!AG40,CO2e!AQ40))</f>
        <v>2.8753059291308074</v>
      </c>
      <c r="G21" s="185">
        <f>IF(Dashboard!$F$6=Lists!$B$12,CO2e!W56,IF(Dashboard!$F$6=Lists!$B$13,CO2e!AG56,CO2e!AQ56))</f>
        <v>2.8558879670541066</v>
      </c>
    </row>
    <row r="22" spans="2:9" x14ac:dyDescent="0.2">
      <c r="B22" s="161" t="s">
        <v>114</v>
      </c>
      <c r="C22" s="94">
        <v>3.5000000000000003E-2</v>
      </c>
      <c r="E22" s="179" t="s">
        <v>108</v>
      </c>
      <c r="F22" s="83">
        <f>IF(Dashboard!$F$6=Lists!$B$12,CO2e!$C$44,IF(Dashboard!$F$6=Lists!$B$13,CO2e!$C$46,CO2e!$C$48))</f>
        <v>1010030.594664145</v>
      </c>
      <c r="G22" s="182"/>
    </row>
    <row r="23" spans="2:9" x14ac:dyDescent="0.2">
      <c r="B23" s="164" t="s">
        <v>115</v>
      </c>
      <c r="C23" s="95">
        <v>0</v>
      </c>
      <c r="E23" s="179" t="s">
        <v>111</v>
      </c>
      <c r="F23" s="70">
        <f>SUM(F15:F17)/F22</f>
        <v>566.24044659949186</v>
      </c>
      <c r="G23" s="68"/>
    </row>
    <row r="24" spans="2:9" x14ac:dyDescent="0.2">
      <c r="B24" s="164" t="s">
        <v>116</v>
      </c>
      <c r="C24" s="95">
        <v>0</v>
      </c>
      <c r="E24" s="186" t="s">
        <v>113</v>
      </c>
      <c r="F24" s="187">
        <f>IF(Dashboard!$F$6=Lists!$B$12,CO2e!$C$43,IF(Dashboard!$F$6=Lists!$B$13,CO2e!$C$45,CO2e!$C$47))</f>
        <v>68402.480773757648</v>
      </c>
      <c r="G24" s="188">
        <f>IF(Dashboard!$F$6=Lists!$B$12,CO2e!C59,IF(Dashboard!$F$6=Lists!$B$13,CO2e!C60,CO2e!C61))</f>
        <v>67940.53452860855</v>
      </c>
    </row>
    <row r="25" spans="2:9" x14ac:dyDescent="0.2">
      <c r="B25" s="164" t="s">
        <v>117</v>
      </c>
      <c r="C25" s="95">
        <v>0</v>
      </c>
    </row>
    <row r="26" spans="2:9" x14ac:dyDescent="0.2">
      <c r="B26" s="164" t="s">
        <v>118</v>
      </c>
      <c r="C26" s="97">
        <v>2027</v>
      </c>
    </row>
    <row r="27" spans="2:9" x14ac:dyDescent="0.2">
      <c r="B27" s="164" t="s">
        <v>119</v>
      </c>
      <c r="C27" s="97">
        <v>2032</v>
      </c>
      <c r="E27" s="154"/>
      <c r="F27" s="155"/>
      <c r="G27" s="155" t="s">
        <v>120</v>
      </c>
      <c r="H27" s="155"/>
      <c r="I27" s="156"/>
    </row>
    <row r="28" spans="2:9" x14ac:dyDescent="0.2">
      <c r="B28" s="164" t="s">
        <v>121</v>
      </c>
      <c r="C28" s="97">
        <v>2037</v>
      </c>
      <c r="E28" s="189"/>
      <c r="F28" s="64" t="s">
        <v>122</v>
      </c>
      <c r="G28" s="64" t="s">
        <v>123</v>
      </c>
      <c r="H28" s="64" t="s">
        <v>124</v>
      </c>
      <c r="I28" s="178" t="s">
        <v>125</v>
      </c>
    </row>
    <row r="29" spans="2:9" x14ac:dyDescent="0.2">
      <c r="B29" s="163" t="s">
        <v>126</v>
      </c>
      <c r="C29" s="93" t="s">
        <v>127</v>
      </c>
      <c r="E29" s="66" t="s">
        <v>128</v>
      </c>
      <c r="F29" s="11">
        <f>IF($C$9=Lists!$B$8,1,0)</f>
        <v>0</v>
      </c>
      <c r="G29" s="11">
        <f>IF($C$9=Lists!$B$9,1,0)</f>
        <v>0</v>
      </c>
      <c r="H29" s="11">
        <f>IF($C$9=Lists!$B$10,1,0)</f>
        <v>1</v>
      </c>
      <c r="I29" s="68"/>
    </row>
    <row r="30" spans="2:9" x14ac:dyDescent="0.2">
      <c r="B30" s="162" t="s">
        <v>129</v>
      </c>
      <c r="C30" s="98" t="s">
        <v>130</v>
      </c>
      <c r="E30" s="66" t="s">
        <v>131</v>
      </c>
      <c r="F30" s="70">
        <f>IF($C$19=Lists!$B$5,CAPEX!J26,CAPEX!O26)</f>
        <v>65210622.489293784</v>
      </c>
      <c r="G30" s="70">
        <f>IF($C$19=Lists!$B$5,CAPEX!K26-F30,CAPEX!P26-F30)</f>
        <v>0</v>
      </c>
      <c r="H30" s="70">
        <f>IF($C$19=Lists!$B$5,CAPEX!L26-G30-F30,CAPEX!Q26-G30-F30)</f>
        <v>0</v>
      </c>
      <c r="I30" s="144">
        <f>SUM(F30:H30)</f>
        <v>65210622.489293784</v>
      </c>
    </row>
    <row r="31" spans="2:9" x14ac:dyDescent="0.2">
      <c r="B31" s="164" t="s">
        <v>132</v>
      </c>
      <c r="C31" s="173">
        <v>2.5000000000000001E-2</v>
      </c>
      <c r="E31" s="66" t="s">
        <v>133</v>
      </c>
      <c r="F31" s="70">
        <f>CAPEX!J27</f>
        <v>0</v>
      </c>
      <c r="G31" s="70">
        <f>CAPEX!K27</f>
        <v>0</v>
      </c>
      <c r="H31" s="70">
        <f>CAPEX!L27</f>
        <v>0</v>
      </c>
      <c r="I31" s="144">
        <f t="shared" ref="I31:I38" si="0">SUM(F31:H31)</f>
        <v>0</v>
      </c>
    </row>
    <row r="32" spans="2:9" x14ac:dyDescent="0.2">
      <c r="B32" s="164" t="s">
        <v>2119</v>
      </c>
      <c r="C32" s="153">
        <v>15</v>
      </c>
      <c r="E32" s="66" t="s">
        <v>134</v>
      </c>
      <c r="F32" s="70">
        <f>CAPEX!J28</f>
        <v>0</v>
      </c>
      <c r="G32" s="70">
        <f>CAPEX!K28</f>
        <v>0</v>
      </c>
      <c r="H32" s="70">
        <f>CAPEX!L28</f>
        <v>0</v>
      </c>
      <c r="I32" s="144">
        <f t="shared" si="0"/>
        <v>0</v>
      </c>
    </row>
    <row r="33" spans="2:9" x14ac:dyDescent="0.2">
      <c r="B33" s="164" t="s">
        <v>2120</v>
      </c>
      <c r="C33" s="153">
        <v>25</v>
      </c>
      <c r="E33" s="66" t="s">
        <v>135</v>
      </c>
      <c r="F33" s="141">
        <f>F30-F31-F32</f>
        <v>65210622.489293784</v>
      </c>
      <c r="G33" s="141">
        <f t="shared" ref="G33:H33" si="1">G30-G31-G32</f>
        <v>0</v>
      </c>
      <c r="H33" s="141">
        <f t="shared" si="1"/>
        <v>0</v>
      </c>
      <c r="I33" s="144">
        <f t="shared" si="0"/>
        <v>65210622.489293784</v>
      </c>
    </row>
    <row r="34" spans="2:9" x14ac:dyDescent="0.2">
      <c r="B34" s="162" t="s">
        <v>139</v>
      </c>
      <c r="C34" s="98" t="s">
        <v>140</v>
      </c>
      <c r="D34" s="86"/>
      <c r="E34" s="66" t="s">
        <v>136</v>
      </c>
      <c r="F34" s="83">
        <f>'Operating model'!F7</f>
        <v>124635355.70269997</v>
      </c>
      <c r="G34" s="83">
        <f>'Operating model'!G7-F34</f>
        <v>0</v>
      </c>
      <c r="H34" s="83">
        <f>'Operating model'!H7-G34-F34</f>
        <v>0</v>
      </c>
      <c r="I34" s="190">
        <f t="shared" si="0"/>
        <v>124635355.70269997</v>
      </c>
    </row>
    <row r="35" spans="2:9" x14ac:dyDescent="0.2">
      <c r="B35" s="199" t="s">
        <v>141</v>
      </c>
      <c r="C35" s="200" t="s">
        <v>107</v>
      </c>
      <c r="D35" s="86"/>
      <c r="E35" s="66" t="s">
        <v>137</v>
      </c>
      <c r="F35" s="83">
        <f>'Operating model'!F8</f>
        <v>518962.58059726638</v>
      </c>
      <c r="G35" s="83">
        <f>'Operating model'!G8-F35</f>
        <v>0</v>
      </c>
      <c r="H35" s="83">
        <f>'Operating model'!H8-G35-F35</f>
        <v>0</v>
      </c>
      <c r="I35" s="190">
        <f t="shared" si="0"/>
        <v>518962.58059726638</v>
      </c>
    </row>
    <row r="36" spans="2:9" x14ac:dyDescent="0.2">
      <c r="D36" s="86"/>
      <c r="E36" s="66" t="s">
        <v>138</v>
      </c>
      <c r="F36" s="80">
        <f>F34+F35</f>
        <v>125154318.28329724</v>
      </c>
      <c r="G36" s="80">
        <f t="shared" ref="G36:H36" si="2">G34+G35</f>
        <v>0</v>
      </c>
      <c r="H36" s="80">
        <f t="shared" si="2"/>
        <v>0</v>
      </c>
      <c r="I36" s="190">
        <f t="shared" si="0"/>
        <v>125154318.28329724</v>
      </c>
    </row>
    <row r="37" spans="2:9" x14ac:dyDescent="0.2">
      <c r="D37" s="86"/>
      <c r="E37" s="66" t="s">
        <v>2117</v>
      </c>
      <c r="F37" s="83">
        <f>SUM('Operating model'!F45:F54)</f>
        <v>41143.678389449989</v>
      </c>
      <c r="G37" s="83">
        <f>SUM('Operating model'!G45:G54)-F37</f>
        <v>0</v>
      </c>
      <c r="H37" s="83">
        <f>SUM('Operating model'!H45:H54)-SUM(F37:G37)</f>
        <v>0</v>
      </c>
      <c r="I37" s="190">
        <f t="shared" si="0"/>
        <v>41143.678389449989</v>
      </c>
    </row>
    <row r="38" spans="2:9" x14ac:dyDescent="0.2">
      <c r="D38" s="86"/>
      <c r="E38" s="66" t="s">
        <v>2118</v>
      </c>
      <c r="F38" s="83">
        <f>SUM('Operating model'!F23:F32)</f>
        <v>125154318.28329724</v>
      </c>
      <c r="G38" s="83">
        <f>SUM('Operating model'!G23:G32)-F38</f>
        <v>0</v>
      </c>
      <c r="H38" s="83">
        <f>SUM('Operating model'!H23:H32)-SUM(F38:G38)</f>
        <v>0</v>
      </c>
      <c r="I38" s="190">
        <f t="shared" si="0"/>
        <v>125154318.28329724</v>
      </c>
    </row>
    <row r="39" spans="2:9" x14ac:dyDescent="0.2">
      <c r="D39" s="86"/>
      <c r="E39" s="73" t="s">
        <v>142</v>
      </c>
      <c r="F39" s="187">
        <f>'Technical inputs'!C63</f>
        <v>2100.6390593560004</v>
      </c>
      <c r="G39" s="187">
        <f>'Technical inputs'!D63-F39</f>
        <v>0</v>
      </c>
      <c r="H39" s="187">
        <f>'Technical inputs'!E63-G39-F39</f>
        <v>0</v>
      </c>
      <c r="I39" s="188">
        <f>SUM(F39:H39)</f>
        <v>2100.6390593560004</v>
      </c>
    </row>
    <row r="40" spans="2:9" x14ac:dyDescent="0.2">
      <c r="D40" s="86"/>
    </row>
    <row r="41" spans="2:9" x14ac:dyDescent="0.2">
      <c r="D41" s="86"/>
    </row>
    <row r="42" spans="2:9" x14ac:dyDescent="0.2">
      <c r="D42" s="86"/>
    </row>
    <row r="43" spans="2:9" x14ac:dyDescent="0.2">
      <c r="D43" s="86"/>
    </row>
    <row r="72" spans="1:17" x14ac:dyDescent="0.2">
      <c r="A72" s="51"/>
      <c r="B72" s="33" t="s">
        <v>73</v>
      </c>
      <c r="C72" s="33"/>
      <c r="D72" s="51"/>
      <c r="E72" s="51"/>
      <c r="F72" s="51"/>
      <c r="G72" s="51"/>
      <c r="H72" s="51"/>
      <c r="I72" s="51"/>
      <c r="J72" s="51"/>
      <c r="K72" s="51"/>
      <c r="L72" s="51"/>
      <c r="M72" s="51"/>
      <c r="N72" s="51"/>
      <c r="O72" s="51"/>
      <c r="P72" s="51"/>
      <c r="Q72" s="51"/>
    </row>
  </sheetData>
  <phoneticPr fontId="20" type="noConversion"/>
  <conditionalFormatting sqref="C21">
    <cfRule type="expression" dxfId="2" priority="2">
      <formula>#REF!="No"</formula>
    </cfRule>
  </conditionalFormatting>
  <dataValidations count="6">
    <dataValidation type="list" allowBlank="1" showInputMessage="1" showErrorMessage="1" sqref="C19:C20 C35" xr:uid="{592827CE-64C5-41B2-A499-3AC85A391723}">
      <formula1>YesNo</formula1>
    </dataValidation>
    <dataValidation type="list" allowBlank="1" showInputMessage="1" showErrorMessage="1" sqref="C30" xr:uid="{2E0F50C0-F278-4FCB-84F0-D1C2F9B455EB}">
      <formula1>Energytariffindexing</formula1>
    </dataValidation>
    <dataValidation type="list" allowBlank="1" showInputMessage="1" showErrorMessage="1" sqref="C29" xr:uid="{D97A88F6-7E3C-4D67-98D8-ABFA0313BF01}">
      <formula1>BEISpriceprojections</formula1>
    </dataValidation>
    <dataValidation type="list" allowBlank="1" showInputMessage="1" showErrorMessage="1" sqref="C9" xr:uid="{68E0F4EB-5E5A-42B6-BE23-6029566DCFAB}">
      <formula1>Phase</formula1>
    </dataValidation>
    <dataValidation type="list" allowBlank="1" showInputMessage="1" showErrorMessage="1" sqref="C18" xr:uid="{BDDC58F3-67AD-40FF-8C2B-EC07A944A0DE}">
      <formula1>Auxillaryboilers</formula1>
    </dataValidation>
    <dataValidation type="list" allowBlank="1" showInputMessage="1" showErrorMessage="1" sqref="F6" xr:uid="{AC564C52-76DB-4D62-8F58-9A16D715A3F9}">
      <formula1>Years</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0EDF5A2-32D6-4539-BD8F-0DF4DF0D82F1}">
          <x14:formula1>
            <xm:f>Lists!$B$18:$B$19</xm:f>
          </x14:formula1>
          <xm:sqref>C34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28075-B71A-4EFD-988C-B62ABAFE52ED}">
  <sheetPr>
    <tabColor theme="5" tint="0.79998168889431442"/>
  </sheetPr>
  <dimension ref="B1:R70"/>
  <sheetViews>
    <sheetView workbookViewId="0">
      <selection activeCell="Y23" sqref="Y23"/>
    </sheetView>
  </sheetViews>
  <sheetFormatPr defaultColWidth="9.140625" defaultRowHeight="15" x14ac:dyDescent="0.25"/>
  <cols>
    <col min="1" max="2" width="2.85546875" style="11" customWidth="1"/>
    <col min="3" max="3" width="18.140625" style="11" bestFit="1" customWidth="1"/>
    <col min="4" max="4" width="15.42578125" style="11" bestFit="1" customWidth="1"/>
    <col min="5" max="5" width="13.5703125" style="11" bestFit="1" customWidth="1"/>
    <col min="6" max="6" width="17" style="11" bestFit="1" customWidth="1"/>
    <col min="7" max="7" width="10.42578125" style="11" bestFit="1" customWidth="1"/>
    <col min="8" max="8" width="255.7109375" bestFit="1" customWidth="1"/>
    <col min="9" max="9" width="12" style="44" bestFit="1" customWidth="1"/>
    <col min="10" max="10" width="60.7109375" style="44" bestFit="1" customWidth="1"/>
    <col min="11" max="11" width="123.85546875" style="288" customWidth="1"/>
    <col min="12" max="12" width="14.85546875" bestFit="1" customWidth="1"/>
    <col min="13" max="13" width="22.5703125" bestFit="1" customWidth="1"/>
    <col min="14" max="14" width="10.42578125" bestFit="1" customWidth="1"/>
    <col min="15" max="15" width="35.42578125" bestFit="1" customWidth="1"/>
    <col min="16" max="16" width="21" bestFit="1" customWidth="1"/>
    <col min="17" max="17" width="7.5703125" bestFit="1" customWidth="1"/>
    <col min="18" max="18" width="10.85546875" style="11" bestFit="1" customWidth="1"/>
    <col min="19" max="16384" width="9.140625" style="11"/>
  </cols>
  <sheetData>
    <row r="1" spans="2:18" x14ac:dyDescent="0.25">
      <c r="F1" s="80"/>
      <c r="J1" s="44" t="s">
        <v>748</v>
      </c>
      <c r="K1" s="44"/>
    </row>
    <row r="2" spans="2:18" ht="14.25" customHeight="1" x14ac:dyDescent="0.2">
      <c r="B2" s="10">
        <v>1</v>
      </c>
      <c r="C2" s="52" t="s">
        <v>399</v>
      </c>
      <c r="D2" s="10"/>
      <c r="E2" s="10"/>
      <c r="F2" s="10"/>
      <c r="G2" s="10"/>
      <c r="H2" s="10"/>
      <c r="I2" s="10"/>
      <c r="J2" s="10"/>
      <c r="K2" s="10"/>
      <c r="L2" s="10"/>
      <c r="M2" s="10"/>
      <c r="N2" s="10"/>
      <c r="O2" s="10"/>
      <c r="P2" s="10"/>
      <c r="Q2" s="10"/>
    </row>
    <row r="3" spans="2:18" ht="12.75" x14ac:dyDescent="0.2">
      <c r="H3" s="11"/>
      <c r="I3" s="11"/>
      <c r="J3" s="11"/>
      <c r="K3" s="11"/>
      <c r="L3" s="11"/>
      <c r="M3" s="11"/>
      <c r="N3" s="11"/>
      <c r="O3" s="11"/>
      <c r="P3" s="11"/>
      <c r="Q3" s="11"/>
    </row>
    <row r="4" spans="2:18" ht="41.45" customHeight="1" x14ac:dyDescent="0.2">
      <c r="C4" s="213" t="s">
        <v>149</v>
      </c>
      <c r="D4" s="214" t="s">
        <v>742</v>
      </c>
      <c r="E4" s="214" t="s">
        <v>743</v>
      </c>
      <c r="F4" s="214" t="s">
        <v>744</v>
      </c>
      <c r="G4" s="214" t="s">
        <v>745</v>
      </c>
      <c r="H4" s="214" t="s">
        <v>746</v>
      </c>
      <c r="I4" s="214" t="s">
        <v>747</v>
      </c>
      <c r="J4" s="214" t="s">
        <v>748</v>
      </c>
      <c r="K4" s="214" t="s">
        <v>749</v>
      </c>
      <c r="L4" s="214" t="s">
        <v>750</v>
      </c>
      <c r="M4" s="214" t="s">
        <v>751</v>
      </c>
      <c r="N4" s="214" t="s">
        <v>752</v>
      </c>
      <c r="O4" s="214" t="s">
        <v>753</v>
      </c>
      <c r="P4" s="214" t="s">
        <v>2025</v>
      </c>
      <c r="Q4" s="214" t="s">
        <v>754</v>
      </c>
      <c r="R4" s="215" t="s">
        <v>755</v>
      </c>
    </row>
    <row r="5" spans="2:18" ht="12.75" x14ac:dyDescent="0.2">
      <c r="C5" s="276" t="s">
        <v>453</v>
      </c>
      <c r="D5" s="277">
        <v>77278.759999999995</v>
      </c>
      <c r="E5" s="522">
        <v>60.193446999999999</v>
      </c>
      <c r="F5" s="47">
        <v>1</v>
      </c>
      <c r="G5" s="278"/>
      <c r="H5" s="279"/>
      <c r="I5" s="279" t="s">
        <v>454</v>
      </c>
      <c r="J5" s="279"/>
      <c r="K5" s="321"/>
      <c r="L5" s="280"/>
      <c r="M5" s="280"/>
      <c r="N5" s="280"/>
      <c r="O5" s="280" t="s">
        <v>455</v>
      </c>
      <c r="P5" s="280" t="s">
        <v>456</v>
      </c>
      <c r="Q5" s="280" t="s">
        <v>457</v>
      </c>
      <c r="R5" s="322" t="b">
        <v>0</v>
      </c>
    </row>
    <row r="6" spans="2:18" ht="12.75" x14ac:dyDescent="0.2">
      <c r="C6" s="208" t="s">
        <v>458</v>
      </c>
      <c r="D6" s="258">
        <v>191350.44</v>
      </c>
      <c r="E6" s="522">
        <v>116.80722</v>
      </c>
      <c r="F6" s="520">
        <v>4</v>
      </c>
      <c r="G6" s="259" t="s">
        <v>459</v>
      </c>
      <c r="H6" s="260" t="s">
        <v>460</v>
      </c>
      <c r="I6" s="260" t="s">
        <v>454</v>
      </c>
      <c r="J6" s="260" t="s">
        <v>390</v>
      </c>
      <c r="K6" s="320" t="s">
        <v>461</v>
      </c>
      <c r="L6" s="270"/>
      <c r="M6" s="270"/>
      <c r="N6" s="270" t="s">
        <v>462</v>
      </c>
      <c r="O6" s="270"/>
      <c r="P6" s="270" t="s">
        <v>463</v>
      </c>
      <c r="Q6" s="280" t="s">
        <v>457</v>
      </c>
      <c r="R6" s="322" t="b">
        <v>0</v>
      </c>
    </row>
    <row r="7" spans="2:18" ht="12.75" x14ac:dyDescent="0.2">
      <c r="C7" s="208" t="s">
        <v>464</v>
      </c>
      <c r="D7" s="258">
        <v>7467.4279999999999</v>
      </c>
      <c r="E7" s="522">
        <v>25.546085000000001</v>
      </c>
      <c r="F7" s="521">
        <v>2</v>
      </c>
      <c r="G7" s="209" t="s">
        <v>465</v>
      </c>
      <c r="H7" s="260" t="s">
        <v>466</v>
      </c>
      <c r="I7" s="260" t="s">
        <v>454</v>
      </c>
      <c r="J7" s="260" t="s">
        <v>380</v>
      </c>
      <c r="K7" s="320" t="s">
        <v>467</v>
      </c>
      <c r="L7" s="262"/>
      <c r="M7" s="262" t="b">
        <v>0</v>
      </c>
      <c r="N7" s="262" t="s">
        <v>468</v>
      </c>
      <c r="O7" s="262"/>
      <c r="P7" s="262" t="s">
        <v>469</v>
      </c>
      <c r="Q7" s="280" t="s">
        <v>457</v>
      </c>
      <c r="R7" s="322" t="b">
        <v>0</v>
      </c>
    </row>
    <row r="8" spans="2:18" ht="12.75" x14ac:dyDescent="0.2">
      <c r="C8" s="208" t="s">
        <v>470</v>
      </c>
      <c r="D8" s="258">
        <v>580117.25</v>
      </c>
      <c r="E8" s="522">
        <v>309.75220000000002</v>
      </c>
      <c r="F8" s="521">
        <v>1</v>
      </c>
      <c r="G8" s="209" t="s">
        <v>471</v>
      </c>
      <c r="H8" s="260" t="s">
        <v>472</v>
      </c>
      <c r="I8" s="260" t="s">
        <v>454</v>
      </c>
      <c r="J8" s="260" t="s">
        <v>393</v>
      </c>
      <c r="K8" s="320" t="s">
        <v>473</v>
      </c>
      <c r="L8" s="270"/>
      <c r="M8" s="270" t="b">
        <v>0</v>
      </c>
      <c r="N8" s="270" t="s">
        <v>474</v>
      </c>
      <c r="O8" s="270"/>
      <c r="P8" s="270" t="s">
        <v>475</v>
      </c>
      <c r="Q8" s="280" t="s">
        <v>457</v>
      </c>
      <c r="R8" s="322" t="b">
        <v>0</v>
      </c>
    </row>
    <row r="9" spans="2:18" ht="12.75" x14ac:dyDescent="0.2">
      <c r="C9" s="208" t="s">
        <v>476</v>
      </c>
      <c r="D9" s="258">
        <v>242137.60000000001</v>
      </c>
      <c r="E9" s="522">
        <v>142.0129</v>
      </c>
      <c r="F9" s="520">
        <v>1</v>
      </c>
      <c r="G9" s="259" t="s">
        <v>477</v>
      </c>
      <c r="H9" s="260" t="s">
        <v>478</v>
      </c>
      <c r="I9" s="260" t="s">
        <v>454</v>
      </c>
      <c r="J9" s="260" t="s">
        <v>383</v>
      </c>
      <c r="K9" s="320" t="s">
        <v>479</v>
      </c>
      <c r="L9" s="262" t="s">
        <v>480</v>
      </c>
      <c r="M9" s="270"/>
      <c r="N9" s="270" t="s">
        <v>481</v>
      </c>
      <c r="O9" s="270" t="s">
        <v>482</v>
      </c>
      <c r="P9" s="270" t="s">
        <v>483</v>
      </c>
      <c r="Q9" s="280" t="s">
        <v>457</v>
      </c>
      <c r="R9" s="322" t="b">
        <v>0</v>
      </c>
    </row>
    <row r="10" spans="2:18" ht="12.75" x14ac:dyDescent="0.2">
      <c r="C10" s="208" t="s">
        <v>484</v>
      </c>
      <c r="D10" s="258">
        <v>1695345.9</v>
      </c>
      <c r="E10" s="522">
        <v>863.24009999999998</v>
      </c>
      <c r="F10" s="521">
        <v>2</v>
      </c>
      <c r="G10" s="209" t="s">
        <v>485</v>
      </c>
      <c r="H10" s="260" t="s">
        <v>486</v>
      </c>
      <c r="I10" s="260" t="s">
        <v>454</v>
      </c>
      <c r="J10" s="260" t="s">
        <v>390</v>
      </c>
      <c r="K10" s="320" t="s">
        <v>487</v>
      </c>
      <c r="L10" s="270"/>
      <c r="M10" s="270"/>
      <c r="N10" s="270" t="s">
        <v>488</v>
      </c>
      <c r="O10" s="270"/>
      <c r="P10" s="270" t="s">
        <v>489</v>
      </c>
      <c r="Q10" s="280" t="s">
        <v>457</v>
      </c>
      <c r="R10" s="322" t="b">
        <v>0</v>
      </c>
    </row>
    <row r="11" spans="2:18" ht="12.75" x14ac:dyDescent="0.2">
      <c r="C11" s="208" t="s">
        <v>490</v>
      </c>
      <c r="D11" s="258">
        <v>223812.97</v>
      </c>
      <c r="E11" s="522">
        <v>132.91838000000001</v>
      </c>
      <c r="F11" s="521">
        <v>4</v>
      </c>
      <c r="G11" s="209" t="s">
        <v>459</v>
      </c>
      <c r="H11" s="260" t="s">
        <v>491</v>
      </c>
      <c r="I11" s="260" t="s">
        <v>454</v>
      </c>
      <c r="J11" s="260" t="s">
        <v>390</v>
      </c>
      <c r="K11" s="320" t="s">
        <v>461</v>
      </c>
      <c r="L11" s="270"/>
      <c r="M11" s="270"/>
      <c r="N11" s="270" t="s">
        <v>492</v>
      </c>
      <c r="O11" s="270"/>
      <c r="P11" s="270" t="s">
        <v>493</v>
      </c>
      <c r="Q11" s="280" t="s">
        <v>457</v>
      </c>
      <c r="R11" s="322" t="b">
        <v>0</v>
      </c>
    </row>
    <row r="12" spans="2:18" ht="12.75" x14ac:dyDescent="0.2">
      <c r="C12" s="208" t="s">
        <v>494</v>
      </c>
      <c r="D12" s="258">
        <v>3308519.5</v>
      </c>
      <c r="E12" s="522">
        <v>1663.8583000000001</v>
      </c>
      <c r="F12" s="521">
        <v>2</v>
      </c>
      <c r="G12" s="209" t="s">
        <v>495</v>
      </c>
      <c r="H12" s="260" t="s">
        <v>496</v>
      </c>
      <c r="I12" s="260" t="s">
        <v>454</v>
      </c>
      <c r="J12" s="260" t="s">
        <v>384</v>
      </c>
      <c r="K12" s="320" t="s">
        <v>497</v>
      </c>
      <c r="L12" s="270"/>
      <c r="M12" s="270"/>
      <c r="N12" s="270" t="s">
        <v>498</v>
      </c>
      <c r="O12" s="270"/>
      <c r="P12" s="270" t="s">
        <v>499</v>
      </c>
      <c r="Q12" s="280" t="s">
        <v>457</v>
      </c>
      <c r="R12" s="322" t="b">
        <v>0</v>
      </c>
    </row>
    <row r="13" spans="2:18" ht="12.75" x14ac:dyDescent="0.2">
      <c r="C13" s="208" t="s">
        <v>500</v>
      </c>
      <c r="D13" s="258">
        <v>862201.75</v>
      </c>
      <c r="E13" s="522">
        <v>449.75072999999998</v>
      </c>
      <c r="F13" s="521">
        <v>9</v>
      </c>
      <c r="G13" s="209" t="s">
        <v>485</v>
      </c>
      <c r="H13" s="260" t="s">
        <v>501</v>
      </c>
      <c r="I13" s="260" t="s">
        <v>454</v>
      </c>
      <c r="J13" s="260" t="s">
        <v>390</v>
      </c>
      <c r="K13" s="320" t="s">
        <v>487</v>
      </c>
      <c r="L13" s="270"/>
      <c r="M13" s="270" t="b">
        <v>0</v>
      </c>
      <c r="N13" s="270" t="s">
        <v>502</v>
      </c>
      <c r="O13" s="270"/>
      <c r="P13" s="270" t="s">
        <v>503</v>
      </c>
      <c r="Q13" s="280" t="s">
        <v>457</v>
      </c>
      <c r="R13" s="322" t="b">
        <v>0</v>
      </c>
    </row>
    <row r="14" spans="2:18" ht="12.75" x14ac:dyDescent="0.2">
      <c r="C14" s="208" t="s">
        <v>504</v>
      </c>
      <c r="D14" s="258">
        <v>914653.56</v>
      </c>
      <c r="E14" s="522">
        <v>475.7826</v>
      </c>
      <c r="F14" s="521">
        <v>1</v>
      </c>
      <c r="G14" s="209" t="s">
        <v>505</v>
      </c>
      <c r="H14" s="260" t="s">
        <v>506</v>
      </c>
      <c r="I14" s="260" t="s">
        <v>454</v>
      </c>
      <c r="J14" s="260" t="s">
        <v>388</v>
      </c>
      <c r="K14" s="320" t="s">
        <v>507</v>
      </c>
      <c r="L14" s="270"/>
      <c r="M14" s="270"/>
      <c r="N14" s="270" t="s">
        <v>508</v>
      </c>
      <c r="O14" s="270"/>
      <c r="P14" s="270" t="s">
        <v>509</v>
      </c>
      <c r="Q14" s="280" t="s">
        <v>457</v>
      </c>
      <c r="R14" s="322" t="b">
        <v>0</v>
      </c>
    </row>
    <row r="15" spans="2:18" ht="12.75" x14ac:dyDescent="0.2">
      <c r="C15" s="208" t="s">
        <v>510</v>
      </c>
      <c r="D15" s="258">
        <v>921776</v>
      </c>
      <c r="E15" s="522">
        <v>479.31743999999998</v>
      </c>
      <c r="F15" s="520">
        <v>5</v>
      </c>
      <c r="G15" s="259"/>
      <c r="H15" s="260"/>
      <c r="I15" s="260" t="s">
        <v>454</v>
      </c>
      <c r="J15" s="260"/>
      <c r="K15" s="320"/>
      <c r="L15" s="262"/>
      <c r="M15" s="262"/>
      <c r="N15" s="262"/>
      <c r="O15" s="262"/>
      <c r="P15" s="262">
        <v>58</v>
      </c>
      <c r="Q15" s="280" t="s">
        <v>457</v>
      </c>
      <c r="R15" s="322" t="b">
        <v>0</v>
      </c>
    </row>
    <row r="16" spans="2:18" ht="12.75" x14ac:dyDescent="0.2">
      <c r="C16" s="208" t="s">
        <v>511</v>
      </c>
      <c r="D16" s="258">
        <v>17303.439999999999</v>
      </c>
      <c r="E16" s="522">
        <v>30.427696000000001</v>
      </c>
      <c r="F16" s="520">
        <v>1</v>
      </c>
      <c r="G16" s="259" t="s">
        <v>512</v>
      </c>
      <c r="H16" s="260" t="s">
        <v>513</v>
      </c>
      <c r="I16" s="260" t="s">
        <v>454</v>
      </c>
      <c r="J16" s="260" t="s">
        <v>380</v>
      </c>
      <c r="K16" s="320" t="s">
        <v>514</v>
      </c>
      <c r="L16" s="270"/>
      <c r="M16" s="270" t="b">
        <v>0</v>
      </c>
      <c r="N16" s="270" t="s">
        <v>474</v>
      </c>
      <c r="O16" s="270"/>
      <c r="P16" s="270" t="s">
        <v>515</v>
      </c>
      <c r="Q16" s="280" t="s">
        <v>457</v>
      </c>
      <c r="R16" s="322" t="b">
        <v>0</v>
      </c>
    </row>
    <row r="17" spans="3:18" ht="12.75" x14ac:dyDescent="0.2">
      <c r="C17" s="208" t="s">
        <v>516</v>
      </c>
      <c r="D17" s="258">
        <v>87035.520000000004</v>
      </c>
      <c r="E17" s="522">
        <v>65.035730000000001</v>
      </c>
      <c r="F17" s="521">
        <v>7</v>
      </c>
      <c r="G17" s="209" t="s">
        <v>459</v>
      </c>
      <c r="H17" s="260" t="s">
        <v>517</v>
      </c>
      <c r="I17" s="260" t="s">
        <v>454</v>
      </c>
      <c r="J17" s="260" t="s">
        <v>390</v>
      </c>
      <c r="K17" s="320" t="s">
        <v>461</v>
      </c>
      <c r="L17" s="270"/>
      <c r="M17" s="270" t="b">
        <v>0</v>
      </c>
      <c r="N17" s="270" t="s">
        <v>518</v>
      </c>
      <c r="O17" s="270"/>
      <c r="P17" s="270" t="s">
        <v>519</v>
      </c>
      <c r="Q17" s="280" t="s">
        <v>457</v>
      </c>
      <c r="R17" s="322" t="b">
        <v>0</v>
      </c>
    </row>
    <row r="18" spans="3:18" ht="12.75" x14ac:dyDescent="0.2">
      <c r="C18" s="208" t="s">
        <v>520</v>
      </c>
      <c r="D18" s="258">
        <v>37226.815999999999</v>
      </c>
      <c r="E18" s="522">
        <v>40.315669999999997</v>
      </c>
      <c r="F18" s="521">
        <v>1</v>
      </c>
      <c r="G18" s="209" t="s">
        <v>521</v>
      </c>
      <c r="H18" s="260" t="s">
        <v>522</v>
      </c>
      <c r="I18" s="260" t="s">
        <v>454</v>
      </c>
      <c r="J18" s="260" t="s">
        <v>388</v>
      </c>
      <c r="K18" s="320" t="s">
        <v>523</v>
      </c>
      <c r="L18" s="262" t="s">
        <v>480</v>
      </c>
      <c r="M18" s="270"/>
      <c r="N18" s="270" t="s">
        <v>524</v>
      </c>
      <c r="O18" s="270"/>
      <c r="P18" s="270" t="s">
        <v>525</v>
      </c>
      <c r="Q18" s="280" t="s">
        <v>457</v>
      </c>
      <c r="R18" s="322" t="b">
        <v>0</v>
      </c>
    </row>
    <row r="19" spans="3:18" ht="12.75" x14ac:dyDescent="0.2">
      <c r="C19" s="208" t="s">
        <v>526</v>
      </c>
      <c r="D19" s="258">
        <v>28826114</v>
      </c>
      <c r="E19" s="522">
        <v>14328.24</v>
      </c>
      <c r="F19" s="521">
        <v>115</v>
      </c>
      <c r="G19" s="209" t="s">
        <v>527</v>
      </c>
      <c r="H19" s="260" t="s">
        <v>528</v>
      </c>
      <c r="I19" s="260" t="s">
        <v>454</v>
      </c>
      <c r="J19" s="260" t="s">
        <v>392</v>
      </c>
      <c r="K19" s="320" t="s">
        <v>529</v>
      </c>
      <c r="L19" s="270"/>
      <c r="M19" s="270" t="b">
        <v>0</v>
      </c>
      <c r="N19" s="270" t="s">
        <v>530</v>
      </c>
      <c r="O19" s="270"/>
      <c r="P19" s="270" t="s">
        <v>531</v>
      </c>
      <c r="Q19" s="280" t="s">
        <v>457</v>
      </c>
      <c r="R19" s="322" t="b">
        <v>0</v>
      </c>
    </row>
    <row r="20" spans="3:18" ht="12.75" x14ac:dyDescent="0.2">
      <c r="C20" s="208" t="s">
        <v>532</v>
      </c>
      <c r="D20" s="258">
        <v>205805.62</v>
      </c>
      <c r="E20" s="522">
        <v>123.98133</v>
      </c>
      <c r="F20" s="520">
        <v>1</v>
      </c>
      <c r="G20" s="259" t="s">
        <v>533</v>
      </c>
      <c r="H20" s="260" t="s">
        <v>534</v>
      </c>
      <c r="I20" s="260" t="s">
        <v>454</v>
      </c>
      <c r="J20" s="260" t="s">
        <v>391</v>
      </c>
      <c r="K20" s="320" t="s">
        <v>535</v>
      </c>
      <c r="L20" s="270"/>
      <c r="M20" s="270"/>
      <c r="N20" s="270" t="s">
        <v>536</v>
      </c>
      <c r="O20" s="270"/>
      <c r="P20" s="270" t="s">
        <v>537</v>
      </c>
      <c r="Q20" s="280" t="s">
        <v>457</v>
      </c>
      <c r="R20" s="322" t="b">
        <v>0</v>
      </c>
    </row>
    <row r="21" spans="3:18" ht="12.75" x14ac:dyDescent="0.2">
      <c r="C21" s="208" t="s">
        <v>538</v>
      </c>
      <c r="D21" s="258">
        <v>772065.25</v>
      </c>
      <c r="E21" s="522">
        <v>405.01596000000001</v>
      </c>
      <c r="F21" s="521">
        <v>28</v>
      </c>
      <c r="G21" s="209" t="s">
        <v>459</v>
      </c>
      <c r="H21" s="260" t="s">
        <v>539</v>
      </c>
      <c r="I21" s="260" t="s">
        <v>454</v>
      </c>
      <c r="J21" s="260" t="s">
        <v>390</v>
      </c>
      <c r="K21" s="320" t="s">
        <v>461</v>
      </c>
      <c r="L21" s="270"/>
      <c r="M21" s="270" t="b">
        <v>0</v>
      </c>
      <c r="N21" s="270" t="s">
        <v>540</v>
      </c>
      <c r="O21" s="270"/>
      <c r="P21" s="270" t="s">
        <v>541</v>
      </c>
      <c r="Q21" s="280" t="s">
        <v>457</v>
      </c>
      <c r="R21" s="322" t="b">
        <v>0</v>
      </c>
    </row>
    <row r="22" spans="3:18" ht="12.75" x14ac:dyDescent="0.2">
      <c r="C22" s="208" t="s">
        <v>542</v>
      </c>
      <c r="D22" s="258">
        <v>255338.36</v>
      </c>
      <c r="E22" s="522">
        <v>148.56442000000001</v>
      </c>
      <c r="F22" s="520">
        <v>2</v>
      </c>
      <c r="G22" s="259" t="s">
        <v>543</v>
      </c>
      <c r="H22" s="260" t="s">
        <v>544</v>
      </c>
      <c r="I22" s="260" t="s">
        <v>454</v>
      </c>
      <c r="J22" s="260" t="s">
        <v>381</v>
      </c>
      <c r="K22" s="320" t="s">
        <v>545</v>
      </c>
      <c r="L22" s="270"/>
      <c r="M22" s="270"/>
      <c r="N22" s="270" t="s">
        <v>546</v>
      </c>
      <c r="O22" s="270" t="s">
        <v>547</v>
      </c>
      <c r="P22" s="270" t="s">
        <v>548</v>
      </c>
      <c r="Q22" s="280" t="s">
        <v>457</v>
      </c>
      <c r="R22" s="322" t="b">
        <v>0</v>
      </c>
    </row>
    <row r="23" spans="3:18" ht="12.75" x14ac:dyDescent="0.2">
      <c r="C23" s="208" t="s">
        <v>549</v>
      </c>
      <c r="D23" s="258">
        <v>98052.914000000004</v>
      </c>
      <c r="E23" s="522">
        <v>70.503659999999996</v>
      </c>
      <c r="F23" s="521">
        <v>1</v>
      </c>
      <c r="G23" s="209" t="s">
        <v>485</v>
      </c>
      <c r="H23" s="260" t="s">
        <v>550</v>
      </c>
      <c r="I23" s="260" t="s">
        <v>454</v>
      </c>
      <c r="J23" s="260" t="s">
        <v>390</v>
      </c>
      <c r="K23" s="320" t="s">
        <v>487</v>
      </c>
      <c r="L23" s="270"/>
      <c r="M23" s="270" t="b">
        <v>0</v>
      </c>
      <c r="N23" s="270" t="s">
        <v>551</v>
      </c>
      <c r="O23" s="270"/>
      <c r="P23" s="270" t="s">
        <v>552</v>
      </c>
      <c r="Q23" s="280" t="s">
        <v>457</v>
      </c>
      <c r="R23" s="322" t="b">
        <v>0</v>
      </c>
    </row>
    <row r="24" spans="3:18" ht="12.75" x14ac:dyDescent="0.2">
      <c r="C24" s="208" t="s">
        <v>553</v>
      </c>
      <c r="D24" s="258">
        <v>12260218</v>
      </c>
      <c r="E24" s="522">
        <v>6106.5860000000002</v>
      </c>
      <c r="F24" s="521">
        <v>22</v>
      </c>
      <c r="G24" s="209" t="s">
        <v>459</v>
      </c>
      <c r="H24" s="260" t="s">
        <v>554</v>
      </c>
      <c r="I24" s="260" t="s">
        <v>454</v>
      </c>
      <c r="J24" s="260" t="s">
        <v>390</v>
      </c>
      <c r="K24" s="320" t="s">
        <v>461</v>
      </c>
      <c r="L24" s="270"/>
      <c r="M24" s="270"/>
      <c r="N24" s="270" t="s">
        <v>555</v>
      </c>
      <c r="O24" s="270"/>
      <c r="P24" s="270" t="s">
        <v>556</v>
      </c>
      <c r="Q24" s="280" t="s">
        <v>457</v>
      </c>
      <c r="R24" s="322" t="b">
        <v>0</v>
      </c>
    </row>
    <row r="25" spans="3:18" ht="12.75" x14ac:dyDescent="0.2">
      <c r="C25" s="208" t="s">
        <v>557</v>
      </c>
      <c r="D25" s="258">
        <v>7440.1166999999996</v>
      </c>
      <c r="E25" s="522">
        <v>25.532530000000001</v>
      </c>
      <c r="F25" s="520">
        <v>1</v>
      </c>
      <c r="G25" s="259"/>
      <c r="H25" s="260"/>
      <c r="I25" s="260" t="s">
        <v>454</v>
      </c>
      <c r="J25" s="260"/>
      <c r="K25" s="320"/>
      <c r="L25" s="262"/>
      <c r="M25" s="262"/>
      <c r="N25" s="262"/>
      <c r="O25" s="262">
        <v>40</v>
      </c>
      <c r="P25" s="262" t="s">
        <v>558</v>
      </c>
      <c r="Q25" s="280" t="s">
        <v>457</v>
      </c>
      <c r="R25" s="322" t="b">
        <v>0</v>
      </c>
    </row>
    <row r="26" spans="3:18" ht="12.75" x14ac:dyDescent="0.2">
      <c r="C26" s="208" t="s">
        <v>559</v>
      </c>
      <c r="D26" s="258">
        <v>491533.34</v>
      </c>
      <c r="E26" s="522">
        <v>265.78800000000001</v>
      </c>
      <c r="F26" s="520">
        <v>1</v>
      </c>
      <c r="G26" s="259" t="s">
        <v>560</v>
      </c>
      <c r="H26" s="260" t="s">
        <v>561</v>
      </c>
      <c r="I26" s="260" t="s">
        <v>454</v>
      </c>
      <c r="J26" s="260" t="s">
        <v>390</v>
      </c>
      <c r="K26" s="320" t="s">
        <v>562</v>
      </c>
      <c r="L26" s="270"/>
      <c r="M26" s="270"/>
      <c r="N26" s="270" t="s">
        <v>563</v>
      </c>
      <c r="O26" s="270"/>
      <c r="P26" s="270" t="s">
        <v>564</v>
      </c>
      <c r="Q26" s="280" t="s">
        <v>457</v>
      </c>
      <c r="R26" s="322" t="b">
        <v>0</v>
      </c>
    </row>
    <row r="27" spans="3:18" ht="12.75" x14ac:dyDescent="0.2">
      <c r="C27" s="208" t="s">
        <v>565</v>
      </c>
      <c r="D27" s="258">
        <v>24849.87</v>
      </c>
      <c r="E27" s="522">
        <v>34.172989999999999</v>
      </c>
      <c r="F27" s="521">
        <v>3</v>
      </c>
      <c r="G27" s="209" t="s">
        <v>512</v>
      </c>
      <c r="H27" s="260" t="s">
        <v>566</v>
      </c>
      <c r="I27" s="260" t="s">
        <v>454</v>
      </c>
      <c r="J27" s="260" t="s">
        <v>380</v>
      </c>
      <c r="K27" s="320" t="s">
        <v>514</v>
      </c>
      <c r="L27" s="270"/>
      <c r="M27" s="270" t="b">
        <v>0</v>
      </c>
      <c r="N27" s="270" t="s">
        <v>567</v>
      </c>
      <c r="O27" s="270"/>
      <c r="P27" s="270" t="s">
        <v>568</v>
      </c>
      <c r="Q27" s="280" t="s">
        <v>457</v>
      </c>
      <c r="R27" s="322" t="b">
        <v>0</v>
      </c>
    </row>
    <row r="28" spans="3:18" ht="12.75" x14ac:dyDescent="0.2">
      <c r="C28" s="208" t="s">
        <v>569</v>
      </c>
      <c r="D28" s="258">
        <v>17810100</v>
      </c>
      <c r="E28" s="522">
        <v>8860.9930000000004</v>
      </c>
      <c r="F28" s="520">
        <v>25</v>
      </c>
      <c r="G28" s="259" t="s">
        <v>485</v>
      </c>
      <c r="H28" s="260" t="s">
        <v>570</v>
      </c>
      <c r="I28" s="260" t="s">
        <v>454</v>
      </c>
      <c r="J28" s="260" t="s">
        <v>390</v>
      </c>
      <c r="K28" s="320" t="s">
        <v>487</v>
      </c>
      <c r="L28" s="270"/>
      <c r="M28" s="270"/>
      <c r="N28" s="270" t="s">
        <v>530</v>
      </c>
      <c r="O28" s="270"/>
      <c r="P28" s="270" t="s">
        <v>571</v>
      </c>
      <c r="Q28" s="280" t="s">
        <v>457</v>
      </c>
      <c r="R28" s="322" t="b">
        <v>0</v>
      </c>
    </row>
    <row r="29" spans="3:18" ht="12.75" x14ac:dyDescent="0.2">
      <c r="C29" s="208" t="s">
        <v>572</v>
      </c>
      <c r="D29" s="258">
        <v>158081.47</v>
      </c>
      <c r="E29" s="522">
        <v>100.29583</v>
      </c>
      <c r="F29" s="521">
        <v>1</v>
      </c>
      <c r="G29" s="209" t="s">
        <v>573</v>
      </c>
      <c r="H29" s="260" t="s">
        <v>574</v>
      </c>
      <c r="I29" s="260" t="s">
        <v>454</v>
      </c>
      <c r="J29" s="260" t="s">
        <v>386</v>
      </c>
      <c r="K29" s="320" t="s">
        <v>575</v>
      </c>
      <c r="L29" s="270"/>
      <c r="M29" s="270" t="b">
        <v>0</v>
      </c>
      <c r="N29" s="270" t="s">
        <v>576</v>
      </c>
      <c r="O29" s="270"/>
      <c r="P29" s="270" t="s">
        <v>577</v>
      </c>
      <c r="Q29" s="280" t="s">
        <v>457</v>
      </c>
      <c r="R29" s="322" t="b">
        <v>0</v>
      </c>
    </row>
    <row r="30" spans="3:18" ht="12.75" x14ac:dyDescent="0.2">
      <c r="C30" s="208" t="s">
        <v>578</v>
      </c>
      <c r="D30" s="258">
        <v>710826.6</v>
      </c>
      <c r="E30" s="522">
        <v>374.62326000000002</v>
      </c>
      <c r="F30" s="521">
        <v>5</v>
      </c>
      <c r="G30" s="209" t="s">
        <v>579</v>
      </c>
      <c r="H30" s="260" t="s">
        <v>580</v>
      </c>
      <c r="I30" s="260" t="s">
        <v>454</v>
      </c>
      <c r="J30" s="260" t="s">
        <v>390</v>
      </c>
      <c r="K30" s="320" t="s">
        <v>581</v>
      </c>
      <c r="L30" s="270"/>
      <c r="M30" s="270"/>
      <c r="N30" s="270" t="s">
        <v>582</v>
      </c>
      <c r="O30" s="270" t="s">
        <v>454</v>
      </c>
      <c r="P30" s="270" t="s">
        <v>583</v>
      </c>
      <c r="Q30" s="280" t="s">
        <v>457</v>
      </c>
      <c r="R30" s="322" t="b">
        <v>0</v>
      </c>
    </row>
    <row r="31" spans="3:18" ht="12.75" x14ac:dyDescent="0.2">
      <c r="C31" s="208" t="s">
        <v>584</v>
      </c>
      <c r="D31" s="258">
        <v>609288</v>
      </c>
      <c r="E31" s="522">
        <v>324.22964000000002</v>
      </c>
      <c r="F31" s="520">
        <v>3</v>
      </c>
      <c r="G31" s="259" t="s">
        <v>585</v>
      </c>
      <c r="H31" s="260" t="s">
        <v>586</v>
      </c>
      <c r="I31" s="260" t="s">
        <v>454</v>
      </c>
      <c r="J31" s="260" t="s">
        <v>382</v>
      </c>
      <c r="K31" s="320" t="s">
        <v>587</v>
      </c>
      <c r="L31" s="262" t="s">
        <v>480</v>
      </c>
      <c r="M31" s="262" t="b">
        <v>0</v>
      </c>
      <c r="N31" s="262" t="s">
        <v>588</v>
      </c>
      <c r="O31" s="262" t="s">
        <v>455</v>
      </c>
      <c r="P31" s="262" t="s">
        <v>589</v>
      </c>
      <c r="Q31" s="280" t="s">
        <v>457</v>
      </c>
      <c r="R31" s="322" t="b">
        <v>0</v>
      </c>
    </row>
    <row r="32" spans="3:18" ht="12.75" x14ac:dyDescent="0.2">
      <c r="C32" s="208" t="s">
        <v>590</v>
      </c>
      <c r="D32" s="258">
        <v>171917.45</v>
      </c>
      <c r="E32" s="522">
        <v>107.16263600000001</v>
      </c>
      <c r="F32" s="521">
        <v>1</v>
      </c>
      <c r="G32" s="209" t="s">
        <v>459</v>
      </c>
      <c r="H32" s="260" t="s">
        <v>591</v>
      </c>
      <c r="I32" s="260" t="s">
        <v>454</v>
      </c>
      <c r="J32" s="260" t="s">
        <v>390</v>
      </c>
      <c r="K32" s="320" t="s">
        <v>461</v>
      </c>
      <c r="L32" s="270"/>
      <c r="M32" s="270"/>
      <c r="N32" s="270" t="s">
        <v>592</v>
      </c>
      <c r="O32" s="270"/>
      <c r="P32" s="270" t="s">
        <v>593</v>
      </c>
      <c r="Q32" s="280" t="s">
        <v>457</v>
      </c>
      <c r="R32" s="322" t="b">
        <v>0</v>
      </c>
    </row>
    <row r="33" spans="3:18" ht="12.75" x14ac:dyDescent="0.2">
      <c r="C33" s="208" t="s">
        <v>594</v>
      </c>
      <c r="D33" s="258">
        <v>6811882</v>
      </c>
      <c r="E33" s="522">
        <v>3402.5771</v>
      </c>
      <c r="F33" s="520">
        <v>1</v>
      </c>
      <c r="G33" s="259" t="s">
        <v>495</v>
      </c>
      <c r="H33" s="260" t="s">
        <v>595</v>
      </c>
      <c r="I33" s="260" t="s">
        <v>454</v>
      </c>
      <c r="J33" s="260" t="s">
        <v>384</v>
      </c>
      <c r="K33" s="320" t="s">
        <v>497</v>
      </c>
      <c r="L33" s="270"/>
      <c r="M33" s="270"/>
      <c r="N33" s="270" t="s">
        <v>596</v>
      </c>
      <c r="O33" s="270"/>
      <c r="P33" s="270" t="s">
        <v>597</v>
      </c>
      <c r="Q33" s="280" t="s">
        <v>457</v>
      </c>
      <c r="R33" s="322" t="b">
        <v>0</v>
      </c>
    </row>
    <row r="34" spans="3:18" ht="12.75" x14ac:dyDescent="0.2">
      <c r="C34" s="208" t="s">
        <v>598</v>
      </c>
      <c r="D34" s="258">
        <v>356903.7</v>
      </c>
      <c r="E34" s="522">
        <v>198.97130000000001</v>
      </c>
      <c r="F34" s="520">
        <v>1</v>
      </c>
      <c r="G34" s="259" t="s">
        <v>599</v>
      </c>
      <c r="H34" s="260" t="s">
        <v>600</v>
      </c>
      <c r="I34" s="260" t="s">
        <v>454</v>
      </c>
      <c r="J34" s="260" t="s">
        <v>391</v>
      </c>
      <c r="K34" s="320" t="s">
        <v>601</v>
      </c>
      <c r="L34" s="270"/>
      <c r="M34" s="270"/>
      <c r="N34" s="270" t="s">
        <v>602</v>
      </c>
      <c r="O34" s="270"/>
      <c r="P34" s="270" t="s">
        <v>603</v>
      </c>
      <c r="Q34" s="280" t="s">
        <v>457</v>
      </c>
      <c r="R34" s="322" t="b">
        <v>0</v>
      </c>
    </row>
    <row r="35" spans="3:18" ht="12.75" x14ac:dyDescent="0.2">
      <c r="C35" s="208" t="s">
        <v>604</v>
      </c>
      <c r="D35" s="258">
        <v>167081.47</v>
      </c>
      <c r="E35" s="522">
        <v>104.76253</v>
      </c>
      <c r="F35" s="520">
        <v>2</v>
      </c>
      <c r="G35" s="259" t="s">
        <v>485</v>
      </c>
      <c r="H35" s="260" t="s">
        <v>605</v>
      </c>
      <c r="I35" s="260" t="s">
        <v>454</v>
      </c>
      <c r="J35" s="260" t="s">
        <v>390</v>
      </c>
      <c r="K35" s="320" t="s">
        <v>487</v>
      </c>
      <c r="L35" s="270"/>
      <c r="M35" s="270" t="b">
        <v>0</v>
      </c>
      <c r="N35" s="270" t="s">
        <v>606</v>
      </c>
      <c r="O35" s="270"/>
      <c r="P35" s="270" t="s">
        <v>607</v>
      </c>
      <c r="Q35" s="280" t="s">
        <v>457</v>
      </c>
      <c r="R35" s="322" t="b">
        <v>0</v>
      </c>
    </row>
    <row r="36" spans="3:18" ht="12.75" x14ac:dyDescent="0.2">
      <c r="C36" s="208" t="s">
        <v>608</v>
      </c>
      <c r="D36" s="258">
        <v>16741.919999999998</v>
      </c>
      <c r="E36" s="522">
        <v>30.149014999999999</v>
      </c>
      <c r="F36" s="521">
        <v>1</v>
      </c>
      <c r="G36" s="209" t="s">
        <v>609</v>
      </c>
      <c r="H36" s="260" t="s">
        <v>610</v>
      </c>
      <c r="I36" s="260" t="s">
        <v>454</v>
      </c>
      <c r="J36" s="260" t="s">
        <v>380</v>
      </c>
      <c r="K36" s="320" t="s">
        <v>611</v>
      </c>
      <c r="L36" s="270"/>
      <c r="M36" s="270" t="b">
        <v>0</v>
      </c>
      <c r="N36" s="270" t="s">
        <v>612</v>
      </c>
      <c r="O36" s="270"/>
      <c r="P36" s="270" t="s">
        <v>613</v>
      </c>
      <c r="Q36" s="280" t="s">
        <v>457</v>
      </c>
      <c r="R36" s="322" t="b">
        <v>0</v>
      </c>
    </row>
    <row r="37" spans="3:18" ht="12.75" x14ac:dyDescent="0.2">
      <c r="C37" s="208" t="s">
        <v>614</v>
      </c>
      <c r="D37" s="258">
        <v>61321.32</v>
      </c>
      <c r="E37" s="522">
        <v>52.273772999999998</v>
      </c>
      <c r="F37" s="520">
        <v>1</v>
      </c>
      <c r="G37" s="259"/>
      <c r="H37" s="260"/>
      <c r="I37" s="260" t="s">
        <v>454</v>
      </c>
      <c r="J37" s="260"/>
      <c r="K37" s="320"/>
      <c r="L37" s="262"/>
      <c r="M37" s="262"/>
      <c r="N37" s="262"/>
      <c r="O37" s="262" t="s">
        <v>615</v>
      </c>
      <c r="P37" s="262" t="s">
        <v>616</v>
      </c>
      <c r="Q37" s="280" t="s">
        <v>457</v>
      </c>
      <c r="R37" s="322" t="b">
        <v>0</v>
      </c>
    </row>
    <row r="38" spans="3:18" ht="12.75" x14ac:dyDescent="0.2">
      <c r="C38" s="208" t="s">
        <v>617</v>
      </c>
      <c r="D38" s="258">
        <v>5189.2190000000001</v>
      </c>
      <c r="E38" s="522">
        <v>24.415410000000001</v>
      </c>
      <c r="F38" s="520">
        <v>1</v>
      </c>
      <c r="G38" s="259" t="s">
        <v>485</v>
      </c>
      <c r="H38" s="260" t="s">
        <v>618</v>
      </c>
      <c r="I38" s="260" t="s">
        <v>454</v>
      </c>
      <c r="J38" s="260" t="s">
        <v>390</v>
      </c>
      <c r="K38" s="320" t="s">
        <v>487</v>
      </c>
      <c r="L38" s="270"/>
      <c r="M38" s="270" t="b">
        <v>0</v>
      </c>
      <c r="N38" s="270" t="s">
        <v>474</v>
      </c>
      <c r="O38" s="270"/>
      <c r="P38" s="270" t="s">
        <v>619</v>
      </c>
      <c r="Q38" s="280" t="s">
        <v>457</v>
      </c>
      <c r="R38" s="322" t="b">
        <v>0</v>
      </c>
    </row>
    <row r="39" spans="3:18" ht="12.75" x14ac:dyDescent="0.2">
      <c r="C39" s="208" t="s">
        <v>620</v>
      </c>
      <c r="D39" s="258">
        <v>466990.16</v>
      </c>
      <c r="E39" s="522">
        <v>253.60721000000001</v>
      </c>
      <c r="F39" s="521">
        <v>3</v>
      </c>
      <c r="G39" s="209" t="s">
        <v>543</v>
      </c>
      <c r="H39" s="260" t="s">
        <v>621</v>
      </c>
      <c r="I39" s="260" t="s">
        <v>454</v>
      </c>
      <c r="J39" s="260" t="s">
        <v>381</v>
      </c>
      <c r="K39" s="320" t="s">
        <v>545</v>
      </c>
      <c r="L39" s="270"/>
      <c r="M39" s="270" t="b">
        <v>0</v>
      </c>
      <c r="N39" s="270" t="s">
        <v>622</v>
      </c>
      <c r="O39" s="270"/>
      <c r="P39" s="270" t="s">
        <v>623</v>
      </c>
      <c r="Q39" s="280" t="s">
        <v>457</v>
      </c>
      <c r="R39" s="322" t="b">
        <v>0</v>
      </c>
    </row>
    <row r="40" spans="3:18" ht="12.75" x14ac:dyDescent="0.2">
      <c r="C40" s="208" t="s">
        <v>624</v>
      </c>
      <c r="D40" s="258">
        <v>7453.37</v>
      </c>
      <c r="E40" s="522">
        <v>25.539107999999999</v>
      </c>
      <c r="F40" s="521">
        <v>1</v>
      </c>
      <c r="G40" s="209"/>
      <c r="H40" s="260"/>
      <c r="I40" s="260" t="s">
        <v>454</v>
      </c>
      <c r="J40" s="260"/>
      <c r="K40" s="320"/>
      <c r="L40" s="262"/>
      <c r="M40" s="262"/>
      <c r="N40" s="262"/>
      <c r="O40" s="262" t="s">
        <v>615</v>
      </c>
      <c r="P40" s="262" t="s">
        <v>625</v>
      </c>
      <c r="Q40" s="280" t="s">
        <v>457</v>
      </c>
      <c r="R40" s="322" t="b">
        <v>0</v>
      </c>
    </row>
    <row r="41" spans="3:18" ht="12.75" x14ac:dyDescent="0.2">
      <c r="C41" s="208" t="s">
        <v>626</v>
      </c>
      <c r="D41" s="258">
        <v>1199568.8</v>
      </c>
      <c r="E41" s="522">
        <v>617.18600000000004</v>
      </c>
      <c r="F41" s="520">
        <v>1</v>
      </c>
      <c r="G41" s="259" t="s">
        <v>627</v>
      </c>
      <c r="H41" s="260" t="s">
        <v>628</v>
      </c>
      <c r="I41" s="260" t="s">
        <v>454</v>
      </c>
      <c r="J41" s="260" t="s">
        <v>382</v>
      </c>
      <c r="K41" s="320" t="s">
        <v>629</v>
      </c>
      <c r="L41" s="270"/>
      <c r="M41" s="270" t="b">
        <v>0</v>
      </c>
      <c r="N41" s="270" t="s">
        <v>630</v>
      </c>
      <c r="O41" s="270">
        <v>40</v>
      </c>
      <c r="P41" s="270" t="s">
        <v>631</v>
      </c>
      <c r="Q41" s="280" t="s">
        <v>457</v>
      </c>
      <c r="R41" s="322" t="b">
        <v>0</v>
      </c>
    </row>
    <row r="42" spans="3:18" ht="12.75" x14ac:dyDescent="0.2">
      <c r="C42" s="208" t="s">
        <v>632</v>
      </c>
      <c r="D42" s="258">
        <v>871283.19999999995</v>
      </c>
      <c r="E42" s="522">
        <v>454.25783999999999</v>
      </c>
      <c r="F42" s="520">
        <v>1</v>
      </c>
      <c r="G42" s="259" t="s">
        <v>459</v>
      </c>
      <c r="H42" s="260" t="s">
        <v>633</v>
      </c>
      <c r="I42" s="260" t="s">
        <v>454</v>
      </c>
      <c r="J42" s="260" t="s">
        <v>390</v>
      </c>
      <c r="K42" s="320" t="s">
        <v>461</v>
      </c>
      <c r="L42" s="270"/>
      <c r="M42" s="270" t="b">
        <v>0</v>
      </c>
      <c r="N42" s="270" t="s">
        <v>634</v>
      </c>
      <c r="O42" s="270"/>
      <c r="P42" s="270" t="s">
        <v>635</v>
      </c>
      <c r="Q42" s="280" t="s">
        <v>457</v>
      </c>
      <c r="R42" s="322" t="b">
        <v>0</v>
      </c>
    </row>
    <row r="43" spans="3:18" ht="12.75" x14ac:dyDescent="0.2">
      <c r="C43" s="208" t="s">
        <v>636</v>
      </c>
      <c r="D43" s="258">
        <v>160832.34</v>
      </c>
      <c r="E43" s="522">
        <v>101.66109</v>
      </c>
      <c r="F43" s="521">
        <v>1</v>
      </c>
      <c r="G43" s="209"/>
      <c r="H43" s="260"/>
      <c r="I43" s="260" t="s">
        <v>454</v>
      </c>
      <c r="J43" s="260"/>
      <c r="K43" s="320"/>
      <c r="L43" s="262"/>
      <c r="M43" s="262"/>
      <c r="N43" s="262"/>
      <c r="O43" s="262" t="s">
        <v>615</v>
      </c>
      <c r="P43" s="262" t="s">
        <v>637</v>
      </c>
      <c r="Q43" s="280" t="s">
        <v>457</v>
      </c>
      <c r="R43" s="322" t="b">
        <v>0</v>
      </c>
    </row>
    <row r="44" spans="3:18" ht="12.75" x14ac:dyDescent="0.2">
      <c r="C44" s="208" t="s">
        <v>638</v>
      </c>
      <c r="D44" s="258">
        <v>7923.4260000000004</v>
      </c>
      <c r="E44" s="522">
        <v>25.772396000000001</v>
      </c>
      <c r="F44" s="521">
        <v>1</v>
      </c>
      <c r="G44" s="209"/>
      <c r="H44" s="260"/>
      <c r="I44" s="260" t="s">
        <v>454</v>
      </c>
      <c r="J44" s="260"/>
      <c r="K44" s="320"/>
      <c r="L44" s="262"/>
      <c r="M44" s="262"/>
      <c r="N44" s="262"/>
      <c r="O44" s="262" t="s">
        <v>615</v>
      </c>
      <c r="P44" s="262" t="s">
        <v>639</v>
      </c>
      <c r="Q44" s="280" t="s">
        <v>457</v>
      </c>
      <c r="R44" s="322" t="b">
        <v>0</v>
      </c>
    </row>
    <row r="45" spans="3:18" ht="12.75" x14ac:dyDescent="0.2">
      <c r="C45" s="208" t="s">
        <v>640</v>
      </c>
      <c r="D45" s="258">
        <v>204163.83</v>
      </c>
      <c r="E45" s="522">
        <v>123.166504</v>
      </c>
      <c r="F45" s="520">
        <v>1</v>
      </c>
      <c r="G45" s="259" t="s">
        <v>471</v>
      </c>
      <c r="H45" s="260" t="s">
        <v>641</v>
      </c>
      <c r="I45" s="260" t="s">
        <v>454</v>
      </c>
      <c r="J45" s="260" t="s">
        <v>393</v>
      </c>
      <c r="K45" s="320" t="s">
        <v>473</v>
      </c>
      <c r="L45" s="270"/>
      <c r="M45" s="270"/>
      <c r="N45" s="270" t="s">
        <v>524</v>
      </c>
      <c r="O45" s="270"/>
      <c r="P45" s="270" t="s">
        <v>642</v>
      </c>
      <c r="Q45" s="280" t="s">
        <v>457</v>
      </c>
      <c r="R45" s="322" t="b">
        <v>0</v>
      </c>
    </row>
    <row r="46" spans="3:18" ht="12.75" x14ac:dyDescent="0.2">
      <c r="C46" s="208" t="s">
        <v>643</v>
      </c>
      <c r="D46" s="258">
        <v>7440.1166999999996</v>
      </c>
      <c r="E46" s="522">
        <v>25.532530000000001</v>
      </c>
      <c r="F46" s="521">
        <v>1</v>
      </c>
      <c r="G46" s="209"/>
      <c r="H46" s="260"/>
      <c r="I46" s="260" t="s">
        <v>454</v>
      </c>
      <c r="J46" s="260"/>
      <c r="K46" s="320"/>
      <c r="L46" s="262"/>
      <c r="M46" s="262"/>
      <c r="N46" s="262"/>
      <c r="O46" s="262" t="s">
        <v>644</v>
      </c>
      <c r="P46" s="262" t="s">
        <v>645</v>
      </c>
      <c r="Q46" s="280" t="s">
        <v>457</v>
      </c>
      <c r="R46" s="322" t="b">
        <v>0</v>
      </c>
    </row>
    <row r="47" spans="3:18" ht="12.75" x14ac:dyDescent="0.2">
      <c r="C47" s="208" t="s">
        <v>646</v>
      </c>
      <c r="D47" s="258">
        <v>296657.3</v>
      </c>
      <c r="E47" s="522">
        <v>169.07103000000001</v>
      </c>
      <c r="F47" s="521">
        <v>3</v>
      </c>
      <c r="G47" s="209" t="s">
        <v>527</v>
      </c>
      <c r="H47" s="260" t="s">
        <v>647</v>
      </c>
      <c r="I47" s="260" t="s">
        <v>454</v>
      </c>
      <c r="J47" s="260" t="s">
        <v>392</v>
      </c>
      <c r="K47" s="320" t="s">
        <v>529</v>
      </c>
      <c r="L47" s="270"/>
      <c r="M47" s="270" t="b">
        <v>0</v>
      </c>
      <c r="N47" s="270" t="s">
        <v>606</v>
      </c>
      <c r="O47" s="270"/>
      <c r="P47" s="270" t="s">
        <v>648</v>
      </c>
      <c r="Q47" s="280" t="s">
        <v>457</v>
      </c>
      <c r="R47" s="322" t="b">
        <v>0</v>
      </c>
    </row>
    <row r="48" spans="3:18" ht="12.75" x14ac:dyDescent="0.2">
      <c r="C48" s="208" t="s">
        <v>649</v>
      </c>
      <c r="D48" s="258">
        <v>19401318</v>
      </c>
      <c r="E48" s="522">
        <v>9650.7139999999999</v>
      </c>
      <c r="F48" s="520">
        <v>6</v>
      </c>
      <c r="G48" s="259" t="s">
        <v>471</v>
      </c>
      <c r="H48" s="260" t="s">
        <v>650</v>
      </c>
      <c r="I48" s="260" t="s">
        <v>454</v>
      </c>
      <c r="J48" s="260" t="s">
        <v>393</v>
      </c>
      <c r="K48" s="320" t="s">
        <v>473</v>
      </c>
      <c r="L48" s="270"/>
      <c r="M48" s="270"/>
      <c r="N48" s="270" t="s">
        <v>651</v>
      </c>
      <c r="O48" s="270"/>
      <c r="P48" s="270" t="s">
        <v>652</v>
      </c>
      <c r="Q48" s="280" t="s">
        <v>457</v>
      </c>
      <c r="R48" s="322" t="b">
        <v>0</v>
      </c>
    </row>
    <row r="49" spans="3:18" ht="12.75" x14ac:dyDescent="0.2">
      <c r="C49" s="208" t="s">
        <v>653</v>
      </c>
      <c r="D49" s="258">
        <v>7500.3530000000001</v>
      </c>
      <c r="E49" s="522">
        <v>25.562425999999999</v>
      </c>
      <c r="F49" s="520">
        <v>1</v>
      </c>
      <c r="G49" s="259"/>
      <c r="H49" s="260"/>
      <c r="I49" s="260" t="s">
        <v>454</v>
      </c>
      <c r="J49" s="260"/>
      <c r="K49" s="320"/>
      <c r="L49" s="262"/>
      <c r="M49" s="262"/>
      <c r="N49" s="262"/>
      <c r="O49" s="262" t="s">
        <v>482</v>
      </c>
      <c r="P49" s="262" t="s">
        <v>654</v>
      </c>
      <c r="Q49" s="280" t="s">
        <v>457</v>
      </c>
      <c r="R49" s="322" t="b">
        <v>0</v>
      </c>
    </row>
    <row r="50" spans="3:18" ht="12.75" x14ac:dyDescent="0.2">
      <c r="C50" s="208" t="s">
        <v>655</v>
      </c>
      <c r="D50" s="258">
        <v>3024872</v>
      </c>
      <c r="E50" s="522">
        <v>1523.0840000000001</v>
      </c>
      <c r="F50" s="521">
        <v>1</v>
      </c>
      <c r="G50" s="209" t="s">
        <v>656</v>
      </c>
      <c r="H50" s="260" t="s">
        <v>657</v>
      </c>
      <c r="I50" s="260" t="s">
        <v>454</v>
      </c>
      <c r="J50" s="260" t="s">
        <v>393</v>
      </c>
      <c r="K50" s="320" t="s">
        <v>658</v>
      </c>
      <c r="L50" s="270"/>
      <c r="M50" s="270"/>
      <c r="N50" s="270" t="s">
        <v>659</v>
      </c>
      <c r="O50" s="270" t="s">
        <v>615</v>
      </c>
      <c r="P50" s="270" t="s">
        <v>660</v>
      </c>
      <c r="Q50" s="280" t="s">
        <v>457</v>
      </c>
      <c r="R50" s="322" t="b">
        <v>0</v>
      </c>
    </row>
    <row r="51" spans="3:18" ht="12.75" x14ac:dyDescent="0.2">
      <c r="C51" s="208" t="s">
        <v>661</v>
      </c>
      <c r="D51" s="258">
        <v>2995525.8</v>
      </c>
      <c r="E51" s="522">
        <v>1508.5193999999999</v>
      </c>
      <c r="F51" s="520">
        <v>5</v>
      </c>
      <c r="G51" s="259" t="s">
        <v>662</v>
      </c>
      <c r="H51" s="260" t="s">
        <v>663</v>
      </c>
      <c r="I51" s="260" t="s">
        <v>454</v>
      </c>
      <c r="J51" s="260"/>
      <c r="K51" s="320" t="s">
        <v>664</v>
      </c>
      <c r="L51" s="270"/>
      <c r="M51" s="270"/>
      <c r="N51" s="270" t="s">
        <v>665</v>
      </c>
      <c r="O51" s="270"/>
      <c r="P51" s="270" t="s">
        <v>666</v>
      </c>
      <c r="Q51" s="280" t="s">
        <v>457</v>
      </c>
      <c r="R51" s="322" t="b">
        <v>0</v>
      </c>
    </row>
    <row r="52" spans="3:18" ht="12.75" x14ac:dyDescent="0.2">
      <c r="C52" s="208" t="s">
        <v>667</v>
      </c>
      <c r="D52" s="258">
        <v>19680.291000000001</v>
      </c>
      <c r="E52" s="522">
        <v>31.607327999999999</v>
      </c>
      <c r="F52" s="520">
        <v>1</v>
      </c>
      <c r="G52" s="259" t="s">
        <v>512</v>
      </c>
      <c r="H52" s="260" t="s">
        <v>668</v>
      </c>
      <c r="I52" s="260" t="s">
        <v>454</v>
      </c>
      <c r="J52" s="260" t="s">
        <v>380</v>
      </c>
      <c r="K52" s="320" t="s">
        <v>514</v>
      </c>
      <c r="L52" s="270"/>
      <c r="M52" s="270" t="b">
        <v>0</v>
      </c>
      <c r="N52" s="270" t="s">
        <v>468</v>
      </c>
      <c r="O52" s="270"/>
      <c r="P52" s="270" t="s">
        <v>669</v>
      </c>
      <c r="Q52" s="280" t="s">
        <v>457</v>
      </c>
      <c r="R52" s="322" t="b">
        <v>0</v>
      </c>
    </row>
    <row r="53" spans="3:18" ht="12.75" x14ac:dyDescent="0.2">
      <c r="C53" s="208" t="s">
        <v>670</v>
      </c>
      <c r="D53" s="258">
        <v>3175963</v>
      </c>
      <c r="E53" s="522">
        <v>1598.0704000000001</v>
      </c>
      <c r="F53" s="520">
        <v>2</v>
      </c>
      <c r="G53" s="259" t="s">
        <v>573</v>
      </c>
      <c r="H53" s="260" t="s">
        <v>671</v>
      </c>
      <c r="I53" s="260" t="s">
        <v>454</v>
      </c>
      <c r="J53" s="260" t="s">
        <v>386</v>
      </c>
      <c r="K53" s="320" t="s">
        <v>575</v>
      </c>
      <c r="L53" s="270"/>
      <c r="M53" s="270"/>
      <c r="N53" s="270" t="s">
        <v>672</v>
      </c>
      <c r="O53" s="270"/>
      <c r="P53" s="270" t="s">
        <v>673</v>
      </c>
      <c r="Q53" s="280" t="s">
        <v>457</v>
      </c>
      <c r="R53" s="322" t="b">
        <v>0</v>
      </c>
    </row>
    <row r="54" spans="3:18" ht="12.75" x14ac:dyDescent="0.2">
      <c r="C54" s="208" t="s">
        <v>674</v>
      </c>
      <c r="D54" s="258">
        <v>593273.93999999994</v>
      </c>
      <c r="E54" s="522">
        <v>316.28183000000001</v>
      </c>
      <c r="F54" s="520">
        <v>3</v>
      </c>
      <c r="G54" s="259" t="s">
        <v>675</v>
      </c>
      <c r="H54" s="260" t="s">
        <v>676</v>
      </c>
      <c r="I54" s="260" t="s">
        <v>454</v>
      </c>
      <c r="J54" s="260" t="s">
        <v>383</v>
      </c>
      <c r="K54" s="320" t="s">
        <v>677</v>
      </c>
      <c r="L54" s="270"/>
      <c r="M54" s="270"/>
      <c r="N54" s="270" t="s">
        <v>678</v>
      </c>
      <c r="O54" s="270"/>
      <c r="P54" s="270" t="s">
        <v>679</v>
      </c>
      <c r="Q54" s="280" t="s">
        <v>457</v>
      </c>
      <c r="R54" s="322" t="b">
        <v>0</v>
      </c>
    </row>
    <row r="55" spans="3:18" ht="12.75" x14ac:dyDescent="0.2">
      <c r="C55" s="208" t="s">
        <v>680</v>
      </c>
      <c r="D55" s="258">
        <v>19339.148000000001</v>
      </c>
      <c r="E55" s="522">
        <v>31.438019000000001</v>
      </c>
      <c r="F55" s="521">
        <v>2</v>
      </c>
      <c r="G55" s="209" t="s">
        <v>512</v>
      </c>
      <c r="H55" s="260" t="s">
        <v>681</v>
      </c>
      <c r="I55" s="260" t="s">
        <v>454</v>
      </c>
      <c r="J55" s="260" t="s">
        <v>380</v>
      </c>
      <c r="K55" s="320" t="s">
        <v>514</v>
      </c>
      <c r="L55" s="270"/>
      <c r="M55" s="262" t="b">
        <v>0</v>
      </c>
      <c r="N55" s="262" t="s">
        <v>682</v>
      </c>
      <c r="O55" s="262"/>
      <c r="P55" s="262" t="s">
        <v>683</v>
      </c>
      <c r="Q55" s="280" t="s">
        <v>457</v>
      </c>
      <c r="R55" s="322" t="b">
        <v>0</v>
      </c>
    </row>
    <row r="56" spans="3:18" ht="12.75" x14ac:dyDescent="0.2">
      <c r="C56" s="276" t="s">
        <v>684</v>
      </c>
      <c r="D56" s="277">
        <v>103714.04</v>
      </c>
      <c r="E56" s="522">
        <v>73.313280000000006</v>
      </c>
      <c r="F56" s="131">
        <v>1</v>
      </c>
      <c r="G56" s="343" t="s">
        <v>685</v>
      </c>
      <c r="H56" s="279" t="s">
        <v>686</v>
      </c>
      <c r="I56" s="279" t="s">
        <v>454</v>
      </c>
      <c r="J56" s="279" t="s">
        <v>687</v>
      </c>
      <c r="K56" s="321" t="s">
        <v>688</v>
      </c>
      <c r="L56" s="347"/>
      <c r="M56" s="280" t="b">
        <v>0</v>
      </c>
      <c r="N56" s="280" t="s">
        <v>468</v>
      </c>
      <c r="O56" s="280"/>
      <c r="P56" s="280" t="s">
        <v>689</v>
      </c>
      <c r="Q56" s="280" t="s">
        <v>457</v>
      </c>
      <c r="R56" s="322" t="b">
        <v>0</v>
      </c>
    </row>
    <row r="57" spans="3:18" ht="12.75" x14ac:dyDescent="0.2">
      <c r="C57" s="276" t="s">
        <v>690</v>
      </c>
      <c r="D57" s="277">
        <v>8222.3979999999992</v>
      </c>
      <c r="E57" s="522">
        <v>25.920776</v>
      </c>
      <c r="F57" s="131">
        <v>1</v>
      </c>
      <c r="G57" s="343"/>
      <c r="H57" s="279"/>
      <c r="I57" s="279" t="s">
        <v>454</v>
      </c>
      <c r="J57" s="279"/>
      <c r="K57" s="321"/>
      <c r="L57" s="280"/>
      <c r="M57" s="280"/>
      <c r="N57" s="280"/>
      <c r="O57" s="280" t="s">
        <v>615</v>
      </c>
      <c r="P57" s="280" t="s">
        <v>691</v>
      </c>
      <c r="Q57" s="280" t="s">
        <v>457</v>
      </c>
      <c r="R57" s="322" t="b">
        <v>0</v>
      </c>
    </row>
    <row r="58" spans="3:18" customFormat="1" x14ac:dyDescent="0.25">
      <c r="C58" s="276" t="s">
        <v>692</v>
      </c>
      <c r="D58" s="277">
        <v>20867.715</v>
      </c>
      <c r="E58" s="522">
        <v>32.196648000000003</v>
      </c>
      <c r="F58" s="47">
        <v>7</v>
      </c>
      <c r="G58" s="278" t="s">
        <v>465</v>
      </c>
      <c r="H58" s="279" t="s">
        <v>693</v>
      </c>
      <c r="I58" s="279" t="s">
        <v>454</v>
      </c>
      <c r="J58" s="279" t="s">
        <v>380</v>
      </c>
      <c r="K58" s="321" t="s">
        <v>694</v>
      </c>
      <c r="L58" s="280" t="s">
        <v>695</v>
      </c>
      <c r="M58" s="280" t="b">
        <v>0</v>
      </c>
      <c r="N58" s="280" t="s">
        <v>696</v>
      </c>
      <c r="O58" s="280"/>
      <c r="P58" s="280" t="s">
        <v>697</v>
      </c>
      <c r="Q58" s="280" t="s">
        <v>457</v>
      </c>
      <c r="R58" s="322" t="b">
        <v>0</v>
      </c>
    </row>
    <row r="59" spans="3:18" ht="12.75" x14ac:dyDescent="0.2">
      <c r="C59" s="276" t="s">
        <v>698</v>
      </c>
      <c r="D59" s="277">
        <v>236095.08</v>
      </c>
      <c r="E59" s="522">
        <v>139.01399000000001</v>
      </c>
      <c r="F59" s="131">
        <v>2</v>
      </c>
      <c r="G59" s="343" t="s">
        <v>459</v>
      </c>
      <c r="H59" s="279" t="s">
        <v>699</v>
      </c>
      <c r="I59" s="279" t="s">
        <v>454</v>
      </c>
      <c r="J59" s="279" t="s">
        <v>390</v>
      </c>
      <c r="K59" s="321" t="s">
        <v>461</v>
      </c>
      <c r="L59" s="347"/>
      <c r="M59" s="347"/>
      <c r="N59" s="280" t="s">
        <v>596</v>
      </c>
      <c r="O59" s="280"/>
      <c r="P59" s="280" t="s">
        <v>700</v>
      </c>
      <c r="Q59" s="280" t="s">
        <v>457</v>
      </c>
      <c r="R59" s="322" t="b">
        <v>0</v>
      </c>
    </row>
    <row r="60" spans="3:18" ht="12.75" x14ac:dyDescent="0.2">
      <c r="C60" s="276" t="s">
        <v>701</v>
      </c>
      <c r="D60" s="277">
        <v>1797234.5</v>
      </c>
      <c r="E60" s="522">
        <v>913.8075</v>
      </c>
      <c r="F60" s="47">
        <v>4</v>
      </c>
      <c r="G60" s="278" t="s">
        <v>527</v>
      </c>
      <c r="H60" s="279" t="s">
        <v>702</v>
      </c>
      <c r="I60" s="279" t="s">
        <v>454</v>
      </c>
      <c r="J60" s="279" t="s">
        <v>392</v>
      </c>
      <c r="K60" s="321" t="s">
        <v>529</v>
      </c>
      <c r="L60" s="347"/>
      <c r="M60" s="347"/>
      <c r="N60" s="280" t="s">
        <v>703</v>
      </c>
      <c r="O60" s="280"/>
      <c r="P60" s="280" t="s">
        <v>704</v>
      </c>
      <c r="Q60" s="280" t="s">
        <v>457</v>
      </c>
      <c r="R60" s="322" t="b">
        <v>0</v>
      </c>
    </row>
    <row r="61" spans="3:18" ht="12.75" x14ac:dyDescent="0.2">
      <c r="C61" s="276" t="s">
        <v>705</v>
      </c>
      <c r="D61" s="277">
        <v>9797834</v>
      </c>
      <c r="E61" s="522">
        <v>4884.5050000000001</v>
      </c>
      <c r="F61" s="47">
        <v>17</v>
      </c>
      <c r="G61" s="278" t="s">
        <v>459</v>
      </c>
      <c r="H61" s="279" t="s">
        <v>706</v>
      </c>
      <c r="I61" s="279" t="s">
        <v>454</v>
      </c>
      <c r="J61" s="279" t="s">
        <v>390</v>
      </c>
      <c r="K61" s="321" t="s">
        <v>461</v>
      </c>
      <c r="L61" s="347"/>
      <c r="M61" s="347"/>
      <c r="N61" s="280" t="s">
        <v>707</v>
      </c>
      <c r="O61" s="280"/>
      <c r="P61" s="280" t="s">
        <v>708</v>
      </c>
      <c r="Q61" s="280" t="s">
        <v>457</v>
      </c>
      <c r="R61" s="322" t="b">
        <v>0</v>
      </c>
    </row>
    <row r="62" spans="3:18" ht="12.75" x14ac:dyDescent="0.2">
      <c r="C62" s="276" t="s">
        <v>709</v>
      </c>
      <c r="D62" s="277">
        <v>263405.59999999998</v>
      </c>
      <c r="E62" s="522">
        <v>152.56819999999999</v>
      </c>
      <c r="F62" s="47">
        <v>1</v>
      </c>
      <c r="G62" s="278" t="s">
        <v>675</v>
      </c>
      <c r="H62" s="279" t="s">
        <v>710</v>
      </c>
      <c r="I62" s="279" t="s">
        <v>454</v>
      </c>
      <c r="J62" s="279" t="s">
        <v>383</v>
      </c>
      <c r="K62" s="321" t="s">
        <v>677</v>
      </c>
      <c r="L62" s="280" t="s">
        <v>480</v>
      </c>
      <c r="M62" s="347"/>
      <c r="N62" s="280" t="s">
        <v>524</v>
      </c>
      <c r="O62" s="280"/>
      <c r="P62" s="280" t="s">
        <v>711</v>
      </c>
      <c r="Q62" s="280" t="s">
        <v>457</v>
      </c>
      <c r="R62" s="322" t="b">
        <v>0</v>
      </c>
    </row>
    <row r="63" spans="3:18" ht="12.75" x14ac:dyDescent="0.2">
      <c r="C63" s="276" t="s">
        <v>712</v>
      </c>
      <c r="D63" s="277">
        <v>240600.73</v>
      </c>
      <c r="E63" s="522">
        <v>141.25014999999999</v>
      </c>
      <c r="F63" s="47">
        <v>1</v>
      </c>
      <c r="G63" s="278" t="s">
        <v>713</v>
      </c>
      <c r="H63" s="279" t="s">
        <v>714</v>
      </c>
      <c r="I63" s="279" t="s">
        <v>454</v>
      </c>
      <c r="J63" s="279" t="s">
        <v>388</v>
      </c>
      <c r="K63" s="321" t="s">
        <v>715</v>
      </c>
      <c r="L63" s="347"/>
      <c r="M63" s="347"/>
      <c r="N63" s="280" t="s">
        <v>716</v>
      </c>
      <c r="O63" s="280"/>
      <c r="P63" s="280" t="s">
        <v>717</v>
      </c>
      <c r="Q63" s="280" t="s">
        <v>457</v>
      </c>
      <c r="R63" s="322" t="b">
        <v>0</v>
      </c>
    </row>
    <row r="64" spans="3:18" ht="12.75" x14ac:dyDescent="0.2">
      <c r="C64" s="276" t="s">
        <v>718</v>
      </c>
      <c r="D64" s="277">
        <v>7712.5293000000001</v>
      </c>
      <c r="E64" s="522">
        <v>25.667728</v>
      </c>
      <c r="F64" s="131">
        <v>1</v>
      </c>
      <c r="G64" s="343"/>
      <c r="H64" s="279"/>
      <c r="I64" s="279" t="s">
        <v>454</v>
      </c>
      <c r="J64" s="279"/>
      <c r="K64" s="321"/>
      <c r="L64" s="280"/>
      <c r="M64" s="280"/>
      <c r="N64" s="280"/>
      <c r="O64" s="280" t="s">
        <v>615</v>
      </c>
      <c r="P64" s="280" t="s">
        <v>719</v>
      </c>
      <c r="Q64" s="280" t="s">
        <v>457</v>
      </c>
      <c r="R64" s="322" t="b">
        <v>0</v>
      </c>
    </row>
    <row r="65" spans="3:18" ht="12.75" x14ac:dyDescent="0.2">
      <c r="C65" s="276" t="s">
        <v>720</v>
      </c>
      <c r="D65" s="277">
        <v>370161.06</v>
      </c>
      <c r="E65" s="522">
        <v>205.55092999999999</v>
      </c>
      <c r="F65" s="131">
        <v>6</v>
      </c>
      <c r="G65" s="343" t="s">
        <v>485</v>
      </c>
      <c r="H65" s="279" t="s">
        <v>721</v>
      </c>
      <c r="I65" s="279" t="s">
        <v>454</v>
      </c>
      <c r="J65" s="279" t="s">
        <v>390</v>
      </c>
      <c r="K65" s="321" t="s">
        <v>487</v>
      </c>
      <c r="L65" s="347"/>
      <c r="M65" s="280" t="b">
        <v>0</v>
      </c>
      <c r="N65" s="280" t="s">
        <v>606</v>
      </c>
      <c r="O65" s="280"/>
      <c r="P65" s="280" t="s">
        <v>722</v>
      </c>
      <c r="Q65" s="280" t="s">
        <v>457</v>
      </c>
      <c r="R65" s="322" t="b">
        <v>0</v>
      </c>
    </row>
    <row r="66" spans="3:18" ht="12.75" x14ac:dyDescent="0.2">
      <c r="C66" s="276" t="s">
        <v>723</v>
      </c>
      <c r="D66" s="277">
        <v>28019.585999999999</v>
      </c>
      <c r="E66" s="522">
        <v>35.746119999999998</v>
      </c>
      <c r="F66" s="47">
        <v>1</v>
      </c>
      <c r="G66" s="278"/>
      <c r="H66" s="279"/>
      <c r="I66" s="279" t="s">
        <v>454</v>
      </c>
      <c r="J66" s="279"/>
      <c r="K66" s="321"/>
      <c r="L66" s="280"/>
      <c r="M66" s="280"/>
      <c r="N66" s="280"/>
      <c r="O66" s="280" t="s">
        <v>482</v>
      </c>
      <c r="P66" s="280" t="s">
        <v>724</v>
      </c>
      <c r="Q66" s="280" t="s">
        <v>457</v>
      </c>
      <c r="R66" s="322" t="b">
        <v>0</v>
      </c>
    </row>
    <row r="67" spans="3:18" ht="12.75" x14ac:dyDescent="0.2">
      <c r="C67" s="276" t="s">
        <v>725</v>
      </c>
      <c r="D67" s="277">
        <v>67435.490000000005</v>
      </c>
      <c r="E67" s="522">
        <v>55.308235000000003</v>
      </c>
      <c r="F67" s="131">
        <v>1</v>
      </c>
      <c r="G67" s="343" t="s">
        <v>521</v>
      </c>
      <c r="H67" s="279" t="s">
        <v>726</v>
      </c>
      <c r="I67" s="279" t="s">
        <v>454</v>
      </c>
      <c r="J67" s="279" t="s">
        <v>388</v>
      </c>
      <c r="K67" s="321" t="s">
        <v>523</v>
      </c>
      <c r="L67" s="347"/>
      <c r="M67" s="347"/>
      <c r="N67" s="280" t="s">
        <v>727</v>
      </c>
      <c r="O67" s="280"/>
      <c r="P67" s="280" t="s">
        <v>728</v>
      </c>
      <c r="Q67" s="280" t="s">
        <v>457</v>
      </c>
      <c r="R67" s="322" t="b">
        <v>0</v>
      </c>
    </row>
    <row r="68" spans="3:18" ht="12.75" x14ac:dyDescent="0.2">
      <c r="C68" s="276" t="s">
        <v>729</v>
      </c>
      <c r="D68" s="277">
        <v>137677.47</v>
      </c>
      <c r="E68" s="522">
        <v>90.169330000000002</v>
      </c>
      <c r="F68" s="131">
        <v>1</v>
      </c>
      <c r="G68" s="343" t="s">
        <v>730</v>
      </c>
      <c r="H68" s="279" t="s">
        <v>731</v>
      </c>
      <c r="I68" s="279" t="s">
        <v>454</v>
      </c>
      <c r="J68" s="279" t="s">
        <v>381</v>
      </c>
      <c r="K68" s="321" t="s">
        <v>732</v>
      </c>
      <c r="L68" s="347"/>
      <c r="M68" s="280" t="b">
        <v>0</v>
      </c>
      <c r="N68" s="280" t="s">
        <v>733</v>
      </c>
      <c r="O68" s="280"/>
      <c r="P68" s="280" t="s">
        <v>734</v>
      </c>
      <c r="Q68" s="280" t="s">
        <v>457</v>
      </c>
      <c r="R68" s="322" t="b">
        <v>0</v>
      </c>
    </row>
    <row r="69" spans="3:18" ht="12.75" x14ac:dyDescent="0.2">
      <c r="C69" s="276" t="s">
        <v>735</v>
      </c>
      <c r="D69" s="277">
        <v>94708.233999999997</v>
      </c>
      <c r="E69" s="522">
        <v>68.843699999999998</v>
      </c>
      <c r="F69" s="47">
        <v>10</v>
      </c>
      <c r="G69" s="278" t="s">
        <v>465</v>
      </c>
      <c r="H69" s="279" t="s">
        <v>736</v>
      </c>
      <c r="I69" s="279" t="s">
        <v>454</v>
      </c>
      <c r="J69" s="279" t="s">
        <v>380</v>
      </c>
      <c r="K69" s="321" t="s">
        <v>694</v>
      </c>
      <c r="L69" s="280" t="s">
        <v>737</v>
      </c>
      <c r="M69" s="280" t="b">
        <v>0</v>
      </c>
      <c r="N69" s="280" t="s">
        <v>536</v>
      </c>
      <c r="O69" s="280"/>
      <c r="P69" s="280" t="s">
        <v>738</v>
      </c>
      <c r="Q69" s="280" t="s">
        <v>457</v>
      </c>
      <c r="R69" s="322" t="b">
        <v>0</v>
      </c>
    </row>
    <row r="70" spans="3:18" ht="12.75" x14ac:dyDescent="0.2">
      <c r="C70" s="276" t="s">
        <v>739</v>
      </c>
      <c r="D70" s="277">
        <v>14904.642</v>
      </c>
      <c r="E70" s="522">
        <v>29.237172999999999</v>
      </c>
      <c r="F70" s="131">
        <v>1</v>
      </c>
      <c r="G70" s="343" t="s">
        <v>512</v>
      </c>
      <c r="H70" s="279" t="s">
        <v>740</v>
      </c>
      <c r="I70" s="279" t="s">
        <v>454</v>
      </c>
      <c r="J70" s="279" t="s">
        <v>380</v>
      </c>
      <c r="K70" s="321" t="s">
        <v>514</v>
      </c>
      <c r="L70" s="347"/>
      <c r="M70" s="280" t="b">
        <v>0</v>
      </c>
      <c r="N70" s="280" t="s">
        <v>474</v>
      </c>
      <c r="O70" s="280"/>
      <c r="P70" s="280" t="s">
        <v>741</v>
      </c>
      <c r="Q70" s="280" t="s">
        <v>457</v>
      </c>
      <c r="R70" s="322" t="b">
        <v>0</v>
      </c>
    </row>
  </sheetData>
  <phoneticPr fontId="20" type="noConversion"/>
  <conditionalFormatting sqref="H5:J70 Q5:Q70">
    <cfRule type="cellIs" dxfId="1" priority="1" operator="equal">
      <formula>"No"</formula>
    </cfRule>
  </conditionalFormatting>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FA668-418B-41EF-AD06-A234114B3874}">
  <sheetPr>
    <tabColor theme="5" tint="0.79998168889431442"/>
  </sheetPr>
  <dimension ref="A1:O1186"/>
  <sheetViews>
    <sheetView workbookViewId="0">
      <selection activeCell="K14" sqref="K14"/>
    </sheetView>
  </sheetViews>
  <sheetFormatPr defaultRowHeight="15" x14ac:dyDescent="0.25"/>
  <cols>
    <col min="1" max="2" width="2.85546875" customWidth="1"/>
    <col min="3" max="3" width="19.7109375" bestFit="1" customWidth="1"/>
    <col min="5" max="5" width="12.140625" bestFit="1" customWidth="1"/>
    <col min="6" max="6" width="19.42578125" customWidth="1"/>
    <col min="8" max="8" width="12" bestFit="1" customWidth="1"/>
    <col min="10" max="10" width="26.7109375" customWidth="1"/>
    <col min="11" max="15" width="35.5703125" customWidth="1"/>
  </cols>
  <sheetData>
    <row r="1" spans="1:15" x14ac:dyDescent="0.25">
      <c r="A1" s="11"/>
      <c r="B1" s="11"/>
    </row>
    <row r="2" spans="1:15" s="11" customFormat="1" ht="14.25" customHeight="1" x14ac:dyDescent="0.2">
      <c r="B2" s="10">
        <v>2</v>
      </c>
      <c r="C2" s="10" t="s">
        <v>400</v>
      </c>
      <c r="D2" s="52"/>
      <c r="E2" s="10"/>
      <c r="F2" s="10"/>
      <c r="G2" s="10"/>
      <c r="H2" s="10"/>
      <c r="I2" s="10"/>
      <c r="J2" s="10"/>
      <c r="K2" s="10"/>
      <c r="L2" s="10"/>
      <c r="M2" s="10"/>
      <c r="N2" s="10"/>
      <c r="O2" s="10"/>
    </row>
    <row r="3" spans="1:15" x14ac:dyDescent="0.25">
      <c r="L3" s="207"/>
    </row>
    <row r="4" spans="1:15" x14ac:dyDescent="0.25">
      <c r="C4" s="213" t="s">
        <v>149</v>
      </c>
      <c r="D4" s="214" t="s">
        <v>763</v>
      </c>
      <c r="E4" s="214" t="s">
        <v>764</v>
      </c>
      <c r="F4" s="214" t="s">
        <v>765</v>
      </c>
      <c r="G4" s="214" t="s">
        <v>150</v>
      </c>
      <c r="H4" s="214" t="s">
        <v>151</v>
      </c>
      <c r="I4" s="214" t="s">
        <v>408</v>
      </c>
      <c r="J4" s="214" t="s">
        <v>758</v>
      </c>
      <c r="K4" s="214" t="s">
        <v>766</v>
      </c>
      <c r="L4" s="214" t="s">
        <v>747</v>
      </c>
      <c r="M4" s="214" t="s">
        <v>767</v>
      </c>
      <c r="N4" s="214" t="s">
        <v>768</v>
      </c>
      <c r="O4" s="214" t="s">
        <v>769</v>
      </c>
    </row>
    <row r="5" spans="1:15" x14ac:dyDescent="0.25">
      <c r="C5" s="206" t="s">
        <v>770</v>
      </c>
      <c r="D5" s="206">
        <v>80</v>
      </c>
      <c r="E5" s="206">
        <v>609.1355781478411</v>
      </c>
      <c r="F5" s="206">
        <v>562.93208777304994</v>
      </c>
      <c r="G5" s="206">
        <v>2.5725194999999998</v>
      </c>
      <c r="H5" s="206" t="s">
        <v>771</v>
      </c>
      <c r="I5" s="206">
        <v>0.65</v>
      </c>
      <c r="J5" s="206"/>
      <c r="K5" s="206">
        <v>3</v>
      </c>
      <c r="L5" s="206" t="s">
        <v>454</v>
      </c>
      <c r="M5" s="206" t="s">
        <v>772</v>
      </c>
      <c r="N5" s="222" t="s">
        <v>773</v>
      </c>
      <c r="O5" s="222" t="s">
        <v>774</v>
      </c>
    </row>
    <row r="6" spans="1:15" x14ac:dyDescent="0.25">
      <c r="C6" s="206" t="s">
        <v>775</v>
      </c>
      <c r="D6" s="206">
        <v>125</v>
      </c>
      <c r="E6" s="206">
        <v>1056.4406945504704</v>
      </c>
      <c r="F6" s="206">
        <v>1647.9596320257999</v>
      </c>
      <c r="G6" s="206">
        <v>3.7837383999999998</v>
      </c>
      <c r="H6" s="206" t="s">
        <v>771</v>
      </c>
      <c r="I6" s="206">
        <v>0.63</v>
      </c>
      <c r="J6" s="206"/>
      <c r="K6" s="206">
        <v>3</v>
      </c>
      <c r="L6" s="206" t="s">
        <v>454</v>
      </c>
      <c r="M6" s="206" t="s">
        <v>413</v>
      </c>
      <c r="N6" s="206" t="s">
        <v>776</v>
      </c>
      <c r="O6" s="206" t="s">
        <v>776</v>
      </c>
    </row>
    <row r="7" spans="1:15" x14ac:dyDescent="0.25">
      <c r="C7" s="206" t="s">
        <v>777</v>
      </c>
      <c r="D7" s="206">
        <v>250</v>
      </c>
      <c r="E7" s="206">
        <v>3892.5648873383707</v>
      </c>
      <c r="F7" s="206">
        <v>13386.7484804549</v>
      </c>
      <c r="G7" s="206">
        <v>10.713592</v>
      </c>
      <c r="H7" s="206" t="s">
        <v>771</v>
      </c>
      <c r="I7" s="206">
        <v>0.63</v>
      </c>
      <c r="J7" s="206"/>
      <c r="K7" s="206">
        <v>3</v>
      </c>
      <c r="L7" s="206" t="s">
        <v>454</v>
      </c>
      <c r="M7" s="206" t="s">
        <v>772</v>
      </c>
      <c r="N7" s="206" t="s">
        <v>773</v>
      </c>
      <c r="O7" s="206" t="s">
        <v>774</v>
      </c>
    </row>
    <row r="8" spans="1:15" x14ac:dyDescent="0.25">
      <c r="C8" s="206" t="s">
        <v>778</v>
      </c>
      <c r="D8" s="206">
        <v>65</v>
      </c>
      <c r="E8" s="206">
        <v>4673.7772310574446</v>
      </c>
      <c r="F8" s="206">
        <v>366.340331913667</v>
      </c>
      <c r="G8" s="206">
        <v>21.820229000000001</v>
      </c>
      <c r="H8" s="206" t="s">
        <v>771</v>
      </c>
      <c r="I8" s="206">
        <v>0.74826912236183685</v>
      </c>
      <c r="J8" s="206"/>
      <c r="K8" s="206">
        <v>3</v>
      </c>
      <c r="L8" s="206" t="s">
        <v>454</v>
      </c>
      <c r="M8" s="206" t="s">
        <v>413</v>
      </c>
      <c r="N8" s="206" t="s">
        <v>773</v>
      </c>
      <c r="O8" s="206" t="s">
        <v>774</v>
      </c>
    </row>
    <row r="9" spans="1:15" x14ac:dyDescent="0.25">
      <c r="C9" s="206" t="s">
        <v>779</v>
      </c>
      <c r="D9" s="206">
        <v>20</v>
      </c>
      <c r="E9" s="206">
        <v>966.23372345678229</v>
      </c>
      <c r="F9" s="206">
        <v>2</v>
      </c>
      <c r="G9" s="206">
        <v>8.252732</v>
      </c>
      <c r="H9" s="206" t="s">
        <v>771</v>
      </c>
      <c r="I9" s="206">
        <v>1</v>
      </c>
      <c r="J9" s="206"/>
      <c r="K9" s="206">
        <v>3</v>
      </c>
      <c r="L9" s="206" t="s">
        <v>454</v>
      </c>
      <c r="M9" s="206" t="s">
        <v>413</v>
      </c>
      <c r="N9" s="206" t="s">
        <v>776</v>
      </c>
      <c r="O9" s="206" t="s">
        <v>776</v>
      </c>
    </row>
    <row r="10" spans="1:15" x14ac:dyDescent="0.25">
      <c r="C10" s="206" t="s">
        <v>780</v>
      </c>
      <c r="D10" s="206">
        <v>80</v>
      </c>
      <c r="E10" s="206">
        <v>527.95544281225432</v>
      </c>
      <c r="F10" s="206">
        <v>617.18597412109398</v>
      </c>
      <c r="G10" s="206">
        <v>2.1997870000000002</v>
      </c>
      <c r="H10" s="206" t="s">
        <v>771</v>
      </c>
      <c r="I10" s="206">
        <v>0.7294998052048729</v>
      </c>
      <c r="J10" s="206"/>
      <c r="K10" s="206">
        <v>3</v>
      </c>
      <c r="L10" s="206" t="s">
        <v>454</v>
      </c>
      <c r="M10" s="206" t="s">
        <v>772</v>
      </c>
      <c r="N10" s="206" t="s">
        <v>773</v>
      </c>
      <c r="O10" s="206" t="s">
        <v>774</v>
      </c>
    </row>
    <row r="11" spans="1:15" x14ac:dyDescent="0.25">
      <c r="C11" s="206" t="s">
        <v>781</v>
      </c>
      <c r="D11" s="206">
        <v>125</v>
      </c>
      <c r="E11" s="206">
        <v>1583.5136187696287</v>
      </c>
      <c r="F11" s="206">
        <v>1647.9596320257999</v>
      </c>
      <c r="G11" s="206">
        <v>5.6714979999999997</v>
      </c>
      <c r="H11" s="206" t="s">
        <v>771</v>
      </c>
      <c r="I11" s="206">
        <v>0.63</v>
      </c>
      <c r="J11" s="206"/>
      <c r="K11" s="206">
        <v>3</v>
      </c>
      <c r="L11" s="206" t="s">
        <v>454</v>
      </c>
      <c r="M11" s="206" t="s">
        <v>782</v>
      </c>
      <c r="N11" s="206" t="s">
        <v>776</v>
      </c>
      <c r="O11" s="206" t="s">
        <v>776</v>
      </c>
    </row>
    <row r="12" spans="1:15" x14ac:dyDescent="0.25">
      <c r="C12" s="206" t="s">
        <v>783</v>
      </c>
      <c r="D12" s="206">
        <v>100</v>
      </c>
      <c r="E12" s="206">
        <v>5807.6034446052936</v>
      </c>
      <c r="F12" s="206">
        <v>1483.19997479839</v>
      </c>
      <c r="G12" s="206">
        <v>21.11506</v>
      </c>
      <c r="H12" s="206" t="s">
        <v>771</v>
      </c>
      <c r="I12" s="206">
        <v>1</v>
      </c>
      <c r="J12" s="206"/>
      <c r="K12" s="206">
        <v>3</v>
      </c>
      <c r="L12" s="206" t="s">
        <v>454</v>
      </c>
      <c r="M12" s="206" t="s">
        <v>772</v>
      </c>
      <c r="N12" s="206" t="s">
        <v>784</v>
      </c>
      <c r="O12" s="206" t="s">
        <v>785</v>
      </c>
    </row>
    <row r="13" spans="1:15" x14ac:dyDescent="0.25">
      <c r="C13" s="206" t="s">
        <v>786</v>
      </c>
      <c r="D13" s="206">
        <v>200</v>
      </c>
      <c r="E13" s="206">
        <v>2359.1903007184023</v>
      </c>
      <c r="F13" s="206">
        <v>5647.44771793778</v>
      </c>
      <c r="G13" s="206">
        <v>7.2148566000000001</v>
      </c>
      <c r="H13" s="206" t="s">
        <v>771</v>
      </c>
      <c r="I13" s="206">
        <v>1</v>
      </c>
      <c r="J13" s="206"/>
      <c r="K13" s="206">
        <v>3</v>
      </c>
      <c r="L13" s="206" t="s">
        <v>454</v>
      </c>
      <c r="M13" s="206" t="s">
        <v>413</v>
      </c>
      <c r="N13" s="206" t="s">
        <v>773</v>
      </c>
      <c r="O13" s="206" t="s">
        <v>774</v>
      </c>
    </row>
    <row r="14" spans="1:15" x14ac:dyDescent="0.25">
      <c r="C14" s="206" t="s">
        <v>787</v>
      </c>
      <c r="D14" s="206">
        <v>250</v>
      </c>
      <c r="E14" s="206">
        <v>10774.212331578927</v>
      </c>
      <c r="F14" s="206">
        <v>8542.2397978336794</v>
      </c>
      <c r="G14" s="206">
        <v>31.188175000000001</v>
      </c>
      <c r="H14" s="206" t="s">
        <v>771</v>
      </c>
      <c r="I14" s="206">
        <v>1</v>
      </c>
      <c r="J14" s="206"/>
      <c r="K14" s="206">
        <v>3</v>
      </c>
      <c r="L14" s="206" t="s">
        <v>454</v>
      </c>
      <c r="M14" s="206" t="s">
        <v>772</v>
      </c>
      <c r="N14" s="206" t="s">
        <v>773</v>
      </c>
      <c r="O14" s="206" t="s">
        <v>788</v>
      </c>
    </row>
    <row r="15" spans="1:15" x14ac:dyDescent="0.25">
      <c r="C15" s="206" t="s">
        <v>789</v>
      </c>
      <c r="D15" s="206">
        <v>400</v>
      </c>
      <c r="E15" s="206">
        <v>4.1377746960320314</v>
      </c>
      <c r="F15" s="206">
        <v>27339.509060267901</v>
      </c>
      <c r="G15" s="206">
        <v>1.058447E-2</v>
      </c>
      <c r="H15" s="206" t="s">
        <v>771</v>
      </c>
      <c r="I15" s="206">
        <v>0.62</v>
      </c>
      <c r="J15" s="206"/>
      <c r="K15" s="206">
        <v>3</v>
      </c>
      <c r="L15" s="206" t="s">
        <v>454</v>
      </c>
      <c r="M15" s="206" t="s">
        <v>782</v>
      </c>
      <c r="N15" s="206" t="s">
        <v>776</v>
      </c>
      <c r="O15" s="206" t="s">
        <v>776</v>
      </c>
    </row>
    <row r="16" spans="1:15" x14ac:dyDescent="0.25">
      <c r="C16" s="206" t="s">
        <v>790</v>
      </c>
      <c r="D16" s="206">
        <v>40</v>
      </c>
      <c r="E16" s="206">
        <v>268.20888272586831</v>
      </c>
      <c r="F16" s="206">
        <v>100.29582977294901</v>
      </c>
      <c r="G16" s="206">
        <v>1.5848943</v>
      </c>
      <c r="H16" s="206" t="s">
        <v>771</v>
      </c>
      <c r="I16" s="206">
        <v>1</v>
      </c>
      <c r="J16" s="206"/>
      <c r="K16" s="206">
        <v>3</v>
      </c>
      <c r="L16" s="206" t="s">
        <v>454</v>
      </c>
      <c r="M16" s="206" t="s">
        <v>791</v>
      </c>
      <c r="N16" s="206" t="s">
        <v>773</v>
      </c>
      <c r="O16" s="206" t="s">
        <v>792</v>
      </c>
    </row>
    <row r="17" spans="3:15" x14ac:dyDescent="0.25">
      <c r="C17" s="206" t="s">
        <v>793</v>
      </c>
      <c r="D17" s="206">
        <v>65</v>
      </c>
      <c r="E17" s="206">
        <v>16.111305504814837</v>
      </c>
      <c r="F17" s="206">
        <v>479.31744384765602</v>
      </c>
      <c r="G17" s="206">
        <v>6.9873820000000003E-2</v>
      </c>
      <c r="H17" s="206" t="s">
        <v>771</v>
      </c>
      <c r="I17" s="206">
        <v>0.7</v>
      </c>
      <c r="J17" s="206"/>
      <c r="K17" s="206">
        <v>3</v>
      </c>
      <c r="L17" s="206" t="s">
        <v>454</v>
      </c>
      <c r="M17" s="206" t="s">
        <v>782</v>
      </c>
      <c r="N17" s="206" t="s">
        <v>776</v>
      </c>
      <c r="O17" s="206" t="s">
        <v>776</v>
      </c>
    </row>
    <row r="18" spans="3:15" x14ac:dyDescent="0.25">
      <c r="C18" s="206" t="s">
        <v>794</v>
      </c>
      <c r="D18" s="206">
        <v>25</v>
      </c>
      <c r="E18" s="206">
        <v>803.25471027176582</v>
      </c>
      <c r="F18" s="206">
        <v>25.546085357666001</v>
      </c>
      <c r="G18" s="206">
        <v>6.7873419999999998</v>
      </c>
      <c r="H18" s="206" t="s">
        <v>771</v>
      </c>
      <c r="I18" s="206">
        <v>0.81</v>
      </c>
      <c r="J18" s="206" t="s">
        <v>795</v>
      </c>
      <c r="K18" s="206"/>
      <c r="L18" s="206"/>
      <c r="M18" s="206"/>
      <c r="N18" s="206"/>
      <c r="O18" s="206"/>
    </row>
    <row r="19" spans="3:15" x14ac:dyDescent="0.25">
      <c r="C19" s="206" t="s">
        <v>796</v>
      </c>
      <c r="D19" s="206">
        <v>125</v>
      </c>
      <c r="E19" s="206">
        <v>2108.4033511690513</v>
      </c>
      <c r="F19" s="206">
        <v>1647.9596320257999</v>
      </c>
      <c r="G19" s="206">
        <v>7.5514383</v>
      </c>
      <c r="H19" s="206" t="s">
        <v>771</v>
      </c>
      <c r="I19" s="206">
        <v>0.63</v>
      </c>
      <c r="J19" s="206"/>
      <c r="K19" s="206">
        <v>3</v>
      </c>
      <c r="L19" s="206" t="s">
        <v>454</v>
      </c>
      <c r="M19" s="206" t="s">
        <v>782</v>
      </c>
      <c r="N19" s="206" t="s">
        <v>776</v>
      </c>
      <c r="O19" s="206" t="s">
        <v>776</v>
      </c>
    </row>
    <row r="20" spans="3:15" x14ac:dyDescent="0.25">
      <c r="C20" s="206" t="s">
        <v>797</v>
      </c>
      <c r="D20" s="206">
        <v>80</v>
      </c>
      <c r="E20" s="206">
        <v>1284.2739588908892</v>
      </c>
      <c r="F20" s="206">
        <v>562.93208777304994</v>
      </c>
      <c r="G20" s="206">
        <v>5.4237840000000004</v>
      </c>
      <c r="H20" s="206" t="s">
        <v>771</v>
      </c>
      <c r="I20" s="206">
        <v>0.65</v>
      </c>
      <c r="J20" s="206"/>
      <c r="K20" s="206">
        <v>3</v>
      </c>
      <c r="L20" s="206" t="s">
        <v>454</v>
      </c>
      <c r="M20" s="206" t="s">
        <v>772</v>
      </c>
      <c r="N20" s="206" t="s">
        <v>773</v>
      </c>
      <c r="O20" s="206" t="s">
        <v>774</v>
      </c>
    </row>
    <row r="21" spans="3:15" x14ac:dyDescent="0.25">
      <c r="C21" s="206" t="s">
        <v>798</v>
      </c>
      <c r="D21" s="206">
        <v>50</v>
      </c>
      <c r="E21" s="206">
        <v>1127.7227816269926</v>
      </c>
      <c r="F21" s="206">
        <v>148.388475348707</v>
      </c>
      <c r="G21" s="206">
        <v>6.0767389999999999</v>
      </c>
      <c r="H21" s="206" t="s">
        <v>771</v>
      </c>
      <c r="I21" s="206">
        <v>0.65</v>
      </c>
      <c r="J21" s="206"/>
      <c r="K21" s="206">
        <v>3</v>
      </c>
      <c r="L21" s="206" t="s">
        <v>454</v>
      </c>
      <c r="M21" s="206" t="s">
        <v>772</v>
      </c>
      <c r="N21" s="206" t="s">
        <v>773</v>
      </c>
      <c r="O21" s="206" t="s">
        <v>774</v>
      </c>
    </row>
    <row r="22" spans="3:15" x14ac:dyDescent="0.25">
      <c r="C22" s="206" t="s">
        <v>799</v>
      </c>
      <c r="D22" s="206">
        <v>20</v>
      </c>
      <c r="E22" s="206">
        <v>849.85667507495521</v>
      </c>
      <c r="F22" s="206">
        <v>2</v>
      </c>
      <c r="G22" s="206">
        <v>7.2587400000000004</v>
      </c>
      <c r="H22" s="206" t="s">
        <v>771</v>
      </c>
      <c r="I22" s="206">
        <v>1</v>
      </c>
      <c r="J22" s="206"/>
      <c r="K22" s="206">
        <v>3</v>
      </c>
      <c r="L22" s="206" t="s">
        <v>454</v>
      </c>
      <c r="M22" s="206" t="s">
        <v>791</v>
      </c>
      <c r="N22" s="206" t="s">
        <v>773</v>
      </c>
      <c r="O22" s="206" t="s">
        <v>800</v>
      </c>
    </row>
    <row r="23" spans="3:15" x14ac:dyDescent="0.25">
      <c r="C23" s="206" t="s">
        <v>801</v>
      </c>
      <c r="D23" s="206">
        <v>80</v>
      </c>
      <c r="E23" s="206">
        <v>936.17555724042018</v>
      </c>
      <c r="F23" s="206">
        <v>617.18597412109398</v>
      </c>
      <c r="G23" s="206">
        <v>3.9006829999999999</v>
      </c>
      <c r="H23" s="206" t="s">
        <v>771</v>
      </c>
      <c r="I23" s="206">
        <v>0.7294998052048729</v>
      </c>
      <c r="J23" s="206"/>
      <c r="K23" s="206">
        <v>3</v>
      </c>
      <c r="L23" s="206" t="s">
        <v>454</v>
      </c>
      <c r="M23" s="206" t="s">
        <v>772</v>
      </c>
      <c r="N23" s="206" t="s">
        <v>773</v>
      </c>
      <c r="O23" s="206" t="s">
        <v>774</v>
      </c>
    </row>
    <row r="24" spans="3:15" x14ac:dyDescent="0.25">
      <c r="C24" s="206" t="s">
        <v>802</v>
      </c>
      <c r="D24" s="206">
        <v>20</v>
      </c>
      <c r="E24" s="206">
        <v>276.88895759018556</v>
      </c>
      <c r="F24" s="206">
        <v>2.91598506120499</v>
      </c>
      <c r="G24" s="206">
        <v>1.8643738000000001</v>
      </c>
      <c r="H24" s="206" t="s">
        <v>771</v>
      </c>
      <c r="I24" s="206">
        <v>1</v>
      </c>
      <c r="J24" s="206"/>
      <c r="K24" s="206">
        <v>3</v>
      </c>
      <c r="L24" s="206" t="s">
        <v>454</v>
      </c>
      <c r="M24" s="206" t="s">
        <v>772</v>
      </c>
      <c r="N24" s="206" t="s">
        <v>773</v>
      </c>
      <c r="O24" s="206" t="s">
        <v>774</v>
      </c>
    </row>
    <row r="25" spans="3:15" x14ac:dyDescent="0.25">
      <c r="C25" s="206" t="s">
        <v>803</v>
      </c>
      <c r="D25" s="206">
        <v>150</v>
      </c>
      <c r="E25" s="206">
        <v>12851.631580435071</v>
      </c>
      <c r="F25" s="206">
        <v>3116.0970923863902</v>
      </c>
      <c r="G25" s="206">
        <v>42.205967000000001</v>
      </c>
      <c r="H25" s="206" t="s">
        <v>771</v>
      </c>
      <c r="I25" s="206">
        <v>0.63</v>
      </c>
      <c r="J25" s="206"/>
      <c r="K25" s="206">
        <v>3</v>
      </c>
      <c r="L25" s="206" t="s">
        <v>454</v>
      </c>
      <c r="M25" s="206" t="s">
        <v>772</v>
      </c>
      <c r="N25" s="206" t="s">
        <v>773</v>
      </c>
      <c r="O25" s="206" t="s">
        <v>774</v>
      </c>
    </row>
    <row r="26" spans="3:15" x14ac:dyDescent="0.25">
      <c r="C26" s="206" t="s">
        <v>804</v>
      </c>
      <c r="D26" s="206">
        <v>150</v>
      </c>
      <c r="E26" s="206">
        <v>5364.9481255740075</v>
      </c>
      <c r="F26" s="206">
        <v>3529.0715643295898</v>
      </c>
      <c r="G26" s="206">
        <v>17.331105999999998</v>
      </c>
      <c r="H26" s="206" t="s">
        <v>771</v>
      </c>
      <c r="I26" s="206">
        <v>0.63</v>
      </c>
      <c r="J26" s="206"/>
      <c r="K26" s="206">
        <v>3</v>
      </c>
      <c r="L26" s="206" t="s">
        <v>454</v>
      </c>
      <c r="M26" s="206" t="s">
        <v>782</v>
      </c>
      <c r="N26" s="206" t="s">
        <v>773</v>
      </c>
      <c r="O26" s="206" t="s">
        <v>805</v>
      </c>
    </row>
    <row r="27" spans="3:15" x14ac:dyDescent="0.25">
      <c r="C27" s="206" t="s">
        <v>806</v>
      </c>
      <c r="D27" s="206">
        <v>80</v>
      </c>
      <c r="E27" s="206">
        <v>218.58690694143479</v>
      </c>
      <c r="F27" s="206">
        <v>562.93208777304994</v>
      </c>
      <c r="G27" s="206">
        <v>0.92314273000000002</v>
      </c>
      <c r="H27" s="206" t="s">
        <v>771</v>
      </c>
      <c r="I27" s="206">
        <v>0.65</v>
      </c>
      <c r="J27" s="206"/>
      <c r="K27" s="206">
        <v>3</v>
      </c>
      <c r="L27" s="206" t="s">
        <v>454</v>
      </c>
      <c r="M27" s="206" t="s">
        <v>772</v>
      </c>
      <c r="N27" s="206" t="s">
        <v>773</v>
      </c>
      <c r="O27" s="206" t="s">
        <v>774</v>
      </c>
    </row>
    <row r="28" spans="3:15" x14ac:dyDescent="0.25">
      <c r="C28" s="206" t="s">
        <v>807</v>
      </c>
      <c r="D28" s="206">
        <v>200</v>
      </c>
      <c r="E28" s="206">
        <v>3039.0929391693971</v>
      </c>
      <c r="F28" s="206">
        <v>5649.9864774420503</v>
      </c>
      <c r="G28" s="206">
        <v>9.2936379999999996</v>
      </c>
      <c r="H28" s="206" t="s">
        <v>771</v>
      </c>
      <c r="I28" s="206">
        <v>1</v>
      </c>
      <c r="J28" s="206"/>
      <c r="K28" s="206">
        <v>3</v>
      </c>
      <c r="L28" s="206" t="s">
        <v>454</v>
      </c>
      <c r="M28" s="206" t="s">
        <v>413</v>
      </c>
      <c r="N28" s="206" t="s">
        <v>773</v>
      </c>
      <c r="O28" s="206" t="s">
        <v>788</v>
      </c>
    </row>
    <row r="29" spans="3:15" x14ac:dyDescent="0.25">
      <c r="C29" s="206" t="s">
        <v>808</v>
      </c>
      <c r="D29" s="206">
        <v>400</v>
      </c>
      <c r="E29" s="206">
        <v>283.73317512950882</v>
      </c>
      <c r="F29" s="206">
        <v>26893.983908885599</v>
      </c>
      <c r="G29" s="206">
        <v>0.72683734</v>
      </c>
      <c r="H29" s="206" t="s">
        <v>771</v>
      </c>
      <c r="I29" s="206">
        <v>0.62</v>
      </c>
      <c r="J29" s="206"/>
      <c r="K29" s="206">
        <v>3</v>
      </c>
      <c r="L29" s="206" t="s">
        <v>454</v>
      </c>
      <c r="M29" s="206" t="s">
        <v>791</v>
      </c>
      <c r="N29" s="206" t="s">
        <v>773</v>
      </c>
      <c r="O29" s="206" t="s">
        <v>800</v>
      </c>
    </row>
    <row r="30" spans="3:15" x14ac:dyDescent="0.25">
      <c r="C30" s="206" t="s">
        <v>809</v>
      </c>
      <c r="D30" s="206">
        <v>100</v>
      </c>
      <c r="E30" s="206">
        <v>4792.1572507887868</v>
      </c>
      <c r="F30" s="206">
        <v>1483.19997479839</v>
      </c>
      <c r="G30" s="206">
        <v>17.42314</v>
      </c>
      <c r="H30" s="206" t="s">
        <v>771</v>
      </c>
      <c r="I30" s="206">
        <v>1</v>
      </c>
      <c r="J30" s="206"/>
      <c r="K30" s="206">
        <v>3</v>
      </c>
      <c r="L30" s="206" t="s">
        <v>454</v>
      </c>
      <c r="M30" s="206" t="s">
        <v>810</v>
      </c>
      <c r="N30" s="206" t="s">
        <v>784</v>
      </c>
      <c r="O30" s="206" t="s">
        <v>800</v>
      </c>
    </row>
    <row r="31" spans="3:15" x14ac:dyDescent="0.25">
      <c r="C31" s="206" t="s">
        <v>811</v>
      </c>
      <c r="D31" s="206">
        <v>20</v>
      </c>
      <c r="E31" s="206">
        <v>598.4684491246602</v>
      </c>
      <c r="F31" s="206">
        <v>1.6231137227732699</v>
      </c>
      <c r="G31" s="206">
        <v>5.1115994000000002</v>
      </c>
      <c r="H31" s="206" t="s">
        <v>771</v>
      </c>
      <c r="I31" s="206">
        <v>1</v>
      </c>
      <c r="J31" s="206"/>
      <c r="K31" s="206">
        <v>3</v>
      </c>
      <c r="L31" s="206" t="s">
        <v>454</v>
      </c>
      <c r="M31" s="206" t="s">
        <v>413</v>
      </c>
      <c r="N31" s="206" t="s">
        <v>773</v>
      </c>
      <c r="O31" s="206" t="s">
        <v>774</v>
      </c>
    </row>
    <row r="32" spans="3:15" x14ac:dyDescent="0.25">
      <c r="C32" s="206" t="s">
        <v>812</v>
      </c>
      <c r="D32" s="206">
        <v>200</v>
      </c>
      <c r="E32" s="206">
        <v>4597.4425991269409</v>
      </c>
      <c r="F32" s="206">
        <v>5175.2299023437699</v>
      </c>
      <c r="G32" s="206">
        <v>14.206524</v>
      </c>
      <c r="H32" s="206" t="s">
        <v>771</v>
      </c>
      <c r="I32" s="206">
        <v>0.64</v>
      </c>
      <c r="J32" s="206"/>
      <c r="K32" s="206">
        <v>3</v>
      </c>
      <c r="L32" s="206" t="s">
        <v>454</v>
      </c>
      <c r="M32" s="206" t="s">
        <v>791</v>
      </c>
      <c r="N32" s="206" t="s">
        <v>773</v>
      </c>
      <c r="O32" s="206" t="s">
        <v>800</v>
      </c>
    </row>
    <row r="33" spans="3:15" x14ac:dyDescent="0.25">
      <c r="C33" s="206" t="s">
        <v>813</v>
      </c>
      <c r="D33" s="206">
        <v>80</v>
      </c>
      <c r="E33" s="206">
        <v>5616.9512246133772</v>
      </c>
      <c r="F33" s="206">
        <v>720.47985063224201</v>
      </c>
      <c r="G33" s="206">
        <v>24.747747</v>
      </c>
      <c r="H33" s="206" t="s">
        <v>771</v>
      </c>
      <c r="I33" s="206">
        <v>1</v>
      </c>
      <c r="J33" s="206"/>
      <c r="K33" s="206">
        <v>3</v>
      </c>
      <c r="L33" s="206" t="s">
        <v>454</v>
      </c>
      <c r="M33" s="206" t="s">
        <v>810</v>
      </c>
      <c r="N33" s="206" t="s">
        <v>784</v>
      </c>
      <c r="O33" s="206" t="s">
        <v>792</v>
      </c>
    </row>
    <row r="34" spans="3:15" x14ac:dyDescent="0.25">
      <c r="C34" s="206" t="s">
        <v>814</v>
      </c>
      <c r="D34" s="206">
        <v>20</v>
      </c>
      <c r="E34" s="206">
        <v>17729.358259738001</v>
      </c>
      <c r="F34" s="206">
        <v>3.1871053006503001</v>
      </c>
      <c r="G34" s="206">
        <v>151.42883</v>
      </c>
      <c r="H34" s="206" t="s">
        <v>771</v>
      </c>
      <c r="I34" s="206">
        <v>1</v>
      </c>
      <c r="J34" s="206"/>
      <c r="K34" s="206">
        <v>3</v>
      </c>
      <c r="L34" s="206" t="s">
        <v>454</v>
      </c>
      <c r="M34" s="206" t="s">
        <v>413</v>
      </c>
      <c r="N34" s="206" t="s">
        <v>776</v>
      </c>
      <c r="O34" s="206" t="s">
        <v>776</v>
      </c>
    </row>
    <row r="35" spans="3:15" x14ac:dyDescent="0.25">
      <c r="C35" s="206" t="s">
        <v>815</v>
      </c>
      <c r="D35" s="206">
        <v>65</v>
      </c>
      <c r="E35" s="206">
        <v>1181.1464278434789</v>
      </c>
      <c r="F35" s="206">
        <v>366.340331913667</v>
      </c>
      <c r="G35" s="206">
        <v>5.5143589999999998</v>
      </c>
      <c r="H35" s="206" t="s">
        <v>771</v>
      </c>
      <c r="I35" s="206">
        <v>0.74826912236183685</v>
      </c>
      <c r="J35" s="206"/>
      <c r="K35" s="206">
        <v>3</v>
      </c>
      <c r="L35" s="206" t="s">
        <v>454</v>
      </c>
      <c r="M35" s="206" t="s">
        <v>772</v>
      </c>
      <c r="N35" s="206" t="s">
        <v>773</v>
      </c>
      <c r="O35" s="206" t="s">
        <v>774</v>
      </c>
    </row>
    <row r="36" spans="3:15" x14ac:dyDescent="0.25">
      <c r="C36" s="206" t="s">
        <v>816</v>
      </c>
      <c r="D36" s="206">
        <v>40</v>
      </c>
      <c r="E36" s="206">
        <v>820.02152788115552</v>
      </c>
      <c r="F36" s="206">
        <v>100.29582977294901</v>
      </c>
      <c r="G36" s="206">
        <v>4.8456539999999997</v>
      </c>
      <c r="H36" s="206" t="s">
        <v>771</v>
      </c>
      <c r="I36" s="206">
        <v>1</v>
      </c>
      <c r="J36" s="206"/>
      <c r="K36" s="206">
        <v>3</v>
      </c>
      <c r="L36" s="206" t="s">
        <v>454</v>
      </c>
      <c r="M36" s="206" t="s">
        <v>791</v>
      </c>
      <c r="N36" s="206" t="s">
        <v>773</v>
      </c>
      <c r="O36" s="206" t="s">
        <v>792</v>
      </c>
    </row>
    <row r="37" spans="3:15" x14ac:dyDescent="0.25">
      <c r="C37" s="206" t="s">
        <v>817</v>
      </c>
      <c r="D37" s="206">
        <v>65</v>
      </c>
      <c r="E37" s="206">
        <v>3832.6860821136293</v>
      </c>
      <c r="F37" s="206">
        <v>324.22964477539102</v>
      </c>
      <c r="G37" s="206">
        <v>17.893469</v>
      </c>
      <c r="H37" s="206" t="s">
        <v>771</v>
      </c>
      <c r="I37" s="206">
        <v>0.75000000000000022</v>
      </c>
      <c r="J37" s="206" t="s">
        <v>795</v>
      </c>
      <c r="K37" s="206"/>
      <c r="L37" s="206"/>
      <c r="M37" s="206"/>
      <c r="N37" s="206"/>
      <c r="O37" s="206"/>
    </row>
    <row r="38" spans="3:15" x14ac:dyDescent="0.25">
      <c r="C38" s="206" t="s">
        <v>818</v>
      </c>
      <c r="D38" s="206">
        <v>100</v>
      </c>
      <c r="E38" s="206">
        <v>3370.0009163834634</v>
      </c>
      <c r="F38" s="206">
        <v>1483.19997479839</v>
      </c>
      <c r="G38" s="206">
        <v>12.252518999999999</v>
      </c>
      <c r="H38" s="206" t="s">
        <v>771</v>
      </c>
      <c r="I38" s="206">
        <v>1</v>
      </c>
      <c r="J38" s="206"/>
      <c r="K38" s="206">
        <v>3</v>
      </c>
      <c r="L38" s="206" t="s">
        <v>454</v>
      </c>
      <c r="M38" s="206" t="s">
        <v>810</v>
      </c>
      <c r="N38" s="206" t="s">
        <v>784</v>
      </c>
      <c r="O38" s="206" t="s">
        <v>800</v>
      </c>
    </row>
    <row r="39" spans="3:15" x14ac:dyDescent="0.25">
      <c r="C39" s="206" t="s">
        <v>819</v>
      </c>
      <c r="D39" s="206">
        <v>400</v>
      </c>
      <c r="E39" s="206">
        <v>1780.3951475249212</v>
      </c>
      <c r="F39" s="206">
        <v>27339.509060267901</v>
      </c>
      <c r="G39" s="206">
        <v>4.5542689999999997</v>
      </c>
      <c r="H39" s="206" t="s">
        <v>771</v>
      </c>
      <c r="I39" s="206">
        <v>0.62</v>
      </c>
      <c r="J39" s="206"/>
      <c r="K39" s="206">
        <v>3</v>
      </c>
      <c r="L39" s="206" t="s">
        <v>454</v>
      </c>
      <c r="M39" s="206" t="s">
        <v>413</v>
      </c>
      <c r="N39" s="206" t="s">
        <v>776</v>
      </c>
      <c r="O39" s="206" t="s">
        <v>776</v>
      </c>
    </row>
    <row r="40" spans="3:15" x14ac:dyDescent="0.25">
      <c r="C40" s="206" t="s">
        <v>820</v>
      </c>
      <c r="D40" s="206">
        <v>40</v>
      </c>
      <c r="E40" s="206">
        <v>130.53447353468744</v>
      </c>
      <c r="F40" s="206">
        <v>139.01399230957</v>
      </c>
      <c r="G40" s="206">
        <v>0.71549130000000005</v>
      </c>
      <c r="H40" s="206" t="s">
        <v>771</v>
      </c>
      <c r="I40" s="206">
        <v>0.81</v>
      </c>
      <c r="J40" s="206" t="s">
        <v>795</v>
      </c>
      <c r="K40" s="206"/>
      <c r="L40" s="206"/>
      <c r="M40" s="206"/>
      <c r="N40" s="206"/>
      <c r="O40" s="206"/>
    </row>
    <row r="41" spans="3:15" x14ac:dyDescent="0.25">
      <c r="C41" s="206" t="s">
        <v>821</v>
      </c>
      <c r="D41" s="206">
        <v>80</v>
      </c>
      <c r="E41" s="206">
        <v>1381.9788660037113</v>
      </c>
      <c r="F41" s="206">
        <v>709.63623789476401</v>
      </c>
      <c r="G41" s="206">
        <v>6.0888660000000003</v>
      </c>
      <c r="H41" s="206" t="s">
        <v>771</v>
      </c>
      <c r="I41" s="206">
        <v>1</v>
      </c>
      <c r="J41" s="206"/>
      <c r="K41" s="206">
        <v>3</v>
      </c>
      <c r="L41" s="206" t="s">
        <v>454</v>
      </c>
      <c r="M41" s="206" t="s">
        <v>413</v>
      </c>
      <c r="N41" s="206" t="s">
        <v>822</v>
      </c>
      <c r="O41" s="206" t="s">
        <v>792</v>
      </c>
    </row>
    <row r="42" spans="3:15" x14ac:dyDescent="0.25">
      <c r="C42" s="206" t="s">
        <v>823</v>
      </c>
      <c r="D42" s="206">
        <v>80</v>
      </c>
      <c r="E42" s="206">
        <v>6523.8981360834205</v>
      </c>
      <c r="F42" s="206">
        <v>617.18597412109398</v>
      </c>
      <c r="G42" s="206">
        <v>27.182570999999999</v>
      </c>
      <c r="H42" s="206" t="s">
        <v>771</v>
      </c>
      <c r="I42" s="206">
        <v>0.7294998052048729</v>
      </c>
      <c r="J42" s="206"/>
      <c r="K42" s="206">
        <v>3</v>
      </c>
      <c r="L42" s="206" t="s">
        <v>454</v>
      </c>
      <c r="M42" s="206" t="s">
        <v>791</v>
      </c>
      <c r="N42" s="206" t="s">
        <v>773</v>
      </c>
      <c r="O42" s="206" t="s">
        <v>800</v>
      </c>
    </row>
    <row r="43" spans="3:15" x14ac:dyDescent="0.25">
      <c r="C43" s="206" t="s">
        <v>824</v>
      </c>
      <c r="D43" s="206">
        <v>200</v>
      </c>
      <c r="E43" s="206">
        <v>1746.5556855674615</v>
      </c>
      <c r="F43" s="206">
        <v>5647.44771793778</v>
      </c>
      <c r="G43" s="206">
        <v>5.3413024</v>
      </c>
      <c r="H43" s="206" t="s">
        <v>771</v>
      </c>
      <c r="I43" s="206">
        <v>1</v>
      </c>
      <c r="J43" s="206"/>
      <c r="K43" s="206">
        <v>3</v>
      </c>
      <c r="L43" s="206" t="s">
        <v>454</v>
      </c>
      <c r="M43" s="206" t="s">
        <v>772</v>
      </c>
      <c r="N43" s="206" t="s">
        <v>773</v>
      </c>
      <c r="O43" s="206" t="s">
        <v>774</v>
      </c>
    </row>
    <row r="44" spans="3:15" x14ac:dyDescent="0.25">
      <c r="C44" s="206" t="s">
        <v>825</v>
      </c>
      <c r="D44" s="206">
        <v>125</v>
      </c>
      <c r="E44" s="206">
        <v>4197.6399904377186</v>
      </c>
      <c r="F44" s="206">
        <v>2448.1711902533598</v>
      </c>
      <c r="G44" s="206">
        <v>14.21682</v>
      </c>
      <c r="H44" s="206" t="s">
        <v>771</v>
      </c>
      <c r="I44" s="206">
        <v>0.63</v>
      </c>
      <c r="J44" s="206"/>
      <c r="K44" s="206">
        <v>3</v>
      </c>
      <c r="L44" s="206" t="s">
        <v>454</v>
      </c>
      <c r="M44" s="206" t="s">
        <v>772</v>
      </c>
      <c r="N44" s="206" t="s">
        <v>773</v>
      </c>
      <c r="O44" s="206" t="s">
        <v>774</v>
      </c>
    </row>
    <row r="45" spans="3:15" x14ac:dyDescent="0.25">
      <c r="C45" s="206" t="s">
        <v>826</v>
      </c>
      <c r="D45" s="206">
        <v>50</v>
      </c>
      <c r="E45" s="206">
        <v>396.01262271779507</v>
      </c>
      <c r="F45" s="206">
        <v>148.388475348707</v>
      </c>
      <c r="G45" s="206">
        <v>2.1339157000000002</v>
      </c>
      <c r="H45" s="206" t="s">
        <v>771</v>
      </c>
      <c r="I45" s="206">
        <v>0.65</v>
      </c>
      <c r="J45" s="206"/>
      <c r="K45" s="206">
        <v>3</v>
      </c>
      <c r="L45" s="206" t="s">
        <v>454</v>
      </c>
      <c r="M45" s="206" t="s">
        <v>772</v>
      </c>
      <c r="N45" s="206" t="s">
        <v>773</v>
      </c>
      <c r="O45" s="206" t="s">
        <v>774</v>
      </c>
    </row>
    <row r="46" spans="3:15" x14ac:dyDescent="0.25">
      <c r="C46" s="206" t="s">
        <v>827</v>
      </c>
      <c r="D46" s="206">
        <v>20</v>
      </c>
      <c r="E46" s="206">
        <v>253.02406253880483</v>
      </c>
      <c r="F46" s="206">
        <v>2</v>
      </c>
      <c r="G46" s="206">
        <v>2.1611125000000002</v>
      </c>
      <c r="H46" s="206" t="s">
        <v>771</v>
      </c>
      <c r="I46" s="206">
        <v>1</v>
      </c>
      <c r="J46" s="206"/>
      <c r="K46" s="206">
        <v>3</v>
      </c>
      <c r="L46" s="206" t="s">
        <v>454</v>
      </c>
      <c r="M46" s="206" t="s">
        <v>413</v>
      </c>
      <c r="N46" s="206" t="s">
        <v>773</v>
      </c>
      <c r="O46" s="206" t="s">
        <v>800</v>
      </c>
    </row>
    <row r="47" spans="3:15" x14ac:dyDescent="0.25">
      <c r="C47" s="206" t="s">
        <v>828</v>
      </c>
      <c r="D47" s="206">
        <v>40</v>
      </c>
      <c r="E47" s="206">
        <v>252.07476753735233</v>
      </c>
      <c r="F47" s="206">
        <v>119.457427711459</v>
      </c>
      <c r="G47" s="206">
        <v>1.4341424</v>
      </c>
      <c r="H47" s="206" t="s">
        <v>771</v>
      </c>
      <c r="I47" s="206">
        <v>0.81</v>
      </c>
      <c r="J47" s="206"/>
      <c r="K47" s="206">
        <v>3</v>
      </c>
      <c r="L47" s="206" t="s">
        <v>454</v>
      </c>
      <c r="M47" s="206" t="s">
        <v>413</v>
      </c>
      <c r="N47" s="206" t="s">
        <v>773</v>
      </c>
      <c r="O47" s="206" t="s">
        <v>774</v>
      </c>
    </row>
    <row r="48" spans="3:15" x14ac:dyDescent="0.25">
      <c r="C48" s="206" t="s">
        <v>829</v>
      </c>
      <c r="D48" s="206">
        <v>20</v>
      </c>
      <c r="E48" s="206">
        <v>1271.4877924773321</v>
      </c>
      <c r="F48" s="206">
        <v>2</v>
      </c>
      <c r="G48" s="206">
        <v>10.859947999999999</v>
      </c>
      <c r="H48" s="206" t="s">
        <v>771</v>
      </c>
      <c r="I48" s="206">
        <v>1</v>
      </c>
      <c r="J48" s="206"/>
      <c r="K48" s="206">
        <v>3</v>
      </c>
      <c r="L48" s="206" t="s">
        <v>454</v>
      </c>
      <c r="M48" s="206" t="s">
        <v>791</v>
      </c>
      <c r="N48" s="206" t="s">
        <v>773</v>
      </c>
      <c r="O48" s="206" t="s">
        <v>800</v>
      </c>
    </row>
    <row r="49" spans="3:15" x14ac:dyDescent="0.25">
      <c r="C49" s="206" t="s">
        <v>830</v>
      </c>
      <c r="D49" s="206">
        <v>20</v>
      </c>
      <c r="E49" s="206">
        <v>2581.0014476191959</v>
      </c>
      <c r="F49" s="206">
        <v>1</v>
      </c>
      <c r="G49" s="206">
        <v>22.04468</v>
      </c>
      <c r="H49" s="206" t="s">
        <v>771</v>
      </c>
      <c r="I49" s="206">
        <v>1</v>
      </c>
      <c r="J49" s="206"/>
      <c r="K49" s="206">
        <v>3</v>
      </c>
      <c r="L49" s="206" t="s">
        <v>454</v>
      </c>
      <c r="M49" s="206" t="s">
        <v>772</v>
      </c>
      <c r="N49" s="206" t="s">
        <v>831</v>
      </c>
      <c r="O49" s="206" t="s">
        <v>785</v>
      </c>
    </row>
    <row r="50" spans="3:15" x14ac:dyDescent="0.25">
      <c r="C50" s="206" t="s">
        <v>832</v>
      </c>
      <c r="D50" s="206">
        <v>40</v>
      </c>
      <c r="E50" s="206">
        <v>2470.2560214940422</v>
      </c>
      <c r="F50" s="206">
        <v>83.601570015664905</v>
      </c>
      <c r="G50" s="206">
        <v>13.793627000000001</v>
      </c>
      <c r="H50" s="206" t="s">
        <v>771</v>
      </c>
      <c r="I50" s="206">
        <v>0.81</v>
      </c>
      <c r="J50" s="206"/>
      <c r="K50" s="206">
        <v>3</v>
      </c>
      <c r="L50" s="206" t="s">
        <v>454</v>
      </c>
      <c r="M50" s="206" t="s">
        <v>791</v>
      </c>
      <c r="N50" s="206" t="s">
        <v>773</v>
      </c>
      <c r="O50" s="206" t="s">
        <v>792</v>
      </c>
    </row>
    <row r="51" spans="3:15" x14ac:dyDescent="0.25">
      <c r="C51" s="206" t="s">
        <v>833</v>
      </c>
      <c r="D51" s="206">
        <v>80</v>
      </c>
      <c r="E51" s="206">
        <v>6784.1684813763577</v>
      </c>
      <c r="F51" s="206">
        <v>709.63623789476401</v>
      </c>
      <c r="G51" s="206">
        <v>29.890394000000001</v>
      </c>
      <c r="H51" s="206" t="s">
        <v>771</v>
      </c>
      <c r="I51" s="206">
        <v>1</v>
      </c>
      <c r="J51" s="206"/>
      <c r="K51" s="206">
        <v>3</v>
      </c>
      <c r="L51" s="206" t="s">
        <v>454</v>
      </c>
      <c r="M51" s="206" t="s">
        <v>791</v>
      </c>
      <c r="N51" s="206" t="s">
        <v>822</v>
      </c>
      <c r="O51" s="206" t="s">
        <v>792</v>
      </c>
    </row>
    <row r="52" spans="3:15" x14ac:dyDescent="0.25">
      <c r="C52" s="206" t="s">
        <v>834</v>
      </c>
      <c r="D52" s="206">
        <v>125</v>
      </c>
      <c r="E52" s="206">
        <v>1571.0701735284267</v>
      </c>
      <c r="F52" s="206">
        <v>1523.083984375</v>
      </c>
      <c r="G52" s="206">
        <v>5.6778750000000002</v>
      </c>
      <c r="H52" s="206" t="s">
        <v>771</v>
      </c>
      <c r="I52" s="206">
        <v>0.80547730167345055</v>
      </c>
      <c r="J52" s="206"/>
      <c r="K52" s="206">
        <v>3</v>
      </c>
      <c r="L52" s="206" t="s">
        <v>454</v>
      </c>
      <c r="M52" s="206" t="s">
        <v>772</v>
      </c>
      <c r="N52" s="206" t="s">
        <v>773</v>
      </c>
      <c r="O52" s="206" t="s">
        <v>788</v>
      </c>
    </row>
    <row r="53" spans="3:15" x14ac:dyDescent="0.25">
      <c r="C53" s="206" t="s">
        <v>835</v>
      </c>
      <c r="D53" s="206">
        <v>80</v>
      </c>
      <c r="E53" s="206">
        <v>1044.3979425115144</v>
      </c>
      <c r="F53" s="206">
        <v>617.18597412109398</v>
      </c>
      <c r="G53" s="206">
        <v>4.351604</v>
      </c>
      <c r="H53" s="206" t="s">
        <v>771</v>
      </c>
      <c r="I53" s="206">
        <v>0.7294998052048729</v>
      </c>
      <c r="J53" s="206"/>
      <c r="K53" s="206">
        <v>3</v>
      </c>
      <c r="L53" s="206" t="s">
        <v>454</v>
      </c>
      <c r="M53" s="206" t="s">
        <v>772</v>
      </c>
      <c r="N53" s="206" t="s">
        <v>773</v>
      </c>
      <c r="O53" s="206" t="s">
        <v>774</v>
      </c>
    </row>
    <row r="54" spans="3:15" x14ac:dyDescent="0.25">
      <c r="C54" s="206" t="s">
        <v>836</v>
      </c>
      <c r="D54" s="206">
        <v>25</v>
      </c>
      <c r="E54" s="206">
        <v>901.00029685529955</v>
      </c>
      <c r="F54" s="206">
        <v>25.546085357666001</v>
      </c>
      <c r="G54" s="206">
        <v>7.6132726999999996</v>
      </c>
      <c r="H54" s="206" t="s">
        <v>771</v>
      </c>
      <c r="I54" s="206">
        <v>0.81000000000011196</v>
      </c>
      <c r="J54" s="206"/>
      <c r="K54" s="206">
        <v>3</v>
      </c>
      <c r="L54" s="206" t="s">
        <v>454</v>
      </c>
      <c r="M54" s="206" t="s">
        <v>772</v>
      </c>
      <c r="N54" s="208" t="s">
        <v>773</v>
      </c>
      <c r="O54" s="208" t="s">
        <v>774</v>
      </c>
    </row>
    <row r="55" spans="3:15" x14ac:dyDescent="0.25">
      <c r="C55" s="206" t="s">
        <v>837</v>
      </c>
      <c r="D55" s="206">
        <v>200</v>
      </c>
      <c r="E55" s="206">
        <v>2001.8335023726406</v>
      </c>
      <c r="F55" s="206">
        <v>5825.9935531513001</v>
      </c>
      <c r="G55" s="206">
        <v>6.1021570000000001</v>
      </c>
      <c r="H55" s="206" t="s">
        <v>771</v>
      </c>
      <c r="I55" s="206">
        <v>1</v>
      </c>
      <c r="J55" s="206"/>
      <c r="K55" s="206">
        <v>3</v>
      </c>
      <c r="L55" s="206" t="s">
        <v>454</v>
      </c>
      <c r="M55" s="206" t="s">
        <v>791</v>
      </c>
      <c r="N55" s="222" t="s">
        <v>773</v>
      </c>
      <c r="O55" s="222" t="s">
        <v>800</v>
      </c>
    </row>
    <row r="56" spans="3:15" x14ac:dyDescent="0.25">
      <c r="C56" s="206" t="s">
        <v>838</v>
      </c>
      <c r="D56" s="206">
        <v>80</v>
      </c>
      <c r="E56" s="206">
        <v>1489.2621905772787</v>
      </c>
      <c r="F56" s="206">
        <v>562.93208777304994</v>
      </c>
      <c r="G56" s="206">
        <v>6.2894964</v>
      </c>
      <c r="H56" s="206" t="s">
        <v>771</v>
      </c>
      <c r="I56" s="206">
        <v>0.65</v>
      </c>
      <c r="J56" s="206"/>
      <c r="K56" s="206">
        <v>3</v>
      </c>
      <c r="L56" s="206" t="s">
        <v>454</v>
      </c>
      <c r="M56" s="206" t="s">
        <v>772</v>
      </c>
      <c r="N56" s="206" t="s">
        <v>773</v>
      </c>
      <c r="O56" s="206" t="s">
        <v>774</v>
      </c>
    </row>
    <row r="57" spans="3:15" x14ac:dyDescent="0.25">
      <c r="C57" s="206" t="s">
        <v>839</v>
      </c>
      <c r="D57" s="206">
        <v>65</v>
      </c>
      <c r="E57" s="206">
        <v>3466.0963092910329</v>
      </c>
      <c r="F57" s="206">
        <v>263.868719256367</v>
      </c>
      <c r="G57" s="206">
        <v>16.678473</v>
      </c>
      <c r="H57" s="206" t="s">
        <v>771</v>
      </c>
      <c r="I57" s="206">
        <v>0.7</v>
      </c>
      <c r="J57" s="206"/>
      <c r="K57" s="206">
        <v>3</v>
      </c>
      <c r="L57" s="206" t="s">
        <v>454</v>
      </c>
      <c r="M57" s="206" t="s">
        <v>791</v>
      </c>
      <c r="N57" s="206" t="s">
        <v>773</v>
      </c>
      <c r="O57" s="206" t="s">
        <v>800</v>
      </c>
    </row>
    <row r="58" spans="3:15" x14ac:dyDescent="0.25">
      <c r="C58" s="206" t="s">
        <v>840</v>
      </c>
      <c r="D58" s="206">
        <v>200</v>
      </c>
      <c r="E58" s="206">
        <v>3437.5104219690729</v>
      </c>
      <c r="F58" s="206">
        <v>5175.2299023437699</v>
      </c>
      <c r="G58" s="206">
        <v>10.622226</v>
      </c>
      <c r="H58" s="206" t="s">
        <v>771</v>
      </c>
      <c r="I58" s="206">
        <v>0.64</v>
      </c>
      <c r="J58" s="206"/>
      <c r="K58" s="206">
        <v>3</v>
      </c>
      <c r="L58" s="206" t="s">
        <v>454</v>
      </c>
      <c r="M58" s="206" t="s">
        <v>782</v>
      </c>
      <c r="N58" s="206" t="s">
        <v>776</v>
      </c>
      <c r="O58" s="206" t="s">
        <v>776</v>
      </c>
    </row>
    <row r="59" spans="3:15" x14ac:dyDescent="0.25">
      <c r="C59" s="206" t="s">
        <v>841</v>
      </c>
      <c r="D59" s="206">
        <v>125</v>
      </c>
      <c r="E59" s="206">
        <v>2327.0540352611652</v>
      </c>
      <c r="F59" s="206">
        <v>1598.07043457031</v>
      </c>
      <c r="G59" s="206">
        <v>8.3645390000000006</v>
      </c>
      <c r="H59" s="206" t="s">
        <v>771</v>
      </c>
      <c r="I59" s="206">
        <v>0.81000000000000183</v>
      </c>
      <c r="J59" s="206"/>
      <c r="K59" s="206">
        <v>3</v>
      </c>
      <c r="L59" s="206" t="s">
        <v>454</v>
      </c>
      <c r="M59" s="206" t="s">
        <v>782</v>
      </c>
      <c r="N59" s="206" t="s">
        <v>776</v>
      </c>
      <c r="O59" s="206" t="s">
        <v>776</v>
      </c>
    </row>
    <row r="60" spans="3:15" x14ac:dyDescent="0.25">
      <c r="C60" s="206" t="s">
        <v>842</v>
      </c>
      <c r="D60" s="206">
        <v>20</v>
      </c>
      <c r="E60" s="206">
        <v>908.6306850456707</v>
      </c>
      <c r="F60" s="206">
        <v>2.91598506120499</v>
      </c>
      <c r="G60" s="206">
        <v>6.1180744000000002</v>
      </c>
      <c r="H60" s="206" t="s">
        <v>771</v>
      </c>
      <c r="I60" s="206">
        <v>1</v>
      </c>
      <c r="J60" s="206"/>
      <c r="K60" s="206">
        <v>3</v>
      </c>
      <c r="L60" s="206" t="s">
        <v>454</v>
      </c>
      <c r="M60" s="206" t="s">
        <v>772</v>
      </c>
      <c r="N60" s="206" t="s">
        <v>773</v>
      </c>
      <c r="O60" s="206" t="s">
        <v>774</v>
      </c>
    </row>
    <row r="61" spans="3:15" x14ac:dyDescent="0.25">
      <c r="C61" s="206" t="s">
        <v>843</v>
      </c>
      <c r="D61" s="206">
        <v>100</v>
      </c>
      <c r="E61" s="206">
        <v>4491.2969292448579</v>
      </c>
      <c r="F61" s="206">
        <v>863.24011230468795</v>
      </c>
      <c r="G61" s="206">
        <v>17.660252</v>
      </c>
      <c r="H61" s="206" t="s">
        <v>771</v>
      </c>
      <c r="I61" s="206">
        <v>0.81000000000000061</v>
      </c>
      <c r="J61" s="206"/>
      <c r="K61" s="206">
        <v>3</v>
      </c>
      <c r="L61" s="206" t="s">
        <v>454</v>
      </c>
      <c r="M61" s="206" t="s">
        <v>782</v>
      </c>
      <c r="N61" s="206" t="s">
        <v>776</v>
      </c>
      <c r="O61" s="206" t="s">
        <v>776</v>
      </c>
    </row>
    <row r="62" spans="3:15" x14ac:dyDescent="0.25">
      <c r="C62" s="206" t="s">
        <v>844</v>
      </c>
      <c r="D62" s="206">
        <v>65</v>
      </c>
      <c r="E62" s="206">
        <v>2835.9696706286759</v>
      </c>
      <c r="F62" s="206">
        <v>491.91031249461201</v>
      </c>
      <c r="G62" s="206">
        <v>12.22889</v>
      </c>
      <c r="H62" s="206" t="s">
        <v>771</v>
      </c>
      <c r="I62" s="206">
        <v>0.64</v>
      </c>
      <c r="J62" s="206"/>
      <c r="K62" s="206">
        <v>3</v>
      </c>
      <c r="L62" s="206" t="s">
        <v>454</v>
      </c>
      <c r="M62" s="206" t="s">
        <v>772</v>
      </c>
      <c r="N62" s="206" t="s">
        <v>773</v>
      </c>
      <c r="O62" s="206" t="s">
        <v>774</v>
      </c>
    </row>
    <row r="63" spans="3:15" x14ac:dyDescent="0.25">
      <c r="C63" s="206" t="s">
        <v>845</v>
      </c>
      <c r="D63" s="206">
        <v>65</v>
      </c>
      <c r="E63" s="206">
        <v>3387.7988141186424</v>
      </c>
      <c r="F63" s="206">
        <v>491.91031249461201</v>
      </c>
      <c r="G63" s="206">
        <v>14.608414</v>
      </c>
      <c r="H63" s="206" t="s">
        <v>771</v>
      </c>
      <c r="I63" s="206">
        <v>0.64</v>
      </c>
      <c r="J63" s="206"/>
      <c r="K63" s="206">
        <v>3</v>
      </c>
      <c r="L63" s="206" t="s">
        <v>454</v>
      </c>
      <c r="M63" s="206" t="s">
        <v>772</v>
      </c>
      <c r="N63" s="206" t="s">
        <v>773</v>
      </c>
      <c r="O63" s="206" t="s">
        <v>774</v>
      </c>
    </row>
    <row r="64" spans="3:15" x14ac:dyDescent="0.25">
      <c r="C64" s="206" t="s">
        <v>846</v>
      </c>
      <c r="D64" s="206">
        <v>40</v>
      </c>
      <c r="E64" s="206">
        <v>2448.8134259952985</v>
      </c>
      <c r="F64" s="206">
        <v>83.601570015664905</v>
      </c>
      <c r="G64" s="206">
        <v>13.673894000000001</v>
      </c>
      <c r="H64" s="206" t="s">
        <v>771</v>
      </c>
      <c r="I64" s="206">
        <v>0.81</v>
      </c>
      <c r="J64" s="206"/>
      <c r="K64" s="206">
        <v>3</v>
      </c>
      <c r="L64" s="206" t="s">
        <v>454</v>
      </c>
      <c r="M64" s="206" t="s">
        <v>791</v>
      </c>
      <c r="N64" s="206" t="s">
        <v>773</v>
      </c>
      <c r="O64" s="206" t="s">
        <v>792</v>
      </c>
    </row>
    <row r="65" spans="3:15" x14ac:dyDescent="0.25">
      <c r="C65" s="206" t="s">
        <v>847</v>
      </c>
      <c r="D65" s="206">
        <v>200</v>
      </c>
      <c r="E65" s="206">
        <v>2010.046811942052</v>
      </c>
      <c r="F65" s="206">
        <v>5825.9935531513001</v>
      </c>
      <c r="G65" s="206">
        <v>6.1271934999999997</v>
      </c>
      <c r="H65" s="206" t="s">
        <v>771</v>
      </c>
      <c r="I65" s="206">
        <v>1</v>
      </c>
      <c r="J65" s="206"/>
      <c r="K65" s="206">
        <v>3</v>
      </c>
      <c r="L65" s="206" t="s">
        <v>454</v>
      </c>
      <c r="M65" s="206" t="s">
        <v>791</v>
      </c>
      <c r="N65" s="206" t="s">
        <v>773</v>
      </c>
      <c r="O65" s="206" t="s">
        <v>800</v>
      </c>
    </row>
    <row r="66" spans="3:15" x14ac:dyDescent="0.25">
      <c r="C66" s="206" t="s">
        <v>848</v>
      </c>
      <c r="D66" s="206">
        <v>65</v>
      </c>
      <c r="E66" s="206">
        <v>1022.6409848824184</v>
      </c>
      <c r="F66" s="206">
        <v>366.340331913667</v>
      </c>
      <c r="G66" s="206">
        <v>4.7743526000000003</v>
      </c>
      <c r="H66" s="206" t="s">
        <v>771</v>
      </c>
      <c r="I66" s="206">
        <v>0.74826912236183685</v>
      </c>
      <c r="J66" s="206"/>
      <c r="K66" s="206">
        <v>3</v>
      </c>
      <c r="L66" s="206" t="s">
        <v>454</v>
      </c>
      <c r="M66" s="206" t="s">
        <v>772</v>
      </c>
      <c r="N66" s="206" t="s">
        <v>773</v>
      </c>
      <c r="O66" s="206" t="s">
        <v>774</v>
      </c>
    </row>
    <row r="67" spans="3:15" x14ac:dyDescent="0.25">
      <c r="C67" s="206" t="s">
        <v>849</v>
      </c>
      <c r="D67" s="206">
        <v>80</v>
      </c>
      <c r="E67" s="206">
        <v>4056.4961531383747</v>
      </c>
      <c r="F67" s="206">
        <v>709.63623789476401</v>
      </c>
      <c r="G67" s="206">
        <v>17.872532</v>
      </c>
      <c r="H67" s="206" t="s">
        <v>771</v>
      </c>
      <c r="I67" s="206">
        <v>1</v>
      </c>
      <c r="J67" s="206"/>
      <c r="K67" s="206">
        <v>3</v>
      </c>
      <c r="L67" s="206" t="s">
        <v>454</v>
      </c>
      <c r="M67" s="206" t="s">
        <v>791</v>
      </c>
      <c r="N67" s="206" t="s">
        <v>822</v>
      </c>
      <c r="O67" s="206" t="s">
        <v>792</v>
      </c>
    </row>
    <row r="68" spans="3:15" x14ac:dyDescent="0.25">
      <c r="C68" s="206" t="s">
        <v>850</v>
      </c>
      <c r="D68" s="206">
        <v>40</v>
      </c>
      <c r="E68" s="206">
        <v>1264.5976331760569</v>
      </c>
      <c r="F68" s="206">
        <v>83.601570015664905</v>
      </c>
      <c r="G68" s="206">
        <v>7.0613685000000004</v>
      </c>
      <c r="H68" s="206" t="s">
        <v>771</v>
      </c>
      <c r="I68" s="206">
        <v>0.81</v>
      </c>
      <c r="J68" s="206"/>
      <c r="K68" s="206">
        <v>3</v>
      </c>
      <c r="L68" s="206" t="s">
        <v>454</v>
      </c>
      <c r="M68" s="206" t="s">
        <v>791</v>
      </c>
      <c r="N68" s="206" t="s">
        <v>773</v>
      </c>
      <c r="O68" s="206" t="s">
        <v>792</v>
      </c>
    </row>
    <row r="69" spans="3:15" x14ac:dyDescent="0.25">
      <c r="C69" s="206" t="s">
        <v>851</v>
      </c>
      <c r="D69" s="206">
        <v>80</v>
      </c>
      <c r="E69" s="206">
        <v>714.34332802422705</v>
      </c>
      <c r="F69" s="206">
        <v>562.93208777304994</v>
      </c>
      <c r="G69" s="206">
        <v>3.0168360000000001</v>
      </c>
      <c r="H69" s="206" t="s">
        <v>771</v>
      </c>
      <c r="I69" s="206">
        <v>0.65</v>
      </c>
      <c r="J69" s="206"/>
      <c r="K69" s="206">
        <v>3</v>
      </c>
      <c r="L69" s="206" t="s">
        <v>454</v>
      </c>
      <c r="M69" s="206" t="s">
        <v>772</v>
      </c>
      <c r="N69" s="206" t="s">
        <v>773</v>
      </c>
      <c r="O69" s="206" t="s">
        <v>774</v>
      </c>
    </row>
    <row r="70" spans="3:15" x14ac:dyDescent="0.25">
      <c r="C70" s="206" t="s">
        <v>852</v>
      </c>
      <c r="D70" s="206">
        <v>150</v>
      </c>
      <c r="E70" s="206">
        <v>2513.8589770780313</v>
      </c>
      <c r="F70" s="206">
        <v>3530.03561769525</v>
      </c>
      <c r="G70" s="206">
        <v>8.1205435000000001</v>
      </c>
      <c r="H70" s="206" t="s">
        <v>771</v>
      </c>
      <c r="I70" s="206">
        <v>0.63</v>
      </c>
      <c r="J70" s="206"/>
      <c r="K70" s="206">
        <v>3</v>
      </c>
      <c r="L70" s="206" t="s">
        <v>454</v>
      </c>
      <c r="M70" s="206" t="s">
        <v>413</v>
      </c>
      <c r="N70" s="206" t="s">
        <v>773</v>
      </c>
      <c r="O70" s="206" t="s">
        <v>800</v>
      </c>
    </row>
    <row r="71" spans="3:15" x14ac:dyDescent="0.25">
      <c r="C71" s="206" t="s">
        <v>853</v>
      </c>
      <c r="D71" s="206">
        <v>40</v>
      </c>
      <c r="E71" s="206">
        <v>396.70993562217149</v>
      </c>
      <c r="F71" s="206">
        <v>103.443859683932</v>
      </c>
      <c r="G71" s="206">
        <v>2.3294432</v>
      </c>
      <c r="H71" s="206" t="s">
        <v>771</v>
      </c>
      <c r="I71" s="206">
        <v>0.66</v>
      </c>
      <c r="J71" s="206"/>
      <c r="K71" s="206">
        <v>3</v>
      </c>
      <c r="L71" s="206" t="s">
        <v>454</v>
      </c>
      <c r="M71" s="206" t="s">
        <v>772</v>
      </c>
      <c r="N71" s="206" t="s">
        <v>773</v>
      </c>
      <c r="O71" s="206" t="s">
        <v>774</v>
      </c>
    </row>
    <row r="72" spans="3:15" x14ac:dyDescent="0.25">
      <c r="C72" s="206" t="s">
        <v>854</v>
      </c>
      <c r="D72" s="206">
        <v>150</v>
      </c>
      <c r="E72" s="206">
        <v>3373.6859286578806</v>
      </c>
      <c r="F72" s="206">
        <v>3530.03561769525</v>
      </c>
      <c r="G72" s="206">
        <v>10.898051000000001</v>
      </c>
      <c r="H72" s="206" t="s">
        <v>771</v>
      </c>
      <c r="I72" s="206">
        <v>0.63</v>
      </c>
      <c r="J72" s="206"/>
      <c r="K72" s="206">
        <v>3</v>
      </c>
      <c r="L72" s="206" t="s">
        <v>454</v>
      </c>
      <c r="M72" s="206" t="s">
        <v>413</v>
      </c>
      <c r="N72" s="206" t="s">
        <v>776</v>
      </c>
      <c r="O72" s="206" t="s">
        <v>776</v>
      </c>
    </row>
    <row r="73" spans="3:15" x14ac:dyDescent="0.25">
      <c r="C73" s="206" t="s">
        <v>855</v>
      </c>
      <c r="D73" s="206">
        <v>400</v>
      </c>
      <c r="E73" s="206">
        <v>7143.0119081144821</v>
      </c>
      <c r="F73" s="206">
        <v>27007.699886683899</v>
      </c>
      <c r="G73" s="206">
        <v>18.291482999999999</v>
      </c>
      <c r="H73" s="206" t="s">
        <v>771</v>
      </c>
      <c r="I73" s="206">
        <v>0.62</v>
      </c>
      <c r="J73" s="206"/>
      <c r="K73" s="206">
        <v>3</v>
      </c>
      <c r="L73" s="206" t="s">
        <v>454</v>
      </c>
      <c r="M73" s="206" t="s">
        <v>791</v>
      </c>
      <c r="N73" s="206" t="s">
        <v>773</v>
      </c>
      <c r="O73" s="206" t="s">
        <v>800</v>
      </c>
    </row>
    <row r="74" spans="3:15" x14ac:dyDescent="0.25">
      <c r="C74" s="206" t="s">
        <v>856</v>
      </c>
      <c r="D74" s="206">
        <v>150</v>
      </c>
      <c r="E74" s="206">
        <v>1454.0103001225391</v>
      </c>
      <c r="F74" s="206">
        <v>3529.0715643295898</v>
      </c>
      <c r="G74" s="206">
        <v>4.6970830000000001</v>
      </c>
      <c r="H74" s="206" t="s">
        <v>771</v>
      </c>
      <c r="I74" s="206">
        <v>0.63</v>
      </c>
      <c r="J74" s="206"/>
      <c r="K74" s="206">
        <v>3</v>
      </c>
      <c r="L74" s="206" t="s">
        <v>454</v>
      </c>
      <c r="M74" s="206" t="s">
        <v>782</v>
      </c>
      <c r="N74" s="206" t="s">
        <v>773</v>
      </c>
      <c r="O74" s="206" t="s">
        <v>805</v>
      </c>
    </row>
    <row r="75" spans="3:15" x14ac:dyDescent="0.25">
      <c r="C75" s="206" t="s">
        <v>857</v>
      </c>
      <c r="D75" s="206">
        <v>25</v>
      </c>
      <c r="E75" s="206">
        <v>446.17708470996422</v>
      </c>
      <c r="F75" s="206">
        <v>41.786688880936701</v>
      </c>
      <c r="G75" s="206">
        <v>3.2646145999999998</v>
      </c>
      <c r="H75" s="206" t="s">
        <v>771</v>
      </c>
      <c r="I75" s="206">
        <v>0.81</v>
      </c>
      <c r="J75" s="206" t="s">
        <v>795</v>
      </c>
      <c r="K75" s="206"/>
      <c r="L75" s="206"/>
      <c r="M75" s="206"/>
      <c r="N75" s="206"/>
      <c r="O75" s="206"/>
    </row>
    <row r="76" spans="3:15" x14ac:dyDescent="0.25">
      <c r="C76" s="206" t="s">
        <v>858</v>
      </c>
      <c r="D76" s="206">
        <v>80</v>
      </c>
      <c r="E76" s="206">
        <v>4103.5707254923664</v>
      </c>
      <c r="F76" s="206">
        <v>562.93208777304994</v>
      </c>
      <c r="G76" s="206">
        <v>17.330321999999999</v>
      </c>
      <c r="H76" s="206" t="s">
        <v>771</v>
      </c>
      <c r="I76" s="206">
        <v>0.65</v>
      </c>
      <c r="J76" s="206"/>
      <c r="K76" s="206">
        <v>3</v>
      </c>
      <c r="L76" s="206" t="s">
        <v>454</v>
      </c>
      <c r="M76" s="206" t="s">
        <v>782</v>
      </c>
      <c r="N76" s="206" t="s">
        <v>773</v>
      </c>
      <c r="O76" s="206" t="s">
        <v>859</v>
      </c>
    </row>
    <row r="77" spans="3:15" x14ac:dyDescent="0.25">
      <c r="C77" s="206" t="s">
        <v>860</v>
      </c>
      <c r="D77" s="206">
        <v>20</v>
      </c>
      <c r="E77" s="206">
        <v>2123.9644942614441</v>
      </c>
      <c r="F77" s="206">
        <v>1</v>
      </c>
      <c r="G77" s="206">
        <v>18.141065999999999</v>
      </c>
      <c r="H77" s="206" t="s">
        <v>771</v>
      </c>
      <c r="I77" s="206">
        <v>1</v>
      </c>
      <c r="J77" s="206"/>
      <c r="K77" s="206">
        <v>3</v>
      </c>
      <c r="L77" s="206" t="s">
        <v>454</v>
      </c>
      <c r="M77" s="206" t="s">
        <v>782</v>
      </c>
      <c r="N77" s="206" t="s">
        <v>776</v>
      </c>
      <c r="O77" s="206" t="s">
        <v>776</v>
      </c>
    </row>
    <row r="78" spans="3:15" x14ac:dyDescent="0.25">
      <c r="C78" s="206" t="s">
        <v>861</v>
      </c>
      <c r="D78" s="206">
        <v>80</v>
      </c>
      <c r="E78" s="206">
        <v>8263.8310497714519</v>
      </c>
      <c r="F78" s="206">
        <v>720.47985063224201</v>
      </c>
      <c r="G78" s="206">
        <v>36.409644999999998</v>
      </c>
      <c r="H78" s="206" t="s">
        <v>771</v>
      </c>
      <c r="I78" s="206">
        <v>1</v>
      </c>
      <c r="J78" s="206"/>
      <c r="K78" s="206">
        <v>3</v>
      </c>
      <c r="L78" s="206" t="s">
        <v>454</v>
      </c>
      <c r="M78" s="206" t="s">
        <v>791</v>
      </c>
      <c r="N78" s="206" t="s">
        <v>862</v>
      </c>
      <c r="O78" s="206" t="s">
        <v>792</v>
      </c>
    </row>
    <row r="79" spans="3:15" x14ac:dyDescent="0.25">
      <c r="C79" s="206" t="s">
        <v>863</v>
      </c>
      <c r="D79" s="206">
        <v>150</v>
      </c>
      <c r="E79" s="206">
        <v>92.65846120759781</v>
      </c>
      <c r="F79" s="206">
        <v>3529.0715643295898</v>
      </c>
      <c r="G79" s="206">
        <v>0.29932695999999998</v>
      </c>
      <c r="H79" s="206" t="s">
        <v>771</v>
      </c>
      <c r="I79" s="206">
        <v>0.63</v>
      </c>
      <c r="J79" s="206"/>
      <c r="K79" s="206">
        <v>3</v>
      </c>
      <c r="L79" s="206" t="s">
        <v>454</v>
      </c>
      <c r="M79" s="206" t="s">
        <v>782</v>
      </c>
      <c r="N79" s="206" t="s">
        <v>773</v>
      </c>
      <c r="O79" s="206" t="s">
        <v>805</v>
      </c>
    </row>
    <row r="80" spans="3:15" x14ac:dyDescent="0.25">
      <c r="C80" s="206" t="s">
        <v>864</v>
      </c>
      <c r="D80" s="206">
        <v>200</v>
      </c>
      <c r="E80" s="206">
        <v>561.26236428420486</v>
      </c>
      <c r="F80" s="206">
        <v>5647.44771793778</v>
      </c>
      <c r="G80" s="206">
        <v>1.716448</v>
      </c>
      <c r="H80" s="206" t="s">
        <v>771</v>
      </c>
      <c r="I80" s="206">
        <v>1</v>
      </c>
      <c r="J80" s="206"/>
      <c r="K80" s="206">
        <v>3</v>
      </c>
      <c r="L80" s="206" t="s">
        <v>454</v>
      </c>
      <c r="M80" s="206" t="s">
        <v>413</v>
      </c>
      <c r="N80" s="206" t="s">
        <v>773</v>
      </c>
      <c r="O80" s="206" t="s">
        <v>788</v>
      </c>
    </row>
    <row r="81" spans="3:15" x14ac:dyDescent="0.25">
      <c r="C81" s="206" t="s">
        <v>865</v>
      </c>
      <c r="D81" s="206">
        <v>20</v>
      </c>
      <c r="E81" s="206">
        <v>891.81739008194825</v>
      </c>
      <c r="F81" s="206">
        <v>2.91598506120499</v>
      </c>
      <c r="G81" s="206">
        <v>6.0048655999999996</v>
      </c>
      <c r="H81" s="206" t="s">
        <v>771</v>
      </c>
      <c r="I81" s="206">
        <v>1</v>
      </c>
      <c r="J81" s="206"/>
      <c r="K81" s="206">
        <v>3</v>
      </c>
      <c r="L81" s="206" t="s">
        <v>454</v>
      </c>
      <c r="M81" s="206" t="s">
        <v>772</v>
      </c>
      <c r="N81" s="206" t="s">
        <v>773</v>
      </c>
      <c r="O81" s="206" t="s">
        <v>774</v>
      </c>
    </row>
    <row r="82" spans="3:15" x14ac:dyDescent="0.25">
      <c r="C82" s="206" t="s">
        <v>866</v>
      </c>
      <c r="D82" s="206">
        <v>80</v>
      </c>
      <c r="E82" s="206">
        <v>341.42153820342162</v>
      </c>
      <c r="F82" s="206">
        <v>562.93208777304994</v>
      </c>
      <c r="G82" s="206">
        <v>1.4419016</v>
      </c>
      <c r="H82" s="206" t="s">
        <v>771</v>
      </c>
      <c r="I82" s="206">
        <v>0.65</v>
      </c>
      <c r="J82" s="206"/>
      <c r="K82" s="206">
        <v>3</v>
      </c>
      <c r="L82" s="206" t="s">
        <v>454</v>
      </c>
      <c r="M82" s="206" t="s">
        <v>772</v>
      </c>
      <c r="N82" s="206" t="s">
        <v>773</v>
      </c>
      <c r="O82" s="206" t="s">
        <v>774</v>
      </c>
    </row>
    <row r="83" spans="3:15" x14ac:dyDescent="0.25">
      <c r="C83" s="206" t="s">
        <v>867</v>
      </c>
      <c r="D83" s="206">
        <v>65</v>
      </c>
      <c r="E83" s="206">
        <v>9660.8518974999224</v>
      </c>
      <c r="F83" s="206">
        <v>366.340331913667</v>
      </c>
      <c r="G83" s="206">
        <v>45.103133999999997</v>
      </c>
      <c r="H83" s="206" t="s">
        <v>771</v>
      </c>
      <c r="I83" s="206">
        <v>0.74826912236183685</v>
      </c>
      <c r="J83" s="206"/>
      <c r="K83" s="206">
        <v>3</v>
      </c>
      <c r="L83" s="206" t="s">
        <v>454</v>
      </c>
      <c r="M83" s="206" t="s">
        <v>413</v>
      </c>
      <c r="N83" s="206" t="s">
        <v>776</v>
      </c>
      <c r="O83" s="206" t="s">
        <v>776</v>
      </c>
    </row>
    <row r="84" spans="3:15" x14ac:dyDescent="0.25">
      <c r="C84" s="206" t="s">
        <v>868</v>
      </c>
      <c r="D84" s="206">
        <v>20</v>
      </c>
      <c r="E84" s="206">
        <v>2912.4179667402068</v>
      </c>
      <c r="F84" s="206">
        <v>1.7780065925326201</v>
      </c>
      <c r="G84" s="206">
        <v>24.875353</v>
      </c>
      <c r="H84" s="206" t="s">
        <v>771</v>
      </c>
      <c r="I84" s="206">
        <v>1</v>
      </c>
      <c r="J84" s="206"/>
      <c r="K84" s="206">
        <v>3</v>
      </c>
      <c r="L84" s="206" t="s">
        <v>454</v>
      </c>
      <c r="M84" s="206" t="s">
        <v>413</v>
      </c>
      <c r="N84" s="206" t="s">
        <v>776</v>
      </c>
      <c r="O84" s="206" t="s">
        <v>776</v>
      </c>
    </row>
    <row r="85" spans="3:15" x14ac:dyDescent="0.25">
      <c r="C85" s="206" t="s">
        <v>869</v>
      </c>
      <c r="D85" s="206">
        <v>65</v>
      </c>
      <c r="E85" s="206">
        <v>1007.3390892043554</v>
      </c>
      <c r="F85" s="206">
        <v>319.08547260653</v>
      </c>
      <c r="G85" s="206">
        <v>4.7148747000000002</v>
      </c>
      <c r="H85" s="206" t="s">
        <v>771</v>
      </c>
      <c r="I85" s="206">
        <v>0.65</v>
      </c>
      <c r="J85" s="206"/>
      <c r="K85" s="206">
        <v>3</v>
      </c>
      <c r="L85" s="206" t="s">
        <v>454</v>
      </c>
      <c r="M85" s="206" t="s">
        <v>772</v>
      </c>
      <c r="N85" s="206" t="s">
        <v>773</v>
      </c>
      <c r="O85" s="206" t="s">
        <v>774</v>
      </c>
    </row>
    <row r="86" spans="3:15" x14ac:dyDescent="0.25">
      <c r="C86" s="206" t="s">
        <v>870</v>
      </c>
      <c r="D86" s="206">
        <v>20</v>
      </c>
      <c r="E86" s="206">
        <v>1450.1160572838628</v>
      </c>
      <c r="F86" s="206">
        <v>2</v>
      </c>
      <c r="G86" s="206">
        <v>12.385636</v>
      </c>
      <c r="H86" s="206" t="s">
        <v>771</v>
      </c>
      <c r="I86" s="206">
        <v>1</v>
      </c>
      <c r="J86" s="206"/>
      <c r="K86" s="206">
        <v>3</v>
      </c>
      <c r="L86" s="206" t="s">
        <v>454</v>
      </c>
      <c r="M86" s="206" t="s">
        <v>413</v>
      </c>
      <c r="N86" s="206" t="s">
        <v>776</v>
      </c>
      <c r="O86" s="206" t="s">
        <v>776</v>
      </c>
    </row>
    <row r="87" spans="3:15" x14ac:dyDescent="0.25">
      <c r="C87" s="206" t="s">
        <v>871</v>
      </c>
      <c r="D87" s="206">
        <v>40</v>
      </c>
      <c r="E87" s="206">
        <v>1022.0173236936018</v>
      </c>
      <c r="F87" s="206">
        <v>141.25015258789099</v>
      </c>
      <c r="G87" s="206">
        <v>5.5785936999999999</v>
      </c>
      <c r="H87" s="206" t="s">
        <v>771</v>
      </c>
      <c r="I87" s="206">
        <v>0.81747412827244703</v>
      </c>
      <c r="J87" s="206"/>
      <c r="K87" s="206">
        <v>3</v>
      </c>
      <c r="L87" s="206" t="s">
        <v>454</v>
      </c>
      <c r="M87" s="206" t="s">
        <v>772</v>
      </c>
      <c r="N87" s="206" t="s">
        <v>773</v>
      </c>
      <c r="O87" s="206" t="s">
        <v>774</v>
      </c>
    </row>
    <row r="88" spans="3:15" x14ac:dyDescent="0.25">
      <c r="C88" s="206" t="s">
        <v>872</v>
      </c>
      <c r="D88" s="206">
        <v>125</v>
      </c>
      <c r="E88" s="206">
        <v>2968.6320529938303</v>
      </c>
      <c r="F88" s="206">
        <v>1523.083984375</v>
      </c>
      <c r="G88" s="206">
        <v>10.728688</v>
      </c>
      <c r="H88" s="206" t="s">
        <v>771</v>
      </c>
      <c r="I88" s="206">
        <v>0.80547730167345055</v>
      </c>
      <c r="J88" s="206"/>
      <c r="K88" s="206">
        <v>3</v>
      </c>
      <c r="L88" s="206" t="s">
        <v>454</v>
      </c>
      <c r="M88" s="206" t="s">
        <v>772</v>
      </c>
      <c r="N88" s="206" t="s">
        <v>773</v>
      </c>
      <c r="O88" s="206" t="s">
        <v>788</v>
      </c>
    </row>
    <row r="89" spans="3:15" x14ac:dyDescent="0.25">
      <c r="C89" s="206" t="s">
        <v>873</v>
      </c>
      <c r="D89" s="206">
        <v>40</v>
      </c>
      <c r="E89" s="206">
        <v>633.21935143649125</v>
      </c>
      <c r="F89" s="206">
        <v>100.29582977294901</v>
      </c>
      <c r="G89" s="206">
        <v>3.7418065</v>
      </c>
      <c r="H89" s="206" t="s">
        <v>771</v>
      </c>
      <c r="I89" s="206">
        <v>1</v>
      </c>
      <c r="J89" s="206"/>
      <c r="K89" s="206">
        <v>3</v>
      </c>
      <c r="L89" s="206" t="s">
        <v>454</v>
      </c>
      <c r="M89" s="206" t="s">
        <v>791</v>
      </c>
      <c r="N89" s="206" t="s">
        <v>773</v>
      </c>
      <c r="O89" s="206" t="s">
        <v>792</v>
      </c>
    </row>
    <row r="90" spans="3:15" x14ac:dyDescent="0.25">
      <c r="C90" s="206" t="s">
        <v>874</v>
      </c>
      <c r="D90" s="206">
        <v>50</v>
      </c>
      <c r="E90" s="206">
        <v>68.982508476081449</v>
      </c>
      <c r="F90" s="206">
        <v>148.388475348707</v>
      </c>
      <c r="G90" s="206">
        <v>0.37171253999999998</v>
      </c>
      <c r="H90" s="206" t="s">
        <v>771</v>
      </c>
      <c r="I90" s="206">
        <v>0.65</v>
      </c>
      <c r="J90" s="206"/>
      <c r="K90" s="206">
        <v>3</v>
      </c>
      <c r="L90" s="206" t="s">
        <v>454</v>
      </c>
      <c r="M90" s="206" t="s">
        <v>772</v>
      </c>
      <c r="N90" s="206" t="s">
        <v>773</v>
      </c>
      <c r="O90" s="206" t="s">
        <v>774</v>
      </c>
    </row>
    <row r="91" spans="3:15" x14ac:dyDescent="0.25">
      <c r="C91" s="206" t="s">
        <v>875</v>
      </c>
      <c r="D91" s="206">
        <v>150</v>
      </c>
      <c r="E91" s="206">
        <v>570.0706510507041</v>
      </c>
      <c r="F91" s="206">
        <v>3529.0715643295898</v>
      </c>
      <c r="G91" s="206">
        <v>1.8415751</v>
      </c>
      <c r="H91" s="206" t="s">
        <v>771</v>
      </c>
      <c r="I91" s="206">
        <v>0.63</v>
      </c>
      <c r="J91" s="206"/>
      <c r="K91" s="206">
        <v>3</v>
      </c>
      <c r="L91" s="206" t="s">
        <v>454</v>
      </c>
      <c r="M91" s="206" t="s">
        <v>413</v>
      </c>
      <c r="N91" s="206" t="s">
        <v>776</v>
      </c>
      <c r="O91" s="206" t="s">
        <v>776</v>
      </c>
    </row>
    <row r="92" spans="3:15" x14ac:dyDescent="0.25">
      <c r="C92" s="206" t="s">
        <v>876</v>
      </c>
      <c r="D92" s="206">
        <v>200</v>
      </c>
      <c r="E92" s="206">
        <v>850.77192984518877</v>
      </c>
      <c r="F92" s="206">
        <v>5647.44771793778</v>
      </c>
      <c r="G92" s="206">
        <v>2.6018238</v>
      </c>
      <c r="H92" s="206" t="s">
        <v>771</v>
      </c>
      <c r="I92" s="206">
        <v>1</v>
      </c>
      <c r="J92" s="206"/>
      <c r="K92" s="206">
        <v>3</v>
      </c>
      <c r="L92" s="206" t="s">
        <v>454</v>
      </c>
      <c r="M92" s="206" t="s">
        <v>772</v>
      </c>
      <c r="N92" s="206" t="s">
        <v>773</v>
      </c>
      <c r="O92" s="206" t="s">
        <v>788</v>
      </c>
    </row>
    <row r="93" spans="3:15" x14ac:dyDescent="0.25">
      <c r="C93" s="206" t="s">
        <v>877</v>
      </c>
      <c r="D93" s="206">
        <v>125</v>
      </c>
      <c r="E93" s="206">
        <v>3901.5196385934137</v>
      </c>
      <c r="F93" s="206">
        <v>1523.083984375</v>
      </c>
      <c r="G93" s="206">
        <v>14.100160000000001</v>
      </c>
      <c r="H93" s="206" t="s">
        <v>771</v>
      </c>
      <c r="I93" s="206">
        <v>0.80547730167345055</v>
      </c>
      <c r="J93" s="206"/>
      <c r="K93" s="206">
        <v>3</v>
      </c>
      <c r="L93" s="206" t="s">
        <v>454</v>
      </c>
      <c r="M93" s="206" t="s">
        <v>413</v>
      </c>
      <c r="N93" s="206" t="s">
        <v>773</v>
      </c>
      <c r="O93" s="206" t="s">
        <v>774</v>
      </c>
    </row>
    <row r="94" spans="3:15" x14ac:dyDescent="0.25">
      <c r="C94" s="206" t="s">
        <v>878</v>
      </c>
      <c r="D94" s="206">
        <v>50</v>
      </c>
      <c r="E94" s="206">
        <v>1708.2361018881136</v>
      </c>
      <c r="F94" s="206">
        <v>194.396395330084</v>
      </c>
      <c r="G94" s="206">
        <v>8.7810120000000005</v>
      </c>
      <c r="H94" s="206" t="s">
        <v>771</v>
      </c>
      <c r="I94" s="206">
        <v>0.7</v>
      </c>
      <c r="J94" s="206"/>
      <c r="K94" s="206">
        <v>3</v>
      </c>
      <c r="L94" s="206" t="s">
        <v>454</v>
      </c>
      <c r="M94" s="206" t="s">
        <v>772</v>
      </c>
      <c r="N94" s="206" t="s">
        <v>773</v>
      </c>
      <c r="O94" s="206" t="s">
        <v>774</v>
      </c>
    </row>
    <row r="95" spans="3:15" x14ac:dyDescent="0.25">
      <c r="C95" s="206" t="s">
        <v>879</v>
      </c>
      <c r="D95" s="206">
        <v>80</v>
      </c>
      <c r="E95" s="206">
        <v>319.73713899760855</v>
      </c>
      <c r="F95" s="206">
        <v>562.93208777304994</v>
      </c>
      <c r="G95" s="206">
        <v>1.3503234</v>
      </c>
      <c r="H95" s="206" t="s">
        <v>771</v>
      </c>
      <c r="I95" s="206">
        <v>0.65</v>
      </c>
      <c r="J95" s="206"/>
      <c r="K95" s="206">
        <v>3</v>
      </c>
      <c r="L95" s="206" t="s">
        <v>454</v>
      </c>
      <c r="M95" s="206" t="s">
        <v>772</v>
      </c>
      <c r="N95" s="206" t="s">
        <v>773</v>
      </c>
      <c r="O95" s="206" t="s">
        <v>774</v>
      </c>
    </row>
    <row r="96" spans="3:15" x14ac:dyDescent="0.25">
      <c r="C96" s="206" t="s">
        <v>880</v>
      </c>
      <c r="D96" s="206">
        <v>80</v>
      </c>
      <c r="E96" s="206">
        <v>10141.771488399327</v>
      </c>
      <c r="F96" s="206">
        <v>721.63679467609302</v>
      </c>
      <c r="G96" s="206">
        <v>44.683669999999999</v>
      </c>
      <c r="H96" s="206" t="s">
        <v>771</v>
      </c>
      <c r="I96" s="206">
        <v>1</v>
      </c>
      <c r="J96" s="206"/>
      <c r="K96" s="206">
        <v>3</v>
      </c>
      <c r="L96" s="206" t="s">
        <v>454</v>
      </c>
      <c r="M96" s="206" t="s">
        <v>791</v>
      </c>
      <c r="N96" s="206" t="s">
        <v>862</v>
      </c>
      <c r="O96" s="206" t="s">
        <v>792</v>
      </c>
    </row>
    <row r="97" spans="3:15" x14ac:dyDescent="0.25">
      <c r="C97" s="206" t="s">
        <v>881</v>
      </c>
      <c r="D97" s="206">
        <v>125</v>
      </c>
      <c r="E97" s="206">
        <v>7890.4446724001627</v>
      </c>
      <c r="F97" s="206">
        <v>1647.9596320257999</v>
      </c>
      <c r="G97" s="206">
        <v>28.260345000000001</v>
      </c>
      <c r="H97" s="206" t="s">
        <v>771</v>
      </c>
      <c r="I97" s="206">
        <v>0.63</v>
      </c>
      <c r="J97" s="206"/>
      <c r="K97" s="206">
        <v>3</v>
      </c>
      <c r="L97" s="206" t="s">
        <v>454</v>
      </c>
      <c r="M97" s="206" t="s">
        <v>413</v>
      </c>
      <c r="N97" s="206" t="s">
        <v>776</v>
      </c>
      <c r="O97" s="206" t="s">
        <v>776</v>
      </c>
    </row>
    <row r="98" spans="3:15" x14ac:dyDescent="0.25">
      <c r="C98" s="206" t="s">
        <v>882</v>
      </c>
      <c r="D98" s="206">
        <v>200</v>
      </c>
      <c r="E98" s="206">
        <v>1697.0194215310767</v>
      </c>
      <c r="F98" s="206">
        <v>5647.44771793778</v>
      </c>
      <c r="G98" s="206">
        <v>5.1898109999999997</v>
      </c>
      <c r="H98" s="206" t="s">
        <v>771</v>
      </c>
      <c r="I98" s="206">
        <v>1</v>
      </c>
      <c r="J98" s="206"/>
      <c r="K98" s="206">
        <v>3</v>
      </c>
      <c r="L98" s="206" t="s">
        <v>454</v>
      </c>
      <c r="M98" s="206" t="s">
        <v>413</v>
      </c>
      <c r="N98" s="206" t="s">
        <v>773</v>
      </c>
      <c r="O98" s="206" t="s">
        <v>774</v>
      </c>
    </row>
    <row r="99" spans="3:15" x14ac:dyDescent="0.25">
      <c r="C99" s="206" t="s">
        <v>883</v>
      </c>
      <c r="D99" s="206">
        <v>80</v>
      </c>
      <c r="E99" s="206">
        <v>240.19596978426532</v>
      </c>
      <c r="F99" s="206">
        <v>617.18597412109398</v>
      </c>
      <c r="G99" s="206">
        <v>1.0008041000000001</v>
      </c>
      <c r="H99" s="206" t="s">
        <v>771</v>
      </c>
      <c r="I99" s="206">
        <v>0.7294998052048729</v>
      </c>
      <c r="J99" s="206"/>
      <c r="K99" s="206">
        <v>3</v>
      </c>
      <c r="L99" s="206" t="s">
        <v>454</v>
      </c>
      <c r="M99" s="206" t="s">
        <v>772</v>
      </c>
      <c r="N99" s="206" t="s">
        <v>773</v>
      </c>
      <c r="O99" s="206" t="s">
        <v>774</v>
      </c>
    </row>
    <row r="100" spans="3:15" x14ac:dyDescent="0.25">
      <c r="C100" s="206" t="s">
        <v>884</v>
      </c>
      <c r="D100" s="206">
        <v>65</v>
      </c>
      <c r="E100" s="206">
        <v>164.5912260224587</v>
      </c>
      <c r="F100" s="206">
        <v>319.08547260653</v>
      </c>
      <c r="G100" s="206">
        <v>0.77037317000000005</v>
      </c>
      <c r="H100" s="206" t="s">
        <v>771</v>
      </c>
      <c r="I100" s="206">
        <v>0.65</v>
      </c>
      <c r="J100" s="206"/>
      <c r="K100" s="206">
        <v>3</v>
      </c>
      <c r="L100" s="206" t="s">
        <v>454</v>
      </c>
      <c r="M100" s="206" t="s">
        <v>772</v>
      </c>
      <c r="N100" s="206" t="s">
        <v>773</v>
      </c>
      <c r="O100" s="206" t="s">
        <v>774</v>
      </c>
    </row>
    <row r="101" spans="3:15" x14ac:dyDescent="0.25">
      <c r="C101" s="206" t="s">
        <v>885</v>
      </c>
      <c r="D101" s="206">
        <v>20</v>
      </c>
      <c r="E101" s="206">
        <v>1656.3106840806356</v>
      </c>
      <c r="F101" s="206">
        <v>1</v>
      </c>
      <c r="G101" s="206">
        <v>14.146772</v>
      </c>
      <c r="H101" s="206" t="s">
        <v>771</v>
      </c>
      <c r="I101" s="206">
        <v>1</v>
      </c>
      <c r="J101" s="206"/>
      <c r="K101" s="206">
        <v>3</v>
      </c>
      <c r="L101" s="206" t="s">
        <v>454</v>
      </c>
      <c r="M101" s="206" t="s">
        <v>772</v>
      </c>
      <c r="N101" s="206" t="s">
        <v>773</v>
      </c>
      <c r="O101" s="206" t="s">
        <v>774</v>
      </c>
    </row>
    <row r="102" spans="3:15" x14ac:dyDescent="0.25">
      <c r="C102" s="206" t="s">
        <v>886</v>
      </c>
      <c r="D102" s="206">
        <v>200</v>
      </c>
      <c r="E102" s="206">
        <v>2731.9531411958592</v>
      </c>
      <c r="F102" s="206">
        <v>5825.9935531513001</v>
      </c>
      <c r="G102" s="206">
        <v>8.327769</v>
      </c>
      <c r="H102" s="206" t="s">
        <v>771</v>
      </c>
      <c r="I102" s="206">
        <v>1</v>
      </c>
      <c r="J102" s="206"/>
      <c r="K102" s="206">
        <v>3</v>
      </c>
      <c r="L102" s="206" t="s">
        <v>454</v>
      </c>
      <c r="M102" s="206" t="s">
        <v>791</v>
      </c>
      <c r="N102" s="206" t="s">
        <v>773</v>
      </c>
      <c r="O102" s="206" t="s">
        <v>800</v>
      </c>
    </row>
    <row r="103" spans="3:15" x14ac:dyDescent="0.25">
      <c r="C103" s="206" t="s">
        <v>887</v>
      </c>
      <c r="D103" s="206">
        <v>80</v>
      </c>
      <c r="E103" s="206">
        <v>901.3071555530164</v>
      </c>
      <c r="F103" s="206">
        <v>562.93208777304994</v>
      </c>
      <c r="G103" s="206">
        <v>3.8064271999999999</v>
      </c>
      <c r="H103" s="206" t="s">
        <v>771</v>
      </c>
      <c r="I103" s="206">
        <v>0.65</v>
      </c>
      <c r="J103" s="206"/>
      <c r="K103" s="206">
        <v>3</v>
      </c>
      <c r="L103" s="206" t="s">
        <v>454</v>
      </c>
      <c r="M103" s="206" t="s">
        <v>413</v>
      </c>
      <c r="N103" s="206" t="s">
        <v>773</v>
      </c>
      <c r="O103" s="206" t="s">
        <v>774</v>
      </c>
    </row>
    <row r="104" spans="3:15" x14ac:dyDescent="0.25">
      <c r="C104" s="206" t="s">
        <v>888</v>
      </c>
      <c r="D104" s="206">
        <v>250</v>
      </c>
      <c r="E104" s="206">
        <v>472.21550024718459</v>
      </c>
      <c r="F104" s="206">
        <v>9393.3191221109992</v>
      </c>
      <c r="G104" s="206">
        <v>1.3543087</v>
      </c>
      <c r="H104" s="206" t="s">
        <v>771</v>
      </c>
      <c r="I104" s="206">
        <v>0.63</v>
      </c>
      <c r="J104" s="206"/>
      <c r="K104" s="206">
        <v>3</v>
      </c>
      <c r="L104" s="206" t="s">
        <v>454</v>
      </c>
      <c r="M104" s="206" t="s">
        <v>782</v>
      </c>
      <c r="N104" s="208" t="s">
        <v>776</v>
      </c>
      <c r="O104" s="208" t="s">
        <v>776</v>
      </c>
    </row>
    <row r="105" spans="3:15" x14ac:dyDescent="0.25">
      <c r="C105" s="206" t="s">
        <v>889</v>
      </c>
      <c r="D105" s="206">
        <v>50</v>
      </c>
      <c r="E105" s="206">
        <v>2962.1450153356054</v>
      </c>
      <c r="F105" s="206">
        <v>148.388475348707</v>
      </c>
      <c r="G105" s="206">
        <v>15.961531000000001</v>
      </c>
      <c r="H105" s="206" t="s">
        <v>771</v>
      </c>
      <c r="I105" s="206">
        <v>0.65</v>
      </c>
      <c r="J105" s="206"/>
      <c r="K105" s="206">
        <v>3</v>
      </c>
      <c r="L105" s="206" t="s">
        <v>454</v>
      </c>
      <c r="M105" s="206" t="s">
        <v>772</v>
      </c>
      <c r="N105" s="222" t="s">
        <v>773</v>
      </c>
      <c r="O105" s="222" t="s">
        <v>774</v>
      </c>
    </row>
    <row r="106" spans="3:15" x14ac:dyDescent="0.25">
      <c r="C106" s="206" t="s">
        <v>890</v>
      </c>
      <c r="D106" s="206">
        <v>80</v>
      </c>
      <c r="E106" s="206">
        <v>2319.1119101143363</v>
      </c>
      <c r="F106" s="206">
        <v>706.41846324201697</v>
      </c>
      <c r="G106" s="206">
        <v>10.208282000000001</v>
      </c>
      <c r="H106" s="206" t="s">
        <v>771</v>
      </c>
      <c r="I106" s="206">
        <v>1</v>
      </c>
      <c r="J106" s="206"/>
      <c r="K106" s="206">
        <v>3</v>
      </c>
      <c r="L106" s="206" t="s">
        <v>454</v>
      </c>
      <c r="M106" s="206" t="s">
        <v>772</v>
      </c>
      <c r="N106" s="206" t="s">
        <v>784</v>
      </c>
      <c r="O106" s="206" t="s">
        <v>774</v>
      </c>
    </row>
    <row r="107" spans="3:15" x14ac:dyDescent="0.25">
      <c r="C107" s="206" t="s">
        <v>891</v>
      </c>
      <c r="D107" s="206">
        <v>20</v>
      </c>
      <c r="E107" s="206">
        <v>155.04091099455974</v>
      </c>
      <c r="F107" s="206">
        <v>2.91598506120499</v>
      </c>
      <c r="G107" s="206">
        <v>1.0439354999999999</v>
      </c>
      <c r="H107" s="206" t="s">
        <v>771</v>
      </c>
      <c r="I107" s="206">
        <v>1</v>
      </c>
      <c r="J107" s="206"/>
      <c r="K107" s="206">
        <v>3</v>
      </c>
      <c r="L107" s="206" t="s">
        <v>454</v>
      </c>
      <c r="M107" s="206" t="s">
        <v>772</v>
      </c>
      <c r="N107" s="206" t="s">
        <v>773</v>
      </c>
      <c r="O107" s="206" t="s">
        <v>774</v>
      </c>
    </row>
    <row r="108" spans="3:15" x14ac:dyDescent="0.25">
      <c r="C108" s="206" t="s">
        <v>892</v>
      </c>
      <c r="D108" s="206">
        <v>40</v>
      </c>
      <c r="E108" s="206">
        <v>782.3385567381838</v>
      </c>
      <c r="F108" s="206">
        <v>116.80722045898401</v>
      </c>
      <c r="G108" s="206">
        <v>4.4740200000000003</v>
      </c>
      <c r="H108" s="206" t="s">
        <v>771</v>
      </c>
      <c r="I108" s="206">
        <v>0.72000000000000142</v>
      </c>
      <c r="J108" s="206"/>
      <c r="K108" s="206">
        <v>3</v>
      </c>
      <c r="L108" s="206" t="s">
        <v>454</v>
      </c>
      <c r="M108" s="206" t="s">
        <v>772</v>
      </c>
      <c r="N108" s="206" t="s">
        <v>773</v>
      </c>
      <c r="O108" s="206" t="s">
        <v>774</v>
      </c>
    </row>
    <row r="109" spans="3:15" x14ac:dyDescent="0.25">
      <c r="C109" s="206" t="s">
        <v>893</v>
      </c>
      <c r="D109" s="206">
        <v>250</v>
      </c>
      <c r="E109" s="206">
        <v>3093.409848414251</v>
      </c>
      <c r="F109" s="206">
        <v>13386.7484804549</v>
      </c>
      <c r="G109" s="206">
        <v>8.5140600000000006</v>
      </c>
      <c r="H109" s="206" t="s">
        <v>771</v>
      </c>
      <c r="I109" s="206">
        <v>0.63</v>
      </c>
      <c r="J109" s="206"/>
      <c r="K109" s="206">
        <v>3</v>
      </c>
      <c r="L109" s="206" t="s">
        <v>454</v>
      </c>
      <c r="M109" s="206" t="s">
        <v>413</v>
      </c>
      <c r="N109" s="206" t="s">
        <v>776</v>
      </c>
      <c r="O109" s="206" t="s">
        <v>776</v>
      </c>
    </row>
    <row r="110" spans="3:15" x14ac:dyDescent="0.25">
      <c r="C110" s="206" t="s">
        <v>894</v>
      </c>
      <c r="D110" s="206">
        <v>40</v>
      </c>
      <c r="E110" s="206">
        <v>904.78816865872602</v>
      </c>
      <c r="F110" s="206">
        <v>147.16501775104601</v>
      </c>
      <c r="G110" s="206">
        <v>4.8848909999999997</v>
      </c>
      <c r="H110" s="206" t="s">
        <v>771</v>
      </c>
      <c r="I110" s="206">
        <v>0.72</v>
      </c>
      <c r="J110" s="206"/>
      <c r="K110" s="206">
        <v>3</v>
      </c>
      <c r="L110" s="206" t="s">
        <v>454</v>
      </c>
      <c r="M110" s="206" t="s">
        <v>772</v>
      </c>
      <c r="N110" s="206" t="s">
        <v>773</v>
      </c>
      <c r="O110" s="206" t="s">
        <v>774</v>
      </c>
    </row>
    <row r="111" spans="3:15" x14ac:dyDescent="0.25">
      <c r="C111" s="206" t="s">
        <v>895</v>
      </c>
      <c r="D111" s="206">
        <v>200</v>
      </c>
      <c r="E111" s="206">
        <v>1000.500860959481</v>
      </c>
      <c r="F111" s="206">
        <v>5647.44771793778</v>
      </c>
      <c r="G111" s="206">
        <v>3.0597235999999999</v>
      </c>
      <c r="H111" s="206" t="s">
        <v>771</v>
      </c>
      <c r="I111" s="206">
        <v>1</v>
      </c>
      <c r="J111" s="206"/>
      <c r="K111" s="206">
        <v>3</v>
      </c>
      <c r="L111" s="206" t="s">
        <v>454</v>
      </c>
      <c r="M111" s="206" t="s">
        <v>772</v>
      </c>
      <c r="N111" s="206" t="s">
        <v>773</v>
      </c>
      <c r="O111" s="206" t="s">
        <v>774</v>
      </c>
    </row>
    <row r="112" spans="3:15" x14ac:dyDescent="0.25">
      <c r="C112" s="206" t="s">
        <v>896</v>
      </c>
      <c r="D112" s="206">
        <v>25</v>
      </c>
      <c r="E112" s="206">
        <v>1478.4920843178973</v>
      </c>
      <c r="F112" s="206">
        <v>25.667728424072301</v>
      </c>
      <c r="G112" s="206">
        <v>12.478491</v>
      </c>
      <c r="H112" s="206" t="s">
        <v>771</v>
      </c>
      <c r="I112" s="206">
        <v>1</v>
      </c>
      <c r="J112" s="206" t="s">
        <v>795</v>
      </c>
      <c r="K112" s="206"/>
      <c r="L112" s="206"/>
      <c r="M112" s="206"/>
      <c r="N112" s="206"/>
      <c r="O112" s="206"/>
    </row>
    <row r="113" spans="3:15" x14ac:dyDescent="0.25">
      <c r="C113" s="206" t="s">
        <v>897</v>
      </c>
      <c r="D113" s="206">
        <v>50</v>
      </c>
      <c r="E113" s="206">
        <v>171.67141888148981</v>
      </c>
      <c r="F113" s="206">
        <v>148.388475348707</v>
      </c>
      <c r="G113" s="206">
        <v>0.92505216999999995</v>
      </c>
      <c r="H113" s="206" t="s">
        <v>771</v>
      </c>
      <c r="I113" s="206">
        <v>0.65</v>
      </c>
      <c r="J113" s="206"/>
      <c r="K113" s="206">
        <v>3</v>
      </c>
      <c r="L113" s="206" t="s">
        <v>454</v>
      </c>
      <c r="M113" s="206" t="s">
        <v>772</v>
      </c>
      <c r="N113" s="206" t="s">
        <v>773</v>
      </c>
      <c r="O113" s="206" t="s">
        <v>774</v>
      </c>
    </row>
    <row r="114" spans="3:15" x14ac:dyDescent="0.25">
      <c r="C114" s="206" t="s">
        <v>898</v>
      </c>
      <c r="D114" s="206">
        <v>20</v>
      </c>
      <c r="E114" s="206">
        <v>222.41667578686597</v>
      </c>
      <c r="F114" s="206">
        <v>2.91598506120499</v>
      </c>
      <c r="G114" s="206">
        <v>1.4975961</v>
      </c>
      <c r="H114" s="206" t="s">
        <v>771</v>
      </c>
      <c r="I114" s="206">
        <v>1</v>
      </c>
      <c r="J114" s="206"/>
      <c r="K114" s="206">
        <v>3</v>
      </c>
      <c r="L114" s="206" t="s">
        <v>454</v>
      </c>
      <c r="M114" s="206" t="s">
        <v>772</v>
      </c>
      <c r="N114" s="206" t="s">
        <v>773</v>
      </c>
      <c r="O114" s="206" t="s">
        <v>774</v>
      </c>
    </row>
    <row r="115" spans="3:15" x14ac:dyDescent="0.25">
      <c r="C115" s="206" t="s">
        <v>899</v>
      </c>
      <c r="D115" s="206">
        <v>50</v>
      </c>
      <c r="E115" s="206">
        <v>929.63545520716866</v>
      </c>
      <c r="F115" s="206">
        <v>148.388475348707</v>
      </c>
      <c r="G115" s="206">
        <v>5.0093446000000004</v>
      </c>
      <c r="H115" s="206" t="s">
        <v>771</v>
      </c>
      <c r="I115" s="206">
        <v>0.65</v>
      </c>
      <c r="J115" s="206"/>
      <c r="K115" s="206">
        <v>3</v>
      </c>
      <c r="L115" s="206" t="s">
        <v>454</v>
      </c>
      <c r="M115" s="206" t="s">
        <v>772</v>
      </c>
      <c r="N115" s="206" t="s">
        <v>773</v>
      </c>
      <c r="O115" s="206" t="s">
        <v>774</v>
      </c>
    </row>
    <row r="116" spans="3:15" x14ac:dyDescent="0.25">
      <c r="C116" s="206" t="s">
        <v>900</v>
      </c>
      <c r="D116" s="206">
        <v>20</v>
      </c>
      <c r="E116" s="206">
        <v>7.5026751398251674</v>
      </c>
      <c r="F116" s="206">
        <v>1</v>
      </c>
      <c r="G116" s="206">
        <v>6.4081356000000006E-2</v>
      </c>
      <c r="H116" s="206" t="s">
        <v>771</v>
      </c>
      <c r="I116" s="206">
        <v>1</v>
      </c>
      <c r="J116" s="206"/>
      <c r="K116" s="206">
        <v>3</v>
      </c>
      <c r="L116" s="206" t="s">
        <v>454</v>
      </c>
      <c r="M116" s="206" t="s">
        <v>413</v>
      </c>
      <c r="N116" s="206" t="s">
        <v>776</v>
      </c>
      <c r="O116" s="206" t="s">
        <v>776</v>
      </c>
    </row>
    <row r="117" spans="3:15" x14ac:dyDescent="0.25">
      <c r="C117" s="206" t="s">
        <v>901</v>
      </c>
      <c r="D117" s="206">
        <v>65</v>
      </c>
      <c r="E117" s="206">
        <v>827.26310375621392</v>
      </c>
      <c r="F117" s="206">
        <v>366.340331913667</v>
      </c>
      <c r="G117" s="206">
        <v>3.8622017</v>
      </c>
      <c r="H117" s="206" t="s">
        <v>771</v>
      </c>
      <c r="I117" s="206">
        <v>0.74826912236183685</v>
      </c>
      <c r="J117" s="206"/>
      <c r="K117" s="206">
        <v>3</v>
      </c>
      <c r="L117" s="206" t="s">
        <v>454</v>
      </c>
      <c r="M117" s="206" t="s">
        <v>772</v>
      </c>
      <c r="N117" s="206" t="s">
        <v>773</v>
      </c>
      <c r="O117" s="206" t="s">
        <v>774</v>
      </c>
    </row>
    <row r="118" spans="3:15" x14ac:dyDescent="0.25">
      <c r="C118" s="206" t="s">
        <v>902</v>
      </c>
      <c r="D118" s="206">
        <v>65</v>
      </c>
      <c r="E118" s="206">
        <v>2507.5840729547972</v>
      </c>
      <c r="F118" s="206">
        <v>454.25784301757801</v>
      </c>
      <c r="G118" s="206">
        <v>11.001552999999999</v>
      </c>
      <c r="H118" s="206" t="s">
        <v>771</v>
      </c>
      <c r="I118" s="206">
        <v>1</v>
      </c>
      <c r="J118" s="206"/>
      <c r="K118" s="206">
        <v>3</v>
      </c>
      <c r="L118" s="206" t="s">
        <v>454</v>
      </c>
      <c r="M118" s="206" t="s">
        <v>413</v>
      </c>
      <c r="N118" s="206" t="s">
        <v>776</v>
      </c>
      <c r="O118" s="206" t="s">
        <v>776</v>
      </c>
    </row>
    <row r="119" spans="3:15" x14ac:dyDescent="0.25">
      <c r="C119" s="206" t="s">
        <v>903</v>
      </c>
      <c r="D119" s="206">
        <v>65</v>
      </c>
      <c r="E119" s="206">
        <v>1380.1964576324501</v>
      </c>
      <c r="F119" s="206">
        <v>491.91031249461201</v>
      </c>
      <c r="G119" s="206">
        <v>5.9514990000000001</v>
      </c>
      <c r="H119" s="206" t="s">
        <v>771</v>
      </c>
      <c r="I119" s="206">
        <v>0.64</v>
      </c>
      <c r="J119" s="206"/>
      <c r="K119" s="206">
        <v>3</v>
      </c>
      <c r="L119" s="206" t="s">
        <v>454</v>
      </c>
      <c r="M119" s="206" t="s">
        <v>772</v>
      </c>
      <c r="N119" s="206" t="s">
        <v>773</v>
      </c>
      <c r="O119" s="206" t="s">
        <v>774</v>
      </c>
    </row>
    <row r="120" spans="3:15" x14ac:dyDescent="0.25">
      <c r="C120" s="206" t="s">
        <v>904</v>
      </c>
      <c r="D120" s="206">
        <v>125</v>
      </c>
      <c r="E120" s="206">
        <v>1408.1430680399733</v>
      </c>
      <c r="F120" s="206">
        <v>1523.083984375</v>
      </c>
      <c r="G120" s="206">
        <v>5.0890535999999997</v>
      </c>
      <c r="H120" s="206" t="s">
        <v>771</v>
      </c>
      <c r="I120" s="206">
        <v>0.80547730167345055</v>
      </c>
      <c r="J120" s="206"/>
      <c r="K120" s="206">
        <v>3</v>
      </c>
      <c r="L120" s="206" t="s">
        <v>454</v>
      </c>
      <c r="M120" s="206" t="s">
        <v>413</v>
      </c>
      <c r="N120" s="206" t="s">
        <v>773</v>
      </c>
      <c r="O120" s="206" t="s">
        <v>774</v>
      </c>
    </row>
    <row r="121" spans="3:15" x14ac:dyDescent="0.25">
      <c r="C121" s="206" t="s">
        <v>905</v>
      </c>
      <c r="D121" s="206">
        <v>80</v>
      </c>
      <c r="E121" s="206">
        <v>2076.8583766324259</v>
      </c>
      <c r="F121" s="206">
        <v>617.18597412109398</v>
      </c>
      <c r="G121" s="206">
        <v>8.6534689999999994</v>
      </c>
      <c r="H121" s="206" t="s">
        <v>771</v>
      </c>
      <c r="I121" s="206">
        <v>0.7294998052048729</v>
      </c>
      <c r="J121" s="206"/>
      <c r="K121" s="206">
        <v>3</v>
      </c>
      <c r="L121" s="206" t="s">
        <v>454</v>
      </c>
      <c r="M121" s="206" t="s">
        <v>772</v>
      </c>
      <c r="N121" s="206" t="s">
        <v>773</v>
      </c>
      <c r="O121" s="206" t="s">
        <v>774</v>
      </c>
    </row>
    <row r="122" spans="3:15" x14ac:dyDescent="0.25">
      <c r="C122" s="206" t="s">
        <v>906</v>
      </c>
      <c r="D122" s="206">
        <v>80</v>
      </c>
      <c r="E122" s="206">
        <v>1183.1860890586815</v>
      </c>
      <c r="F122" s="206">
        <v>562.93208777304994</v>
      </c>
      <c r="G122" s="206">
        <v>4.9968667</v>
      </c>
      <c r="H122" s="206" t="s">
        <v>771</v>
      </c>
      <c r="I122" s="206">
        <v>0.65</v>
      </c>
      <c r="J122" s="206"/>
      <c r="K122" s="206">
        <v>3</v>
      </c>
      <c r="L122" s="206" t="s">
        <v>454</v>
      </c>
      <c r="M122" s="206" t="s">
        <v>772</v>
      </c>
      <c r="N122" s="206" t="s">
        <v>773</v>
      </c>
      <c r="O122" s="206" t="s">
        <v>774</v>
      </c>
    </row>
    <row r="123" spans="3:15" x14ac:dyDescent="0.25">
      <c r="C123" s="206" t="s">
        <v>907</v>
      </c>
      <c r="D123" s="206">
        <v>65</v>
      </c>
      <c r="E123" s="206">
        <v>3921.4265057490184</v>
      </c>
      <c r="F123" s="206">
        <v>303.99337188720699</v>
      </c>
      <c r="G123" s="206">
        <v>18.496642999999999</v>
      </c>
      <c r="H123" s="206" t="s">
        <v>771</v>
      </c>
      <c r="I123" s="206">
        <v>0.72</v>
      </c>
      <c r="J123" s="206"/>
      <c r="K123" s="206">
        <v>3</v>
      </c>
      <c r="L123" s="206" t="s">
        <v>454</v>
      </c>
      <c r="M123" s="206" t="s">
        <v>413</v>
      </c>
      <c r="N123" s="206" t="s">
        <v>773</v>
      </c>
      <c r="O123" s="206" t="s">
        <v>774</v>
      </c>
    </row>
    <row r="124" spans="3:15" x14ac:dyDescent="0.25">
      <c r="C124" s="206" t="s">
        <v>908</v>
      </c>
      <c r="D124" s="206">
        <v>20</v>
      </c>
      <c r="E124" s="206">
        <v>1774.6522256322255</v>
      </c>
      <c r="F124" s="206">
        <v>1.7780065925326201</v>
      </c>
      <c r="G124" s="206">
        <v>15.157543</v>
      </c>
      <c r="H124" s="206" t="s">
        <v>771</v>
      </c>
      <c r="I124" s="206">
        <v>1</v>
      </c>
      <c r="J124" s="206"/>
      <c r="K124" s="206">
        <v>3</v>
      </c>
      <c r="L124" s="206" t="s">
        <v>454</v>
      </c>
      <c r="M124" s="206" t="s">
        <v>413</v>
      </c>
      <c r="N124" s="206" t="s">
        <v>776</v>
      </c>
      <c r="O124" s="206" t="s">
        <v>776</v>
      </c>
    </row>
    <row r="125" spans="3:15" x14ac:dyDescent="0.25">
      <c r="C125" s="206" t="s">
        <v>909</v>
      </c>
      <c r="D125" s="206">
        <v>80</v>
      </c>
      <c r="E125" s="206">
        <v>3860.9154506954415</v>
      </c>
      <c r="F125" s="206">
        <v>542.57398425581505</v>
      </c>
      <c r="G125" s="206">
        <v>16.389095000000001</v>
      </c>
      <c r="H125" s="206" t="s">
        <v>771</v>
      </c>
      <c r="I125" s="206">
        <v>0.63</v>
      </c>
      <c r="J125" s="206"/>
      <c r="K125" s="206">
        <v>3</v>
      </c>
      <c r="L125" s="206" t="s">
        <v>454</v>
      </c>
      <c r="M125" s="206" t="s">
        <v>772</v>
      </c>
      <c r="N125" s="206" t="s">
        <v>773</v>
      </c>
      <c r="O125" s="206" t="s">
        <v>774</v>
      </c>
    </row>
    <row r="126" spans="3:15" x14ac:dyDescent="0.25">
      <c r="C126" s="206" t="s">
        <v>910</v>
      </c>
      <c r="D126" s="206">
        <v>50</v>
      </c>
      <c r="E126" s="206">
        <v>943.69145229025105</v>
      </c>
      <c r="F126" s="206">
        <v>148.388475348707</v>
      </c>
      <c r="G126" s="206">
        <v>5.0850853999999996</v>
      </c>
      <c r="H126" s="206" t="s">
        <v>771</v>
      </c>
      <c r="I126" s="206">
        <v>0.65</v>
      </c>
      <c r="J126" s="206"/>
      <c r="K126" s="206">
        <v>3</v>
      </c>
      <c r="L126" s="206" t="s">
        <v>454</v>
      </c>
      <c r="M126" s="206" t="s">
        <v>772</v>
      </c>
      <c r="N126" s="206" t="s">
        <v>773</v>
      </c>
      <c r="O126" s="206" t="s">
        <v>774</v>
      </c>
    </row>
    <row r="127" spans="3:15" x14ac:dyDescent="0.25">
      <c r="C127" s="206" t="s">
        <v>911</v>
      </c>
      <c r="D127" s="206">
        <v>80</v>
      </c>
      <c r="E127" s="206">
        <v>1245.2566611989112</v>
      </c>
      <c r="F127" s="206">
        <v>610.56615022576898</v>
      </c>
      <c r="G127" s="206">
        <v>5.2459610000000003</v>
      </c>
      <c r="H127" s="206" t="s">
        <v>771</v>
      </c>
      <c r="I127" s="206">
        <v>0.67</v>
      </c>
      <c r="J127" s="206"/>
      <c r="K127" s="206">
        <v>3</v>
      </c>
      <c r="L127" s="206" t="s">
        <v>454</v>
      </c>
      <c r="M127" s="206" t="s">
        <v>772</v>
      </c>
      <c r="N127" s="206" t="s">
        <v>773</v>
      </c>
      <c r="O127" s="206" t="s">
        <v>774</v>
      </c>
    </row>
    <row r="128" spans="3:15" x14ac:dyDescent="0.25">
      <c r="C128" s="206" t="s">
        <v>912</v>
      </c>
      <c r="D128" s="206">
        <v>80</v>
      </c>
      <c r="E128" s="206">
        <v>3114.1166252137259</v>
      </c>
      <c r="F128" s="206">
        <v>562.93208777304994</v>
      </c>
      <c r="G128" s="206">
        <v>13.151630000000001</v>
      </c>
      <c r="H128" s="206" t="s">
        <v>771</v>
      </c>
      <c r="I128" s="206">
        <v>0.65</v>
      </c>
      <c r="J128" s="206"/>
      <c r="K128" s="206">
        <v>3</v>
      </c>
      <c r="L128" s="206" t="s">
        <v>454</v>
      </c>
      <c r="M128" s="206" t="s">
        <v>782</v>
      </c>
      <c r="N128" s="206" t="s">
        <v>773</v>
      </c>
      <c r="O128" s="206" t="s">
        <v>859</v>
      </c>
    </row>
    <row r="129" spans="3:15" x14ac:dyDescent="0.25">
      <c r="C129" s="206" t="s">
        <v>913</v>
      </c>
      <c r="D129" s="206">
        <v>32</v>
      </c>
      <c r="E129" s="206">
        <v>2876.2855406027666</v>
      </c>
      <c r="F129" s="206">
        <v>49.635706729895901</v>
      </c>
      <c r="G129" s="206">
        <v>20.167750999999999</v>
      </c>
      <c r="H129" s="206" t="s">
        <v>771</v>
      </c>
      <c r="I129" s="206">
        <v>0.81</v>
      </c>
      <c r="J129" s="206" t="s">
        <v>795</v>
      </c>
      <c r="K129" s="206"/>
      <c r="L129" s="206"/>
      <c r="M129" s="206"/>
      <c r="N129" s="206"/>
      <c r="O129" s="206"/>
    </row>
    <row r="130" spans="3:15" x14ac:dyDescent="0.25">
      <c r="C130" s="206" t="s">
        <v>914</v>
      </c>
      <c r="D130" s="206">
        <v>50</v>
      </c>
      <c r="E130" s="206">
        <v>1099.839904845365</v>
      </c>
      <c r="F130" s="206">
        <v>148.388475348707</v>
      </c>
      <c r="G130" s="206">
        <v>5.9264919999999996</v>
      </c>
      <c r="H130" s="206" t="s">
        <v>771</v>
      </c>
      <c r="I130" s="206">
        <v>0.65</v>
      </c>
      <c r="J130" s="206"/>
      <c r="K130" s="206">
        <v>3</v>
      </c>
      <c r="L130" s="206" t="s">
        <v>454</v>
      </c>
      <c r="M130" s="206" t="s">
        <v>772</v>
      </c>
      <c r="N130" s="206" t="s">
        <v>773</v>
      </c>
      <c r="O130" s="206" t="s">
        <v>774</v>
      </c>
    </row>
    <row r="131" spans="3:15" x14ac:dyDescent="0.25">
      <c r="C131" s="206" t="s">
        <v>915</v>
      </c>
      <c r="D131" s="206">
        <v>80</v>
      </c>
      <c r="E131" s="206">
        <v>17008.739325549213</v>
      </c>
      <c r="F131" s="206">
        <v>704.425133970552</v>
      </c>
      <c r="G131" s="206">
        <v>74.938869999999994</v>
      </c>
      <c r="H131" s="206" t="s">
        <v>771</v>
      </c>
      <c r="I131" s="206">
        <v>1</v>
      </c>
      <c r="J131" s="206"/>
      <c r="K131" s="206">
        <v>3</v>
      </c>
      <c r="L131" s="206" t="s">
        <v>454</v>
      </c>
      <c r="M131" s="206" t="s">
        <v>772</v>
      </c>
      <c r="N131" s="206" t="s">
        <v>784</v>
      </c>
      <c r="O131" s="206" t="s">
        <v>774</v>
      </c>
    </row>
    <row r="132" spans="3:15" x14ac:dyDescent="0.25">
      <c r="C132" s="206" t="s">
        <v>916</v>
      </c>
      <c r="D132" s="206">
        <v>80</v>
      </c>
      <c r="E132" s="206">
        <v>5536.201618520472</v>
      </c>
      <c r="F132" s="206">
        <v>709.63623789476401</v>
      </c>
      <c r="G132" s="206">
        <v>24.391971999999999</v>
      </c>
      <c r="H132" s="206" t="s">
        <v>771</v>
      </c>
      <c r="I132" s="206">
        <v>1</v>
      </c>
      <c r="J132" s="206"/>
      <c r="K132" s="206">
        <v>3</v>
      </c>
      <c r="L132" s="206" t="s">
        <v>454</v>
      </c>
      <c r="M132" s="206" t="s">
        <v>791</v>
      </c>
      <c r="N132" s="206" t="s">
        <v>822</v>
      </c>
      <c r="O132" s="206" t="s">
        <v>792</v>
      </c>
    </row>
    <row r="133" spans="3:15" x14ac:dyDescent="0.25">
      <c r="C133" s="206" t="s">
        <v>917</v>
      </c>
      <c r="D133" s="206">
        <v>80</v>
      </c>
      <c r="E133" s="206">
        <v>1958.3878639707784</v>
      </c>
      <c r="F133" s="206">
        <v>617.18597412109398</v>
      </c>
      <c r="G133" s="206">
        <v>8.1598480000000002</v>
      </c>
      <c r="H133" s="206" t="s">
        <v>771</v>
      </c>
      <c r="I133" s="206">
        <v>0.7294998052048729</v>
      </c>
      <c r="J133" s="206"/>
      <c r="K133" s="206">
        <v>3</v>
      </c>
      <c r="L133" s="206" t="s">
        <v>454</v>
      </c>
      <c r="M133" s="206" t="s">
        <v>413</v>
      </c>
      <c r="N133" s="206" t="s">
        <v>773</v>
      </c>
      <c r="O133" s="206" t="s">
        <v>774</v>
      </c>
    </row>
    <row r="134" spans="3:15" x14ac:dyDescent="0.25">
      <c r="C134" s="206" t="s">
        <v>918</v>
      </c>
      <c r="D134" s="206">
        <v>400</v>
      </c>
      <c r="E134" s="206">
        <v>15919.047721956102</v>
      </c>
      <c r="F134" s="206">
        <v>26893.983908885599</v>
      </c>
      <c r="G134" s="206">
        <v>40.779716000000001</v>
      </c>
      <c r="H134" s="206" t="s">
        <v>771</v>
      </c>
      <c r="I134" s="206">
        <v>0.62</v>
      </c>
      <c r="J134" s="206"/>
      <c r="K134" s="206">
        <v>3</v>
      </c>
      <c r="L134" s="206" t="s">
        <v>454</v>
      </c>
      <c r="M134" s="206" t="s">
        <v>791</v>
      </c>
      <c r="N134" s="206" t="s">
        <v>773</v>
      </c>
      <c r="O134" s="206" t="s">
        <v>800</v>
      </c>
    </row>
    <row r="135" spans="3:15" x14ac:dyDescent="0.25">
      <c r="C135" s="206" t="s">
        <v>919</v>
      </c>
      <c r="D135" s="206">
        <v>25</v>
      </c>
      <c r="E135" s="206">
        <v>2177.5061015773249</v>
      </c>
      <c r="F135" s="206">
        <v>31.607328414916999</v>
      </c>
      <c r="G135" s="206">
        <v>17.394299</v>
      </c>
      <c r="H135" s="206" t="s">
        <v>771</v>
      </c>
      <c r="I135" s="206">
        <v>1</v>
      </c>
      <c r="J135" s="206" t="s">
        <v>795</v>
      </c>
      <c r="K135" s="206"/>
      <c r="L135" s="206"/>
      <c r="M135" s="206"/>
      <c r="N135" s="206"/>
      <c r="O135" s="206"/>
    </row>
    <row r="136" spans="3:15" x14ac:dyDescent="0.25">
      <c r="C136" s="206" t="s">
        <v>920</v>
      </c>
      <c r="D136" s="206">
        <v>80</v>
      </c>
      <c r="E136" s="206">
        <v>1704.4360031922918</v>
      </c>
      <c r="F136" s="206">
        <v>617.18597412109398</v>
      </c>
      <c r="G136" s="206">
        <v>7.1017283999999998</v>
      </c>
      <c r="H136" s="206" t="s">
        <v>771</v>
      </c>
      <c r="I136" s="206">
        <v>0.7294998052048729</v>
      </c>
      <c r="J136" s="206"/>
      <c r="K136" s="206">
        <v>3</v>
      </c>
      <c r="L136" s="206" t="s">
        <v>454</v>
      </c>
      <c r="M136" s="206" t="s">
        <v>772</v>
      </c>
      <c r="N136" s="206" t="s">
        <v>773</v>
      </c>
      <c r="O136" s="206" t="s">
        <v>774</v>
      </c>
    </row>
    <row r="137" spans="3:15" x14ac:dyDescent="0.25">
      <c r="C137" s="206" t="s">
        <v>921</v>
      </c>
      <c r="D137" s="206">
        <v>50</v>
      </c>
      <c r="E137" s="206">
        <v>1136.9147573061796</v>
      </c>
      <c r="F137" s="206">
        <v>148.388475348707</v>
      </c>
      <c r="G137" s="206">
        <v>6.1262699999999999</v>
      </c>
      <c r="H137" s="206" t="s">
        <v>771</v>
      </c>
      <c r="I137" s="206">
        <v>0.65</v>
      </c>
      <c r="J137" s="206"/>
      <c r="K137" s="206">
        <v>3</v>
      </c>
      <c r="L137" s="206" t="s">
        <v>454</v>
      </c>
      <c r="M137" s="206" t="s">
        <v>772</v>
      </c>
      <c r="N137" s="206" t="s">
        <v>773</v>
      </c>
      <c r="O137" s="206" t="s">
        <v>774</v>
      </c>
    </row>
    <row r="138" spans="3:15" x14ac:dyDescent="0.25">
      <c r="C138" s="206" t="s">
        <v>922</v>
      </c>
      <c r="D138" s="206">
        <v>25</v>
      </c>
      <c r="E138" s="206">
        <v>165.26248083228728</v>
      </c>
      <c r="F138" s="206">
        <v>40.315670013427699</v>
      </c>
      <c r="G138" s="206">
        <v>1.2240678</v>
      </c>
      <c r="H138" s="206" t="s">
        <v>771</v>
      </c>
      <c r="I138" s="206">
        <v>1</v>
      </c>
      <c r="J138" s="206"/>
      <c r="K138" s="206">
        <v>3</v>
      </c>
      <c r="L138" s="206" t="s">
        <v>454</v>
      </c>
      <c r="M138" s="206" t="s">
        <v>413</v>
      </c>
      <c r="N138" s="206" t="s">
        <v>776</v>
      </c>
      <c r="O138" s="206" t="s">
        <v>776</v>
      </c>
    </row>
    <row r="139" spans="3:15" x14ac:dyDescent="0.25">
      <c r="C139" s="206" t="s">
        <v>923</v>
      </c>
      <c r="D139" s="206">
        <v>250</v>
      </c>
      <c r="E139" s="206">
        <v>33674.568126175669</v>
      </c>
      <c r="F139" s="206">
        <v>13063.695060596299</v>
      </c>
      <c r="G139" s="206">
        <v>92.973690000000005</v>
      </c>
      <c r="H139" s="206" t="s">
        <v>771</v>
      </c>
      <c r="I139" s="206">
        <v>0.63</v>
      </c>
      <c r="J139" s="206"/>
      <c r="K139" s="206">
        <v>3</v>
      </c>
      <c r="L139" s="206" t="s">
        <v>454</v>
      </c>
      <c r="M139" s="206" t="s">
        <v>791</v>
      </c>
      <c r="N139" s="206" t="s">
        <v>773</v>
      </c>
      <c r="O139" s="206" t="s">
        <v>800</v>
      </c>
    </row>
    <row r="140" spans="3:15" x14ac:dyDescent="0.25">
      <c r="C140" s="206" t="s">
        <v>924</v>
      </c>
      <c r="D140" s="206">
        <v>80</v>
      </c>
      <c r="E140" s="206">
        <v>1441.1003137670186</v>
      </c>
      <c r="F140" s="206">
        <v>617.18597412109398</v>
      </c>
      <c r="G140" s="206">
        <v>6.0045099999999998</v>
      </c>
      <c r="H140" s="206" t="s">
        <v>771</v>
      </c>
      <c r="I140" s="206">
        <v>0.7294998052048729</v>
      </c>
      <c r="J140" s="206"/>
      <c r="K140" s="206">
        <v>3</v>
      </c>
      <c r="L140" s="206" t="s">
        <v>454</v>
      </c>
      <c r="M140" s="206" t="s">
        <v>791</v>
      </c>
      <c r="N140" s="206" t="s">
        <v>773</v>
      </c>
      <c r="O140" s="206" t="s">
        <v>800</v>
      </c>
    </row>
    <row r="141" spans="3:15" x14ac:dyDescent="0.25">
      <c r="C141" s="206" t="s">
        <v>925</v>
      </c>
      <c r="D141" s="206">
        <v>80</v>
      </c>
      <c r="E141" s="206">
        <v>734.5698607735203</v>
      </c>
      <c r="F141" s="206">
        <v>706.65309072907598</v>
      </c>
      <c r="G141" s="206">
        <v>3.2349386</v>
      </c>
      <c r="H141" s="206" t="s">
        <v>771</v>
      </c>
      <c r="I141" s="206">
        <v>1</v>
      </c>
      <c r="J141" s="206"/>
      <c r="K141" s="206">
        <v>3</v>
      </c>
      <c r="L141" s="206" t="s">
        <v>454</v>
      </c>
      <c r="M141" s="206" t="s">
        <v>413</v>
      </c>
      <c r="N141" s="206" t="s">
        <v>784</v>
      </c>
      <c r="O141" s="206" t="s">
        <v>774</v>
      </c>
    </row>
    <row r="142" spans="3:15" x14ac:dyDescent="0.25">
      <c r="C142" s="206" t="s">
        <v>926</v>
      </c>
      <c r="D142" s="206">
        <v>400</v>
      </c>
      <c r="E142" s="206">
        <v>4760.5802637326369</v>
      </c>
      <c r="F142" s="206">
        <v>26893.983908885599</v>
      </c>
      <c r="G142" s="206">
        <v>12.195145999999999</v>
      </c>
      <c r="H142" s="206" t="s">
        <v>771</v>
      </c>
      <c r="I142" s="206">
        <v>0.62</v>
      </c>
      <c r="J142" s="206"/>
      <c r="K142" s="206">
        <v>3</v>
      </c>
      <c r="L142" s="206" t="s">
        <v>454</v>
      </c>
      <c r="M142" s="206" t="s">
        <v>791</v>
      </c>
      <c r="N142" s="206" t="s">
        <v>773</v>
      </c>
      <c r="O142" s="206" t="s">
        <v>800</v>
      </c>
    </row>
    <row r="143" spans="3:15" x14ac:dyDescent="0.25">
      <c r="C143" s="206" t="s">
        <v>927</v>
      </c>
      <c r="D143" s="206">
        <v>200</v>
      </c>
      <c r="E143" s="206">
        <v>13329.821290274576</v>
      </c>
      <c r="F143" s="206">
        <v>5175.2299023437699</v>
      </c>
      <c r="G143" s="206">
        <v>41.190384000000002</v>
      </c>
      <c r="H143" s="206" t="s">
        <v>771</v>
      </c>
      <c r="I143" s="206">
        <v>0.64</v>
      </c>
      <c r="J143" s="206"/>
      <c r="K143" s="206">
        <v>3</v>
      </c>
      <c r="L143" s="206" t="s">
        <v>454</v>
      </c>
      <c r="M143" s="206" t="s">
        <v>782</v>
      </c>
      <c r="N143" s="206" t="s">
        <v>776</v>
      </c>
      <c r="O143" s="206" t="s">
        <v>776</v>
      </c>
    </row>
    <row r="144" spans="3:15" x14ac:dyDescent="0.25">
      <c r="C144" s="206" t="s">
        <v>928</v>
      </c>
      <c r="D144" s="206">
        <v>80</v>
      </c>
      <c r="E144" s="206">
        <v>1721.7168890817159</v>
      </c>
      <c r="F144" s="206">
        <v>562.93208777304994</v>
      </c>
      <c r="G144" s="206">
        <v>7.2712060000000003</v>
      </c>
      <c r="H144" s="206" t="s">
        <v>771</v>
      </c>
      <c r="I144" s="206">
        <v>0.65</v>
      </c>
      <c r="J144" s="206"/>
      <c r="K144" s="206">
        <v>3</v>
      </c>
      <c r="L144" s="206" t="s">
        <v>454</v>
      </c>
      <c r="M144" s="206" t="s">
        <v>413</v>
      </c>
      <c r="N144" s="206" t="s">
        <v>773</v>
      </c>
      <c r="O144" s="206" t="s">
        <v>774</v>
      </c>
    </row>
    <row r="145" spans="3:15" x14ac:dyDescent="0.25">
      <c r="C145" s="206" t="s">
        <v>929</v>
      </c>
      <c r="D145" s="206">
        <v>25</v>
      </c>
      <c r="E145" s="206">
        <v>1118.4543883039919</v>
      </c>
      <c r="F145" s="206">
        <v>31.4380187988281</v>
      </c>
      <c r="G145" s="206">
        <v>8.9480640000000005</v>
      </c>
      <c r="H145" s="206" t="s">
        <v>771</v>
      </c>
      <c r="I145" s="206">
        <v>0.81000000000030525</v>
      </c>
      <c r="J145" s="206"/>
      <c r="K145" s="206">
        <v>3</v>
      </c>
      <c r="L145" s="206" t="s">
        <v>454</v>
      </c>
      <c r="M145" s="206" t="s">
        <v>791</v>
      </c>
      <c r="N145" s="206" t="s">
        <v>773</v>
      </c>
      <c r="O145" s="206" t="s">
        <v>800</v>
      </c>
    </row>
    <row r="146" spans="3:15" x14ac:dyDescent="0.25">
      <c r="C146" s="206" t="s">
        <v>930</v>
      </c>
      <c r="D146" s="206">
        <v>125</v>
      </c>
      <c r="E146" s="206">
        <v>5747.8537321646309</v>
      </c>
      <c r="F146" s="206">
        <v>1663.85827636719</v>
      </c>
      <c r="G146" s="206">
        <v>20.562971000000001</v>
      </c>
      <c r="H146" s="206" t="s">
        <v>771</v>
      </c>
      <c r="I146" s="206">
        <v>0.81000000000000172</v>
      </c>
      <c r="J146" s="206"/>
      <c r="K146" s="206">
        <v>3</v>
      </c>
      <c r="L146" s="206" t="s">
        <v>454</v>
      </c>
      <c r="M146" s="206" t="s">
        <v>782</v>
      </c>
      <c r="N146" s="206" t="s">
        <v>776</v>
      </c>
      <c r="O146" s="206" t="s">
        <v>776</v>
      </c>
    </row>
    <row r="147" spans="3:15" x14ac:dyDescent="0.25">
      <c r="C147" s="206" t="s">
        <v>931</v>
      </c>
      <c r="D147" s="206">
        <v>50</v>
      </c>
      <c r="E147" s="206">
        <v>516.66966779170514</v>
      </c>
      <c r="F147" s="206">
        <v>148.388475348707</v>
      </c>
      <c r="G147" s="206">
        <v>2.7840767</v>
      </c>
      <c r="H147" s="206" t="s">
        <v>771</v>
      </c>
      <c r="I147" s="206">
        <v>0.65</v>
      </c>
      <c r="J147" s="206"/>
      <c r="K147" s="206">
        <v>3</v>
      </c>
      <c r="L147" s="206" t="s">
        <v>454</v>
      </c>
      <c r="M147" s="206" t="s">
        <v>413</v>
      </c>
      <c r="N147" s="206" t="s">
        <v>932</v>
      </c>
      <c r="O147" s="206" t="s">
        <v>788</v>
      </c>
    </row>
    <row r="148" spans="3:15" x14ac:dyDescent="0.25">
      <c r="C148" s="206" t="s">
        <v>933</v>
      </c>
      <c r="D148" s="206">
        <v>20</v>
      </c>
      <c r="E148" s="206">
        <v>682.87305797834938</v>
      </c>
      <c r="F148" s="206">
        <v>1</v>
      </c>
      <c r="G148" s="206">
        <v>5.8325104999999997</v>
      </c>
      <c r="H148" s="206" t="s">
        <v>771</v>
      </c>
      <c r="I148" s="206">
        <v>1</v>
      </c>
      <c r="J148" s="206"/>
      <c r="K148" s="206">
        <v>3</v>
      </c>
      <c r="L148" s="206" t="s">
        <v>454</v>
      </c>
      <c r="M148" s="206" t="s">
        <v>791</v>
      </c>
      <c r="N148" s="206" t="s">
        <v>934</v>
      </c>
      <c r="O148" s="206" t="s">
        <v>800</v>
      </c>
    </row>
    <row r="149" spans="3:15" x14ac:dyDescent="0.25">
      <c r="C149" s="206" t="s">
        <v>935</v>
      </c>
      <c r="D149" s="206">
        <v>65</v>
      </c>
      <c r="E149" s="206">
        <v>1554.171945295785</v>
      </c>
      <c r="F149" s="206">
        <v>303.99337188720699</v>
      </c>
      <c r="G149" s="206">
        <v>7.3307414</v>
      </c>
      <c r="H149" s="206" t="s">
        <v>771</v>
      </c>
      <c r="I149" s="206">
        <v>0.72</v>
      </c>
      <c r="J149" s="206"/>
      <c r="K149" s="206">
        <v>3</v>
      </c>
      <c r="L149" s="206" t="s">
        <v>454</v>
      </c>
      <c r="M149" s="206" t="s">
        <v>413</v>
      </c>
      <c r="N149" s="206" t="s">
        <v>773</v>
      </c>
      <c r="O149" s="206" t="s">
        <v>774</v>
      </c>
    </row>
    <row r="150" spans="3:15" x14ac:dyDescent="0.25">
      <c r="C150" s="206" t="s">
        <v>936</v>
      </c>
      <c r="D150" s="206">
        <v>80</v>
      </c>
      <c r="E150" s="206">
        <v>1154.5504222956868</v>
      </c>
      <c r="F150" s="206">
        <v>562.93208777304994</v>
      </c>
      <c r="G150" s="206">
        <v>4.8759316999999998</v>
      </c>
      <c r="H150" s="206" t="s">
        <v>771</v>
      </c>
      <c r="I150" s="206">
        <v>0.65</v>
      </c>
      <c r="J150" s="206"/>
      <c r="K150" s="206">
        <v>3</v>
      </c>
      <c r="L150" s="206" t="s">
        <v>454</v>
      </c>
      <c r="M150" s="206" t="s">
        <v>772</v>
      </c>
      <c r="N150" s="206" t="s">
        <v>773</v>
      </c>
      <c r="O150" s="206" t="s">
        <v>774</v>
      </c>
    </row>
    <row r="151" spans="3:15" x14ac:dyDescent="0.25">
      <c r="C151" s="206" t="s">
        <v>937</v>
      </c>
      <c r="D151" s="206">
        <v>125</v>
      </c>
      <c r="E151" s="206">
        <v>8624.0186109789865</v>
      </c>
      <c r="F151" s="206">
        <v>1663.85827636719</v>
      </c>
      <c r="G151" s="206">
        <v>30.852463</v>
      </c>
      <c r="H151" s="206" t="s">
        <v>771</v>
      </c>
      <c r="I151" s="206">
        <v>0.81000000000000172</v>
      </c>
      <c r="J151" s="206"/>
      <c r="K151" s="206">
        <v>3</v>
      </c>
      <c r="L151" s="206" t="s">
        <v>454</v>
      </c>
      <c r="M151" s="206" t="s">
        <v>791</v>
      </c>
      <c r="N151" s="206" t="s">
        <v>773</v>
      </c>
      <c r="O151" s="206" t="s">
        <v>800</v>
      </c>
    </row>
    <row r="152" spans="3:15" x14ac:dyDescent="0.25">
      <c r="C152" s="206" t="s">
        <v>938</v>
      </c>
      <c r="D152" s="206">
        <v>250</v>
      </c>
      <c r="E152" s="206">
        <v>3305.4075720398573</v>
      </c>
      <c r="F152" s="206">
        <v>13386.7484804549</v>
      </c>
      <c r="G152" s="206">
        <v>9.0975459999999995</v>
      </c>
      <c r="H152" s="206" t="s">
        <v>771</v>
      </c>
      <c r="I152" s="206">
        <v>0.63</v>
      </c>
      <c r="J152" s="206"/>
      <c r="K152" s="206">
        <v>3</v>
      </c>
      <c r="L152" s="206" t="s">
        <v>454</v>
      </c>
      <c r="M152" s="206" t="s">
        <v>772</v>
      </c>
      <c r="N152" s="206" t="s">
        <v>773</v>
      </c>
      <c r="O152" s="206" t="s">
        <v>774</v>
      </c>
    </row>
    <row r="153" spans="3:15" x14ac:dyDescent="0.25">
      <c r="C153" s="206" t="s">
        <v>939</v>
      </c>
      <c r="D153" s="206">
        <v>20</v>
      </c>
      <c r="E153" s="206">
        <v>1194.7787774018559</v>
      </c>
      <c r="F153" s="206">
        <v>1</v>
      </c>
      <c r="G153" s="206">
        <v>10.204765999999999</v>
      </c>
      <c r="H153" s="206" t="s">
        <v>771</v>
      </c>
      <c r="I153" s="206">
        <v>1</v>
      </c>
      <c r="J153" s="206"/>
      <c r="K153" s="206">
        <v>3</v>
      </c>
      <c r="L153" s="206" t="s">
        <v>454</v>
      </c>
      <c r="M153" s="206" t="s">
        <v>782</v>
      </c>
      <c r="N153" s="206" t="s">
        <v>773</v>
      </c>
      <c r="O153" s="206" t="s">
        <v>805</v>
      </c>
    </row>
    <row r="154" spans="3:15" x14ac:dyDescent="0.25">
      <c r="C154" s="206" t="s">
        <v>940</v>
      </c>
      <c r="D154" s="206">
        <v>300</v>
      </c>
      <c r="E154" s="206">
        <v>4963.9445074856785</v>
      </c>
      <c r="F154" s="206">
        <v>14313.356977737199</v>
      </c>
      <c r="G154" s="206">
        <v>13.537687999999999</v>
      </c>
      <c r="H154" s="206" t="s">
        <v>771</v>
      </c>
      <c r="I154" s="206">
        <v>0.63217717375457105</v>
      </c>
      <c r="J154" s="206"/>
      <c r="K154" s="206">
        <v>3</v>
      </c>
      <c r="L154" s="206" t="s">
        <v>454</v>
      </c>
      <c r="M154" s="206" t="s">
        <v>772</v>
      </c>
      <c r="N154" s="208" t="s">
        <v>932</v>
      </c>
      <c r="O154" s="208" t="s">
        <v>774</v>
      </c>
    </row>
    <row r="155" spans="3:15" x14ac:dyDescent="0.25">
      <c r="C155" s="206" t="s">
        <v>941</v>
      </c>
      <c r="D155" s="206">
        <v>80</v>
      </c>
      <c r="E155" s="206">
        <v>4360.556806072479</v>
      </c>
      <c r="F155" s="206">
        <v>723.92397888488199</v>
      </c>
      <c r="G155" s="206">
        <v>19.212194</v>
      </c>
      <c r="H155" s="206" t="s">
        <v>771</v>
      </c>
      <c r="I155" s="206">
        <v>1</v>
      </c>
      <c r="J155" s="206"/>
      <c r="K155" s="206">
        <v>3</v>
      </c>
      <c r="L155" s="206" t="s">
        <v>454</v>
      </c>
      <c r="M155" s="206" t="s">
        <v>791</v>
      </c>
      <c r="N155" s="222" t="s">
        <v>934</v>
      </c>
      <c r="O155" s="222" t="s">
        <v>792</v>
      </c>
    </row>
    <row r="156" spans="3:15" x14ac:dyDescent="0.25">
      <c r="C156" s="206" t="s">
        <v>942</v>
      </c>
      <c r="D156" s="206">
        <v>400</v>
      </c>
      <c r="E156" s="206">
        <v>3327.1555765106446</v>
      </c>
      <c r="F156" s="206">
        <v>27339.509060267901</v>
      </c>
      <c r="G156" s="206">
        <v>8.5108979999999992</v>
      </c>
      <c r="H156" s="206" t="s">
        <v>771</v>
      </c>
      <c r="I156" s="206">
        <v>0.62</v>
      </c>
      <c r="J156" s="206"/>
      <c r="K156" s="206">
        <v>3</v>
      </c>
      <c r="L156" s="206" t="s">
        <v>454</v>
      </c>
      <c r="M156" s="206" t="s">
        <v>782</v>
      </c>
      <c r="N156" s="206" t="s">
        <v>776</v>
      </c>
      <c r="O156" s="206" t="s">
        <v>776</v>
      </c>
    </row>
    <row r="157" spans="3:15" x14ac:dyDescent="0.25">
      <c r="C157" s="206" t="s">
        <v>943</v>
      </c>
      <c r="D157" s="206">
        <v>125</v>
      </c>
      <c r="E157" s="206">
        <v>21664.884409343646</v>
      </c>
      <c r="F157" s="206">
        <v>1523.9643803030599</v>
      </c>
      <c r="G157" s="206">
        <v>78.297269999999997</v>
      </c>
      <c r="H157" s="206" t="s">
        <v>771</v>
      </c>
      <c r="I157" s="206">
        <v>0.80663529349950736</v>
      </c>
      <c r="J157" s="206"/>
      <c r="K157" s="206">
        <v>3</v>
      </c>
      <c r="L157" s="206" t="s">
        <v>454</v>
      </c>
      <c r="M157" s="206" t="s">
        <v>413</v>
      </c>
      <c r="N157" s="206" t="s">
        <v>776</v>
      </c>
      <c r="O157" s="206" t="s">
        <v>776</v>
      </c>
    </row>
    <row r="158" spans="3:15" x14ac:dyDescent="0.25">
      <c r="C158" s="206" t="s">
        <v>944</v>
      </c>
      <c r="D158" s="206">
        <v>80</v>
      </c>
      <c r="E158" s="206">
        <v>1234.5381850732717</v>
      </c>
      <c r="F158" s="206">
        <v>562.93208777304994</v>
      </c>
      <c r="G158" s="206">
        <v>5.2137384000000004</v>
      </c>
      <c r="H158" s="206" t="s">
        <v>771</v>
      </c>
      <c r="I158" s="206">
        <v>0.65</v>
      </c>
      <c r="J158" s="206"/>
      <c r="K158" s="206">
        <v>3</v>
      </c>
      <c r="L158" s="206" t="s">
        <v>454</v>
      </c>
      <c r="M158" s="206" t="s">
        <v>772</v>
      </c>
      <c r="N158" s="206" t="s">
        <v>773</v>
      </c>
      <c r="O158" s="206" t="s">
        <v>774</v>
      </c>
    </row>
    <row r="159" spans="3:15" x14ac:dyDescent="0.25">
      <c r="C159" s="206" t="s">
        <v>945</v>
      </c>
      <c r="D159" s="206">
        <v>300</v>
      </c>
      <c r="E159" s="206">
        <v>36341.683878048192</v>
      </c>
      <c r="F159" s="206">
        <v>14313.356977737199</v>
      </c>
      <c r="G159" s="206">
        <v>99.111176</v>
      </c>
      <c r="H159" s="206" t="s">
        <v>771</v>
      </c>
      <c r="I159" s="206">
        <v>0.63217717375457105</v>
      </c>
      <c r="J159" s="206"/>
      <c r="K159" s="206">
        <v>3</v>
      </c>
      <c r="L159" s="206" t="s">
        <v>454</v>
      </c>
      <c r="M159" s="206" t="s">
        <v>772</v>
      </c>
      <c r="N159" s="206" t="s">
        <v>831</v>
      </c>
      <c r="O159" s="206" t="s">
        <v>785</v>
      </c>
    </row>
    <row r="160" spans="3:15" x14ac:dyDescent="0.25">
      <c r="C160" s="206" t="s">
        <v>946</v>
      </c>
      <c r="D160" s="206">
        <v>65</v>
      </c>
      <c r="E160" s="206">
        <v>879.06045670746244</v>
      </c>
      <c r="F160" s="206">
        <v>366.340331913667</v>
      </c>
      <c r="G160" s="206">
        <v>4.1040254000000003</v>
      </c>
      <c r="H160" s="206" t="s">
        <v>771</v>
      </c>
      <c r="I160" s="206">
        <v>0.74826912236183685</v>
      </c>
      <c r="J160" s="206"/>
      <c r="K160" s="206">
        <v>3</v>
      </c>
      <c r="L160" s="206" t="s">
        <v>454</v>
      </c>
      <c r="M160" s="206" t="s">
        <v>772</v>
      </c>
      <c r="N160" s="206" t="s">
        <v>773</v>
      </c>
      <c r="O160" s="206" t="s">
        <v>774</v>
      </c>
    </row>
    <row r="161" spans="3:15" x14ac:dyDescent="0.25">
      <c r="C161" s="206" t="s">
        <v>947</v>
      </c>
      <c r="D161" s="206">
        <v>40</v>
      </c>
      <c r="E161" s="206">
        <v>770.02784863763236</v>
      </c>
      <c r="F161" s="206">
        <v>100.29582977294901</v>
      </c>
      <c r="G161" s="206">
        <v>4.5502323999999996</v>
      </c>
      <c r="H161" s="206" t="s">
        <v>771</v>
      </c>
      <c r="I161" s="206">
        <v>1</v>
      </c>
      <c r="J161" s="206"/>
      <c r="K161" s="206">
        <v>3</v>
      </c>
      <c r="L161" s="206" t="s">
        <v>454</v>
      </c>
      <c r="M161" s="206" t="s">
        <v>791</v>
      </c>
      <c r="N161" s="206" t="s">
        <v>773</v>
      </c>
      <c r="O161" s="206" t="s">
        <v>792</v>
      </c>
    </row>
    <row r="162" spans="3:15" x14ac:dyDescent="0.25">
      <c r="C162" s="206" t="s">
        <v>948</v>
      </c>
      <c r="D162" s="206">
        <v>100</v>
      </c>
      <c r="E162" s="206">
        <v>1448.5253209319483</v>
      </c>
      <c r="F162" s="206">
        <v>962.60109389794502</v>
      </c>
      <c r="G162" s="206">
        <v>5.6194477000000003</v>
      </c>
      <c r="H162" s="206" t="s">
        <v>771</v>
      </c>
      <c r="I162" s="206">
        <v>0.64</v>
      </c>
      <c r="J162" s="206"/>
      <c r="K162" s="206">
        <v>3</v>
      </c>
      <c r="L162" s="206" t="s">
        <v>454</v>
      </c>
      <c r="M162" s="206" t="s">
        <v>413</v>
      </c>
      <c r="N162" s="206" t="s">
        <v>773</v>
      </c>
      <c r="O162" s="206" t="s">
        <v>800</v>
      </c>
    </row>
    <row r="163" spans="3:15" x14ac:dyDescent="0.25">
      <c r="C163" s="206" t="s">
        <v>949</v>
      </c>
      <c r="D163" s="206">
        <v>80</v>
      </c>
      <c r="E163" s="206">
        <v>228.58989935099692</v>
      </c>
      <c r="F163" s="206">
        <v>610.56615022576898</v>
      </c>
      <c r="G163" s="206">
        <v>0.96299319999999999</v>
      </c>
      <c r="H163" s="206" t="s">
        <v>771</v>
      </c>
      <c r="I163" s="206">
        <v>0.67</v>
      </c>
      <c r="J163" s="206"/>
      <c r="K163" s="206">
        <v>3</v>
      </c>
      <c r="L163" s="206" t="s">
        <v>454</v>
      </c>
      <c r="M163" s="206" t="s">
        <v>772</v>
      </c>
      <c r="N163" s="206" t="s">
        <v>773</v>
      </c>
      <c r="O163" s="206" t="s">
        <v>774</v>
      </c>
    </row>
    <row r="164" spans="3:15" x14ac:dyDescent="0.25">
      <c r="C164" s="208" t="s">
        <v>950</v>
      </c>
      <c r="D164" s="208">
        <v>300</v>
      </c>
      <c r="E164" s="208">
        <v>18284.039202603733</v>
      </c>
      <c r="F164" s="208">
        <v>14313.356977737199</v>
      </c>
      <c r="G164" s="208">
        <v>49.8643</v>
      </c>
      <c r="H164" s="208" t="s">
        <v>771</v>
      </c>
      <c r="I164" s="208">
        <v>0.63217717375457105</v>
      </c>
      <c r="J164" s="208"/>
      <c r="K164" s="208">
        <v>3</v>
      </c>
      <c r="L164" s="208" t="s">
        <v>454</v>
      </c>
      <c r="M164" s="208" t="s">
        <v>772</v>
      </c>
      <c r="N164" s="208" t="s">
        <v>773</v>
      </c>
      <c r="O164" s="208" t="s">
        <v>774</v>
      </c>
    </row>
    <row r="165" spans="3:15" x14ac:dyDescent="0.25">
      <c r="C165" s="206" t="s">
        <v>951</v>
      </c>
      <c r="D165" s="206">
        <v>150</v>
      </c>
      <c r="E165" s="206">
        <v>1839.1372022793907</v>
      </c>
      <c r="F165" s="206">
        <v>3727.9958740168299</v>
      </c>
      <c r="G165" s="206">
        <v>5.8948140000000002</v>
      </c>
      <c r="H165" s="206" t="s">
        <v>771</v>
      </c>
      <c r="I165" s="206">
        <v>0.64</v>
      </c>
      <c r="J165" s="206"/>
      <c r="K165" s="206">
        <v>3</v>
      </c>
      <c r="L165" s="206" t="s">
        <v>454</v>
      </c>
      <c r="M165" s="206" t="s">
        <v>791</v>
      </c>
      <c r="N165" s="206" t="s">
        <v>773</v>
      </c>
      <c r="O165" s="206" t="s">
        <v>800</v>
      </c>
    </row>
    <row r="166" spans="3:15" x14ac:dyDescent="0.25">
      <c r="C166" s="206" t="s">
        <v>952</v>
      </c>
      <c r="D166" s="206">
        <v>80</v>
      </c>
      <c r="E166" s="206">
        <v>10875.907350658459</v>
      </c>
      <c r="F166" s="206">
        <v>520.43126301543498</v>
      </c>
      <c r="G166" s="206">
        <v>46.425620000000002</v>
      </c>
      <c r="H166" s="206" t="s">
        <v>771</v>
      </c>
      <c r="I166" s="206">
        <v>0.64</v>
      </c>
      <c r="J166" s="206"/>
      <c r="K166" s="206">
        <v>3</v>
      </c>
      <c r="L166" s="206" t="s">
        <v>454</v>
      </c>
      <c r="M166" s="206" t="s">
        <v>772</v>
      </c>
      <c r="N166" s="206" t="s">
        <v>773</v>
      </c>
      <c r="O166" s="206" t="s">
        <v>774</v>
      </c>
    </row>
    <row r="167" spans="3:15" x14ac:dyDescent="0.25">
      <c r="C167" s="206" t="s">
        <v>953</v>
      </c>
      <c r="D167" s="206">
        <v>20</v>
      </c>
      <c r="E167" s="206">
        <v>625.81155037079213</v>
      </c>
      <c r="F167" s="206">
        <v>2.5387595042702702</v>
      </c>
      <c r="G167" s="206">
        <v>5.3451405000000003</v>
      </c>
      <c r="H167" s="206" t="s">
        <v>771</v>
      </c>
      <c r="I167" s="206">
        <v>1</v>
      </c>
      <c r="J167" s="206"/>
      <c r="K167" s="206">
        <v>3</v>
      </c>
      <c r="L167" s="206" t="s">
        <v>454</v>
      </c>
      <c r="M167" s="206" t="s">
        <v>782</v>
      </c>
      <c r="N167" s="206" t="s">
        <v>776</v>
      </c>
      <c r="O167" s="206" t="s">
        <v>776</v>
      </c>
    </row>
    <row r="168" spans="3:15" x14ac:dyDescent="0.25">
      <c r="C168" s="206" t="s">
        <v>954</v>
      </c>
      <c r="D168" s="206">
        <v>400</v>
      </c>
      <c r="E168" s="206">
        <v>965.08128524555184</v>
      </c>
      <c r="F168" s="206">
        <v>27339.509060267901</v>
      </c>
      <c r="G168" s="206">
        <v>2.4686878000000001</v>
      </c>
      <c r="H168" s="206" t="s">
        <v>771</v>
      </c>
      <c r="I168" s="206">
        <v>0.62</v>
      </c>
      <c r="J168" s="206"/>
      <c r="K168" s="206">
        <v>3</v>
      </c>
      <c r="L168" s="206" t="s">
        <v>454</v>
      </c>
      <c r="M168" s="206" t="s">
        <v>782</v>
      </c>
      <c r="N168" s="206" t="s">
        <v>776</v>
      </c>
      <c r="O168" s="206" t="s">
        <v>776</v>
      </c>
    </row>
    <row r="169" spans="3:15" x14ac:dyDescent="0.25">
      <c r="C169" s="206" t="s">
        <v>955</v>
      </c>
      <c r="D169" s="206">
        <v>80</v>
      </c>
      <c r="E169" s="206">
        <v>4270.2209214836239</v>
      </c>
      <c r="F169" s="206">
        <v>617.18597412109398</v>
      </c>
      <c r="G169" s="206">
        <v>17.792366000000001</v>
      </c>
      <c r="H169" s="206" t="s">
        <v>771</v>
      </c>
      <c r="I169" s="206">
        <v>0.7294998052048729</v>
      </c>
      <c r="J169" s="206"/>
      <c r="K169" s="206">
        <v>3</v>
      </c>
      <c r="L169" s="206" t="s">
        <v>454</v>
      </c>
      <c r="M169" s="206" t="s">
        <v>772</v>
      </c>
      <c r="N169" s="206" t="s">
        <v>773</v>
      </c>
      <c r="O169" s="206" t="s">
        <v>774</v>
      </c>
    </row>
    <row r="170" spans="3:15" x14ac:dyDescent="0.25">
      <c r="C170" s="206" t="s">
        <v>956</v>
      </c>
      <c r="D170" s="206">
        <v>80</v>
      </c>
      <c r="E170" s="206">
        <v>5712.5445304569575</v>
      </c>
      <c r="F170" s="206">
        <v>617.18597412109398</v>
      </c>
      <c r="G170" s="206">
        <v>23.801973</v>
      </c>
      <c r="H170" s="206" t="s">
        <v>771</v>
      </c>
      <c r="I170" s="206">
        <v>0.7294998052048729</v>
      </c>
      <c r="J170" s="206"/>
      <c r="K170" s="206">
        <v>3</v>
      </c>
      <c r="L170" s="206" t="s">
        <v>454</v>
      </c>
      <c r="M170" s="206" t="s">
        <v>772</v>
      </c>
      <c r="N170" s="206" t="s">
        <v>773</v>
      </c>
      <c r="O170" s="206" t="s">
        <v>774</v>
      </c>
    </row>
    <row r="171" spans="3:15" x14ac:dyDescent="0.25">
      <c r="C171" s="206" t="s">
        <v>957</v>
      </c>
      <c r="D171" s="206">
        <v>25</v>
      </c>
      <c r="E171" s="206">
        <v>216.0201901566941</v>
      </c>
      <c r="F171" s="206">
        <v>30.427696228027301</v>
      </c>
      <c r="G171" s="206">
        <v>1.7441514</v>
      </c>
      <c r="H171" s="206" t="s">
        <v>771</v>
      </c>
      <c r="I171" s="206">
        <v>1</v>
      </c>
      <c r="J171" s="206"/>
      <c r="K171" s="206">
        <v>3</v>
      </c>
      <c r="L171" s="206" t="s">
        <v>454</v>
      </c>
      <c r="M171" s="206" t="s">
        <v>772</v>
      </c>
      <c r="N171" s="206" t="s">
        <v>773</v>
      </c>
      <c r="O171" s="206" t="s">
        <v>774</v>
      </c>
    </row>
    <row r="172" spans="3:15" x14ac:dyDescent="0.25">
      <c r="C172" s="206" t="s">
        <v>958</v>
      </c>
      <c r="D172" s="206">
        <v>80</v>
      </c>
      <c r="E172" s="206">
        <v>240.09164048738771</v>
      </c>
      <c r="F172" s="206">
        <v>617.18597412109398</v>
      </c>
      <c r="G172" s="206">
        <v>1.0003694000000001</v>
      </c>
      <c r="H172" s="206" t="s">
        <v>771</v>
      </c>
      <c r="I172" s="206">
        <v>0.7294998052048729</v>
      </c>
      <c r="J172" s="206"/>
      <c r="K172" s="206">
        <v>3</v>
      </c>
      <c r="L172" s="206" t="s">
        <v>454</v>
      </c>
      <c r="M172" s="206" t="s">
        <v>772</v>
      </c>
      <c r="N172" s="206" t="s">
        <v>773</v>
      </c>
      <c r="O172" s="206" t="s">
        <v>774</v>
      </c>
    </row>
    <row r="173" spans="3:15" x14ac:dyDescent="0.25">
      <c r="C173" s="206" t="s">
        <v>959</v>
      </c>
      <c r="D173" s="206">
        <v>65</v>
      </c>
      <c r="E173" s="206">
        <v>1001.2637650522865</v>
      </c>
      <c r="F173" s="206">
        <v>319.08547260653</v>
      </c>
      <c r="G173" s="206">
        <v>4.686439</v>
      </c>
      <c r="H173" s="206" t="s">
        <v>771</v>
      </c>
      <c r="I173" s="206">
        <v>0.65</v>
      </c>
      <c r="J173" s="206"/>
      <c r="K173" s="206">
        <v>3</v>
      </c>
      <c r="L173" s="206" t="s">
        <v>454</v>
      </c>
      <c r="M173" s="206" t="s">
        <v>772</v>
      </c>
      <c r="N173" s="206" t="s">
        <v>773</v>
      </c>
      <c r="O173" s="206" t="s">
        <v>774</v>
      </c>
    </row>
    <row r="174" spans="3:15" x14ac:dyDescent="0.25">
      <c r="C174" s="206" t="s">
        <v>960</v>
      </c>
      <c r="D174" s="206">
        <v>50</v>
      </c>
      <c r="E174" s="206">
        <v>2324.9043560348773</v>
      </c>
      <c r="F174" s="206">
        <v>148.388475348707</v>
      </c>
      <c r="G174" s="206">
        <v>12.527756999999999</v>
      </c>
      <c r="H174" s="206" t="s">
        <v>771</v>
      </c>
      <c r="I174" s="206">
        <v>0.65</v>
      </c>
      <c r="J174" s="206"/>
      <c r="K174" s="206">
        <v>3</v>
      </c>
      <c r="L174" s="206" t="s">
        <v>454</v>
      </c>
      <c r="M174" s="206" t="s">
        <v>772</v>
      </c>
      <c r="N174" s="206" t="s">
        <v>773</v>
      </c>
      <c r="O174" s="206" t="s">
        <v>774</v>
      </c>
    </row>
    <row r="175" spans="3:15" x14ac:dyDescent="0.25">
      <c r="C175" s="206" t="s">
        <v>961</v>
      </c>
      <c r="D175" s="206">
        <v>80</v>
      </c>
      <c r="E175" s="206">
        <v>1046.9953693907726</v>
      </c>
      <c r="F175" s="206">
        <v>562.93208777304994</v>
      </c>
      <c r="G175" s="206">
        <v>4.4217019999999998</v>
      </c>
      <c r="H175" s="206" t="s">
        <v>771</v>
      </c>
      <c r="I175" s="206">
        <v>0.65</v>
      </c>
      <c r="J175" s="206"/>
      <c r="K175" s="206">
        <v>3</v>
      </c>
      <c r="L175" s="206" t="s">
        <v>454</v>
      </c>
      <c r="M175" s="206" t="s">
        <v>772</v>
      </c>
      <c r="N175" s="206" t="s">
        <v>773</v>
      </c>
      <c r="O175" s="206" t="s">
        <v>774</v>
      </c>
    </row>
    <row r="176" spans="3:15" x14ac:dyDescent="0.25">
      <c r="C176" s="206" t="s">
        <v>962</v>
      </c>
      <c r="D176" s="206">
        <v>200</v>
      </c>
      <c r="E176" s="206">
        <v>3752.0244397747306</v>
      </c>
      <c r="F176" s="206">
        <v>5825.9935531513001</v>
      </c>
      <c r="G176" s="206">
        <v>11.437236</v>
      </c>
      <c r="H176" s="206" t="s">
        <v>771</v>
      </c>
      <c r="I176" s="206">
        <v>1</v>
      </c>
      <c r="J176" s="206"/>
      <c r="K176" s="206">
        <v>3</v>
      </c>
      <c r="L176" s="206" t="s">
        <v>454</v>
      </c>
      <c r="M176" s="206" t="s">
        <v>791</v>
      </c>
      <c r="N176" s="206" t="s">
        <v>773</v>
      </c>
      <c r="O176" s="206" t="s">
        <v>800</v>
      </c>
    </row>
    <row r="177" spans="3:15" x14ac:dyDescent="0.25">
      <c r="C177" s="206" t="s">
        <v>963</v>
      </c>
      <c r="D177" s="206">
        <v>80</v>
      </c>
      <c r="E177" s="206">
        <v>1263.8704226900036</v>
      </c>
      <c r="F177" s="206">
        <v>617.18597412109398</v>
      </c>
      <c r="G177" s="206">
        <v>5.2660612999999996</v>
      </c>
      <c r="H177" s="206" t="s">
        <v>771</v>
      </c>
      <c r="I177" s="206">
        <v>0.7294998052048729</v>
      </c>
      <c r="J177" s="206"/>
      <c r="K177" s="206">
        <v>3</v>
      </c>
      <c r="L177" s="206" t="s">
        <v>454</v>
      </c>
      <c r="M177" s="206" t="s">
        <v>791</v>
      </c>
      <c r="N177" s="206" t="s">
        <v>773</v>
      </c>
      <c r="O177" s="206" t="s">
        <v>800</v>
      </c>
    </row>
    <row r="178" spans="3:15" x14ac:dyDescent="0.25">
      <c r="C178" s="206" t="s">
        <v>964</v>
      </c>
      <c r="D178" s="206">
        <v>65</v>
      </c>
      <c r="E178" s="206">
        <v>2088.6709738954787</v>
      </c>
      <c r="F178" s="206">
        <v>427.07943087420398</v>
      </c>
      <c r="G178" s="206">
        <v>9.2805459999999993</v>
      </c>
      <c r="H178" s="206" t="s">
        <v>771</v>
      </c>
      <c r="I178" s="206">
        <v>0.65</v>
      </c>
      <c r="J178" s="206"/>
      <c r="K178" s="206">
        <v>3</v>
      </c>
      <c r="L178" s="206" t="s">
        <v>454</v>
      </c>
      <c r="M178" s="206" t="s">
        <v>782</v>
      </c>
      <c r="N178" s="206" t="s">
        <v>773</v>
      </c>
      <c r="O178" s="206" t="s">
        <v>805</v>
      </c>
    </row>
    <row r="179" spans="3:15" x14ac:dyDescent="0.25">
      <c r="C179" s="206" t="s">
        <v>965</v>
      </c>
      <c r="D179" s="206">
        <v>50</v>
      </c>
      <c r="E179" s="206">
        <v>1544.3721701095403</v>
      </c>
      <c r="F179" s="206">
        <v>148.388475348707</v>
      </c>
      <c r="G179" s="206">
        <v>8.3218560000000004</v>
      </c>
      <c r="H179" s="206" t="s">
        <v>771</v>
      </c>
      <c r="I179" s="206">
        <v>0.65</v>
      </c>
      <c r="J179" s="206"/>
      <c r="K179" s="206">
        <v>3</v>
      </c>
      <c r="L179" s="206" t="s">
        <v>454</v>
      </c>
      <c r="M179" s="206" t="s">
        <v>772</v>
      </c>
      <c r="N179" s="206" t="s">
        <v>932</v>
      </c>
      <c r="O179" s="206" t="s">
        <v>788</v>
      </c>
    </row>
    <row r="180" spans="3:15" x14ac:dyDescent="0.25">
      <c r="C180" s="206" t="s">
        <v>966</v>
      </c>
      <c r="D180" s="206">
        <v>20</v>
      </c>
      <c r="E180" s="206">
        <v>1198.8567768954556</v>
      </c>
      <c r="F180" s="206">
        <v>2.91598506120499</v>
      </c>
      <c r="G180" s="206">
        <v>8.0722509999999996</v>
      </c>
      <c r="H180" s="206" t="s">
        <v>771</v>
      </c>
      <c r="I180" s="206">
        <v>1</v>
      </c>
      <c r="J180" s="206"/>
      <c r="K180" s="206">
        <v>3</v>
      </c>
      <c r="L180" s="206" t="s">
        <v>454</v>
      </c>
      <c r="M180" s="206" t="s">
        <v>772</v>
      </c>
      <c r="N180" s="206" t="s">
        <v>773</v>
      </c>
      <c r="O180" s="206" t="s">
        <v>774</v>
      </c>
    </row>
    <row r="181" spans="3:15" x14ac:dyDescent="0.25">
      <c r="C181" s="206" t="s">
        <v>967</v>
      </c>
      <c r="D181" s="206">
        <v>50</v>
      </c>
      <c r="E181" s="206">
        <v>1099.8488869297744</v>
      </c>
      <c r="F181" s="206">
        <v>148.388475348707</v>
      </c>
      <c r="G181" s="206">
        <v>5.9265404000000004</v>
      </c>
      <c r="H181" s="206" t="s">
        <v>771</v>
      </c>
      <c r="I181" s="206">
        <v>0.65</v>
      </c>
      <c r="J181" s="206"/>
      <c r="K181" s="206">
        <v>3</v>
      </c>
      <c r="L181" s="206" t="s">
        <v>454</v>
      </c>
      <c r="M181" s="206" t="s">
        <v>772</v>
      </c>
      <c r="N181" s="206" t="s">
        <v>773</v>
      </c>
      <c r="O181" s="206" t="s">
        <v>774</v>
      </c>
    </row>
    <row r="182" spans="3:15" x14ac:dyDescent="0.25">
      <c r="C182" s="206" t="s">
        <v>968</v>
      </c>
      <c r="D182" s="206">
        <v>80</v>
      </c>
      <c r="E182" s="206">
        <v>329.92017514012451</v>
      </c>
      <c r="F182" s="206">
        <v>679.71806616464198</v>
      </c>
      <c r="G182" s="206">
        <v>1.3537337</v>
      </c>
      <c r="H182" s="206" t="s">
        <v>771</v>
      </c>
      <c r="I182" s="206">
        <v>0.67</v>
      </c>
      <c r="J182" s="206"/>
      <c r="K182" s="206">
        <v>3</v>
      </c>
      <c r="L182" s="206" t="s">
        <v>454</v>
      </c>
      <c r="M182" s="206" t="s">
        <v>791</v>
      </c>
      <c r="N182" s="206" t="s">
        <v>773</v>
      </c>
      <c r="O182" s="206" t="s">
        <v>792</v>
      </c>
    </row>
    <row r="183" spans="3:15" x14ac:dyDescent="0.25">
      <c r="C183" s="206" t="s">
        <v>969</v>
      </c>
      <c r="D183" s="206">
        <v>200</v>
      </c>
      <c r="E183" s="206">
        <v>4757.5009020809348</v>
      </c>
      <c r="F183" s="206">
        <v>5175.2299023437699</v>
      </c>
      <c r="G183" s="206">
        <v>14.701119</v>
      </c>
      <c r="H183" s="206" t="s">
        <v>771</v>
      </c>
      <c r="I183" s="206">
        <v>0.64</v>
      </c>
      <c r="J183" s="206"/>
      <c r="K183" s="206">
        <v>3</v>
      </c>
      <c r="L183" s="206" t="s">
        <v>454</v>
      </c>
      <c r="M183" s="206" t="s">
        <v>772</v>
      </c>
      <c r="N183" s="206" t="s">
        <v>773</v>
      </c>
      <c r="O183" s="206" t="s">
        <v>788</v>
      </c>
    </row>
    <row r="184" spans="3:15" x14ac:dyDescent="0.25">
      <c r="C184" s="206" t="s">
        <v>970</v>
      </c>
      <c r="D184" s="206">
        <v>20</v>
      </c>
      <c r="E184" s="206">
        <v>507.16828074555093</v>
      </c>
      <c r="F184" s="206">
        <v>1</v>
      </c>
      <c r="G184" s="206">
        <v>4.3317924000000003</v>
      </c>
      <c r="H184" s="206" t="s">
        <v>771</v>
      </c>
      <c r="I184" s="206">
        <v>1</v>
      </c>
      <c r="J184" s="206" t="s">
        <v>795</v>
      </c>
      <c r="K184" s="206"/>
      <c r="L184" s="206"/>
      <c r="M184" s="206"/>
      <c r="N184" s="206"/>
      <c r="O184" s="206"/>
    </row>
    <row r="185" spans="3:15" x14ac:dyDescent="0.25">
      <c r="C185" s="206" t="s">
        <v>971</v>
      </c>
      <c r="D185" s="206">
        <v>125</v>
      </c>
      <c r="E185" s="206">
        <v>1660.1373697215681</v>
      </c>
      <c r="F185" s="206">
        <v>1523.083984375</v>
      </c>
      <c r="G185" s="206">
        <v>5.9997654000000002</v>
      </c>
      <c r="H185" s="206" t="s">
        <v>771</v>
      </c>
      <c r="I185" s="206">
        <v>0.80547730167345055</v>
      </c>
      <c r="J185" s="206"/>
      <c r="K185" s="206">
        <v>3</v>
      </c>
      <c r="L185" s="206" t="s">
        <v>454</v>
      </c>
      <c r="M185" s="206" t="s">
        <v>772</v>
      </c>
      <c r="N185" s="206" t="s">
        <v>773</v>
      </c>
      <c r="O185" s="206" t="s">
        <v>788</v>
      </c>
    </row>
    <row r="186" spans="3:15" x14ac:dyDescent="0.25">
      <c r="C186" s="206" t="s">
        <v>972</v>
      </c>
      <c r="D186" s="206">
        <v>450</v>
      </c>
      <c r="E186" s="206">
        <v>3836.7245752259764</v>
      </c>
      <c r="F186" s="206">
        <v>45527.2734375</v>
      </c>
      <c r="G186" s="206">
        <v>9.2796959999999995</v>
      </c>
      <c r="H186" s="206" t="s">
        <v>771</v>
      </c>
      <c r="I186" s="206">
        <v>0.62</v>
      </c>
      <c r="J186" s="206" t="s">
        <v>795</v>
      </c>
      <c r="K186" s="206"/>
      <c r="L186" s="206"/>
      <c r="M186" s="206"/>
      <c r="N186" s="206"/>
      <c r="O186" s="206"/>
    </row>
    <row r="187" spans="3:15" x14ac:dyDescent="0.25">
      <c r="C187" s="206" t="s">
        <v>973</v>
      </c>
      <c r="D187" s="206">
        <v>25</v>
      </c>
      <c r="E187" s="206">
        <v>849.30834230828236</v>
      </c>
      <c r="F187" s="206">
        <v>25.546085357666001</v>
      </c>
      <c r="G187" s="206">
        <v>7.1764859999999997</v>
      </c>
      <c r="H187" s="206" t="s">
        <v>771</v>
      </c>
      <c r="I187" s="206">
        <v>0.81000000000011196</v>
      </c>
      <c r="J187" s="206"/>
      <c r="K187" s="206">
        <v>3</v>
      </c>
      <c r="L187" s="206" t="s">
        <v>454</v>
      </c>
      <c r="M187" s="206" t="s">
        <v>772</v>
      </c>
      <c r="N187" s="206" t="s">
        <v>773</v>
      </c>
      <c r="O187" s="206" t="s">
        <v>774</v>
      </c>
    </row>
    <row r="188" spans="3:15" x14ac:dyDescent="0.25">
      <c r="C188" s="206" t="s">
        <v>974</v>
      </c>
      <c r="D188" s="206">
        <v>50</v>
      </c>
      <c r="E188" s="206">
        <v>1887.0827839688409</v>
      </c>
      <c r="F188" s="206">
        <v>148.56442260742199</v>
      </c>
      <c r="G188" s="206">
        <v>10.166677</v>
      </c>
      <c r="H188" s="206" t="s">
        <v>771</v>
      </c>
      <c r="I188" s="206">
        <v>0.81000000000000094</v>
      </c>
      <c r="J188" s="206" t="s">
        <v>795</v>
      </c>
      <c r="K188" s="206"/>
      <c r="L188" s="206"/>
      <c r="M188" s="206"/>
      <c r="N188" s="206"/>
      <c r="O188" s="206"/>
    </row>
    <row r="189" spans="3:15" x14ac:dyDescent="0.25">
      <c r="C189" s="206" t="s">
        <v>975</v>
      </c>
      <c r="D189" s="206">
        <v>200</v>
      </c>
      <c r="E189" s="206">
        <v>4250.0451746217086</v>
      </c>
      <c r="F189" s="206">
        <v>4650.4294115851299</v>
      </c>
      <c r="G189" s="206">
        <v>13.279672</v>
      </c>
      <c r="H189" s="206" t="s">
        <v>771</v>
      </c>
      <c r="I189" s="206">
        <v>0.63</v>
      </c>
      <c r="J189" s="206"/>
      <c r="K189" s="206">
        <v>3</v>
      </c>
      <c r="L189" s="206" t="s">
        <v>454</v>
      </c>
      <c r="M189" s="206" t="s">
        <v>413</v>
      </c>
      <c r="N189" s="206" t="s">
        <v>776</v>
      </c>
      <c r="O189" s="206" t="s">
        <v>776</v>
      </c>
    </row>
    <row r="190" spans="3:15" x14ac:dyDescent="0.25">
      <c r="C190" s="206" t="s">
        <v>976</v>
      </c>
      <c r="D190" s="206">
        <v>50</v>
      </c>
      <c r="E190" s="206">
        <v>73.161100337820912</v>
      </c>
      <c r="F190" s="206">
        <v>148.388475348707</v>
      </c>
      <c r="G190" s="206">
        <v>0.39422889999999999</v>
      </c>
      <c r="H190" s="206" t="s">
        <v>771</v>
      </c>
      <c r="I190" s="206">
        <v>0.65</v>
      </c>
      <c r="J190" s="206"/>
      <c r="K190" s="206">
        <v>3</v>
      </c>
      <c r="L190" s="206" t="s">
        <v>454</v>
      </c>
      <c r="M190" s="206" t="s">
        <v>772</v>
      </c>
      <c r="N190" s="206" t="s">
        <v>773</v>
      </c>
      <c r="O190" s="206" t="s">
        <v>774</v>
      </c>
    </row>
    <row r="191" spans="3:15" x14ac:dyDescent="0.25">
      <c r="C191" s="206" t="s">
        <v>977</v>
      </c>
      <c r="D191" s="206">
        <v>125</v>
      </c>
      <c r="E191" s="206">
        <v>515.59128673283885</v>
      </c>
      <c r="F191" s="206">
        <v>1523.083984375</v>
      </c>
      <c r="G191" s="206">
        <v>1.8633559</v>
      </c>
      <c r="H191" s="206" t="s">
        <v>771</v>
      </c>
      <c r="I191" s="206">
        <v>0.80547730167345055</v>
      </c>
      <c r="J191" s="206"/>
      <c r="K191" s="206">
        <v>3</v>
      </c>
      <c r="L191" s="206" t="s">
        <v>454</v>
      </c>
      <c r="M191" s="206" t="s">
        <v>772</v>
      </c>
      <c r="N191" s="206" t="s">
        <v>773</v>
      </c>
      <c r="O191" s="206" t="s">
        <v>788</v>
      </c>
    </row>
    <row r="192" spans="3:15" x14ac:dyDescent="0.25">
      <c r="C192" s="206" t="s">
        <v>978</v>
      </c>
      <c r="D192" s="206">
        <v>80</v>
      </c>
      <c r="E192" s="206">
        <v>78.203827156612746</v>
      </c>
      <c r="F192" s="206">
        <v>562.93208777304994</v>
      </c>
      <c r="G192" s="206">
        <v>0.33027273000000001</v>
      </c>
      <c r="H192" s="206" t="s">
        <v>771</v>
      </c>
      <c r="I192" s="206">
        <v>0.65</v>
      </c>
      <c r="J192" s="206"/>
      <c r="K192" s="206">
        <v>3</v>
      </c>
      <c r="L192" s="206" t="s">
        <v>454</v>
      </c>
      <c r="M192" s="206" t="s">
        <v>772</v>
      </c>
      <c r="N192" s="206" t="s">
        <v>773</v>
      </c>
      <c r="O192" s="206" t="s">
        <v>774</v>
      </c>
    </row>
    <row r="193" spans="3:15" x14ac:dyDescent="0.25">
      <c r="C193" s="206" t="s">
        <v>979</v>
      </c>
      <c r="D193" s="206">
        <v>80</v>
      </c>
      <c r="E193" s="206">
        <v>212.38805168063223</v>
      </c>
      <c r="F193" s="206">
        <v>562.93208777304994</v>
      </c>
      <c r="G193" s="206">
        <v>0.89696354</v>
      </c>
      <c r="H193" s="206" t="s">
        <v>771</v>
      </c>
      <c r="I193" s="206">
        <v>0.65</v>
      </c>
      <c r="J193" s="206"/>
      <c r="K193" s="206">
        <v>3</v>
      </c>
      <c r="L193" s="206" t="s">
        <v>454</v>
      </c>
      <c r="M193" s="206" t="s">
        <v>772</v>
      </c>
      <c r="N193" s="206" t="s">
        <v>773</v>
      </c>
      <c r="O193" s="206" t="s">
        <v>774</v>
      </c>
    </row>
    <row r="194" spans="3:15" x14ac:dyDescent="0.25">
      <c r="C194" s="206" t="s">
        <v>980</v>
      </c>
      <c r="D194" s="206">
        <v>80</v>
      </c>
      <c r="E194" s="206">
        <v>4572.1018221924196</v>
      </c>
      <c r="F194" s="206">
        <v>722.25764163230497</v>
      </c>
      <c r="G194" s="206">
        <v>20.144241000000001</v>
      </c>
      <c r="H194" s="206" t="s">
        <v>771</v>
      </c>
      <c r="I194" s="206">
        <v>1</v>
      </c>
      <c r="J194" s="206"/>
      <c r="K194" s="206">
        <v>3</v>
      </c>
      <c r="L194" s="206" t="s">
        <v>454</v>
      </c>
      <c r="M194" s="206" t="s">
        <v>413</v>
      </c>
      <c r="N194" s="206" t="s">
        <v>862</v>
      </c>
      <c r="O194" s="206" t="s">
        <v>792</v>
      </c>
    </row>
    <row r="195" spans="3:15" x14ac:dyDescent="0.25">
      <c r="C195" s="206" t="s">
        <v>981</v>
      </c>
      <c r="D195" s="206">
        <v>20</v>
      </c>
      <c r="E195" s="206">
        <v>3529.8373647974622</v>
      </c>
      <c r="F195" s="206">
        <v>1.9329171045101201</v>
      </c>
      <c r="G195" s="206">
        <v>30.148814999999999</v>
      </c>
      <c r="H195" s="206" t="s">
        <v>771</v>
      </c>
      <c r="I195" s="206">
        <v>1</v>
      </c>
      <c r="J195" s="206"/>
      <c r="K195" s="206">
        <v>3</v>
      </c>
      <c r="L195" s="206" t="s">
        <v>454</v>
      </c>
      <c r="M195" s="206" t="s">
        <v>413</v>
      </c>
      <c r="N195" s="206" t="s">
        <v>773</v>
      </c>
      <c r="O195" s="206" t="s">
        <v>800</v>
      </c>
    </row>
    <row r="196" spans="3:15" x14ac:dyDescent="0.25">
      <c r="C196" s="206" t="s">
        <v>982</v>
      </c>
      <c r="D196" s="206">
        <v>50</v>
      </c>
      <c r="E196" s="206">
        <v>1686.7079981921006</v>
      </c>
      <c r="F196" s="206">
        <v>198.97129821777301</v>
      </c>
      <c r="G196" s="206">
        <v>8.6308330000000009</v>
      </c>
      <c r="H196" s="206" t="s">
        <v>771</v>
      </c>
      <c r="I196" s="206">
        <v>1</v>
      </c>
      <c r="J196" s="206" t="s">
        <v>795</v>
      </c>
      <c r="K196" s="206"/>
      <c r="L196" s="206"/>
      <c r="M196" s="206"/>
      <c r="N196" s="206"/>
      <c r="O196" s="206"/>
    </row>
    <row r="197" spans="3:15" x14ac:dyDescent="0.25">
      <c r="C197" s="206" t="s">
        <v>983</v>
      </c>
      <c r="D197" s="206">
        <v>65</v>
      </c>
      <c r="E197" s="206">
        <v>1396.1925449501482</v>
      </c>
      <c r="F197" s="206">
        <v>319.08547260653</v>
      </c>
      <c r="G197" s="206">
        <v>6.5349126000000002</v>
      </c>
      <c r="H197" s="206" t="s">
        <v>771</v>
      </c>
      <c r="I197" s="206">
        <v>0.65</v>
      </c>
      <c r="J197" s="206"/>
      <c r="K197" s="206">
        <v>3</v>
      </c>
      <c r="L197" s="206" t="s">
        <v>454</v>
      </c>
      <c r="M197" s="206" t="s">
        <v>772</v>
      </c>
      <c r="N197" s="206" t="s">
        <v>773</v>
      </c>
      <c r="O197" s="206" t="s">
        <v>774</v>
      </c>
    </row>
    <row r="198" spans="3:15" x14ac:dyDescent="0.25">
      <c r="C198" s="206" t="s">
        <v>984</v>
      </c>
      <c r="D198" s="206">
        <v>40</v>
      </c>
      <c r="E198" s="206">
        <v>1241.6762974774822</v>
      </c>
      <c r="F198" s="206">
        <v>128.72786407469499</v>
      </c>
      <c r="G198" s="206">
        <v>6.9394403000000002</v>
      </c>
      <c r="H198" s="206" t="s">
        <v>771</v>
      </c>
      <c r="I198" s="206">
        <v>0.72</v>
      </c>
      <c r="J198" s="206"/>
      <c r="K198" s="206">
        <v>3</v>
      </c>
      <c r="L198" s="206" t="s">
        <v>454</v>
      </c>
      <c r="M198" s="206" t="s">
        <v>413</v>
      </c>
      <c r="N198" s="206" t="s">
        <v>773</v>
      </c>
      <c r="O198" s="206" t="s">
        <v>805</v>
      </c>
    </row>
    <row r="199" spans="3:15" x14ac:dyDescent="0.25">
      <c r="C199" s="206" t="s">
        <v>985</v>
      </c>
      <c r="D199" s="206">
        <v>20</v>
      </c>
      <c r="E199" s="206">
        <v>904.67855041334337</v>
      </c>
      <c r="F199" s="206">
        <v>2.5387595042702702</v>
      </c>
      <c r="G199" s="206">
        <v>7.7269810000000003</v>
      </c>
      <c r="H199" s="206" t="s">
        <v>771</v>
      </c>
      <c r="I199" s="206">
        <v>1</v>
      </c>
      <c r="J199" s="206"/>
      <c r="K199" s="206">
        <v>3</v>
      </c>
      <c r="L199" s="206" t="s">
        <v>454</v>
      </c>
      <c r="M199" s="206" t="s">
        <v>413</v>
      </c>
      <c r="N199" s="206" t="s">
        <v>773</v>
      </c>
      <c r="O199" s="206" t="s">
        <v>805</v>
      </c>
    </row>
    <row r="200" spans="3:15" x14ac:dyDescent="0.25">
      <c r="C200" s="206" t="s">
        <v>986</v>
      </c>
      <c r="D200" s="206">
        <v>20</v>
      </c>
      <c r="E200" s="206">
        <v>404.50252102246333</v>
      </c>
      <c r="F200" s="206">
        <v>2.91598506120499</v>
      </c>
      <c r="G200" s="206">
        <v>2.723633</v>
      </c>
      <c r="H200" s="206" t="s">
        <v>771</v>
      </c>
      <c r="I200" s="206">
        <v>1</v>
      </c>
      <c r="J200" s="206"/>
      <c r="K200" s="206">
        <v>3</v>
      </c>
      <c r="L200" s="206" t="s">
        <v>454</v>
      </c>
      <c r="M200" s="206" t="s">
        <v>772</v>
      </c>
      <c r="N200" s="206" t="s">
        <v>773</v>
      </c>
      <c r="O200" s="206" t="s">
        <v>774</v>
      </c>
    </row>
    <row r="201" spans="3:15" x14ac:dyDescent="0.25">
      <c r="C201" s="206" t="s">
        <v>987</v>
      </c>
      <c r="D201" s="206">
        <v>200</v>
      </c>
      <c r="E201" s="206">
        <v>4284.8499604833751</v>
      </c>
      <c r="F201" s="206">
        <v>5825.9935531513001</v>
      </c>
      <c r="G201" s="206">
        <v>13.061439500000001</v>
      </c>
      <c r="H201" s="206" t="s">
        <v>771</v>
      </c>
      <c r="I201" s="206">
        <v>1</v>
      </c>
      <c r="J201" s="206"/>
      <c r="K201" s="206">
        <v>3</v>
      </c>
      <c r="L201" s="206" t="s">
        <v>454</v>
      </c>
      <c r="M201" s="206" t="s">
        <v>791</v>
      </c>
      <c r="N201" s="206" t="s">
        <v>773</v>
      </c>
      <c r="O201" s="206" t="s">
        <v>800</v>
      </c>
    </row>
    <row r="202" spans="3:15" x14ac:dyDescent="0.25">
      <c r="C202" s="206" t="s">
        <v>988</v>
      </c>
      <c r="D202" s="206">
        <v>150</v>
      </c>
      <c r="E202" s="206">
        <v>157.83856665693992</v>
      </c>
      <c r="F202" s="206">
        <v>3116.0970923863902</v>
      </c>
      <c r="G202" s="206">
        <v>0.5183567</v>
      </c>
      <c r="H202" s="206" t="s">
        <v>771</v>
      </c>
      <c r="I202" s="206">
        <v>0.63</v>
      </c>
      <c r="J202" s="206"/>
      <c r="K202" s="206">
        <v>3</v>
      </c>
      <c r="L202" s="206" t="s">
        <v>454</v>
      </c>
      <c r="M202" s="206" t="s">
        <v>413</v>
      </c>
      <c r="N202" s="206" t="s">
        <v>773</v>
      </c>
      <c r="O202" s="206" t="s">
        <v>774</v>
      </c>
    </row>
    <row r="203" spans="3:15" x14ac:dyDescent="0.25">
      <c r="C203" s="206" t="s">
        <v>989</v>
      </c>
      <c r="D203" s="206">
        <v>40</v>
      </c>
      <c r="E203" s="206">
        <v>589.78271445654445</v>
      </c>
      <c r="F203" s="206">
        <v>83.601570015664905</v>
      </c>
      <c r="G203" s="206">
        <v>3.2932792000000002</v>
      </c>
      <c r="H203" s="206" t="s">
        <v>771</v>
      </c>
      <c r="I203" s="206">
        <v>0.81</v>
      </c>
      <c r="J203" s="206"/>
      <c r="K203" s="206">
        <v>3</v>
      </c>
      <c r="L203" s="206" t="s">
        <v>454</v>
      </c>
      <c r="M203" s="206" t="s">
        <v>791</v>
      </c>
      <c r="N203" s="206" t="s">
        <v>773</v>
      </c>
      <c r="O203" s="206" t="s">
        <v>792</v>
      </c>
    </row>
    <row r="204" spans="3:15" x14ac:dyDescent="0.25">
      <c r="C204" s="206" t="s">
        <v>990</v>
      </c>
      <c r="D204" s="206">
        <v>150</v>
      </c>
      <c r="E204" s="206">
        <v>1512.6323136074125</v>
      </c>
      <c r="F204" s="206">
        <v>3727.9958740168299</v>
      </c>
      <c r="G204" s="206">
        <v>4.8482985000000003</v>
      </c>
      <c r="H204" s="206" t="s">
        <v>771</v>
      </c>
      <c r="I204" s="206">
        <v>0.64</v>
      </c>
      <c r="J204" s="206"/>
      <c r="K204" s="206">
        <v>3</v>
      </c>
      <c r="L204" s="206" t="s">
        <v>454</v>
      </c>
      <c r="M204" s="206" t="s">
        <v>791</v>
      </c>
      <c r="N204" s="206" t="s">
        <v>773</v>
      </c>
      <c r="O204" s="206" t="s">
        <v>800</v>
      </c>
    </row>
    <row r="205" spans="3:15" x14ac:dyDescent="0.25">
      <c r="C205" s="206" t="s">
        <v>991</v>
      </c>
      <c r="D205" s="206">
        <v>80</v>
      </c>
      <c r="E205" s="206">
        <v>4577.7064261212545</v>
      </c>
      <c r="F205" s="206">
        <v>562.93208777304994</v>
      </c>
      <c r="G205" s="206">
        <v>19.332706000000002</v>
      </c>
      <c r="H205" s="206" t="s">
        <v>771</v>
      </c>
      <c r="I205" s="206">
        <v>0.65</v>
      </c>
      <c r="J205" s="206"/>
      <c r="K205" s="206">
        <v>3</v>
      </c>
      <c r="L205" s="206" t="s">
        <v>454</v>
      </c>
      <c r="M205" s="206" t="s">
        <v>772</v>
      </c>
      <c r="N205" s="206" t="s">
        <v>773</v>
      </c>
      <c r="O205" s="206" t="s">
        <v>774</v>
      </c>
    </row>
    <row r="206" spans="3:15" x14ac:dyDescent="0.25">
      <c r="C206" s="206" t="s">
        <v>992</v>
      </c>
      <c r="D206" s="206">
        <v>65</v>
      </c>
      <c r="E206" s="206">
        <v>765.77402498278957</v>
      </c>
      <c r="F206" s="206">
        <v>479.31744384765602</v>
      </c>
      <c r="G206" s="206">
        <v>3.3211186000000001</v>
      </c>
      <c r="H206" s="206" t="s">
        <v>771</v>
      </c>
      <c r="I206" s="206">
        <v>0.7</v>
      </c>
      <c r="J206" s="206"/>
      <c r="K206" s="206">
        <v>3</v>
      </c>
      <c r="L206" s="206" t="s">
        <v>454</v>
      </c>
      <c r="M206" s="206" t="s">
        <v>782</v>
      </c>
      <c r="N206" s="206" t="s">
        <v>776</v>
      </c>
      <c r="O206" s="206" t="s">
        <v>776</v>
      </c>
    </row>
    <row r="207" spans="3:15" x14ac:dyDescent="0.25">
      <c r="C207" s="206" t="s">
        <v>993</v>
      </c>
      <c r="D207" s="206">
        <v>150</v>
      </c>
      <c r="E207" s="206">
        <v>11992.028763273593</v>
      </c>
      <c r="F207" s="206">
        <v>3402.5771484375</v>
      </c>
      <c r="G207" s="206">
        <v>38.934306999999997</v>
      </c>
      <c r="H207" s="206" t="s">
        <v>771</v>
      </c>
      <c r="I207" s="206">
        <v>0.73969095841275123</v>
      </c>
      <c r="J207" s="206"/>
      <c r="K207" s="206">
        <v>3</v>
      </c>
      <c r="L207" s="206" t="s">
        <v>454</v>
      </c>
      <c r="M207" s="206" t="s">
        <v>791</v>
      </c>
      <c r="N207" s="206" t="s">
        <v>773</v>
      </c>
      <c r="O207" s="206" t="s">
        <v>800</v>
      </c>
    </row>
    <row r="208" spans="3:15" x14ac:dyDescent="0.25">
      <c r="C208" s="206" t="s">
        <v>994</v>
      </c>
      <c r="D208" s="206">
        <v>100</v>
      </c>
      <c r="E208" s="206">
        <v>1554.4374413297364</v>
      </c>
      <c r="F208" s="206">
        <v>962.60109389794502</v>
      </c>
      <c r="G208" s="206">
        <v>6.0303259999999996</v>
      </c>
      <c r="H208" s="206" t="s">
        <v>771</v>
      </c>
      <c r="I208" s="206">
        <v>0.64</v>
      </c>
      <c r="J208" s="206"/>
      <c r="K208" s="206">
        <v>3</v>
      </c>
      <c r="L208" s="206" t="s">
        <v>454</v>
      </c>
      <c r="M208" s="206" t="s">
        <v>413</v>
      </c>
      <c r="N208" s="206" t="s">
        <v>773</v>
      </c>
      <c r="O208" s="206" t="s">
        <v>800</v>
      </c>
    </row>
    <row r="209" spans="3:15" x14ac:dyDescent="0.25">
      <c r="C209" s="206" t="s">
        <v>995</v>
      </c>
      <c r="D209" s="206">
        <v>200</v>
      </c>
      <c r="E209" s="206">
        <v>2816.8665798417887</v>
      </c>
      <c r="F209" s="206">
        <v>7368.8380004882902</v>
      </c>
      <c r="G209" s="206">
        <v>8.3203479999999992</v>
      </c>
      <c r="H209" s="206" t="s">
        <v>771</v>
      </c>
      <c r="I209" s="206">
        <v>0.63</v>
      </c>
      <c r="J209" s="206"/>
      <c r="K209" s="206">
        <v>3</v>
      </c>
      <c r="L209" s="206" t="s">
        <v>454</v>
      </c>
      <c r="M209" s="206" t="s">
        <v>772</v>
      </c>
      <c r="N209" s="206" t="s">
        <v>773</v>
      </c>
      <c r="O209" s="206" t="s">
        <v>774</v>
      </c>
    </row>
    <row r="210" spans="3:15" x14ac:dyDescent="0.25">
      <c r="C210" s="206" t="s">
        <v>996</v>
      </c>
      <c r="D210" s="206">
        <v>100</v>
      </c>
      <c r="E210" s="206">
        <v>3128.1120038049962</v>
      </c>
      <c r="F210" s="206">
        <v>962.60109389794502</v>
      </c>
      <c r="G210" s="206">
        <v>12.135281000000001</v>
      </c>
      <c r="H210" s="206" t="s">
        <v>771</v>
      </c>
      <c r="I210" s="206">
        <v>0.64</v>
      </c>
      <c r="J210" s="206"/>
      <c r="K210" s="206">
        <v>3</v>
      </c>
      <c r="L210" s="206" t="s">
        <v>454</v>
      </c>
      <c r="M210" s="206" t="s">
        <v>772</v>
      </c>
      <c r="N210" s="206" t="s">
        <v>822</v>
      </c>
      <c r="O210" s="206" t="s">
        <v>785</v>
      </c>
    </row>
    <row r="211" spans="3:15" x14ac:dyDescent="0.25">
      <c r="C211" s="206" t="s">
        <v>997</v>
      </c>
      <c r="D211" s="206">
        <v>80</v>
      </c>
      <c r="E211" s="206">
        <v>1181.4952741113582</v>
      </c>
      <c r="F211" s="206">
        <v>562.93208777304994</v>
      </c>
      <c r="G211" s="206">
        <v>4.9897260000000001</v>
      </c>
      <c r="H211" s="206" t="s">
        <v>771</v>
      </c>
      <c r="I211" s="206">
        <v>0.65</v>
      </c>
      <c r="J211" s="206"/>
      <c r="K211" s="206">
        <v>3</v>
      </c>
      <c r="L211" s="206" t="s">
        <v>454</v>
      </c>
      <c r="M211" s="206" t="s">
        <v>772</v>
      </c>
      <c r="N211" s="206" t="s">
        <v>773</v>
      </c>
      <c r="O211" s="206" t="s">
        <v>774</v>
      </c>
    </row>
    <row r="212" spans="3:15" x14ac:dyDescent="0.25">
      <c r="C212" s="206" t="s">
        <v>998</v>
      </c>
      <c r="D212" s="206">
        <v>20</v>
      </c>
      <c r="E212" s="206">
        <v>4844.7751238530736</v>
      </c>
      <c r="F212" s="206">
        <v>6.1871053006503001</v>
      </c>
      <c r="G212" s="206">
        <v>41.379874999999998</v>
      </c>
      <c r="H212" s="206" t="s">
        <v>771</v>
      </c>
      <c r="I212" s="206">
        <v>1</v>
      </c>
      <c r="J212" s="206"/>
      <c r="K212" s="206">
        <v>3</v>
      </c>
      <c r="L212" s="206" t="s">
        <v>454</v>
      </c>
      <c r="M212" s="206" t="s">
        <v>413</v>
      </c>
      <c r="N212" s="206" t="s">
        <v>776</v>
      </c>
      <c r="O212" s="206" t="s">
        <v>776</v>
      </c>
    </row>
    <row r="213" spans="3:15" x14ac:dyDescent="0.25">
      <c r="C213" s="206" t="s">
        <v>999</v>
      </c>
      <c r="D213" s="206">
        <v>80</v>
      </c>
      <c r="E213" s="206">
        <v>1355.988503774573</v>
      </c>
      <c r="F213" s="206">
        <v>562.93208777304994</v>
      </c>
      <c r="G213" s="206">
        <v>5.7266510000000004</v>
      </c>
      <c r="H213" s="206" t="s">
        <v>771</v>
      </c>
      <c r="I213" s="206">
        <v>0.65</v>
      </c>
      <c r="J213" s="206"/>
      <c r="K213" s="206">
        <v>3</v>
      </c>
      <c r="L213" s="206" t="s">
        <v>454</v>
      </c>
      <c r="M213" s="206" t="s">
        <v>772</v>
      </c>
      <c r="N213" s="206" t="s">
        <v>773</v>
      </c>
      <c r="O213" s="206" t="s">
        <v>774</v>
      </c>
    </row>
    <row r="214" spans="3:15" x14ac:dyDescent="0.25">
      <c r="C214" s="206" t="s">
        <v>1000</v>
      </c>
      <c r="D214" s="206">
        <v>80</v>
      </c>
      <c r="E214" s="206">
        <v>1909.1476518845284</v>
      </c>
      <c r="F214" s="206">
        <v>617.18597412109398</v>
      </c>
      <c r="G214" s="206">
        <v>7.9546830000000002</v>
      </c>
      <c r="H214" s="206" t="s">
        <v>771</v>
      </c>
      <c r="I214" s="206">
        <v>0.7294998052048729</v>
      </c>
      <c r="J214" s="206"/>
      <c r="K214" s="206">
        <v>3</v>
      </c>
      <c r="L214" s="206" t="s">
        <v>454</v>
      </c>
      <c r="M214" s="206" t="s">
        <v>413</v>
      </c>
      <c r="N214" s="206" t="s">
        <v>773</v>
      </c>
      <c r="O214" s="206" t="s">
        <v>774</v>
      </c>
    </row>
    <row r="215" spans="3:15" x14ac:dyDescent="0.25">
      <c r="C215" s="206" t="s">
        <v>1001</v>
      </c>
      <c r="D215" s="206">
        <v>200</v>
      </c>
      <c r="E215" s="206">
        <v>1671.3987269171064</v>
      </c>
      <c r="F215" s="206">
        <v>5647.44771793778</v>
      </c>
      <c r="G215" s="206">
        <v>5.1114579999999998</v>
      </c>
      <c r="H215" s="206" t="s">
        <v>771</v>
      </c>
      <c r="I215" s="206">
        <v>1</v>
      </c>
      <c r="J215" s="206"/>
      <c r="K215" s="206">
        <v>3</v>
      </c>
      <c r="L215" s="206" t="s">
        <v>454</v>
      </c>
      <c r="M215" s="206" t="s">
        <v>413</v>
      </c>
      <c r="N215" s="206" t="s">
        <v>773</v>
      </c>
      <c r="O215" s="206" t="s">
        <v>774</v>
      </c>
    </row>
    <row r="216" spans="3:15" x14ac:dyDescent="0.25">
      <c r="C216" s="206" t="s">
        <v>1002</v>
      </c>
      <c r="D216" s="206">
        <v>40</v>
      </c>
      <c r="E216" s="206">
        <v>702.99694648447428</v>
      </c>
      <c r="F216" s="206">
        <v>100.29582977294901</v>
      </c>
      <c r="G216" s="206">
        <v>4.1541347999999996</v>
      </c>
      <c r="H216" s="206" t="s">
        <v>771</v>
      </c>
      <c r="I216" s="206">
        <v>1</v>
      </c>
      <c r="J216" s="206"/>
      <c r="K216" s="206">
        <v>3</v>
      </c>
      <c r="L216" s="206" t="s">
        <v>454</v>
      </c>
      <c r="M216" s="206" t="s">
        <v>791</v>
      </c>
      <c r="N216" s="206" t="s">
        <v>773</v>
      </c>
      <c r="O216" s="206" t="s">
        <v>792</v>
      </c>
    </row>
    <row r="217" spans="3:15" x14ac:dyDescent="0.25">
      <c r="C217" s="206" t="s">
        <v>1003</v>
      </c>
      <c r="D217" s="206">
        <v>65</v>
      </c>
      <c r="E217" s="206">
        <v>759.86290981853074</v>
      </c>
      <c r="F217" s="206">
        <v>366.340331913667</v>
      </c>
      <c r="G217" s="206">
        <v>3.5475338000000001</v>
      </c>
      <c r="H217" s="206" t="s">
        <v>771</v>
      </c>
      <c r="I217" s="206">
        <v>0.74826912236183685</v>
      </c>
      <c r="J217" s="206"/>
      <c r="K217" s="206">
        <v>3</v>
      </c>
      <c r="L217" s="206" t="s">
        <v>454</v>
      </c>
      <c r="M217" s="206" t="s">
        <v>772</v>
      </c>
      <c r="N217" s="206" t="s">
        <v>773</v>
      </c>
      <c r="O217" s="206" t="s">
        <v>774</v>
      </c>
    </row>
    <row r="218" spans="3:15" x14ac:dyDescent="0.25">
      <c r="C218" s="206" t="s">
        <v>1004</v>
      </c>
      <c r="D218" s="206">
        <v>65</v>
      </c>
      <c r="E218" s="206">
        <v>510.58792608492098</v>
      </c>
      <c r="F218" s="206">
        <v>319.08547260653</v>
      </c>
      <c r="G218" s="206">
        <v>2.3898190000000001</v>
      </c>
      <c r="H218" s="206" t="s">
        <v>771</v>
      </c>
      <c r="I218" s="206">
        <v>0.65</v>
      </c>
      <c r="J218" s="206"/>
      <c r="K218" s="206">
        <v>3</v>
      </c>
      <c r="L218" s="206" t="s">
        <v>454</v>
      </c>
      <c r="M218" s="206" t="s">
        <v>413</v>
      </c>
      <c r="N218" s="206" t="s">
        <v>773</v>
      </c>
      <c r="O218" s="206" t="s">
        <v>774</v>
      </c>
    </row>
    <row r="219" spans="3:15" x14ac:dyDescent="0.25">
      <c r="C219" s="206" t="s">
        <v>1005</v>
      </c>
      <c r="D219" s="206">
        <v>100</v>
      </c>
      <c r="E219" s="206">
        <v>2850.5964139621219</v>
      </c>
      <c r="F219" s="206">
        <v>913.80749511718795</v>
      </c>
      <c r="G219" s="206">
        <v>11.131915821803318</v>
      </c>
      <c r="H219" s="206" t="s">
        <v>771</v>
      </c>
      <c r="I219" s="206">
        <v>0.72</v>
      </c>
      <c r="J219" s="206" t="s">
        <v>795</v>
      </c>
      <c r="K219" s="206"/>
      <c r="L219" s="206"/>
      <c r="M219" s="206"/>
      <c r="N219" s="206"/>
      <c r="O219" s="206"/>
    </row>
    <row r="220" spans="3:15" x14ac:dyDescent="0.25">
      <c r="C220" s="206" t="s">
        <v>1006</v>
      </c>
      <c r="D220" s="206">
        <v>65</v>
      </c>
      <c r="E220" s="206">
        <v>793.42003360308854</v>
      </c>
      <c r="F220" s="206">
        <v>491.91031249461201</v>
      </c>
      <c r="G220" s="206">
        <v>3.4212799999999999</v>
      </c>
      <c r="H220" s="206" t="s">
        <v>771</v>
      </c>
      <c r="I220" s="206">
        <v>0.64</v>
      </c>
      <c r="J220" s="206"/>
      <c r="K220" s="206">
        <v>3</v>
      </c>
      <c r="L220" s="206" t="s">
        <v>454</v>
      </c>
      <c r="M220" s="206" t="s">
        <v>772</v>
      </c>
      <c r="N220" s="206" t="s">
        <v>773</v>
      </c>
      <c r="O220" s="206" t="s">
        <v>774</v>
      </c>
    </row>
    <row r="221" spans="3:15" x14ac:dyDescent="0.25">
      <c r="C221" s="206" t="s">
        <v>1007</v>
      </c>
      <c r="D221" s="206">
        <v>25</v>
      </c>
      <c r="E221" s="206">
        <v>465.42897608923636</v>
      </c>
      <c r="F221" s="206">
        <v>30.427696228027301</v>
      </c>
      <c r="G221" s="206">
        <v>3.7578830000000001</v>
      </c>
      <c r="H221" s="206" t="s">
        <v>771</v>
      </c>
      <c r="I221" s="206">
        <v>1</v>
      </c>
      <c r="J221" s="206"/>
      <c r="K221" s="206">
        <v>3</v>
      </c>
      <c r="L221" s="206" t="s">
        <v>454</v>
      </c>
      <c r="M221" s="206" t="s">
        <v>772</v>
      </c>
      <c r="N221" s="206" t="s">
        <v>773</v>
      </c>
      <c r="O221" s="206" t="s">
        <v>774</v>
      </c>
    </row>
    <row r="222" spans="3:15" x14ac:dyDescent="0.25">
      <c r="C222" s="206" t="s">
        <v>1008</v>
      </c>
      <c r="D222" s="206">
        <v>65</v>
      </c>
      <c r="E222" s="206">
        <v>1001.9822102646838</v>
      </c>
      <c r="F222" s="206">
        <v>319.08547260653</v>
      </c>
      <c r="G222" s="206">
        <v>4.6898017000000003</v>
      </c>
      <c r="H222" s="206" t="s">
        <v>771</v>
      </c>
      <c r="I222" s="206">
        <v>0.65</v>
      </c>
      <c r="J222" s="206"/>
      <c r="K222" s="206">
        <v>3</v>
      </c>
      <c r="L222" s="206" t="s">
        <v>454</v>
      </c>
      <c r="M222" s="206" t="s">
        <v>772</v>
      </c>
      <c r="N222" s="206" t="s">
        <v>773</v>
      </c>
      <c r="O222" s="206" t="s">
        <v>774</v>
      </c>
    </row>
    <row r="223" spans="3:15" x14ac:dyDescent="0.25">
      <c r="C223" s="206" t="s">
        <v>1009</v>
      </c>
      <c r="D223" s="206">
        <v>200</v>
      </c>
      <c r="E223" s="206">
        <v>7857.2230272254501</v>
      </c>
      <c r="F223" s="206">
        <v>7536.2844369506902</v>
      </c>
      <c r="G223" s="206">
        <v>23.130452999999999</v>
      </c>
      <c r="H223" s="206" t="s">
        <v>771</v>
      </c>
      <c r="I223" s="206">
        <v>0.63</v>
      </c>
      <c r="J223" s="206"/>
      <c r="K223" s="206">
        <v>3</v>
      </c>
      <c r="L223" s="206" t="s">
        <v>454</v>
      </c>
      <c r="M223" s="206" t="s">
        <v>413</v>
      </c>
      <c r="N223" s="206" t="s">
        <v>773</v>
      </c>
      <c r="O223" s="206" t="s">
        <v>774</v>
      </c>
    </row>
    <row r="224" spans="3:15" x14ac:dyDescent="0.25">
      <c r="C224" s="206" t="s">
        <v>1010</v>
      </c>
      <c r="D224" s="206">
        <v>125</v>
      </c>
      <c r="E224" s="206">
        <v>5294.8153515906479</v>
      </c>
      <c r="F224" s="206">
        <v>1523.083984375</v>
      </c>
      <c r="G224" s="206">
        <v>19.135555</v>
      </c>
      <c r="H224" s="206" t="s">
        <v>771</v>
      </c>
      <c r="I224" s="206">
        <v>0.80547730167345055</v>
      </c>
      <c r="J224" s="206"/>
      <c r="K224" s="206">
        <v>3</v>
      </c>
      <c r="L224" s="206" t="s">
        <v>454</v>
      </c>
      <c r="M224" s="206" t="s">
        <v>413</v>
      </c>
      <c r="N224" s="206" t="s">
        <v>773</v>
      </c>
      <c r="O224" s="206" t="s">
        <v>774</v>
      </c>
    </row>
    <row r="225" spans="3:15" x14ac:dyDescent="0.25">
      <c r="C225" s="206" t="s">
        <v>1011</v>
      </c>
      <c r="D225" s="206">
        <v>200</v>
      </c>
      <c r="E225" s="206">
        <v>2046.9138913278737</v>
      </c>
      <c r="F225" s="206">
        <v>7368.8380004882902</v>
      </c>
      <c r="G225" s="206">
        <v>6.0460925000000003</v>
      </c>
      <c r="H225" s="206" t="s">
        <v>771</v>
      </c>
      <c r="I225" s="206">
        <v>0.63</v>
      </c>
      <c r="J225" s="206"/>
      <c r="K225" s="206">
        <v>3</v>
      </c>
      <c r="L225" s="206" t="s">
        <v>454</v>
      </c>
      <c r="M225" s="206" t="s">
        <v>772</v>
      </c>
      <c r="N225" s="206" t="s">
        <v>773</v>
      </c>
      <c r="O225" s="206" t="s">
        <v>774</v>
      </c>
    </row>
    <row r="226" spans="3:15" x14ac:dyDescent="0.25">
      <c r="C226" s="206" t="s">
        <v>1012</v>
      </c>
      <c r="D226" s="206">
        <v>20</v>
      </c>
      <c r="E226" s="206">
        <v>1079.6713496132052</v>
      </c>
      <c r="F226" s="206">
        <v>1</v>
      </c>
      <c r="G226" s="206">
        <v>9.2216179999999994</v>
      </c>
      <c r="H226" s="206" t="s">
        <v>771</v>
      </c>
      <c r="I226" s="206">
        <v>1</v>
      </c>
      <c r="J226" s="206"/>
      <c r="K226" s="206">
        <v>3</v>
      </c>
      <c r="L226" s="206" t="s">
        <v>454</v>
      </c>
      <c r="M226" s="206" t="s">
        <v>810</v>
      </c>
      <c r="N226" s="206" t="s">
        <v>784</v>
      </c>
      <c r="O226" s="206" t="s">
        <v>792</v>
      </c>
    </row>
    <row r="227" spans="3:15" x14ac:dyDescent="0.25">
      <c r="C227" s="206" t="s">
        <v>1013</v>
      </c>
      <c r="D227" s="206">
        <v>250</v>
      </c>
      <c r="E227" s="206">
        <v>2654.7226256732561</v>
      </c>
      <c r="F227" s="206">
        <v>8542.2397978336794</v>
      </c>
      <c r="G227" s="206">
        <v>7.6846410000000001</v>
      </c>
      <c r="H227" s="206" t="s">
        <v>771</v>
      </c>
      <c r="I227" s="206">
        <v>1</v>
      </c>
      <c r="J227" s="206"/>
      <c r="K227" s="206">
        <v>3</v>
      </c>
      <c r="L227" s="206" t="s">
        <v>454</v>
      </c>
      <c r="M227" s="206" t="s">
        <v>413</v>
      </c>
      <c r="N227" s="206" t="s">
        <v>932</v>
      </c>
      <c r="O227" s="206" t="s">
        <v>788</v>
      </c>
    </row>
    <row r="228" spans="3:15" x14ac:dyDescent="0.25">
      <c r="C228" s="206" t="s">
        <v>1014</v>
      </c>
      <c r="D228" s="206">
        <v>80</v>
      </c>
      <c r="E228" s="206">
        <v>561.29120036089694</v>
      </c>
      <c r="F228" s="206">
        <v>562.93208777304994</v>
      </c>
      <c r="G228" s="206">
        <v>2.3704616999999999</v>
      </c>
      <c r="H228" s="206" t="s">
        <v>771</v>
      </c>
      <c r="I228" s="206">
        <v>0.65</v>
      </c>
      <c r="J228" s="206"/>
      <c r="K228" s="206">
        <v>3</v>
      </c>
      <c r="L228" s="206" t="s">
        <v>454</v>
      </c>
      <c r="M228" s="206" t="s">
        <v>772</v>
      </c>
      <c r="N228" s="206" t="s">
        <v>773</v>
      </c>
      <c r="O228" s="206" t="s">
        <v>774</v>
      </c>
    </row>
    <row r="229" spans="3:15" x14ac:dyDescent="0.25">
      <c r="C229" s="206" t="s">
        <v>1015</v>
      </c>
      <c r="D229" s="206">
        <v>125</v>
      </c>
      <c r="E229" s="206">
        <v>1991.1335868813742</v>
      </c>
      <c r="F229" s="206">
        <v>1523.083984375</v>
      </c>
      <c r="G229" s="206">
        <v>7.1959914999999999</v>
      </c>
      <c r="H229" s="206" t="s">
        <v>771</v>
      </c>
      <c r="I229" s="206">
        <v>0.80547730167345055</v>
      </c>
      <c r="J229" s="206"/>
      <c r="K229" s="206">
        <v>3</v>
      </c>
      <c r="L229" s="206" t="s">
        <v>454</v>
      </c>
      <c r="M229" s="206" t="s">
        <v>772</v>
      </c>
      <c r="N229" s="206" t="s">
        <v>773</v>
      </c>
      <c r="O229" s="206" t="s">
        <v>788</v>
      </c>
    </row>
    <row r="230" spans="3:15" x14ac:dyDescent="0.25">
      <c r="C230" s="206" t="s">
        <v>1016</v>
      </c>
      <c r="D230" s="206">
        <v>65</v>
      </c>
      <c r="E230" s="206">
        <v>1159.5676743440795</v>
      </c>
      <c r="F230" s="206">
        <v>491.91031249461201</v>
      </c>
      <c r="G230" s="206">
        <v>5.0001329999999999</v>
      </c>
      <c r="H230" s="206" t="s">
        <v>771</v>
      </c>
      <c r="I230" s="206">
        <v>0.64</v>
      </c>
      <c r="J230" s="206"/>
      <c r="K230" s="206">
        <v>3</v>
      </c>
      <c r="L230" s="206" t="s">
        <v>454</v>
      </c>
      <c r="M230" s="206" t="s">
        <v>772</v>
      </c>
      <c r="N230" s="206" t="s">
        <v>773</v>
      </c>
      <c r="O230" s="206" t="s">
        <v>774</v>
      </c>
    </row>
    <row r="231" spans="3:15" x14ac:dyDescent="0.25">
      <c r="C231" s="206" t="s">
        <v>1017</v>
      </c>
      <c r="D231" s="206">
        <v>150</v>
      </c>
      <c r="E231" s="206">
        <v>18709.768991540193</v>
      </c>
      <c r="F231" s="206">
        <v>3402.5771484375</v>
      </c>
      <c r="G231" s="206">
        <v>60.744675000000001</v>
      </c>
      <c r="H231" s="206" t="s">
        <v>771</v>
      </c>
      <c r="I231" s="206">
        <v>0.92659414797524686</v>
      </c>
      <c r="J231" s="206"/>
      <c r="K231" s="206">
        <v>3</v>
      </c>
      <c r="L231" s="206" t="s">
        <v>454</v>
      </c>
      <c r="M231" s="206" t="s">
        <v>791</v>
      </c>
      <c r="N231" s="206" t="s">
        <v>773</v>
      </c>
      <c r="O231" s="206" t="s">
        <v>800</v>
      </c>
    </row>
    <row r="232" spans="3:15" x14ac:dyDescent="0.25">
      <c r="C232" s="206" t="s">
        <v>1018</v>
      </c>
      <c r="D232" s="206">
        <v>20</v>
      </c>
      <c r="E232" s="206">
        <v>1789.356010345914</v>
      </c>
      <c r="F232" s="206">
        <v>1</v>
      </c>
      <c r="G232" s="206">
        <v>15.28313</v>
      </c>
      <c r="H232" s="206" t="s">
        <v>771</v>
      </c>
      <c r="I232" s="206">
        <v>1</v>
      </c>
      <c r="J232" s="206"/>
      <c r="K232" s="206">
        <v>3</v>
      </c>
      <c r="L232" s="206" t="s">
        <v>454</v>
      </c>
      <c r="M232" s="206" t="s">
        <v>782</v>
      </c>
      <c r="N232" s="206" t="s">
        <v>773</v>
      </c>
      <c r="O232" s="206" t="s">
        <v>805</v>
      </c>
    </row>
    <row r="233" spans="3:15" x14ac:dyDescent="0.25">
      <c r="C233" s="206" t="s">
        <v>1019</v>
      </c>
      <c r="D233" s="206">
        <v>65</v>
      </c>
      <c r="E233" s="206">
        <v>101.80560599525917</v>
      </c>
      <c r="F233" s="206">
        <v>303.99337188720699</v>
      </c>
      <c r="G233" s="206">
        <v>0.48019820000000002</v>
      </c>
      <c r="H233" s="206" t="s">
        <v>771</v>
      </c>
      <c r="I233" s="206">
        <v>0.72</v>
      </c>
      <c r="J233" s="206"/>
      <c r="K233" s="206">
        <v>3</v>
      </c>
      <c r="L233" s="206" t="s">
        <v>454</v>
      </c>
      <c r="M233" s="206" t="s">
        <v>772</v>
      </c>
      <c r="N233" s="206" t="s">
        <v>773</v>
      </c>
      <c r="O233" s="206" t="s">
        <v>774</v>
      </c>
    </row>
    <row r="234" spans="3:15" x14ac:dyDescent="0.25">
      <c r="C234" s="206" t="s">
        <v>1020</v>
      </c>
      <c r="D234" s="206">
        <v>80</v>
      </c>
      <c r="E234" s="206">
        <v>1169.5508612102749</v>
      </c>
      <c r="F234" s="206">
        <v>562.93208777304994</v>
      </c>
      <c r="G234" s="206">
        <v>4.9392820000000004</v>
      </c>
      <c r="H234" s="206" t="s">
        <v>771</v>
      </c>
      <c r="I234" s="206">
        <v>0.65</v>
      </c>
      <c r="J234" s="206"/>
      <c r="K234" s="206">
        <v>3</v>
      </c>
      <c r="L234" s="206" t="s">
        <v>454</v>
      </c>
      <c r="M234" s="206" t="s">
        <v>772</v>
      </c>
      <c r="N234" s="206" t="s">
        <v>773</v>
      </c>
      <c r="O234" s="206" t="s">
        <v>774</v>
      </c>
    </row>
    <row r="235" spans="3:15" x14ac:dyDescent="0.25">
      <c r="C235" s="206" t="s">
        <v>1021</v>
      </c>
      <c r="D235" s="206">
        <v>400</v>
      </c>
      <c r="E235" s="206">
        <v>6567.3837638000505</v>
      </c>
      <c r="F235" s="206">
        <v>27007.699886683899</v>
      </c>
      <c r="G235" s="206">
        <v>16.817442</v>
      </c>
      <c r="H235" s="206" t="s">
        <v>771</v>
      </c>
      <c r="I235" s="206">
        <v>0.62</v>
      </c>
      <c r="J235" s="206"/>
      <c r="K235" s="206">
        <v>3</v>
      </c>
      <c r="L235" s="206" t="s">
        <v>454</v>
      </c>
      <c r="M235" s="206" t="s">
        <v>791</v>
      </c>
      <c r="N235" s="206" t="s">
        <v>773</v>
      </c>
      <c r="O235" s="206" t="s">
        <v>800</v>
      </c>
    </row>
    <row r="236" spans="3:15" x14ac:dyDescent="0.25">
      <c r="C236" s="206" t="s">
        <v>1022</v>
      </c>
      <c r="D236" s="206">
        <v>80</v>
      </c>
      <c r="E236" s="206">
        <v>6270.9220314341846</v>
      </c>
      <c r="F236" s="206">
        <v>617.18597412109398</v>
      </c>
      <c r="G236" s="206">
        <v>26.128516999999999</v>
      </c>
      <c r="H236" s="206" t="s">
        <v>771</v>
      </c>
      <c r="I236" s="206">
        <v>0.7294998052048729</v>
      </c>
      <c r="J236" s="206"/>
      <c r="K236" s="206">
        <v>3</v>
      </c>
      <c r="L236" s="206" t="s">
        <v>454</v>
      </c>
      <c r="M236" s="206" t="s">
        <v>791</v>
      </c>
      <c r="N236" s="206" t="s">
        <v>773</v>
      </c>
      <c r="O236" s="206" t="s">
        <v>800</v>
      </c>
    </row>
    <row r="237" spans="3:15" x14ac:dyDescent="0.25">
      <c r="C237" s="206" t="s">
        <v>1023</v>
      </c>
      <c r="D237" s="206">
        <v>150</v>
      </c>
      <c r="E237" s="206">
        <v>5444.9959854785402</v>
      </c>
      <c r="F237" s="206">
        <v>3727.9958740168299</v>
      </c>
      <c r="G237" s="206">
        <v>17.452335000000001</v>
      </c>
      <c r="H237" s="206" t="s">
        <v>771</v>
      </c>
      <c r="I237" s="206">
        <v>0.64</v>
      </c>
      <c r="J237" s="206"/>
      <c r="K237" s="206">
        <v>3</v>
      </c>
      <c r="L237" s="206" t="s">
        <v>454</v>
      </c>
      <c r="M237" s="206" t="s">
        <v>791</v>
      </c>
      <c r="N237" s="206" t="s">
        <v>773</v>
      </c>
      <c r="O237" s="206" t="s">
        <v>800</v>
      </c>
    </row>
    <row r="238" spans="3:15" x14ac:dyDescent="0.25">
      <c r="C238" s="206" t="s">
        <v>1024</v>
      </c>
      <c r="D238" s="206">
        <v>200</v>
      </c>
      <c r="E238" s="206">
        <v>1455.1945030253655</v>
      </c>
      <c r="F238" s="206">
        <v>5647.44771793778</v>
      </c>
      <c r="G238" s="206">
        <v>4.4502639999999998</v>
      </c>
      <c r="H238" s="206" t="s">
        <v>771</v>
      </c>
      <c r="I238" s="206">
        <v>1</v>
      </c>
      <c r="J238" s="206"/>
      <c r="K238" s="206">
        <v>3</v>
      </c>
      <c r="L238" s="206" t="s">
        <v>454</v>
      </c>
      <c r="M238" s="206" t="s">
        <v>772</v>
      </c>
      <c r="N238" s="206" t="s">
        <v>773</v>
      </c>
      <c r="O238" s="206" t="s">
        <v>788</v>
      </c>
    </row>
    <row r="239" spans="3:15" x14ac:dyDescent="0.25">
      <c r="C239" s="206" t="s">
        <v>1025</v>
      </c>
      <c r="D239" s="206">
        <v>65</v>
      </c>
      <c r="E239" s="206">
        <v>11219.942915008567</v>
      </c>
      <c r="F239" s="206">
        <v>303.99337188720699</v>
      </c>
      <c r="G239" s="206">
        <v>52.922393999999997</v>
      </c>
      <c r="H239" s="206" t="s">
        <v>771</v>
      </c>
      <c r="I239" s="206">
        <v>0.72</v>
      </c>
      <c r="J239" s="206"/>
      <c r="K239" s="206">
        <v>3</v>
      </c>
      <c r="L239" s="206" t="s">
        <v>454</v>
      </c>
      <c r="M239" s="206" t="s">
        <v>413</v>
      </c>
      <c r="N239" s="206" t="s">
        <v>773</v>
      </c>
      <c r="O239" s="206" t="s">
        <v>774</v>
      </c>
    </row>
    <row r="240" spans="3:15" x14ac:dyDescent="0.25">
      <c r="C240" s="206" t="s">
        <v>1026</v>
      </c>
      <c r="D240" s="206">
        <v>40</v>
      </c>
      <c r="E240" s="206">
        <v>683.18323751691776</v>
      </c>
      <c r="F240" s="206">
        <v>104.76252746582</v>
      </c>
      <c r="G240" s="206">
        <v>4.0010157</v>
      </c>
      <c r="H240" s="206" t="s">
        <v>771</v>
      </c>
      <c r="I240" s="206">
        <v>0.81</v>
      </c>
      <c r="J240" s="206" t="s">
        <v>795</v>
      </c>
      <c r="K240" s="206"/>
      <c r="L240" s="206"/>
      <c r="M240" s="206"/>
      <c r="N240" s="206"/>
      <c r="O240" s="206"/>
    </row>
    <row r="241" spans="3:15" x14ac:dyDescent="0.25">
      <c r="C241" s="206" t="s">
        <v>1027</v>
      </c>
      <c r="D241" s="206">
        <v>20</v>
      </c>
      <c r="E241" s="206">
        <v>1194.2692432058491</v>
      </c>
      <c r="F241" s="206">
        <v>2</v>
      </c>
      <c r="G241" s="206">
        <v>10.200414</v>
      </c>
      <c r="H241" s="206" t="s">
        <v>771</v>
      </c>
      <c r="I241" s="206">
        <v>1</v>
      </c>
      <c r="J241" s="206"/>
      <c r="K241" s="206">
        <v>3</v>
      </c>
      <c r="L241" s="206" t="s">
        <v>454</v>
      </c>
      <c r="M241" s="206" t="s">
        <v>772</v>
      </c>
      <c r="N241" s="206" t="s">
        <v>784</v>
      </c>
      <c r="O241" s="206" t="s">
        <v>774</v>
      </c>
    </row>
    <row r="242" spans="3:15" x14ac:dyDescent="0.25">
      <c r="C242" s="206" t="s">
        <v>1028</v>
      </c>
      <c r="D242" s="206">
        <v>20</v>
      </c>
      <c r="E242" s="206">
        <v>1989.5218126125844</v>
      </c>
      <c r="F242" s="206">
        <v>1.6231137227732699</v>
      </c>
      <c r="G242" s="206">
        <v>16.992773</v>
      </c>
      <c r="H242" s="206" t="s">
        <v>771</v>
      </c>
      <c r="I242" s="206">
        <v>1</v>
      </c>
      <c r="J242" s="206"/>
      <c r="K242" s="206">
        <v>3</v>
      </c>
      <c r="L242" s="206" t="s">
        <v>454</v>
      </c>
      <c r="M242" s="206" t="s">
        <v>413</v>
      </c>
      <c r="N242" s="206" t="s">
        <v>773</v>
      </c>
      <c r="O242" s="206" t="s">
        <v>774</v>
      </c>
    </row>
    <row r="243" spans="3:15" x14ac:dyDescent="0.25">
      <c r="C243" s="206" t="s">
        <v>1029</v>
      </c>
      <c r="D243" s="206">
        <v>20</v>
      </c>
      <c r="E243" s="206">
        <v>1097.0741903518376</v>
      </c>
      <c r="F243" s="206">
        <v>2.5387595042702702</v>
      </c>
      <c r="G243" s="206">
        <v>9.3702579999999998</v>
      </c>
      <c r="H243" s="206" t="s">
        <v>771</v>
      </c>
      <c r="I243" s="206">
        <v>1</v>
      </c>
      <c r="J243" s="206"/>
      <c r="K243" s="206">
        <v>3</v>
      </c>
      <c r="L243" s="206" t="s">
        <v>454</v>
      </c>
      <c r="M243" s="206" t="s">
        <v>782</v>
      </c>
      <c r="N243" s="206" t="s">
        <v>776</v>
      </c>
      <c r="O243" s="206" t="s">
        <v>776</v>
      </c>
    </row>
    <row r="244" spans="3:15" x14ac:dyDescent="0.25">
      <c r="C244" s="206" t="s">
        <v>1030</v>
      </c>
      <c r="D244" s="206">
        <v>25</v>
      </c>
      <c r="E244" s="206">
        <v>245.4994819133683</v>
      </c>
      <c r="F244" s="206">
        <v>30.427696228027301</v>
      </c>
      <c r="G244" s="206">
        <v>1.9821678</v>
      </c>
      <c r="H244" s="206" t="s">
        <v>771</v>
      </c>
      <c r="I244" s="206">
        <v>1</v>
      </c>
      <c r="J244" s="206"/>
      <c r="K244" s="206">
        <v>3</v>
      </c>
      <c r="L244" s="206" t="s">
        <v>454</v>
      </c>
      <c r="M244" s="206" t="s">
        <v>772</v>
      </c>
      <c r="N244" s="206" t="s">
        <v>773</v>
      </c>
      <c r="O244" s="206" t="s">
        <v>774</v>
      </c>
    </row>
    <row r="245" spans="3:15" x14ac:dyDescent="0.25">
      <c r="C245" s="206" t="s">
        <v>1031</v>
      </c>
      <c r="D245" s="206">
        <v>250</v>
      </c>
      <c r="E245" s="206">
        <v>10609.123472535777</v>
      </c>
      <c r="F245" s="206">
        <v>13386.7484804549</v>
      </c>
      <c r="G245" s="206">
        <v>29.199724</v>
      </c>
      <c r="H245" s="206" t="s">
        <v>771</v>
      </c>
      <c r="I245" s="206">
        <v>0.63</v>
      </c>
      <c r="J245" s="206"/>
      <c r="K245" s="206">
        <v>3</v>
      </c>
      <c r="L245" s="206" t="s">
        <v>454</v>
      </c>
      <c r="M245" s="206" t="s">
        <v>782</v>
      </c>
      <c r="N245" s="206" t="s">
        <v>776</v>
      </c>
      <c r="O245" s="206" t="s">
        <v>776</v>
      </c>
    </row>
    <row r="246" spans="3:15" x14ac:dyDescent="0.25">
      <c r="C246" s="206" t="s">
        <v>1032</v>
      </c>
      <c r="D246" s="206">
        <v>80</v>
      </c>
      <c r="E246" s="206">
        <v>341.89096565914275</v>
      </c>
      <c r="F246" s="206">
        <v>562.93208777304994</v>
      </c>
      <c r="G246" s="206">
        <v>1.4438841</v>
      </c>
      <c r="H246" s="206" t="s">
        <v>771</v>
      </c>
      <c r="I246" s="206">
        <v>0.65</v>
      </c>
      <c r="J246" s="206"/>
      <c r="K246" s="206">
        <v>3</v>
      </c>
      <c r="L246" s="206" t="s">
        <v>454</v>
      </c>
      <c r="M246" s="206" t="s">
        <v>772</v>
      </c>
      <c r="N246" s="206" t="s">
        <v>773</v>
      </c>
      <c r="O246" s="206" t="s">
        <v>774</v>
      </c>
    </row>
    <row r="247" spans="3:15" x14ac:dyDescent="0.25">
      <c r="C247" s="206" t="s">
        <v>1033</v>
      </c>
      <c r="D247" s="206">
        <v>80</v>
      </c>
      <c r="E247" s="206">
        <v>1578.3379557156752</v>
      </c>
      <c r="F247" s="206">
        <v>617.18597412109398</v>
      </c>
      <c r="G247" s="206">
        <v>6.5763264000000001</v>
      </c>
      <c r="H247" s="206" t="s">
        <v>771</v>
      </c>
      <c r="I247" s="206">
        <v>0.7294998052048729</v>
      </c>
      <c r="J247" s="206"/>
      <c r="K247" s="206">
        <v>3</v>
      </c>
      <c r="L247" s="206" t="s">
        <v>454</v>
      </c>
      <c r="M247" s="206" t="s">
        <v>772</v>
      </c>
      <c r="N247" s="206" t="s">
        <v>773</v>
      </c>
      <c r="O247" s="206" t="s">
        <v>774</v>
      </c>
    </row>
    <row r="248" spans="3:15" x14ac:dyDescent="0.25">
      <c r="C248" s="206" t="s">
        <v>1034</v>
      </c>
      <c r="D248" s="206">
        <v>250</v>
      </c>
      <c r="E248" s="206">
        <v>6988.48823534843</v>
      </c>
      <c r="F248" s="206">
        <v>13063.695060596299</v>
      </c>
      <c r="G248" s="206">
        <v>19.294844000000001</v>
      </c>
      <c r="H248" s="206" t="s">
        <v>771</v>
      </c>
      <c r="I248" s="206">
        <v>0.63</v>
      </c>
      <c r="J248" s="206"/>
      <c r="K248" s="206">
        <v>3</v>
      </c>
      <c r="L248" s="206" t="s">
        <v>454</v>
      </c>
      <c r="M248" s="206" t="s">
        <v>791</v>
      </c>
      <c r="N248" s="206" t="s">
        <v>773</v>
      </c>
      <c r="O248" s="206" t="s">
        <v>800</v>
      </c>
    </row>
    <row r="249" spans="3:15" x14ac:dyDescent="0.25">
      <c r="C249" s="206" t="s">
        <v>1035</v>
      </c>
      <c r="D249" s="206">
        <v>80</v>
      </c>
      <c r="E249" s="206">
        <v>454.77066108021353</v>
      </c>
      <c r="F249" s="206">
        <v>617.18597412109398</v>
      </c>
      <c r="G249" s="206">
        <v>1.8948541999999999</v>
      </c>
      <c r="H249" s="206" t="s">
        <v>771</v>
      </c>
      <c r="I249" s="206">
        <v>0.7294998052048729</v>
      </c>
      <c r="J249" s="206"/>
      <c r="K249" s="206">
        <v>3</v>
      </c>
      <c r="L249" s="206" t="s">
        <v>454</v>
      </c>
      <c r="M249" s="206" t="s">
        <v>772</v>
      </c>
      <c r="N249" s="206" t="s">
        <v>773</v>
      </c>
      <c r="O249" s="206" t="s">
        <v>774</v>
      </c>
    </row>
    <row r="250" spans="3:15" x14ac:dyDescent="0.25">
      <c r="C250" s="206" t="s">
        <v>1036</v>
      </c>
      <c r="D250" s="206">
        <v>32</v>
      </c>
      <c r="E250" s="206">
        <v>4666.3377170084041</v>
      </c>
      <c r="F250" s="206">
        <v>57.845709800720201</v>
      </c>
      <c r="G250" s="206">
        <v>31.596738999999999</v>
      </c>
      <c r="H250" s="206" t="s">
        <v>771</v>
      </c>
      <c r="I250" s="206">
        <v>0.75</v>
      </c>
      <c r="J250" s="206"/>
      <c r="K250" s="206">
        <v>3</v>
      </c>
      <c r="L250" s="206" t="s">
        <v>454</v>
      </c>
      <c r="M250" s="206" t="s">
        <v>413</v>
      </c>
      <c r="N250" s="206" t="s">
        <v>773</v>
      </c>
      <c r="O250" s="206" t="s">
        <v>805</v>
      </c>
    </row>
    <row r="251" spans="3:15" x14ac:dyDescent="0.25">
      <c r="C251" s="206" t="s">
        <v>1037</v>
      </c>
      <c r="D251" s="206">
        <v>40</v>
      </c>
      <c r="E251" s="206">
        <v>964.85423753271095</v>
      </c>
      <c r="F251" s="206">
        <v>119.457427711459</v>
      </c>
      <c r="G251" s="206">
        <v>5.4893966000000001</v>
      </c>
      <c r="H251" s="206" t="s">
        <v>771</v>
      </c>
      <c r="I251" s="206">
        <v>0.81</v>
      </c>
      <c r="J251" s="206"/>
      <c r="K251" s="206">
        <v>3</v>
      </c>
      <c r="L251" s="206" t="s">
        <v>454</v>
      </c>
      <c r="M251" s="206" t="s">
        <v>413</v>
      </c>
      <c r="N251" s="206" t="s">
        <v>773</v>
      </c>
      <c r="O251" s="206" t="s">
        <v>774</v>
      </c>
    </row>
    <row r="252" spans="3:15" x14ac:dyDescent="0.25">
      <c r="C252" s="206" t="s">
        <v>1038</v>
      </c>
      <c r="D252" s="206">
        <v>200</v>
      </c>
      <c r="E252" s="206">
        <v>1852.5495583080162</v>
      </c>
      <c r="F252" s="206">
        <v>5647.44771793778</v>
      </c>
      <c r="G252" s="206">
        <v>5.6654520000000002</v>
      </c>
      <c r="H252" s="206" t="s">
        <v>771</v>
      </c>
      <c r="I252" s="206">
        <v>1</v>
      </c>
      <c r="J252" s="206"/>
      <c r="K252" s="206">
        <v>3</v>
      </c>
      <c r="L252" s="206" t="s">
        <v>454</v>
      </c>
      <c r="M252" s="206" t="s">
        <v>772</v>
      </c>
      <c r="N252" s="206" t="s">
        <v>773</v>
      </c>
      <c r="O252" s="206" t="s">
        <v>788</v>
      </c>
    </row>
    <row r="253" spans="3:15" x14ac:dyDescent="0.25">
      <c r="C253" s="206" t="s">
        <v>1039</v>
      </c>
      <c r="D253" s="206">
        <v>200</v>
      </c>
      <c r="E253" s="206">
        <v>34.854170206847499</v>
      </c>
      <c r="F253" s="206">
        <v>5647.44771793778</v>
      </c>
      <c r="G253" s="206">
        <v>0.10659074</v>
      </c>
      <c r="H253" s="206" t="s">
        <v>771</v>
      </c>
      <c r="I253" s="206">
        <v>1</v>
      </c>
      <c r="J253" s="206"/>
      <c r="K253" s="206">
        <v>3</v>
      </c>
      <c r="L253" s="206" t="s">
        <v>454</v>
      </c>
      <c r="M253" s="206" t="s">
        <v>772</v>
      </c>
      <c r="N253" s="206" t="s">
        <v>773</v>
      </c>
      <c r="O253" s="206" t="s">
        <v>788</v>
      </c>
    </row>
    <row r="254" spans="3:15" x14ac:dyDescent="0.25">
      <c r="C254" s="206" t="s">
        <v>1040</v>
      </c>
      <c r="D254" s="206">
        <v>50</v>
      </c>
      <c r="E254" s="206">
        <v>119.09601818927118</v>
      </c>
      <c r="F254" s="206">
        <v>148.388475348707</v>
      </c>
      <c r="G254" s="206">
        <v>0.64174940000000003</v>
      </c>
      <c r="H254" s="206" t="s">
        <v>771</v>
      </c>
      <c r="I254" s="206">
        <v>0.65</v>
      </c>
      <c r="J254" s="206"/>
      <c r="K254" s="206">
        <v>3</v>
      </c>
      <c r="L254" s="206" t="s">
        <v>454</v>
      </c>
      <c r="M254" s="206" t="s">
        <v>772</v>
      </c>
      <c r="N254" s="206" t="s">
        <v>773</v>
      </c>
      <c r="O254" s="206" t="s">
        <v>774</v>
      </c>
    </row>
    <row r="255" spans="3:15" x14ac:dyDescent="0.25">
      <c r="C255" s="206" t="s">
        <v>1041</v>
      </c>
      <c r="D255" s="206">
        <v>40</v>
      </c>
      <c r="E255" s="206">
        <v>1040.6367771189073</v>
      </c>
      <c r="F255" s="206">
        <v>100.29582977294901</v>
      </c>
      <c r="G255" s="206">
        <v>6.1493089999999997</v>
      </c>
      <c r="H255" s="206" t="s">
        <v>771</v>
      </c>
      <c r="I255" s="206">
        <v>1</v>
      </c>
      <c r="J255" s="206"/>
      <c r="K255" s="206">
        <v>3</v>
      </c>
      <c r="L255" s="206" t="s">
        <v>454</v>
      </c>
      <c r="M255" s="206" t="s">
        <v>791</v>
      </c>
      <c r="N255" s="206" t="s">
        <v>773</v>
      </c>
      <c r="O255" s="206" t="s">
        <v>792</v>
      </c>
    </row>
    <row r="256" spans="3:15" x14ac:dyDescent="0.25">
      <c r="C256" s="206" t="s">
        <v>1042</v>
      </c>
      <c r="D256" s="206">
        <v>80</v>
      </c>
      <c r="E256" s="206">
        <v>1224.4096841686505</v>
      </c>
      <c r="F256" s="206">
        <v>617.18597412109398</v>
      </c>
      <c r="G256" s="206">
        <v>5.1016436000000001</v>
      </c>
      <c r="H256" s="206" t="s">
        <v>771</v>
      </c>
      <c r="I256" s="206">
        <v>0.7294998052048729</v>
      </c>
      <c r="J256" s="206"/>
      <c r="K256" s="206">
        <v>3</v>
      </c>
      <c r="L256" s="206" t="s">
        <v>454</v>
      </c>
      <c r="M256" s="206" t="s">
        <v>772</v>
      </c>
      <c r="N256" s="206" t="s">
        <v>773</v>
      </c>
      <c r="O256" s="206" t="s">
        <v>774</v>
      </c>
    </row>
    <row r="257" spans="3:15" x14ac:dyDescent="0.25">
      <c r="C257" s="206" t="s">
        <v>1043</v>
      </c>
      <c r="D257" s="206">
        <v>125</v>
      </c>
      <c r="E257" s="206">
        <v>9953.3622873137356</v>
      </c>
      <c r="F257" s="206">
        <v>1647.9596320257999</v>
      </c>
      <c r="G257" s="206">
        <v>35.648871999999997</v>
      </c>
      <c r="H257" s="206" t="s">
        <v>771</v>
      </c>
      <c r="I257" s="206">
        <v>0.63</v>
      </c>
      <c r="J257" s="206"/>
      <c r="K257" s="206">
        <v>3</v>
      </c>
      <c r="L257" s="206" t="s">
        <v>454</v>
      </c>
      <c r="M257" s="206" t="s">
        <v>413</v>
      </c>
      <c r="N257" s="206" t="s">
        <v>776</v>
      </c>
      <c r="O257" s="206" t="s">
        <v>776</v>
      </c>
    </row>
    <row r="258" spans="3:15" x14ac:dyDescent="0.25">
      <c r="C258" s="206" t="s">
        <v>1044</v>
      </c>
      <c r="D258" s="206">
        <v>200</v>
      </c>
      <c r="E258" s="206">
        <v>1679.5756500972491</v>
      </c>
      <c r="F258" s="206">
        <v>5647.44771793778</v>
      </c>
      <c r="G258" s="206">
        <v>5.1364646</v>
      </c>
      <c r="H258" s="206" t="s">
        <v>771</v>
      </c>
      <c r="I258" s="206">
        <v>1</v>
      </c>
      <c r="J258" s="206"/>
      <c r="K258" s="206">
        <v>3</v>
      </c>
      <c r="L258" s="206" t="s">
        <v>454</v>
      </c>
      <c r="M258" s="206" t="s">
        <v>413</v>
      </c>
      <c r="N258" s="206" t="s">
        <v>773</v>
      </c>
      <c r="O258" s="206" t="s">
        <v>774</v>
      </c>
    </row>
    <row r="259" spans="3:15" x14ac:dyDescent="0.25">
      <c r="C259" s="206" t="s">
        <v>1045</v>
      </c>
      <c r="D259" s="206">
        <v>65</v>
      </c>
      <c r="E259" s="206">
        <v>1716.4986530787066</v>
      </c>
      <c r="F259" s="206">
        <v>319.08547260653</v>
      </c>
      <c r="G259" s="206">
        <v>8.0341129999999996</v>
      </c>
      <c r="H259" s="206" t="s">
        <v>771</v>
      </c>
      <c r="I259" s="206">
        <v>0.65</v>
      </c>
      <c r="J259" s="206"/>
      <c r="K259" s="206">
        <v>3</v>
      </c>
      <c r="L259" s="206" t="s">
        <v>454</v>
      </c>
      <c r="M259" s="206" t="s">
        <v>772</v>
      </c>
      <c r="N259" s="206" t="s">
        <v>773</v>
      </c>
      <c r="O259" s="206" t="s">
        <v>774</v>
      </c>
    </row>
    <row r="260" spans="3:15" x14ac:dyDescent="0.25">
      <c r="C260" s="206" t="s">
        <v>1046</v>
      </c>
      <c r="D260" s="206">
        <v>80</v>
      </c>
      <c r="E260" s="206">
        <v>1295.7075542130435</v>
      </c>
      <c r="F260" s="206">
        <v>562.93208777304994</v>
      </c>
      <c r="G260" s="206">
        <v>5.4720706999999997</v>
      </c>
      <c r="H260" s="206" t="s">
        <v>771</v>
      </c>
      <c r="I260" s="206">
        <v>0.65</v>
      </c>
      <c r="J260" s="206"/>
      <c r="K260" s="206">
        <v>3</v>
      </c>
      <c r="L260" s="206" t="s">
        <v>454</v>
      </c>
      <c r="M260" s="206" t="s">
        <v>772</v>
      </c>
      <c r="N260" s="206" t="s">
        <v>773</v>
      </c>
      <c r="O260" s="206" t="s">
        <v>774</v>
      </c>
    </row>
    <row r="261" spans="3:15" x14ac:dyDescent="0.25">
      <c r="C261" s="206" t="s">
        <v>1047</v>
      </c>
      <c r="D261" s="206">
        <v>125</v>
      </c>
      <c r="E261" s="206">
        <v>333.691065928515</v>
      </c>
      <c r="F261" s="206">
        <v>1784.5899527449401</v>
      </c>
      <c r="G261" s="206">
        <v>1.1835262</v>
      </c>
      <c r="H261" s="206" t="s">
        <v>771</v>
      </c>
      <c r="I261" s="206">
        <v>1</v>
      </c>
      <c r="J261" s="206"/>
      <c r="K261" s="206">
        <v>3</v>
      </c>
      <c r="L261" s="206" t="s">
        <v>454</v>
      </c>
      <c r="M261" s="206" t="s">
        <v>782</v>
      </c>
      <c r="N261" s="206" t="s">
        <v>776</v>
      </c>
      <c r="O261" s="206" t="s">
        <v>776</v>
      </c>
    </row>
    <row r="262" spans="3:15" x14ac:dyDescent="0.25">
      <c r="C262" s="206" t="s">
        <v>1048</v>
      </c>
      <c r="D262" s="206">
        <v>100</v>
      </c>
      <c r="E262" s="206">
        <v>2341.3733196119219</v>
      </c>
      <c r="F262" s="206">
        <v>962.60109389794502</v>
      </c>
      <c r="G262" s="206">
        <v>9.0831859999999995</v>
      </c>
      <c r="H262" s="206" t="s">
        <v>771</v>
      </c>
      <c r="I262" s="206">
        <v>0.64</v>
      </c>
      <c r="J262" s="206"/>
      <c r="K262" s="206">
        <v>3</v>
      </c>
      <c r="L262" s="206" t="s">
        <v>454</v>
      </c>
      <c r="M262" s="206" t="s">
        <v>413</v>
      </c>
      <c r="N262" s="206" t="s">
        <v>773</v>
      </c>
      <c r="O262" s="206" t="s">
        <v>800</v>
      </c>
    </row>
    <row r="263" spans="3:15" x14ac:dyDescent="0.25">
      <c r="C263" s="206" t="s">
        <v>1049</v>
      </c>
      <c r="D263" s="206">
        <v>200</v>
      </c>
      <c r="E263" s="206">
        <v>3681.8390039562564</v>
      </c>
      <c r="F263" s="206">
        <v>7368.8380004882902</v>
      </c>
      <c r="G263" s="206">
        <v>10.875268999999999</v>
      </c>
      <c r="H263" s="206" t="s">
        <v>771</v>
      </c>
      <c r="I263" s="206">
        <v>0.63</v>
      </c>
      <c r="J263" s="206"/>
      <c r="K263" s="206">
        <v>3</v>
      </c>
      <c r="L263" s="206" t="s">
        <v>454</v>
      </c>
      <c r="M263" s="206" t="s">
        <v>772</v>
      </c>
      <c r="N263" s="206" t="s">
        <v>773</v>
      </c>
      <c r="O263" s="206" t="s">
        <v>774</v>
      </c>
    </row>
    <row r="264" spans="3:15" x14ac:dyDescent="0.25">
      <c r="C264" s="206" t="s">
        <v>1050</v>
      </c>
      <c r="D264" s="206">
        <v>80</v>
      </c>
      <c r="E264" s="206">
        <v>1398.8539086181086</v>
      </c>
      <c r="F264" s="206">
        <v>617.18597412109398</v>
      </c>
      <c r="G264" s="206">
        <v>5.8284855000000002</v>
      </c>
      <c r="H264" s="206" t="s">
        <v>771</v>
      </c>
      <c r="I264" s="206">
        <v>0.7294998052048729</v>
      </c>
      <c r="J264" s="206"/>
      <c r="K264" s="206">
        <v>3</v>
      </c>
      <c r="L264" s="206" t="s">
        <v>454</v>
      </c>
      <c r="M264" s="206" t="s">
        <v>791</v>
      </c>
      <c r="N264" s="206" t="s">
        <v>773</v>
      </c>
      <c r="O264" s="206" t="s">
        <v>800</v>
      </c>
    </row>
    <row r="265" spans="3:15" x14ac:dyDescent="0.25">
      <c r="C265" s="206" t="s">
        <v>1051</v>
      </c>
      <c r="D265" s="206">
        <v>400</v>
      </c>
      <c r="E265" s="206">
        <v>1069.5764107586369</v>
      </c>
      <c r="F265" s="206">
        <v>27339.509060267901</v>
      </c>
      <c r="G265" s="206">
        <v>2.7359874</v>
      </c>
      <c r="H265" s="206" t="s">
        <v>771</v>
      </c>
      <c r="I265" s="206">
        <v>0.62</v>
      </c>
      <c r="J265" s="206"/>
      <c r="K265" s="206">
        <v>3</v>
      </c>
      <c r="L265" s="206" t="s">
        <v>454</v>
      </c>
      <c r="M265" s="206" t="s">
        <v>782</v>
      </c>
      <c r="N265" s="206" t="s">
        <v>776</v>
      </c>
      <c r="O265" s="206" t="s">
        <v>776</v>
      </c>
    </row>
    <row r="266" spans="3:15" x14ac:dyDescent="0.25">
      <c r="C266" s="206" t="s">
        <v>1052</v>
      </c>
      <c r="D266" s="206">
        <v>65</v>
      </c>
      <c r="E266" s="206">
        <v>1311.1180988756507</v>
      </c>
      <c r="F266" s="206">
        <v>316.28182983398398</v>
      </c>
      <c r="G266" s="206">
        <v>6.145238</v>
      </c>
      <c r="H266" s="206" t="s">
        <v>771</v>
      </c>
      <c r="I266" s="206">
        <v>0.75000000000000089</v>
      </c>
      <c r="J266" s="206"/>
      <c r="K266" s="206">
        <v>3</v>
      </c>
      <c r="L266" s="206" t="s">
        <v>454</v>
      </c>
      <c r="M266" s="206" t="s">
        <v>413</v>
      </c>
      <c r="N266" s="206" t="s">
        <v>776</v>
      </c>
      <c r="O266" s="206" t="s">
        <v>776</v>
      </c>
    </row>
    <row r="267" spans="3:15" x14ac:dyDescent="0.25">
      <c r="C267" s="206" t="s">
        <v>1053</v>
      </c>
      <c r="D267" s="206">
        <v>125</v>
      </c>
      <c r="E267" s="206">
        <v>743.67473349997533</v>
      </c>
      <c r="F267" s="206">
        <v>1598.07043457031</v>
      </c>
      <c r="G267" s="206">
        <v>2.6731207000000001</v>
      </c>
      <c r="H267" s="206" t="s">
        <v>771</v>
      </c>
      <c r="I267" s="206">
        <v>0.81000000000000183</v>
      </c>
      <c r="J267" s="206" t="s">
        <v>795</v>
      </c>
      <c r="K267" s="206"/>
      <c r="L267" s="206"/>
      <c r="M267" s="206"/>
      <c r="N267" s="206"/>
      <c r="O267" s="206"/>
    </row>
    <row r="268" spans="3:15" x14ac:dyDescent="0.25">
      <c r="C268" s="206" t="s">
        <v>1054</v>
      </c>
      <c r="D268" s="206">
        <v>125</v>
      </c>
      <c r="E268" s="206">
        <v>17147.786667014167</v>
      </c>
      <c r="F268" s="206">
        <v>1523.083984375</v>
      </c>
      <c r="G268" s="206">
        <v>61.9724</v>
      </c>
      <c r="H268" s="206" t="s">
        <v>771</v>
      </c>
      <c r="I268" s="206">
        <v>0.80547730167345055</v>
      </c>
      <c r="J268" s="206"/>
      <c r="K268" s="206">
        <v>3</v>
      </c>
      <c r="L268" s="206" t="s">
        <v>454</v>
      </c>
      <c r="M268" s="206" t="s">
        <v>413</v>
      </c>
      <c r="N268" s="206" t="s">
        <v>776</v>
      </c>
      <c r="O268" s="206" t="s">
        <v>776</v>
      </c>
    </row>
    <row r="269" spans="3:15" x14ac:dyDescent="0.25">
      <c r="C269" s="206" t="s">
        <v>1055</v>
      </c>
      <c r="D269" s="206">
        <v>200</v>
      </c>
      <c r="E269" s="206">
        <v>1586.1033670317845</v>
      </c>
      <c r="F269" s="206">
        <v>5175.2299023437699</v>
      </c>
      <c r="G269" s="206">
        <v>4.9012064999999998</v>
      </c>
      <c r="H269" s="206" t="s">
        <v>771</v>
      </c>
      <c r="I269" s="206">
        <v>0.64</v>
      </c>
      <c r="J269" s="206"/>
      <c r="K269" s="206">
        <v>3</v>
      </c>
      <c r="L269" s="206" t="s">
        <v>454</v>
      </c>
      <c r="M269" s="206" t="s">
        <v>782</v>
      </c>
      <c r="N269" s="206" t="s">
        <v>776</v>
      </c>
      <c r="O269" s="206" t="s">
        <v>776</v>
      </c>
    </row>
    <row r="270" spans="3:15" x14ac:dyDescent="0.25">
      <c r="C270" s="206" t="s">
        <v>1056</v>
      </c>
      <c r="D270" s="206">
        <v>200</v>
      </c>
      <c r="E270" s="206">
        <v>4906.3990221869999</v>
      </c>
      <c r="F270" s="206">
        <v>5175.2299023437699</v>
      </c>
      <c r="G270" s="206">
        <v>15.161227999999999</v>
      </c>
      <c r="H270" s="206" t="s">
        <v>771</v>
      </c>
      <c r="I270" s="206">
        <v>0.64</v>
      </c>
      <c r="J270" s="206"/>
      <c r="K270" s="206">
        <v>3</v>
      </c>
      <c r="L270" s="206" t="s">
        <v>454</v>
      </c>
      <c r="M270" s="206" t="s">
        <v>772</v>
      </c>
      <c r="N270" s="206" t="s">
        <v>932</v>
      </c>
      <c r="O270" s="206" t="s">
        <v>788</v>
      </c>
    </row>
    <row r="271" spans="3:15" x14ac:dyDescent="0.25">
      <c r="C271" s="206" t="s">
        <v>1057</v>
      </c>
      <c r="D271" s="206">
        <v>80</v>
      </c>
      <c r="E271" s="206">
        <v>1722.6126531392777</v>
      </c>
      <c r="F271" s="206">
        <v>617.18597412109398</v>
      </c>
      <c r="G271" s="206">
        <v>7.1774635</v>
      </c>
      <c r="H271" s="206" t="s">
        <v>771</v>
      </c>
      <c r="I271" s="206">
        <v>0.7294998052048729</v>
      </c>
      <c r="J271" s="206"/>
      <c r="K271" s="206">
        <v>3</v>
      </c>
      <c r="L271" s="206" t="s">
        <v>454</v>
      </c>
      <c r="M271" s="206" t="s">
        <v>772</v>
      </c>
      <c r="N271" s="206" t="s">
        <v>773</v>
      </c>
      <c r="O271" s="206" t="s">
        <v>774</v>
      </c>
    </row>
    <row r="272" spans="3:15" x14ac:dyDescent="0.25">
      <c r="C272" s="206" t="s">
        <v>1058</v>
      </c>
      <c r="D272" s="206">
        <v>125</v>
      </c>
      <c r="E272" s="206">
        <v>4265.3374738298025</v>
      </c>
      <c r="F272" s="206">
        <v>1523.083984375</v>
      </c>
      <c r="G272" s="206">
        <v>15.415004</v>
      </c>
      <c r="H272" s="206" t="s">
        <v>771</v>
      </c>
      <c r="I272" s="206">
        <v>0.80547730167345055</v>
      </c>
      <c r="J272" s="206"/>
      <c r="K272" s="206">
        <v>3</v>
      </c>
      <c r="L272" s="206" t="s">
        <v>454</v>
      </c>
      <c r="M272" s="206" t="s">
        <v>413</v>
      </c>
      <c r="N272" s="206" t="s">
        <v>773</v>
      </c>
      <c r="O272" s="206" t="s">
        <v>805</v>
      </c>
    </row>
    <row r="273" spans="3:15" x14ac:dyDescent="0.25">
      <c r="C273" s="206" t="s">
        <v>1059</v>
      </c>
      <c r="D273" s="206">
        <v>65</v>
      </c>
      <c r="E273" s="206">
        <v>898.65442481992329</v>
      </c>
      <c r="F273" s="206">
        <v>491.91031249461201</v>
      </c>
      <c r="G273" s="206">
        <v>3.8750577000000002</v>
      </c>
      <c r="H273" s="206" t="s">
        <v>771</v>
      </c>
      <c r="I273" s="206">
        <v>0.64</v>
      </c>
      <c r="J273" s="206"/>
      <c r="K273" s="206">
        <v>3</v>
      </c>
      <c r="L273" s="206" t="s">
        <v>454</v>
      </c>
      <c r="M273" s="206" t="s">
        <v>772</v>
      </c>
      <c r="N273" s="206" t="s">
        <v>773</v>
      </c>
      <c r="O273" s="206" t="s">
        <v>774</v>
      </c>
    </row>
    <row r="274" spans="3:15" x14ac:dyDescent="0.25">
      <c r="C274" s="206" t="s">
        <v>1060</v>
      </c>
      <c r="D274" s="206">
        <v>25</v>
      </c>
      <c r="E274" s="206">
        <v>143.72940087306552</v>
      </c>
      <c r="F274" s="206">
        <v>30.427696228027301</v>
      </c>
      <c r="G274" s="206">
        <v>1.1604741000000001</v>
      </c>
      <c r="H274" s="206" t="s">
        <v>771</v>
      </c>
      <c r="I274" s="206">
        <v>1</v>
      </c>
      <c r="J274" s="206"/>
      <c r="K274" s="206">
        <v>3</v>
      </c>
      <c r="L274" s="206" t="s">
        <v>454</v>
      </c>
      <c r="M274" s="206" t="s">
        <v>772</v>
      </c>
      <c r="N274" s="206" t="s">
        <v>773</v>
      </c>
      <c r="O274" s="206" t="s">
        <v>774</v>
      </c>
    </row>
    <row r="275" spans="3:15" x14ac:dyDescent="0.25">
      <c r="C275" s="206" t="s">
        <v>1061</v>
      </c>
      <c r="D275" s="206">
        <v>100</v>
      </c>
      <c r="E275" s="206">
        <v>1358.1924615461771</v>
      </c>
      <c r="F275" s="206">
        <v>962.60109389794502</v>
      </c>
      <c r="G275" s="206">
        <v>5.2690080000000004</v>
      </c>
      <c r="H275" s="206" t="s">
        <v>771</v>
      </c>
      <c r="I275" s="206">
        <v>0.64</v>
      </c>
      <c r="J275" s="206"/>
      <c r="K275" s="206">
        <v>3</v>
      </c>
      <c r="L275" s="206" t="s">
        <v>454</v>
      </c>
      <c r="M275" s="206" t="s">
        <v>413</v>
      </c>
      <c r="N275" s="206" t="s">
        <v>773</v>
      </c>
      <c r="O275" s="206" t="s">
        <v>800</v>
      </c>
    </row>
    <row r="276" spans="3:15" x14ac:dyDescent="0.25">
      <c r="C276" s="206" t="s">
        <v>1062</v>
      </c>
      <c r="D276" s="206">
        <v>20</v>
      </c>
      <c r="E276" s="206">
        <v>50.096427263022221</v>
      </c>
      <c r="F276" s="206">
        <v>2.91598506120499</v>
      </c>
      <c r="G276" s="206">
        <v>0.3373138</v>
      </c>
      <c r="H276" s="206" t="s">
        <v>771</v>
      </c>
      <c r="I276" s="206">
        <v>1</v>
      </c>
      <c r="J276" s="206"/>
      <c r="K276" s="206">
        <v>3</v>
      </c>
      <c r="L276" s="206" t="s">
        <v>454</v>
      </c>
      <c r="M276" s="206" t="s">
        <v>772</v>
      </c>
      <c r="N276" s="206" t="s">
        <v>773</v>
      </c>
      <c r="O276" s="206" t="s">
        <v>774</v>
      </c>
    </row>
    <row r="277" spans="3:15" x14ac:dyDescent="0.25">
      <c r="C277" s="206" t="s">
        <v>1063</v>
      </c>
      <c r="D277" s="206">
        <v>100</v>
      </c>
      <c r="E277" s="206">
        <v>17812.992711822455</v>
      </c>
      <c r="F277" s="206">
        <v>1483.19997479839</v>
      </c>
      <c r="G277" s="206">
        <v>64.76379</v>
      </c>
      <c r="H277" s="206" t="s">
        <v>771</v>
      </c>
      <c r="I277" s="206">
        <v>1</v>
      </c>
      <c r="J277" s="206"/>
      <c r="K277" s="206">
        <v>3</v>
      </c>
      <c r="L277" s="206" t="s">
        <v>454</v>
      </c>
      <c r="M277" s="206" t="s">
        <v>772</v>
      </c>
      <c r="N277" s="206" t="s">
        <v>773</v>
      </c>
      <c r="O277" s="206" t="s">
        <v>785</v>
      </c>
    </row>
    <row r="278" spans="3:15" x14ac:dyDescent="0.25">
      <c r="C278" s="206" t="s">
        <v>1064</v>
      </c>
      <c r="D278" s="206">
        <v>200</v>
      </c>
      <c r="E278" s="206">
        <v>3933.6466640800713</v>
      </c>
      <c r="F278" s="206">
        <v>5175.2299023437699</v>
      </c>
      <c r="G278" s="206">
        <v>12.155333000000001</v>
      </c>
      <c r="H278" s="206" t="s">
        <v>771</v>
      </c>
      <c r="I278" s="206">
        <v>0.64</v>
      </c>
      <c r="J278" s="206"/>
      <c r="K278" s="206">
        <v>3</v>
      </c>
      <c r="L278" s="206" t="s">
        <v>454</v>
      </c>
      <c r="M278" s="206" t="s">
        <v>772</v>
      </c>
      <c r="N278" s="206" t="s">
        <v>773</v>
      </c>
      <c r="O278" s="206" t="s">
        <v>774</v>
      </c>
    </row>
    <row r="279" spans="3:15" x14ac:dyDescent="0.25">
      <c r="C279" s="206" t="s">
        <v>1065</v>
      </c>
      <c r="D279" s="206">
        <v>20</v>
      </c>
      <c r="E279" s="206">
        <v>1371.2196278278714</v>
      </c>
      <c r="F279" s="206">
        <v>1</v>
      </c>
      <c r="G279" s="206">
        <v>11.711771000000001</v>
      </c>
      <c r="H279" s="206" t="s">
        <v>771</v>
      </c>
      <c r="I279" s="206">
        <v>1</v>
      </c>
      <c r="J279" s="206"/>
      <c r="K279" s="206">
        <v>3</v>
      </c>
      <c r="L279" s="206" t="s">
        <v>454</v>
      </c>
      <c r="M279" s="206" t="s">
        <v>791</v>
      </c>
      <c r="N279" s="206" t="s">
        <v>773</v>
      </c>
      <c r="O279" s="206" t="s">
        <v>800</v>
      </c>
    </row>
    <row r="280" spans="3:15" x14ac:dyDescent="0.25">
      <c r="C280" s="206" t="s">
        <v>1066</v>
      </c>
      <c r="D280" s="206">
        <v>50</v>
      </c>
      <c r="E280" s="206">
        <v>5851.832260947077</v>
      </c>
      <c r="F280" s="206">
        <v>148.388475348707</v>
      </c>
      <c r="G280" s="206">
        <v>31.532623000000001</v>
      </c>
      <c r="H280" s="206" t="s">
        <v>771</v>
      </c>
      <c r="I280" s="206">
        <v>0.65</v>
      </c>
      <c r="J280" s="206"/>
      <c r="K280" s="206">
        <v>3</v>
      </c>
      <c r="L280" s="206" t="s">
        <v>454</v>
      </c>
      <c r="M280" s="206" t="s">
        <v>772</v>
      </c>
      <c r="N280" s="206" t="s">
        <v>773</v>
      </c>
      <c r="O280" s="206" t="s">
        <v>774</v>
      </c>
    </row>
    <row r="281" spans="3:15" x14ac:dyDescent="0.25">
      <c r="C281" s="206" t="s">
        <v>1067</v>
      </c>
      <c r="D281" s="206">
        <v>65</v>
      </c>
      <c r="E281" s="206">
        <v>341.99986880914605</v>
      </c>
      <c r="F281" s="206">
        <v>491.91031249461201</v>
      </c>
      <c r="G281" s="206">
        <v>1.4747262000000001</v>
      </c>
      <c r="H281" s="206" t="s">
        <v>771</v>
      </c>
      <c r="I281" s="206">
        <v>0.64</v>
      </c>
      <c r="J281" s="206"/>
      <c r="K281" s="206">
        <v>3</v>
      </c>
      <c r="L281" s="206" t="s">
        <v>454</v>
      </c>
      <c r="M281" s="206" t="s">
        <v>772</v>
      </c>
      <c r="N281" s="206" t="s">
        <v>773</v>
      </c>
      <c r="O281" s="206" t="s">
        <v>774</v>
      </c>
    </row>
    <row r="282" spans="3:15" x14ac:dyDescent="0.25">
      <c r="C282" s="206" t="s">
        <v>1068</v>
      </c>
      <c r="D282" s="206">
        <v>65</v>
      </c>
      <c r="E282" s="206">
        <v>7.979657096241092</v>
      </c>
      <c r="F282" s="206">
        <v>316.28182983398398</v>
      </c>
      <c r="G282" s="206">
        <v>3.7400820000000001E-2</v>
      </c>
      <c r="H282" s="206" t="s">
        <v>771</v>
      </c>
      <c r="I282" s="206">
        <v>0.75000000000000089</v>
      </c>
      <c r="J282" s="206"/>
      <c r="K282" s="206">
        <v>3</v>
      </c>
      <c r="L282" s="206" t="s">
        <v>454</v>
      </c>
      <c r="M282" s="206" t="s">
        <v>782</v>
      </c>
      <c r="N282" s="206" t="s">
        <v>776</v>
      </c>
      <c r="O282" s="206" t="s">
        <v>776</v>
      </c>
    </row>
    <row r="283" spans="3:15" x14ac:dyDescent="0.25">
      <c r="C283" s="206" t="s">
        <v>1069</v>
      </c>
      <c r="D283" s="206">
        <v>40</v>
      </c>
      <c r="E283" s="206">
        <v>32.390668393115938</v>
      </c>
      <c r="F283" s="206">
        <v>116.80722045898401</v>
      </c>
      <c r="G283" s="206">
        <v>0.18523502</v>
      </c>
      <c r="H283" s="206" t="s">
        <v>771</v>
      </c>
      <c r="I283" s="206">
        <v>0.72000000000000142</v>
      </c>
      <c r="J283" s="206"/>
      <c r="K283" s="206">
        <v>3</v>
      </c>
      <c r="L283" s="206" t="s">
        <v>454</v>
      </c>
      <c r="M283" s="206" t="s">
        <v>772</v>
      </c>
      <c r="N283" s="206" t="s">
        <v>773</v>
      </c>
      <c r="O283" s="206" t="s">
        <v>774</v>
      </c>
    </row>
    <row r="284" spans="3:15" x14ac:dyDescent="0.25">
      <c r="C284" s="206" t="s">
        <v>1070</v>
      </c>
      <c r="D284" s="206">
        <v>25</v>
      </c>
      <c r="E284" s="206">
        <v>158.42556405336978</v>
      </c>
      <c r="F284" s="206">
        <v>25.546085357666001</v>
      </c>
      <c r="G284" s="206">
        <v>1.3386644000000001</v>
      </c>
      <c r="H284" s="206" t="s">
        <v>771</v>
      </c>
      <c r="I284" s="206">
        <v>0.81000000000011196</v>
      </c>
      <c r="J284" s="206"/>
      <c r="K284" s="206">
        <v>3</v>
      </c>
      <c r="L284" s="206" t="s">
        <v>454</v>
      </c>
      <c r="M284" s="206" t="s">
        <v>772</v>
      </c>
      <c r="N284" s="206" t="s">
        <v>773</v>
      </c>
      <c r="O284" s="206" t="s">
        <v>774</v>
      </c>
    </row>
    <row r="285" spans="3:15" x14ac:dyDescent="0.25">
      <c r="C285" s="206" t="s">
        <v>1071</v>
      </c>
      <c r="D285" s="206">
        <v>400</v>
      </c>
      <c r="E285" s="206">
        <v>367.7033248654127</v>
      </c>
      <c r="F285" s="206">
        <v>26893.983908885599</v>
      </c>
      <c r="G285" s="206">
        <v>0.94194310000000003</v>
      </c>
      <c r="H285" s="206" t="s">
        <v>771</v>
      </c>
      <c r="I285" s="206">
        <v>0.62</v>
      </c>
      <c r="J285" s="206"/>
      <c r="K285" s="206">
        <v>3</v>
      </c>
      <c r="L285" s="206" t="s">
        <v>454</v>
      </c>
      <c r="M285" s="206" t="s">
        <v>413</v>
      </c>
      <c r="N285" s="206" t="s">
        <v>773</v>
      </c>
      <c r="O285" s="206" t="s">
        <v>800</v>
      </c>
    </row>
    <row r="286" spans="3:15" x14ac:dyDescent="0.25">
      <c r="C286" s="206" t="s">
        <v>1072</v>
      </c>
      <c r="D286" s="206">
        <v>80</v>
      </c>
      <c r="E286" s="206">
        <v>1566.0560390473925</v>
      </c>
      <c r="F286" s="206">
        <v>679.71806616464198</v>
      </c>
      <c r="G286" s="206">
        <v>6.4258660000000001</v>
      </c>
      <c r="H286" s="206" t="s">
        <v>771</v>
      </c>
      <c r="I286" s="206">
        <v>0.67</v>
      </c>
      <c r="J286" s="206"/>
      <c r="K286" s="206">
        <v>3</v>
      </c>
      <c r="L286" s="206" t="s">
        <v>454</v>
      </c>
      <c r="M286" s="206" t="s">
        <v>791</v>
      </c>
      <c r="N286" s="206" t="s">
        <v>773</v>
      </c>
      <c r="O286" s="206" t="s">
        <v>792</v>
      </c>
    </row>
    <row r="287" spans="3:15" x14ac:dyDescent="0.25">
      <c r="C287" s="206" t="s">
        <v>1073</v>
      </c>
      <c r="D287" s="206">
        <v>50</v>
      </c>
      <c r="E287" s="206">
        <v>659.00838826396421</v>
      </c>
      <c r="F287" s="206">
        <v>148.388475348707</v>
      </c>
      <c r="G287" s="206">
        <v>3.5510695000000001</v>
      </c>
      <c r="H287" s="206" t="s">
        <v>771</v>
      </c>
      <c r="I287" s="206">
        <v>0.65</v>
      </c>
      <c r="J287" s="206"/>
      <c r="K287" s="206">
        <v>3</v>
      </c>
      <c r="L287" s="206" t="s">
        <v>454</v>
      </c>
      <c r="M287" s="206" t="s">
        <v>772</v>
      </c>
      <c r="N287" s="206" t="s">
        <v>773</v>
      </c>
      <c r="O287" s="206" t="s">
        <v>774</v>
      </c>
    </row>
    <row r="288" spans="3:15" x14ac:dyDescent="0.25">
      <c r="C288" s="206" t="s">
        <v>1074</v>
      </c>
      <c r="D288" s="206">
        <v>65</v>
      </c>
      <c r="E288" s="206">
        <v>1510.8741347617088</v>
      </c>
      <c r="F288" s="206">
        <v>479.31744384765602</v>
      </c>
      <c r="G288" s="206">
        <v>6.5525755999999999</v>
      </c>
      <c r="H288" s="206" t="s">
        <v>771</v>
      </c>
      <c r="I288" s="206">
        <v>0.7</v>
      </c>
      <c r="J288" s="206"/>
      <c r="K288" s="206">
        <v>3</v>
      </c>
      <c r="L288" s="206" t="s">
        <v>454</v>
      </c>
      <c r="M288" s="206" t="s">
        <v>782</v>
      </c>
      <c r="N288" s="206" t="s">
        <v>776</v>
      </c>
      <c r="O288" s="206" t="s">
        <v>776</v>
      </c>
    </row>
    <row r="289" spans="3:15" x14ac:dyDescent="0.25">
      <c r="C289" s="206" t="s">
        <v>1075</v>
      </c>
      <c r="D289" s="206">
        <v>80</v>
      </c>
      <c r="E289" s="206">
        <v>7703.544375497182</v>
      </c>
      <c r="F289" s="206">
        <v>667.92590213301196</v>
      </c>
      <c r="G289" s="206">
        <v>31.700265999999999</v>
      </c>
      <c r="H289" s="206" t="s">
        <v>771</v>
      </c>
      <c r="I289" s="206">
        <v>0.63</v>
      </c>
      <c r="J289" s="206"/>
      <c r="K289" s="206">
        <v>3</v>
      </c>
      <c r="L289" s="206" t="s">
        <v>454</v>
      </c>
      <c r="M289" s="206" t="s">
        <v>772</v>
      </c>
      <c r="N289" s="206" t="s">
        <v>773</v>
      </c>
      <c r="O289" s="206" t="s">
        <v>774</v>
      </c>
    </row>
    <row r="290" spans="3:15" x14ac:dyDescent="0.25">
      <c r="C290" s="206" t="s">
        <v>1076</v>
      </c>
      <c r="D290" s="206">
        <v>65</v>
      </c>
      <c r="E290" s="206">
        <v>329.90656303470865</v>
      </c>
      <c r="F290" s="206">
        <v>366.340331913667</v>
      </c>
      <c r="G290" s="206">
        <v>1.5402182</v>
      </c>
      <c r="H290" s="206" t="s">
        <v>771</v>
      </c>
      <c r="I290" s="206">
        <v>0.74826912236183685</v>
      </c>
      <c r="J290" s="206"/>
      <c r="K290" s="206">
        <v>3</v>
      </c>
      <c r="L290" s="206" t="s">
        <v>454</v>
      </c>
      <c r="M290" s="206" t="s">
        <v>772</v>
      </c>
      <c r="N290" s="206" t="s">
        <v>773</v>
      </c>
      <c r="O290" s="206" t="s">
        <v>774</v>
      </c>
    </row>
    <row r="291" spans="3:15" x14ac:dyDescent="0.25">
      <c r="C291" s="206" t="s">
        <v>1077</v>
      </c>
      <c r="D291" s="206">
        <v>65</v>
      </c>
      <c r="E291" s="206">
        <v>732.85558636161636</v>
      </c>
      <c r="F291" s="206">
        <v>319.08547260653</v>
      </c>
      <c r="G291" s="206">
        <v>3.4301480999999998</v>
      </c>
      <c r="H291" s="206" t="s">
        <v>771</v>
      </c>
      <c r="I291" s="206">
        <v>0.65</v>
      </c>
      <c r="J291" s="206"/>
      <c r="K291" s="206">
        <v>3</v>
      </c>
      <c r="L291" s="206" t="s">
        <v>454</v>
      </c>
      <c r="M291" s="206" t="s">
        <v>413</v>
      </c>
      <c r="N291" s="206" t="s">
        <v>773</v>
      </c>
      <c r="O291" s="206" t="s">
        <v>774</v>
      </c>
    </row>
    <row r="292" spans="3:15" x14ac:dyDescent="0.25">
      <c r="C292" s="206" t="s">
        <v>1078</v>
      </c>
      <c r="D292" s="206">
        <v>65</v>
      </c>
      <c r="E292" s="206">
        <v>830.34902042740657</v>
      </c>
      <c r="F292" s="206">
        <v>479.31744384765602</v>
      </c>
      <c r="G292" s="206">
        <v>3.6011766999999999</v>
      </c>
      <c r="H292" s="206" t="s">
        <v>771</v>
      </c>
      <c r="I292" s="206">
        <v>0.7</v>
      </c>
      <c r="J292" s="206"/>
      <c r="K292" s="206">
        <v>3</v>
      </c>
      <c r="L292" s="206" t="s">
        <v>454</v>
      </c>
      <c r="M292" s="206" t="s">
        <v>782</v>
      </c>
      <c r="N292" s="206" t="s">
        <v>776</v>
      </c>
      <c r="O292" s="206" t="s">
        <v>776</v>
      </c>
    </row>
    <row r="293" spans="3:15" x14ac:dyDescent="0.25">
      <c r="C293" s="206" t="s">
        <v>1079</v>
      </c>
      <c r="D293" s="206">
        <v>20</v>
      </c>
      <c r="E293" s="206">
        <v>813.46437731374624</v>
      </c>
      <c r="F293" s="206">
        <v>2.91598506120499</v>
      </c>
      <c r="G293" s="206">
        <v>5.4772920000000003</v>
      </c>
      <c r="H293" s="206" t="s">
        <v>771</v>
      </c>
      <c r="I293" s="206">
        <v>1</v>
      </c>
      <c r="J293" s="206"/>
      <c r="K293" s="206">
        <v>3</v>
      </c>
      <c r="L293" s="206" t="s">
        <v>454</v>
      </c>
      <c r="M293" s="206" t="s">
        <v>772</v>
      </c>
      <c r="N293" s="206" t="s">
        <v>773</v>
      </c>
      <c r="O293" s="206" t="s">
        <v>774</v>
      </c>
    </row>
    <row r="294" spans="3:15" x14ac:dyDescent="0.25">
      <c r="C294" s="206" t="s">
        <v>1080</v>
      </c>
      <c r="D294" s="206">
        <v>80</v>
      </c>
      <c r="E294" s="206">
        <v>492.11488529198681</v>
      </c>
      <c r="F294" s="206">
        <v>617.18597412109398</v>
      </c>
      <c r="G294" s="206">
        <v>2.0504532000000002</v>
      </c>
      <c r="H294" s="206" t="s">
        <v>771</v>
      </c>
      <c r="I294" s="206">
        <v>0.7294998052048729</v>
      </c>
      <c r="J294" s="206"/>
      <c r="K294" s="206">
        <v>3</v>
      </c>
      <c r="L294" s="206" t="s">
        <v>454</v>
      </c>
      <c r="M294" s="206" t="s">
        <v>772</v>
      </c>
      <c r="N294" s="206" t="s">
        <v>773</v>
      </c>
      <c r="O294" s="206" t="s">
        <v>774</v>
      </c>
    </row>
    <row r="295" spans="3:15" x14ac:dyDescent="0.25">
      <c r="C295" s="206" t="s">
        <v>1081</v>
      </c>
      <c r="D295" s="206">
        <v>50</v>
      </c>
      <c r="E295" s="206">
        <v>856.50967079213842</v>
      </c>
      <c r="F295" s="206">
        <v>148.388475348707</v>
      </c>
      <c r="G295" s="206">
        <v>4.6153060000000004</v>
      </c>
      <c r="H295" s="206" t="s">
        <v>771</v>
      </c>
      <c r="I295" s="206">
        <v>0.65</v>
      </c>
      <c r="J295" s="206"/>
      <c r="K295" s="206">
        <v>3</v>
      </c>
      <c r="L295" s="206" t="s">
        <v>454</v>
      </c>
      <c r="M295" s="206" t="s">
        <v>772</v>
      </c>
      <c r="N295" s="206" t="s">
        <v>773</v>
      </c>
      <c r="O295" s="206" t="s">
        <v>774</v>
      </c>
    </row>
    <row r="296" spans="3:15" x14ac:dyDescent="0.25">
      <c r="C296" s="206" t="s">
        <v>1082</v>
      </c>
      <c r="D296" s="206">
        <v>50</v>
      </c>
      <c r="E296" s="206">
        <v>635.81456782050896</v>
      </c>
      <c r="F296" s="206">
        <v>148.388475348707</v>
      </c>
      <c r="G296" s="206">
        <v>3.4260894999999998</v>
      </c>
      <c r="H296" s="206" t="s">
        <v>771</v>
      </c>
      <c r="I296" s="206">
        <v>0.65</v>
      </c>
      <c r="J296" s="206"/>
      <c r="K296" s="206">
        <v>3</v>
      </c>
      <c r="L296" s="206" t="s">
        <v>454</v>
      </c>
      <c r="M296" s="206" t="s">
        <v>772</v>
      </c>
      <c r="N296" s="206" t="s">
        <v>773</v>
      </c>
      <c r="O296" s="206" t="s">
        <v>774</v>
      </c>
    </row>
    <row r="297" spans="3:15" x14ac:dyDescent="0.25">
      <c r="C297" s="206" t="s">
        <v>1083</v>
      </c>
      <c r="D297" s="206">
        <v>65</v>
      </c>
      <c r="E297" s="206">
        <v>68.300341721033348</v>
      </c>
      <c r="F297" s="206">
        <v>303.99337188720699</v>
      </c>
      <c r="G297" s="206">
        <v>0.32216007000000002</v>
      </c>
      <c r="H297" s="206" t="s">
        <v>771</v>
      </c>
      <c r="I297" s="206">
        <v>0.72</v>
      </c>
      <c r="J297" s="206"/>
      <c r="K297" s="206">
        <v>3</v>
      </c>
      <c r="L297" s="206" t="s">
        <v>454</v>
      </c>
      <c r="M297" s="206" t="s">
        <v>413</v>
      </c>
      <c r="N297" s="206" t="s">
        <v>773</v>
      </c>
      <c r="O297" s="206" t="s">
        <v>774</v>
      </c>
    </row>
    <row r="298" spans="3:15" x14ac:dyDescent="0.25">
      <c r="C298" s="206" t="s">
        <v>1084</v>
      </c>
      <c r="D298" s="206">
        <v>40</v>
      </c>
      <c r="E298" s="206">
        <v>2006.2185768476197</v>
      </c>
      <c r="F298" s="206">
        <v>83.601570015664905</v>
      </c>
      <c r="G298" s="206">
        <v>11.202495000000001</v>
      </c>
      <c r="H298" s="206" t="s">
        <v>771</v>
      </c>
      <c r="I298" s="206">
        <v>0.81</v>
      </c>
      <c r="J298" s="206"/>
      <c r="K298" s="206">
        <v>3</v>
      </c>
      <c r="L298" s="206" t="s">
        <v>454</v>
      </c>
      <c r="M298" s="206" t="s">
        <v>791</v>
      </c>
      <c r="N298" s="206" t="s">
        <v>773</v>
      </c>
      <c r="O298" s="206" t="s">
        <v>792</v>
      </c>
    </row>
    <row r="299" spans="3:15" x14ac:dyDescent="0.25">
      <c r="C299" s="206" t="s">
        <v>1085</v>
      </c>
      <c r="D299" s="206">
        <v>65</v>
      </c>
      <c r="E299" s="206">
        <v>1927.7148514523003</v>
      </c>
      <c r="F299" s="206">
        <v>366.340331913667</v>
      </c>
      <c r="G299" s="206">
        <v>8.9998255</v>
      </c>
      <c r="H299" s="206" t="s">
        <v>771</v>
      </c>
      <c r="I299" s="206">
        <v>0.74826912236183685</v>
      </c>
      <c r="J299" s="206"/>
      <c r="K299" s="206">
        <v>3</v>
      </c>
      <c r="L299" s="206" t="s">
        <v>454</v>
      </c>
      <c r="M299" s="206" t="s">
        <v>413</v>
      </c>
      <c r="N299" s="206" t="s">
        <v>773</v>
      </c>
      <c r="O299" s="206" t="s">
        <v>774</v>
      </c>
    </row>
    <row r="300" spans="3:15" x14ac:dyDescent="0.25">
      <c r="C300" s="206" t="s">
        <v>1086</v>
      </c>
      <c r="D300" s="206">
        <v>400</v>
      </c>
      <c r="E300" s="206">
        <v>4917.7821318722526</v>
      </c>
      <c r="F300" s="206">
        <v>27339.509060267901</v>
      </c>
      <c r="G300" s="206">
        <v>12.579737</v>
      </c>
      <c r="H300" s="206" t="s">
        <v>771</v>
      </c>
      <c r="I300" s="206">
        <v>0.62</v>
      </c>
      <c r="J300" s="206"/>
      <c r="K300" s="206">
        <v>3</v>
      </c>
      <c r="L300" s="206" t="s">
        <v>454</v>
      </c>
      <c r="M300" s="206" t="s">
        <v>413</v>
      </c>
      <c r="N300" s="206" t="s">
        <v>776</v>
      </c>
      <c r="O300" s="206" t="s">
        <v>776</v>
      </c>
    </row>
    <row r="301" spans="3:15" x14ac:dyDescent="0.25">
      <c r="C301" s="206" t="s">
        <v>1087</v>
      </c>
      <c r="D301" s="206">
        <v>250</v>
      </c>
      <c r="E301" s="206">
        <v>8546.3690504809492</v>
      </c>
      <c r="F301" s="206">
        <v>13063.695060596299</v>
      </c>
      <c r="G301" s="206">
        <v>23.596070000000001</v>
      </c>
      <c r="H301" s="206" t="s">
        <v>771</v>
      </c>
      <c r="I301" s="206">
        <v>0.63</v>
      </c>
      <c r="J301" s="206"/>
      <c r="K301" s="206">
        <v>3</v>
      </c>
      <c r="L301" s="206" t="s">
        <v>454</v>
      </c>
      <c r="M301" s="206" t="s">
        <v>791</v>
      </c>
      <c r="N301" s="206" t="s">
        <v>932</v>
      </c>
      <c r="O301" s="206" t="s">
        <v>800</v>
      </c>
    </row>
    <row r="302" spans="3:15" x14ac:dyDescent="0.25">
      <c r="C302" s="206" t="s">
        <v>1088</v>
      </c>
      <c r="D302" s="206">
        <v>200</v>
      </c>
      <c r="E302" s="206">
        <v>35629.228391863508</v>
      </c>
      <c r="F302" s="206">
        <v>5175.2299023437699</v>
      </c>
      <c r="G302" s="206">
        <v>110.09762000000001</v>
      </c>
      <c r="H302" s="206" t="s">
        <v>771</v>
      </c>
      <c r="I302" s="206">
        <v>0.64</v>
      </c>
      <c r="J302" s="206"/>
      <c r="K302" s="206">
        <v>3</v>
      </c>
      <c r="L302" s="206" t="s">
        <v>454</v>
      </c>
      <c r="M302" s="206" t="s">
        <v>413</v>
      </c>
      <c r="N302" s="206" t="s">
        <v>776</v>
      </c>
      <c r="O302" s="206" t="s">
        <v>776</v>
      </c>
    </row>
    <row r="303" spans="3:15" x14ac:dyDescent="0.25">
      <c r="C303" s="206" t="s">
        <v>1089</v>
      </c>
      <c r="D303" s="206">
        <v>50</v>
      </c>
      <c r="E303" s="206">
        <v>851.51477819143747</v>
      </c>
      <c r="F303" s="206">
        <v>148.388475348707</v>
      </c>
      <c r="G303" s="206">
        <v>4.5883909999999997</v>
      </c>
      <c r="H303" s="206" t="s">
        <v>771</v>
      </c>
      <c r="I303" s="206">
        <v>0.65</v>
      </c>
      <c r="J303" s="206"/>
      <c r="K303" s="206">
        <v>3</v>
      </c>
      <c r="L303" s="206" t="s">
        <v>454</v>
      </c>
      <c r="M303" s="206" t="s">
        <v>772</v>
      </c>
      <c r="N303" s="206" t="s">
        <v>773</v>
      </c>
      <c r="O303" s="206" t="s">
        <v>774</v>
      </c>
    </row>
    <row r="304" spans="3:15" x14ac:dyDescent="0.25">
      <c r="C304" s="206" t="s">
        <v>1090</v>
      </c>
      <c r="D304" s="206">
        <v>40</v>
      </c>
      <c r="E304" s="206">
        <v>553.70570378311004</v>
      </c>
      <c r="F304" s="206">
        <v>83.601570015664905</v>
      </c>
      <c r="G304" s="206">
        <v>3.0918293000000001</v>
      </c>
      <c r="H304" s="206" t="s">
        <v>771</v>
      </c>
      <c r="I304" s="206">
        <v>0.81</v>
      </c>
      <c r="J304" s="206"/>
      <c r="K304" s="206">
        <v>3</v>
      </c>
      <c r="L304" s="206" t="s">
        <v>454</v>
      </c>
      <c r="M304" s="206" t="s">
        <v>791</v>
      </c>
      <c r="N304" s="206" t="s">
        <v>773</v>
      </c>
      <c r="O304" s="206" t="s">
        <v>792</v>
      </c>
    </row>
    <row r="305" spans="3:15" x14ac:dyDescent="0.25">
      <c r="C305" s="206" t="s">
        <v>1091</v>
      </c>
      <c r="D305" s="206">
        <v>150</v>
      </c>
      <c r="E305" s="206">
        <v>3844.580499146869</v>
      </c>
      <c r="F305" s="206">
        <v>3116.0970923863902</v>
      </c>
      <c r="G305" s="206">
        <v>12.625964</v>
      </c>
      <c r="H305" s="206" t="s">
        <v>771</v>
      </c>
      <c r="I305" s="206">
        <v>0.63</v>
      </c>
      <c r="J305" s="206"/>
      <c r="K305" s="206">
        <v>3</v>
      </c>
      <c r="L305" s="206" t="s">
        <v>454</v>
      </c>
      <c r="M305" s="206" t="s">
        <v>413</v>
      </c>
      <c r="N305" s="206" t="s">
        <v>773</v>
      </c>
      <c r="O305" s="206" t="s">
        <v>774</v>
      </c>
    </row>
    <row r="306" spans="3:15" x14ac:dyDescent="0.25">
      <c r="C306" s="206" t="s">
        <v>1092</v>
      </c>
      <c r="D306" s="206">
        <v>25</v>
      </c>
      <c r="E306" s="206">
        <v>104.34271971374743</v>
      </c>
      <c r="F306" s="206">
        <v>31.4380187988281</v>
      </c>
      <c r="G306" s="206">
        <v>0.83478176999999998</v>
      </c>
      <c r="H306" s="206" t="s">
        <v>771</v>
      </c>
      <c r="I306" s="206">
        <v>0.81000000000030525</v>
      </c>
      <c r="J306" s="206"/>
      <c r="K306" s="206">
        <v>3</v>
      </c>
      <c r="L306" s="206" t="s">
        <v>454</v>
      </c>
      <c r="M306" s="206" t="s">
        <v>791</v>
      </c>
      <c r="N306" s="206" t="s">
        <v>773</v>
      </c>
      <c r="O306" s="206" t="s">
        <v>800</v>
      </c>
    </row>
    <row r="307" spans="3:15" x14ac:dyDescent="0.25">
      <c r="C307" s="206" t="s">
        <v>1093</v>
      </c>
      <c r="D307" s="206">
        <v>250</v>
      </c>
      <c r="E307" s="206">
        <v>26439.348953018012</v>
      </c>
      <c r="F307" s="206">
        <v>8861.6870525423092</v>
      </c>
      <c r="G307" s="206">
        <v>76.255904999999998</v>
      </c>
      <c r="H307" s="206" t="s">
        <v>771</v>
      </c>
      <c r="I307" s="206">
        <v>0.64009634927764947</v>
      </c>
      <c r="J307" s="206"/>
      <c r="K307" s="206">
        <v>3</v>
      </c>
      <c r="L307" s="206" t="s">
        <v>454</v>
      </c>
      <c r="M307" s="206" t="s">
        <v>782</v>
      </c>
      <c r="N307" s="206" t="s">
        <v>776</v>
      </c>
      <c r="O307" s="206" t="s">
        <v>776</v>
      </c>
    </row>
    <row r="308" spans="3:15" x14ac:dyDescent="0.25">
      <c r="C308" s="206" t="s">
        <v>1094</v>
      </c>
      <c r="D308" s="206">
        <v>200</v>
      </c>
      <c r="E308" s="206">
        <v>161.2341674513419</v>
      </c>
      <c r="F308" s="206">
        <v>5825.9935531513001</v>
      </c>
      <c r="G308" s="206">
        <v>0.49148753000000001</v>
      </c>
      <c r="H308" s="206" t="s">
        <v>771</v>
      </c>
      <c r="I308" s="206">
        <v>1</v>
      </c>
      <c r="J308" s="206"/>
      <c r="K308" s="206">
        <v>3</v>
      </c>
      <c r="L308" s="206" t="s">
        <v>454</v>
      </c>
      <c r="M308" s="206" t="s">
        <v>791</v>
      </c>
      <c r="N308" s="206" t="s">
        <v>773</v>
      </c>
      <c r="O308" s="206" t="s">
        <v>800</v>
      </c>
    </row>
    <row r="309" spans="3:15" x14ac:dyDescent="0.25">
      <c r="C309" s="206" t="s">
        <v>1095</v>
      </c>
      <c r="D309" s="206">
        <v>20</v>
      </c>
      <c r="E309" s="206">
        <v>638.58399910320804</v>
      </c>
      <c r="F309" s="206">
        <v>2.5387595042702702</v>
      </c>
      <c r="G309" s="206">
        <v>5.4542317000000002</v>
      </c>
      <c r="H309" s="206" t="s">
        <v>771</v>
      </c>
      <c r="I309" s="206">
        <v>1</v>
      </c>
      <c r="J309" s="206"/>
      <c r="K309" s="206">
        <v>3</v>
      </c>
      <c r="L309" s="206" t="s">
        <v>454</v>
      </c>
      <c r="M309" s="206" t="s">
        <v>413</v>
      </c>
      <c r="N309" s="206" t="s">
        <v>773</v>
      </c>
      <c r="O309" s="206" t="s">
        <v>805</v>
      </c>
    </row>
    <row r="310" spans="3:15" x14ac:dyDescent="0.25">
      <c r="C310" s="206" t="s">
        <v>1096</v>
      </c>
      <c r="D310" s="206">
        <v>65</v>
      </c>
      <c r="E310" s="206">
        <v>1354.7104002395442</v>
      </c>
      <c r="F310" s="206">
        <v>366.340331913667</v>
      </c>
      <c r="G310" s="206">
        <v>6.3246684000000002</v>
      </c>
      <c r="H310" s="206" t="s">
        <v>771</v>
      </c>
      <c r="I310" s="206">
        <v>0.74826912236183685</v>
      </c>
      <c r="J310" s="206"/>
      <c r="K310" s="206">
        <v>3</v>
      </c>
      <c r="L310" s="206" t="s">
        <v>454</v>
      </c>
      <c r="M310" s="206" t="s">
        <v>772</v>
      </c>
      <c r="N310" s="206" t="s">
        <v>773</v>
      </c>
      <c r="O310" s="206" t="s">
        <v>774</v>
      </c>
    </row>
    <row r="311" spans="3:15" x14ac:dyDescent="0.25">
      <c r="C311" s="206" t="s">
        <v>1097</v>
      </c>
      <c r="D311" s="206">
        <v>80</v>
      </c>
      <c r="E311" s="206">
        <v>27362.490020206791</v>
      </c>
      <c r="F311" s="206">
        <v>718.40552917289199</v>
      </c>
      <c r="G311" s="206">
        <v>120.5565</v>
      </c>
      <c r="H311" s="206" t="s">
        <v>771</v>
      </c>
      <c r="I311" s="206">
        <v>1</v>
      </c>
      <c r="J311" s="206"/>
      <c r="K311" s="206">
        <v>3</v>
      </c>
      <c r="L311" s="206" t="s">
        <v>454</v>
      </c>
      <c r="M311" s="206" t="s">
        <v>810</v>
      </c>
      <c r="N311" s="206" t="s">
        <v>784</v>
      </c>
      <c r="O311" s="206" t="s">
        <v>792</v>
      </c>
    </row>
    <row r="312" spans="3:15" x14ac:dyDescent="0.25">
      <c r="C312" s="206" t="s">
        <v>1098</v>
      </c>
      <c r="D312" s="206">
        <v>150</v>
      </c>
      <c r="E312" s="206">
        <v>6095.6965817582968</v>
      </c>
      <c r="F312" s="206">
        <v>3529.0715643295898</v>
      </c>
      <c r="G312" s="206">
        <v>19.691739999999999</v>
      </c>
      <c r="H312" s="206" t="s">
        <v>771</v>
      </c>
      <c r="I312" s="206">
        <v>0.63</v>
      </c>
      <c r="J312" s="206"/>
      <c r="K312" s="206">
        <v>3</v>
      </c>
      <c r="L312" s="206" t="s">
        <v>454</v>
      </c>
      <c r="M312" s="206" t="s">
        <v>782</v>
      </c>
      <c r="N312" s="206" t="s">
        <v>773</v>
      </c>
      <c r="O312" s="206" t="s">
        <v>805</v>
      </c>
    </row>
    <row r="313" spans="3:15" x14ac:dyDescent="0.25">
      <c r="C313" s="206" t="s">
        <v>1099</v>
      </c>
      <c r="D313" s="206">
        <v>65</v>
      </c>
      <c r="E313" s="206">
        <v>241.93877009771435</v>
      </c>
      <c r="F313" s="206">
        <v>319.08547260653</v>
      </c>
      <c r="G313" s="206">
        <v>1.1324002</v>
      </c>
      <c r="H313" s="206" t="s">
        <v>771</v>
      </c>
      <c r="I313" s="206">
        <v>0.65</v>
      </c>
      <c r="J313" s="206"/>
      <c r="K313" s="206">
        <v>3</v>
      </c>
      <c r="L313" s="206" t="s">
        <v>454</v>
      </c>
      <c r="M313" s="206" t="s">
        <v>772</v>
      </c>
      <c r="N313" s="206" t="s">
        <v>773</v>
      </c>
      <c r="O313" s="206" t="s">
        <v>774</v>
      </c>
    </row>
    <row r="314" spans="3:15" x14ac:dyDescent="0.25">
      <c r="C314" s="206" t="s">
        <v>1100</v>
      </c>
      <c r="D314" s="206">
        <v>50</v>
      </c>
      <c r="E314" s="206">
        <v>644.40546760727864</v>
      </c>
      <c r="F314" s="206">
        <v>148.388475348707</v>
      </c>
      <c r="G314" s="206">
        <v>3.4723815999999998</v>
      </c>
      <c r="H314" s="206" t="s">
        <v>771</v>
      </c>
      <c r="I314" s="206">
        <v>0.65</v>
      </c>
      <c r="J314" s="206"/>
      <c r="K314" s="206">
        <v>3</v>
      </c>
      <c r="L314" s="206" t="s">
        <v>454</v>
      </c>
      <c r="M314" s="206" t="s">
        <v>772</v>
      </c>
      <c r="N314" s="206" t="s">
        <v>773</v>
      </c>
      <c r="O314" s="206" t="s">
        <v>774</v>
      </c>
    </row>
    <row r="315" spans="3:15" x14ac:dyDescent="0.25">
      <c r="C315" s="206" t="s">
        <v>1101</v>
      </c>
      <c r="D315" s="206">
        <v>20</v>
      </c>
      <c r="E315" s="206">
        <v>299.54700503214474</v>
      </c>
      <c r="F315" s="206">
        <v>2.5387595042702702</v>
      </c>
      <c r="G315" s="206">
        <v>2.5584712000000001</v>
      </c>
      <c r="H315" s="206" t="s">
        <v>771</v>
      </c>
      <c r="I315" s="206">
        <v>1</v>
      </c>
      <c r="J315" s="206"/>
      <c r="K315" s="206">
        <v>3</v>
      </c>
      <c r="L315" s="206" t="s">
        <v>454</v>
      </c>
      <c r="M315" s="206" t="s">
        <v>782</v>
      </c>
      <c r="N315" s="206" t="s">
        <v>776</v>
      </c>
      <c r="O315" s="206" t="s">
        <v>776</v>
      </c>
    </row>
    <row r="316" spans="3:15" x14ac:dyDescent="0.25">
      <c r="C316" s="206" t="s">
        <v>1102</v>
      </c>
      <c r="D316" s="206">
        <v>400</v>
      </c>
      <c r="E316" s="206">
        <v>7244.2789544176076</v>
      </c>
      <c r="F316" s="206">
        <v>26893.983908885599</v>
      </c>
      <c r="G316" s="206">
        <v>18.55762</v>
      </c>
      <c r="H316" s="206" t="s">
        <v>771</v>
      </c>
      <c r="I316" s="206">
        <v>0.62</v>
      </c>
      <c r="J316" s="206"/>
      <c r="K316" s="206">
        <v>3</v>
      </c>
      <c r="L316" s="206" t="s">
        <v>454</v>
      </c>
      <c r="M316" s="206" t="s">
        <v>413</v>
      </c>
      <c r="N316" s="206" t="s">
        <v>773</v>
      </c>
      <c r="O316" s="206" t="s">
        <v>800</v>
      </c>
    </row>
    <row r="317" spans="3:15" x14ac:dyDescent="0.25">
      <c r="C317" s="206" t="s">
        <v>1103</v>
      </c>
      <c r="D317" s="206">
        <v>65</v>
      </c>
      <c r="E317" s="206">
        <v>1013.2741224823728</v>
      </c>
      <c r="F317" s="206">
        <v>366.340331913667</v>
      </c>
      <c r="G317" s="206">
        <v>4.7306220000000003</v>
      </c>
      <c r="H317" s="206" t="s">
        <v>771</v>
      </c>
      <c r="I317" s="206">
        <v>0.74826912236183685</v>
      </c>
      <c r="J317" s="206"/>
      <c r="K317" s="206">
        <v>3</v>
      </c>
      <c r="L317" s="206" t="s">
        <v>454</v>
      </c>
      <c r="M317" s="206" t="s">
        <v>772</v>
      </c>
      <c r="N317" s="206" t="s">
        <v>773</v>
      </c>
      <c r="O317" s="206" t="s">
        <v>774</v>
      </c>
    </row>
    <row r="318" spans="3:15" x14ac:dyDescent="0.25">
      <c r="C318" s="206" t="s">
        <v>1104</v>
      </c>
      <c r="D318" s="206">
        <v>125</v>
      </c>
      <c r="E318" s="206">
        <v>1771.1777581891351</v>
      </c>
      <c r="F318" s="206">
        <v>1523.083984375</v>
      </c>
      <c r="G318" s="206">
        <v>6.4010673000000002</v>
      </c>
      <c r="H318" s="206" t="s">
        <v>771</v>
      </c>
      <c r="I318" s="206">
        <v>0.80547730167345055</v>
      </c>
      <c r="J318" s="206"/>
      <c r="K318" s="206">
        <v>3</v>
      </c>
      <c r="L318" s="206" t="s">
        <v>454</v>
      </c>
      <c r="M318" s="206" t="s">
        <v>772</v>
      </c>
      <c r="N318" s="206" t="s">
        <v>773</v>
      </c>
      <c r="O318" s="206" t="s">
        <v>788</v>
      </c>
    </row>
    <row r="319" spans="3:15" x14ac:dyDescent="0.25">
      <c r="C319" s="206" t="s">
        <v>1105</v>
      </c>
      <c r="D319" s="206">
        <v>20</v>
      </c>
      <c r="E319" s="206">
        <v>607.53390779260815</v>
      </c>
      <c r="F319" s="206">
        <v>1.6231137227732699</v>
      </c>
      <c r="G319" s="206">
        <v>5.1890286999999997</v>
      </c>
      <c r="H319" s="206" t="s">
        <v>771</v>
      </c>
      <c r="I319" s="206">
        <v>1</v>
      </c>
      <c r="J319" s="206"/>
      <c r="K319" s="206">
        <v>3</v>
      </c>
      <c r="L319" s="206" t="s">
        <v>454</v>
      </c>
      <c r="M319" s="206" t="s">
        <v>413</v>
      </c>
      <c r="N319" s="206" t="s">
        <v>773</v>
      </c>
      <c r="O319" s="206" t="s">
        <v>774</v>
      </c>
    </row>
    <row r="320" spans="3:15" x14ac:dyDescent="0.25">
      <c r="C320" s="206" t="s">
        <v>1106</v>
      </c>
      <c r="D320" s="206">
        <v>32</v>
      </c>
      <c r="E320" s="206">
        <v>1377.564171810038</v>
      </c>
      <c r="F320" s="206">
        <v>65.035728454589801</v>
      </c>
      <c r="G320" s="206">
        <v>9.0557219999999994</v>
      </c>
      <c r="H320" s="206" t="s">
        <v>771</v>
      </c>
      <c r="I320" s="206">
        <v>0.67</v>
      </c>
      <c r="J320" s="206" t="s">
        <v>795</v>
      </c>
      <c r="K320" s="206"/>
      <c r="L320" s="206"/>
      <c r="M320" s="206"/>
      <c r="N320" s="206"/>
      <c r="O320" s="206"/>
    </row>
    <row r="321" spans="3:15" x14ac:dyDescent="0.25">
      <c r="C321" s="206" t="s">
        <v>1107</v>
      </c>
      <c r="D321" s="206">
        <v>400</v>
      </c>
      <c r="E321" s="206">
        <v>9332.3409421686138</v>
      </c>
      <c r="F321" s="206">
        <v>27007.699886683899</v>
      </c>
      <c r="G321" s="206">
        <v>23.897811999999998</v>
      </c>
      <c r="H321" s="206" t="s">
        <v>771</v>
      </c>
      <c r="I321" s="206">
        <v>0.62</v>
      </c>
      <c r="J321" s="206"/>
      <c r="K321" s="206">
        <v>3</v>
      </c>
      <c r="L321" s="206" t="s">
        <v>454</v>
      </c>
      <c r="M321" s="206" t="s">
        <v>791</v>
      </c>
      <c r="N321" s="206" t="s">
        <v>934</v>
      </c>
      <c r="O321" s="206" t="s">
        <v>800</v>
      </c>
    </row>
    <row r="322" spans="3:15" x14ac:dyDescent="0.25">
      <c r="C322" s="206" t="s">
        <v>1108</v>
      </c>
      <c r="D322" s="206">
        <v>20</v>
      </c>
      <c r="E322" s="206">
        <v>1078.9186582785999</v>
      </c>
      <c r="F322" s="206">
        <v>2.91598506120499</v>
      </c>
      <c r="G322" s="206">
        <v>7.2646727999999996</v>
      </c>
      <c r="H322" s="206" t="s">
        <v>771</v>
      </c>
      <c r="I322" s="206">
        <v>1</v>
      </c>
      <c r="J322" s="206"/>
      <c r="K322" s="206">
        <v>3</v>
      </c>
      <c r="L322" s="206" t="s">
        <v>454</v>
      </c>
      <c r="M322" s="206" t="s">
        <v>772</v>
      </c>
      <c r="N322" s="206" t="s">
        <v>773</v>
      </c>
      <c r="O322" s="206" t="s">
        <v>774</v>
      </c>
    </row>
    <row r="323" spans="3:15" x14ac:dyDescent="0.25">
      <c r="C323" s="206" t="s">
        <v>1109</v>
      </c>
      <c r="D323" s="206">
        <v>400</v>
      </c>
      <c r="E323" s="206">
        <v>91.520791158718254</v>
      </c>
      <c r="F323" s="206">
        <v>27339.509060267901</v>
      </c>
      <c r="G323" s="206">
        <v>0.23411112000000001</v>
      </c>
      <c r="H323" s="206" t="s">
        <v>771</v>
      </c>
      <c r="I323" s="206">
        <v>0.62</v>
      </c>
      <c r="J323" s="206"/>
      <c r="K323" s="206">
        <v>3</v>
      </c>
      <c r="L323" s="206" t="s">
        <v>454</v>
      </c>
      <c r="M323" s="206" t="s">
        <v>413</v>
      </c>
      <c r="N323" s="206" t="s">
        <v>776</v>
      </c>
      <c r="O323" s="206" t="s">
        <v>776</v>
      </c>
    </row>
    <row r="324" spans="3:15" x14ac:dyDescent="0.25">
      <c r="C324" s="206" t="s">
        <v>1110</v>
      </c>
      <c r="D324" s="206">
        <v>40</v>
      </c>
      <c r="E324" s="206">
        <v>538.39731348126156</v>
      </c>
      <c r="F324" s="206">
        <v>83.601570015664905</v>
      </c>
      <c r="G324" s="206">
        <v>3.0063490000000002</v>
      </c>
      <c r="H324" s="206" t="s">
        <v>771</v>
      </c>
      <c r="I324" s="206">
        <v>0.81</v>
      </c>
      <c r="J324" s="206"/>
      <c r="K324" s="206">
        <v>3</v>
      </c>
      <c r="L324" s="206" t="s">
        <v>454</v>
      </c>
      <c r="M324" s="206" t="s">
        <v>791</v>
      </c>
      <c r="N324" s="206" t="s">
        <v>773</v>
      </c>
      <c r="O324" s="206" t="s">
        <v>792</v>
      </c>
    </row>
    <row r="325" spans="3:15" x14ac:dyDescent="0.25">
      <c r="C325" s="206" t="s">
        <v>1111</v>
      </c>
      <c r="D325" s="206">
        <v>100</v>
      </c>
      <c r="E325" s="206">
        <v>5771.1048991548359</v>
      </c>
      <c r="F325" s="206">
        <v>1483.19997479839</v>
      </c>
      <c r="G325" s="206">
        <v>20.98236</v>
      </c>
      <c r="H325" s="206" t="s">
        <v>771</v>
      </c>
      <c r="I325" s="206">
        <v>1</v>
      </c>
      <c r="J325" s="206"/>
      <c r="K325" s="206">
        <v>3</v>
      </c>
      <c r="L325" s="206" t="s">
        <v>454</v>
      </c>
      <c r="M325" s="206" t="s">
        <v>791</v>
      </c>
      <c r="N325" s="206" t="s">
        <v>934</v>
      </c>
      <c r="O325" s="206" t="s">
        <v>792</v>
      </c>
    </row>
    <row r="326" spans="3:15" x14ac:dyDescent="0.25">
      <c r="C326" s="206" t="s">
        <v>1112</v>
      </c>
      <c r="D326" s="206">
        <v>80</v>
      </c>
      <c r="E326" s="206">
        <v>2319.8278176859521</v>
      </c>
      <c r="F326" s="206">
        <v>520.43126301543498</v>
      </c>
      <c r="G326" s="206">
        <v>9.902571</v>
      </c>
      <c r="H326" s="206" t="s">
        <v>771</v>
      </c>
      <c r="I326" s="206">
        <v>0.64</v>
      </c>
      <c r="J326" s="206"/>
      <c r="K326" s="206">
        <v>3</v>
      </c>
      <c r="L326" s="206" t="s">
        <v>454</v>
      </c>
      <c r="M326" s="206" t="s">
        <v>772</v>
      </c>
      <c r="N326" s="206" t="s">
        <v>773</v>
      </c>
      <c r="O326" s="206" t="s">
        <v>774</v>
      </c>
    </row>
    <row r="327" spans="3:15" x14ac:dyDescent="0.25">
      <c r="C327" s="206" t="s">
        <v>1113</v>
      </c>
      <c r="D327" s="206">
        <v>65</v>
      </c>
      <c r="E327" s="206">
        <v>1408.7253299619592</v>
      </c>
      <c r="F327" s="206">
        <v>319.08547260653</v>
      </c>
      <c r="G327" s="206">
        <v>6.5935725999999999</v>
      </c>
      <c r="H327" s="206" t="s">
        <v>771</v>
      </c>
      <c r="I327" s="206">
        <v>0.65</v>
      </c>
      <c r="J327" s="206"/>
      <c r="K327" s="206">
        <v>3</v>
      </c>
      <c r="L327" s="206" t="s">
        <v>454</v>
      </c>
      <c r="M327" s="206" t="s">
        <v>772</v>
      </c>
      <c r="N327" s="206" t="s">
        <v>773</v>
      </c>
      <c r="O327" s="206" t="s">
        <v>774</v>
      </c>
    </row>
    <row r="328" spans="3:15" x14ac:dyDescent="0.25">
      <c r="C328" s="206" t="s">
        <v>1114</v>
      </c>
      <c r="D328" s="206">
        <v>40</v>
      </c>
      <c r="E328" s="206">
        <v>122.45829730673816</v>
      </c>
      <c r="F328" s="206">
        <v>100.29582977294901</v>
      </c>
      <c r="G328" s="206">
        <v>0.72362800000000005</v>
      </c>
      <c r="H328" s="206" t="s">
        <v>771</v>
      </c>
      <c r="I328" s="206">
        <v>1</v>
      </c>
      <c r="J328" s="206"/>
      <c r="K328" s="206">
        <v>3</v>
      </c>
      <c r="L328" s="206" t="s">
        <v>454</v>
      </c>
      <c r="M328" s="206" t="s">
        <v>791</v>
      </c>
      <c r="N328" s="206" t="s">
        <v>773</v>
      </c>
      <c r="O328" s="206" t="s">
        <v>792</v>
      </c>
    </row>
    <row r="329" spans="3:15" x14ac:dyDescent="0.25">
      <c r="C329" s="206" t="s">
        <v>1115</v>
      </c>
      <c r="D329" s="206">
        <v>20</v>
      </c>
      <c r="E329" s="206">
        <v>3122.0839123277478</v>
      </c>
      <c r="F329" s="206">
        <v>2.5387595042702702</v>
      </c>
      <c r="G329" s="206">
        <v>26.666138</v>
      </c>
      <c r="H329" s="206" t="s">
        <v>771</v>
      </c>
      <c r="I329" s="206">
        <v>1</v>
      </c>
      <c r="J329" s="206"/>
      <c r="K329" s="206">
        <v>3</v>
      </c>
      <c r="L329" s="206" t="s">
        <v>454</v>
      </c>
      <c r="M329" s="206" t="s">
        <v>413</v>
      </c>
      <c r="N329" s="206" t="s">
        <v>773</v>
      </c>
      <c r="O329" s="206" t="s">
        <v>805</v>
      </c>
    </row>
    <row r="330" spans="3:15" x14ac:dyDescent="0.25">
      <c r="C330" s="206" t="s">
        <v>1116</v>
      </c>
      <c r="D330" s="206">
        <v>40</v>
      </c>
      <c r="E330" s="206">
        <v>518.33137237428662</v>
      </c>
      <c r="F330" s="206">
        <v>116.80722045898401</v>
      </c>
      <c r="G330" s="206">
        <v>2.9642217</v>
      </c>
      <c r="H330" s="206" t="s">
        <v>771</v>
      </c>
      <c r="I330" s="206">
        <v>0.72000000000000142</v>
      </c>
      <c r="J330" s="206"/>
      <c r="K330" s="206">
        <v>3</v>
      </c>
      <c r="L330" s="206" t="s">
        <v>454</v>
      </c>
      <c r="M330" s="206" t="s">
        <v>772</v>
      </c>
      <c r="N330" s="206" t="s">
        <v>773</v>
      </c>
      <c r="O330" s="206" t="s">
        <v>774</v>
      </c>
    </row>
    <row r="331" spans="3:15" x14ac:dyDescent="0.25">
      <c r="C331" s="206" t="s">
        <v>1117</v>
      </c>
      <c r="D331" s="206">
        <v>20</v>
      </c>
      <c r="E331" s="206">
        <v>1377.5118834105967</v>
      </c>
      <c r="F331" s="206">
        <v>2.5387595042702702</v>
      </c>
      <c r="G331" s="206">
        <v>11.765514</v>
      </c>
      <c r="H331" s="206" t="s">
        <v>771</v>
      </c>
      <c r="I331" s="206">
        <v>1</v>
      </c>
      <c r="J331" s="206"/>
      <c r="K331" s="206">
        <v>3</v>
      </c>
      <c r="L331" s="206" t="s">
        <v>454</v>
      </c>
      <c r="M331" s="206" t="s">
        <v>413</v>
      </c>
      <c r="N331" s="206" t="s">
        <v>773</v>
      </c>
      <c r="O331" s="206" t="s">
        <v>805</v>
      </c>
    </row>
    <row r="332" spans="3:15" x14ac:dyDescent="0.25">
      <c r="C332" s="206" t="s">
        <v>1118</v>
      </c>
      <c r="D332" s="206">
        <v>40</v>
      </c>
      <c r="E332" s="206">
        <v>433.32799851188736</v>
      </c>
      <c r="F332" s="206">
        <v>103.443859683932</v>
      </c>
      <c r="G332" s="206">
        <v>2.5444610000000001</v>
      </c>
      <c r="H332" s="206" t="s">
        <v>771</v>
      </c>
      <c r="I332" s="206">
        <v>0.66</v>
      </c>
      <c r="J332" s="206"/>
      <c r="K332" s="206">
        <v>3</v>
      </c>
      <c r="L332" s="206" t="s">
        <v>454</v>
      </c>
      <c r="M332" s="206" t="s">
        <v>772</v>
      </c>
      <c r="N332" s="206" t="s">
        <v>773</v>
      </c>
      <c r="O332" s="206" t="s">
        <v>774</v>
      </c>
    </row>
    <row r="333" spans="3:15" x14ac:dyDescent="0.25">
      <c r="C333" s="206" t="s">
        <v>1119</v>
      </c>
      <c r="D333" s="206">
        <v>80</v>
      </c>
      <c r="E333" s="206">
        <v>1149.7288281203448</v>
      </c>
      <c r="F333" s="206">
        <v>562.93208777304994</v>
      </c>
      <c r="G333" s="206">
        <v>4.855569</v>
      </c>
      <c r="H333" s="206" t="s">
        <v>771</v>
      </c>
      <c r="I333" s="206">
        <v>0.65</v>
      </c>
      <c r="J333" s="206"/>
      <c r="K333" s="206">
        <v>3</v>
      </c>
      <c r="L333" s="206" t="s">
        <v>454</v>
      </c>
      <c r="M333" s="206" t="s">
        <v>772</v>
      </c>
      <c r="N333" s="206" t="s">
        <v>773</v>
      </c>
      <c r="O333" s="206" t="s">
        <v>774</v>
      </c>
    </row>
    <row r="334" spans="3:15" x14ac:dyDescent="0.25">
      <c r="C334" s="206" t="s">
        <v>1120</v>
      </c>
      <c r="D334" s="206">
        <v>40</v>
      </c>
      <c r="E334" s="206">
        <v>251.25681546969744</v>
      </c>
      <c r="F334" s="206">
        <v>100.29582977294901</v>
      </c>
      <c r="G334" s="206">
        <v>1.4847215</v>
      </c>
      <c r="H334" s="206" t="s">
        <v>771</v>
      </c>
      <c r="I334" s="206">
        <v>1</v>
      </c>
      <c r="J334" s="206"/>
      <c r="K334" s="206">
        <v>3</v>
      </c>
      <c r="L334" s="206" t="s">
        <v>454</v>
      </c>
      <c r="M334" s="206" t="s">
        <v>791</v>
      </c>
      <c r="N334" s="206" t="s">
        <v>773</v>
      </c>
      <c r="O334" s="206" t="s">
        <v>792</v>
      </c>
    </row>
    <row r="335" spans="3:15" x14ac:dyDescent="0.25">
      <c r="C335" s="206" t="s">
        <v>1121</v>
      </c>
      <c r="D335" s="206">
        <v>50</v>
      </c>
      <c r="E335" s="206">
        <v>3407.0022316287168</v>
      </c>
      <c r="F335" s="206">
        <v>148.388475348707</v>
      </c>
      <c r="G335" s="206">
        <v>18.358646</v>
      </c>
      <c r="H335" s="206" t="s">
        <v>771</v>
      </c>
      <c r="I335" s="206">
        <v>0.65</v>
      </c>
      <c r="J335" s="206"/>
      <c r="K335" s="206">
        <v>3</v>
      </c>
      <c r="L335" s="206" t="s">
        <v>454</v>
      </c>
      <c r="M335" s="206" t="s">
        <v>772</v>
      </c>
      <c r="N335" s="206" t="s">
        <v>773</v>
      </c>
      <c r="O335" s="206" t="s">
        <v>774</v>
      </c>
    </row>
    <row r="336" spans="3:15" x14ac:dyDescent="0.25">
      <c r="C336" s="206" t="s">
        <v>1122</v>
      </c>
      <c r="D336" s="206">
        <v>125</v>
      </c>
      <c r="E336" s="206">
        <v>252.53057468924573</v>
      </c>
      <c r="F336" s="206">
        <v>1523.083984375</v>
      </c>
      <c r="G336" s="206">
        <v>0.91264990000000001</v>
      </c>
      <c r="H336" s="206" t="s">
        <v>771</v>
      </c>
      <c r="I336" s="206">
        <v>0.85570416941072858</v>
      </c>
      <c r="J336" s="206"/>
      <c r="K336" s="206">
        <v>3</v>
      </c>
      <c r="L336" s="206" t="s">
        <v>454</v>
      </c>
      <c r="M336" s="206" t="s">
        <v>413</v>
      </c>
      <c r="N336" s="206" t="s">
        <v>773</v>
      </c>
      <c r="O336" s="206" t="s">
        <v>805</v>
      </c>
    </row>
    <row r="337" spans="3:15" x14ac:dyDescent="0.25">
      <c r="C337" s="206" t="s">
        <v>1123</v>
      </c>
      <c r="D337" s="206">
        <v>25</v>
      </c>
      <c r="E337" s="206">
        <v>1073.343176316087</v>
      </c>
      <c r="F337" s="206">
        <v>40.315670013427699</v>
      </c>
      <c r="G337" s="206">
        <v>7.9500489999999999</v>
      </c>
      <c r="H337" s="206" t="s">
        <v>771</v>
      </c>
      <c r="I337" s="206">
        <v>1</v>
      </c>
      <c r="J337" s="206" t="s">
        <v>795</v>
      </c>
      <c r="K337" s="206"/>
      <c r="L337" s="206"/>
      <c r="M337" s="206"/>
      <c r="N337" s="206"/>
      <c r="O337" s="206"/>
    </row>
    <row r="338" spans="3:15" x14ac:dyDescent="0.25">
      <c r="C338" s="206" t="s">
        <v>1124</v>
      </c>
      <c r="D338" s="206">
        <v>65</v>
      </c>
      <c r="E338" s="206">
        <v>332.31724926762956</v>
      </c>
      <c r="F338" s="206">
        <v>491.91031249461201</v>
      </c>
      <c r="G338" s="206">
        <v>1.4329741</v>
      </c>
      <c r="H338" s="206" t="s">
        <v>771</v>
      </c>
      <c r="I338" s="206">
        <v>0.64</v>
      </c>
      <c r="J338" s="206"/>
      <c r="K338" s="206">
        <v>3</v>
      </c>
      <c r="L338" s="206" t="s">
        <v>454</v>
      </c>
      <c r="M338" s="206" t="s">
        <v>772</v>
      </c>
      <c r="N338" s="206" t="s">
        <v>773</v>
      </c>
      <c r="O338" s="206" t="s">
        <v>774</v>
      </c>
    </row>
    <row r="339" spans="3:15" x14ac:dyDescent="0.25">
      <c r="C339" s="206" t="s">
        <v>1125</v>
      </c>
      <c r="D339" s="206">
        <v>32</v>
      </c>
      <c r="E339" s="206">
        <v>664.93453189990475</v>
      </c>
      <c r="F339" s="206">
        <v>49.635706729895901</v>
      </c>
      <c r="G339" s="206">
        <v>4.6623444999999997</v>
      </c>
      <c r="H339" s="206" t="s">
        <v>771</v>
      </c>
      <c r="I339" s="206">
        <v>0.81</v>
      </c>
      <c r="J339" s="206"/>
      <c r="K339" s="206">
        <v>3</v>
      </c>
      <c r="L339" s="206" t="s">
        <v>454</v>
      </c>
      <c r="M339" s="206" t="s">
        <v>413</v>
      </c>
      <c r="N339" s="206" t="s">
        <v>773</v>
      </c>
      <c r="O339" s="206" t="s">
        <v>774</v>
      </c>
    </row>
    <row r="340" spans="3:15" x14ac:dyDescent="0.25">
      <c r="C340" s="206" t="s">
        <v>1126</v>
      </c>
      <c r="D340" s="206">
        <v>25</v>
      </c>
      <c r="E340" s="206">
        <v>402.10078503219353</v>
      </c>
      <c r="F340" s="206">
        <v>30.427696228027301</v>
      </c>
      <c r="G340" s="206">
        <v>3.2465698999999999</v>
      </c>
      <c r="H340" s="206" t="s">
        <v>771</v>
      </c>
      <c r="I340" s="206">
        <v>1</v>
      </c>
      <c r="J340" s="206"/>
      <c r="K340" s="206">
        <v>3</v>
      </c>
      <c r="L340" s="206" t="s">
        <v>454</v>
      </c>
      <c r="M340" s="206" t="s">
        <v>772</v>
      </c>
      <c r="N340" s="206" t="s">
        <v>773</v>
      </c>
      <c r="O340" s="206" t="s">
        <v>774</v>
      </c>
    </row>
    <row r="341" spans="3:15" x14ac:dyDescent="0.25">
      <c r="C341" s="206" t="s">
        <v>1127</v>
      </c>
      <c r="D341" s="206">
        <v>32</v>
      </c>
      <c r="E341" s="206">
        <v>331.87952979002552</v>
      </c>
      <c r="F341" s="206">
        <v>49.635706729895901</v>
      </c>
      <c r="G341" s="206">
        <v>2.3270512000000001</v>
      </c>
      <c r="H341" s="206" t="s">
        <v>771</v>
      </c>
      <c r="I341" s="206">
        <v>0.81</v>
      </c>
      <c r="J341" s="206"/>
      <c r="K341" s="206">
        <v>3</v>
      </c>
      <c r="L341" s="206" t="s">
        <v>454</v>
      </c>
      <c r="M341" s="206" t="s">
        <v>413</v>
      </c>
      <c r="N341" s="206" t="s">
        <v>773</v>
      </c>
      <c r="O341" s="206" t="s">
        <v>774</v>
      </c>
    </row>
    <row r="342" spans="3:15" x14ac:dyDescent="0.25">
      <c r="C342" s="206" t="s">
        <v>1128</v>
      </c>
      <c r="D342" s="206">
        <v>200</v>
      </c>
      <c r="E342" s="206">
        <v>233.23531571220022</v>
      </c>
      <c r="F342" s="206">
        <v>5646.44771793778</v>
      </c>
      <c r="G342" s="206">
        <v>0.71329319999999996</v>
      </c>
      <c r="H342" s="206" t="s">
        <v>771</v>
      </c>
      <c r="I342" s="206">
        <v>1</v>
      </c>
      <c r="J342" s="206"/>
      <c r="K342" s="206">
        <v>3</v>
      </c>
      <c r="L342" s="206" t="s">
        <v>454</v>
      </c>
      <c r="M342" s="206" t="s">
        <v>413</v>
      </c>
      <c r="N342" s="206" t="s">
        <v>934</v>
      </c>
      <c r="O342" s="206" t="s">
        <v>774</v>
      </c>
    </row>
    <row r="343" spans="3:15" x14ac:dyDescent="0.25">
      <c r="C343" s="206" t="s">
        <v>1129</v>
      </c>
      <c r="D343" s="206">
        <v>50</v>
      </c>
      <c r="E343" s="206">
        <v>2747.7200196964513</v>
      </c>
      <c r="F343" s="206">
        <v>148.388475348707</v>
      </c>
      <c r="G343" s="206">
        <v>14.806101</v>
      </c>
      <c r="H343" s="206" t="s">
        <v>771</v>
      </c>
      <c r="I343" s="206">
        <v>0.65</v>
      </c>
      <c r="J343" s="206"/>
      <c r="K343" s="206">
        <v>3</v>
      </c>
      <c r="L343" s="206" t="s">
        <v>454</v>
      </c>
      <c r="M343" s="206" t="s">
        <v>772</v>
      </c>
      <c r="N343" s="206" t="s">
        <v>773</v>
      </c>
      <c r="O343" s="206" t="s">
        <v>774</v>
      </c>
    </row>
    <row r="344" spans="3:15" x14ac:dyDescent="0.25">
      <c r="C344" s="206" t="s">
        <v>1130</v>
      </c>
      <c r="D344" s="206">
        <v>80</v>
      </c>
      <c r="E344" s="206">
        <v>1530.7204133244798</v>
      </c>
      <c r="F344" s="206">
        <v>562.93208777304994</v>
      </c>
      <c r="G344" s="206">
        <v>6.4645840000000003</v>
      </c>
      <c r="H344" s="206" t="s">
        <v>771</v>
      </c>
      <c r="I344" s="206">
        <v>0.65</v>
      </c>
      <c r="J344" s="206"/>
      <c r="K344" s="206">
        <v>3</v>
      </c>
      <c r="L344" s="206" t="s">
        <v>454</v>
      </c>
      <c r="M344" s="206" t="s">
        <v>772</v>
      </c>
      <c r="N344" s="206" t="s">
        <v>773</v>
      </c>
      <c r="O344" s="206" t="s">
        <v>774</v>
      </c>
    </row>
    <row r="345" spans="3:15" x14ac:dyDescent="0.25">
      <c r="C345" s="206" t="s">
        <v>1131</v>
      </c>
      <c r="D345" s="206">
        <v>100</v>
      </c>
      <c r="E345" s="206">
        <v>1009.8701332557713</v>
      </c>
      <c r="F345" s="206">
        <v>863.24011230468795</v>
      </c>
      <c r="G345" s="206">
        <v>3.9709156000000001</v>
      </c>
      <c r="H345" s="206" t="s">
        <v>771</v>
      </c>
      <c r="I345" s="206">
        <v>0.81000000000000061</v>
      </c>
      <c r="J345" s="206" t="s">
        <v>795</v>
      </c>
      <c r="K345" s="206"/>
      <c r="L345" s="206"/>
      <c r="M345" s="206"/>
      <c r="N345" s="206"/>
      <c r="O345" s="206"/>
    </row>
    <row r="346" spans="3:15" x14ac:dyDescent="0.25">
      <c r="C346" s="206" t="s">
        <v>1132</v>
      </c>
      <c r="D346" s="206">
        <v>80</v>
      </c>
      <c r="E346" s="206">
        <v>3361.3566255011006</v>
      </c>
      <c r="F346" s="206">
        <v>520.43126301543498</v>
      </c>
      <c r="G346" s="206">
        <v>14.348509999999999</v>
      </c>
      <c r="H346" s="206" t="s">
        <v>771</v>
      </c>
      <c r="I346" s="206">
        <v>0.64</v>
      </c>
      <c r="J346" s="206"/>
      <c r="K346" s="206">
        <v>3</v>
      </c>
      <c r="L346" s="206" t="s">
        <v>454</v>
      </c>
      <c r="M346" s="206" t="s">
        <v>772</v>
      </c>
      <c r="N346" s="206" t="s">
        <v>773</v>
      </c>
      <c r="O346" s="206" t="s">
        <v>774</v>
      </c>
    </row>
    <row r="347" spans="3:15" x14ac:dyDescent="0.25">
      <c r="C347" s="206" t="s">
        <v>1133</v>
      </c>
      <c r="D347" s="206">
        <v>65</v>
      </c>
      <c r="E347" s="206">
        <v>180.374679179194</v>
      </c>
      <c r="F347" s="206">
        <v>319.08547260653</v>
      </c>
      <c r="G347" s="206">
        <v>0.844248</v>
      </c>
      <c r="H347" s="206" t="s">
        <v>771</v>
      </c>
      <c r="I347" s="206">
        <v>0.65</v>
      </c>
      <c r="J347" s="206"/>
      <c r="K347" s="206">
        <v>3</v>
      </c>
      <c r="L347" s="206" t="s">
        <v>454</v>
      </c>
      <c r="M347" s="206" t="s">
        <v>772</v>
      </c>
      <c r="N347" s="206" t="s">
        <v>773</v>
      </c>
      <c r="O347" s="206" t="s">
        <v>774</v>
      </c>
    </row>
    <row r="348" spans="3:15" x14ac:dyDescent="0.25">
      <c r="C348" s="206" t="s">
        <v>1134</v>
      </c>
      <c r="D348" s="206">
        <v>50</v>
      </c>
      <c r="E348" s="206">
        <v>2690.2178202145428</v>
      </c>
      <c r="F348" s="206">
        <v>151.56820678710901</v>
      </c>
      <c r="G348" s="206">
        <v>14.457912</v>
      </c>
      <c r="H348" s="206" t="s">
        <v>771</v>
      </c>
      <c r="I348" s="206">
        <v>1</v>
      </c>
      <c r="J348" s="206"/>
      <c r="K348" s="206">
        <v>3</v>
      </c>
      <c r="L348" s="206" t="s">
        <v>454</v>
      </c>
      <c r="M348" s="206" t="s">
        <v>413</v>
      </c>
      <c r="N348" s="206" t="s">
        <v>773</v>
      </c>
      <c r="O348" s="206" t="s">
        <v>805</v>
      </c>
    </row>
    <row r="349" spans="3:15" x14ac:dyDescent="0.25">
      <c r="C349" s="206" t="s">
        <v>1135</v>
      </c>
      <c r="D349" s="206">
        <v>20</v>
      </c>
      <c r="E349" s="206">
        <v>2050.1601285124266</v>
      </c>
      <c r="F349" s="206">
        <v>1.6231137227732699</v>
      </c>
      <c r="G349" s="206">
        <v>17.510693</v>
      </c>
      <c r="H349" s="206" t="s">
        <v>771</v>
      </c>
      <c r="I349" s="206">
        <v>1</v>
      </c>
      <c r="J349" s="206"/>
      <c r="K349" s="206">
        <v>3</v>
      </c>
      <c r="L349" s="206" t="s">
        <v>454</v>
      </c>
      <c r="M349" s="206" t="s">
        <v>413</v>
      </c>
      <c r="N349" s="206" t="s">
        <v>773</v>
      </c>
      <c r="O349" s="206" t="s">
        <v>774</v>
      </c>
    </row>
    <row r="350" spans="3:15" x14ac:dyDescent="0.25">
      <c r="C350" s="206" t="s">
        <v>1136</v>
      </c>
      <c r="D350" s="206">
        <v>400</v>
      </c>
      <c r="E350" s="206">
        <v>1527.6681284796782</v>
      </c>
      <c r="F350" s="206">
        <v>27339.509060267901</v>
      </c>
      <c r="G350" s="206">
        <v>3.9077907000000001</v>
      </c>
      <c r="H350" s="206" t="s">
        <v>771</v>
      </c>
      <c r="I350" s="206">
        <v>0.62</v>
      </c>
      <c r="J350" s="206"/>
      <c r="K350" s="206">
        <v>3</v>
      </c>
      <c r="L350" s="206" t="s">
        <v>454</v>
      </c>
      <c r="M350" s="206" t="s">
        <v>413</v>
      </c>
      <c r="N350" s="206" t="s">
        <v>776</v>
      </c>
      <c r="O350" s="206" t="s">
        <v>776</v>
      </c>
    </row>
    <row r="351" spans="3:15" x14ac:dyDescent="0.25">
      <c r="C351" s="206" t="s">
        <v>1137</v>
      </c>
      <c r="D351" s="206">
        <v>400</v>
      </c>
      <c r="E351" s="206">
        <v>4413.5087663664499</v>
      </c>
      <c r="F351" s="206">
        <v>27007.699886683899</v>
      </c>
      <c r="G351" s="206">
        <v>11.301902</v>
      </c>
      <c r="H351" s="206" t="s">
        <v>771</v>
      </c>
      <c r="I351" s="206">
        <v>0.62</v>
      </c>
      <c r="J351" s="206"/>
      <c r="K351" s="206">
        <v>3</v>
      </c>
      <c r="L351" s="206" t="s">
        <v>454</v>
      </c>
      <c r="M351" s="206" t="s">
        <v>791</v>
      </c>
      <c r="N351" s="206" t="s">
        <v>773</v>
      </c>
      <c r="O351" s="206" t="s">
        <v>800</v>
      </c>
    </row>
    <row r="352" spans="3:15" x14ac:dyDescent="0.25">
      <c r="C352" s="206" t="s">
        <v>1138</v>
      </c>
      <c r="D352" s="206">
        <v>200</v>
      </c>
      <c r="E352" s="206">
        <v>2262.6353386861406</v>
      </c>
      <c r="F352" s="206">
        <v>5647.44771793778</v>
      </c>
      <c r="G352" s="206">
        <v>6.9195729999999998</v>
      </c>
      <c r="H352" s="206" t="s">
        <v>771</v>
      </c>
      <c r="I352" s="206">
        <v>1</v>
      </c>
      <c r="J352" s="206"/>
      <c r="K352" s="206">
        <v>3</v>
      </c>
      <c r="L352" s="206" t="s">
        <v>454</v>
      </c>
      <c r="M352" s="206" t="s">
        <v>772</v>
      </c>
      <c r="N352" s="206" t="s">
        <v>773</v>
      </c>
      <c r="O352" s="206" t="s">
        <v>774</v>
      </c>
    </row>
    <row r="353" spans="3:15" x14ac:dyDescent="0.25">
      <c r="C353" s="206" t="s">
        <v>1139</v>
      </c>
      <c r="D353" s="206">
        <v>80</v>
      </c>
      <c r="E353" s="206">
        <v>240.39797934068403</v>
      </c>
      <c r="F353" s="206">
        <v>562.93208777304994</v>
      </c>
      <c r="G353" s="206">
        <v>1.0152559000000001</v>
      </c>
      <c r="H353" s="206" t="s">
        <v>771</v>
      </c>
      <c r="I353" s="206">
        <v>0.65</v>
      </c>
      <c r="J353" s="206"/>
      <c r="K353" s="206">
        <v>3</v>
      </c>
      <c r="L353" s="206" t="s">
        <v>454</v>
      </c>
      <c r="M353" s="206" t="s">
        <v>772</v>
      </c>
      <c r="N353" s="206" t="s">
        <v>773</v>
      </c>
      <c r="O353" s="206" t="s">
        <v>774</v>
      </c>
    </row>
    <row r="354" spans="3:15" x14ac:dyDescent="0.25">
      <c r="C354" s="206" t="s">
        <v>1140</v>
      </c>
      <c r="D354" s="206">
        <v>40</v>
      </c>
      <c r="E354" s="206">
        <v>507.81536511449326</v>
      </c>
      <c r="F354" s="206">
        <v>147.16501775104601</v>
      </c>
      <c r="G354" s="206">
        <v>2.7416613000000001</v>
      </c>
      <c r="H354" s="206" t="s">
        <v>771</v>
      </c>
      <c r="I354" s="206">
        <v>0.72</v>
      </c>
      <c r="J354" s="206"/>
      <c r="K354" s="206">
        <v>3</v>
      </c>
      <c r="L354" s="206" t="s">
        <v>454</v>
      </c>
      <c r="M354" s="206" t="s">
        <v>772</v>
      </c>
      <c r="N354" s="206" t="s">
        <v>773</v>
      </c>
      <c r="O354" s="206" t="s">
        <v>774</v>
      </c>
    </row>
    <row r="355" spans="3:15" x14ac:dyDescent="0.25">
      <c r="C355" s="206" t="s">
        <v>1141</v>
      </c>
      <c r="D355" s="206">
        <v>20</v>
      </c>
      <c r="E355" s="206">
        <v>3172.5036791560992</v>
      </c>
      <c r="F355" s="206">
        <v>1</v>
      </c>
      <c r="G355" s="206">
        <v>27.096779999999999</v>
      </c>
      <c r="H355" s="206" t="s">
        <v>771</v>
      </c>
      <c r="I355" s="206">
        <v>1</v>
      </c>
      <c r="J355" s="206"/>
      <c r="K355" s="206">
        <v>3</v>
      </c>
      <c r="L355" s="206" t="s">
        <v>454</v>
      </c>
      <c r="M355" s="206" t="s">
        <v>772</v>
      </c>
      <c r="N355" s="206" t="s">
        <v>773</v>
      </c>
      <c r="O355" s="206" t="s">
        <v>774</v>
      </c>
    </row>
    <row r="356" spans="3:15" x14ac:dyDescent="0.25">
      <c r="C356" s="206" t="s">
        <v>1142</v>
      </c>
      <c r="D356" s="206">
        <v>250</v>
      </c>
      <c r="E356" s="206">
        <v>4010.2828704243016</v>
      </c>
      <c r="F356" s="206">
        <v>8774.0685194129201</v>
      </c>
      <c r="G356" s="206">
        <v>11.579893</v>
      </c>
      <c r="H356" s="206" t="s">
        <v>771</v>
      </c>
      <c r="I356" s="206">
        <v>1</v>
      </c>
      <c r="J356" s="206"/>
      <c r="K356" s="206">
        <v>3</v>
      </c>
      <c r="L356" s="206" t="s">
        <v>454</v>
      </c>
      <c r="M356" s="206" t="s">
        <v>413</v>
      </c>
      <c r="N356" s="206" t="s">
        <v>773</v>
      </c>
      <c r="O356" s="206" t="s">
        <v>788</v>
      </c>
    </row>
    <row r="357" spans="3:15" x14ac:dyDescent="0.25">
      <c r="C357" s="206" t="s">
        <v>1143</v>
      </c>
      <c r="D357" s="206">
        <v>200</v>
      </c>
      <c r="E357" s="206">
        <v>1865.9544072279282</v>
      </c>
      <c r="F357" s="206">
        <v>5647.44771793778</v>
      </c>
      <c r="G357" s="206">
        <v>5.7064465999999996</v>
      </c>
      <c r="H357" s="206" t="s">
        <v>771</v>
      </c>
      <c r="I357" s="206">
        <v>1</v>
      </c>
      <c r="J357" s="206"/>
      <c r="K357" s="206">
        <v>3</v>
      </c>
      <c r="L357" s="206" t="s">
        <v>454</v>
      </c>
      <c r="M357" s="206" t="s">
        <v>413</v>
      </c>
      <c r="N357" s="206" t="s">
        <v>773</v>
      </c>
      <c r="O357" s="206" t="s">
        <v>774</v>
      </c>
    </row>
    <row r="358" spans="3:15" x14ac:dyDescent="0.25">
      <c r="C358" s="206" t="s">
        <v>1144</v>
      </c>
      <c r="D358" s="206">
        <v>100</v>
      </c>
      <c r="E358" s="206">
        <v>4964.6929434455478</v>
      </c>
      <c r="F358" s="206">
        <v>962.60109389794502</v>
      </c>
      <c r="G358" s="206">
        <v>19.260162000000001</v>
      </c>
      <c r="H358" s="206" t="s">
        <v>771</v>
      </c>
      <c r="I358" s="206">
        <v>0.64</v>
      </c>
      <c r="J358" s="206"/>
      <c r="K358" s="206">
        <v>3</v>
      </c>
      <c r="L358" s="206" t="s">
        <v>454</v>
      </c>
      <c r="M358" s="206" t="s">
        <v>782</v>
      </c>
      <c r="N358" s="206" t="s">
        <v>776</v>
      </c>
      <c r="O358" s="206" t="s">
        <v>776</v>
      </c>
    </row>
    <row r="359" spans="3:15" x14ac:dyDescent="0.25">
      <c r="C359" s="206" t="s">
        <v>1145</v>
      </c>
      <c r="D359" s="206">
        <v>200</v>
      </c>
      <c r="E359" s="206">
        <v>2276.894122948986</v>
      </c>
      <c r="F359" s="206">
        <v>5175.2299023437699</v>
      </c>
      <c r="G359" s="206">
        <v>7.0358140000000002</v>
      </c>
      <c r="H359" s="206" t="s">
        <v>771</v>
      </c>
      <c r="I359" s="206">
        <v>0.64</v>
      </c>
      <c r="J359" s="206"/>
      <c r="K359" s="206">
        <v>3</v>
      </c>
      <c r="L359" s="206" t="s">
        <v>454</v>
      </c>
      <c r="M359" s="206" t="s">
        <v>782</v>
      </c>
      <c r="N359" s="206" t="s">
        <v>776</v>
      </c>
      <c r="O359" s="206" t="s">
        <v>776</v>
      </c>
    </row>
    <row r="360" spans="3:15" x14ac:dyDescent="0.25">
      <c r="C360" s="206" t="s">
        <v>1146</v>
      </c>
      <c r="D360" s="206">
        <v>50</v>
      </c>
      <c r="E360" s="206">
        <v>1562.2012412627485</v>
      </c>
      <c r="F360" s="206">
        <v>205.55093383789099</v>
      </c>
      <c r="G360" s="206">
        <v>7.9416799999999999</v>
      </c>
      <c r="H360" s="206" t="s">
        <v>771</v>
      </c>
      <c r="I360" s="206">
        <v>0.68000000000000105</v>
      </c>
      <c r="J360" s="206"/>
      <c r="K360" s="206">
        <v>3</v>
      </c>
      <c r="L360" s="206" t="s">
        <v>454</v>
      </c>
      <c r="M360" s="206" t="s">
        <v>782</v>
      </c>
      <c r="N360" s="206" t="s">
        <v>773</v>
      </c>
      <c r="O360" s="206" t="s">
        <v>805</v>
      </c>
    </row>
    <row r="361" spans="3:15" x14ac:dyDescent="0.25">
      <c r="C361" s="206" t="s">
        <v>1147</v>
      </c>
      <c r="D361" s="206">
        <v>125</v>
      </c>
      <c r="E361" s="206">
        <v>2815.1756821125023</v>
      </c>
      <c r="F361" s="206">
        <v>1523.083984375</v>
      </c>
      <c r="G361" s="206">
        <v>10.174094</v>
      </c>
      <c r="H361" s="206" t="s">
        <v>771</v>
      </c>
      <c r="I361" s="206">
        <v>0.80547730167345055</v>
      </c>
      <c r="J361" s="206"/>
      <c r="K361" s="206">
        <v>3</v>
      </c>
      <c r="L361" s="206" t="s">
        <v>454</v>
      </c>
      <c r="M361" s="206" t="s">
        <v>772</v>
      </c>
      <c r="N361" s="206" t="s">
        <v>773</v>
      </c>
      <c r="O361" s="206" t="s">
        <v>788</v>
      </c>
    </row>
    <row r="362" spans="3:15" x14ac:dyDescent="0.25">
      <c r="C362" s="206" t="s">
        <v>1148</v>
      </c>
      <c r="D362" s="206">
        <v>200</v>
      </c>
      <c r="E362" s="206">
        <v>3969.3318038445545</v>
      </c>
      <c r="F362" s="206">
        <v>5511.10888671875</v>
      </c>
      <c r="G362" s="206">
        <v>12.179527999999999</v>
      </c>
      <c r="H362" s="206" t="s">
        <v>771</v>
      </c>
      <c r="I362" s="206">
        <v>0.62</v>
      </c>
      <c r="J362" s="206" t="s">
        <v>795</v>
      </c>
      <c r="K362" s="206"/>
      <c r="L362" s="206"/>
      <c r="M362" s="206"/>
      <c r="N362" s="206"/>
      <c r="O362" s="206"/>
    </row>
    <row r="363" spans="3:15" x14ac:dyDescent="0.25">
      <c r="C363" s="206" t="s">
        <v>1149</v>
      </c>
      <c r="D363" s="206">
        <v>125</v>
      </c>
      <c r="E363" s="206">
        <v>812.19159900060902</v>
      </c>
      <c r="F363" s="206">
        <v>1523.083984375</v>
      </c>
      <c r="G363" s="206">
        <v>2.9352746000000001</v>
      </c>
      <c r="H363" s="206" t="s">
        <v>771</v>
      </c>
      <c r="I363" s="206">
        <v>0.81852807263232763</v>
      </c>
      <c r="J363" s="206"/>
      <c r="K363" s="206">
        <v>3</v>
      </c>
      <c r="L363" s="206" t="s">
        <v>454</v>
      </c>
      <c r="M363" s="206" t="s">
        <v>413</v>
      </c>
      <c r="N363" s="206" t="s">
        <v>773</v>
      </c>
      <c r="O363" s="206" t="s">
        <v>805</v>
      </c>
    </row>
    <row r="364" spans="3:15" x14ac:dyDescent="0.25">
      <c r="C364" s="206" t="s">
        <v>1150</v>
      </c>
      <c r="D364" s="206">
        <v>65</v>
      </c>
      <c r="E364" s="206">
        <v>4003.0979889234181</v>
      </c>
      <c r="F364" s="206">
        <v>491.91031249461201</v>
      </c>
      <c r="G364" s="206">
        <v>17.261624999999999</v>
      </c>
      <c r="H364" s="206" t="s">
        <v>771</v>
      </c>
      <c r="I364" s="206">
        <v>0.64</v>
      </c>
      <c r="J364" s="206"/>
      <c r="K364" s="206">
        <v>3</v>
      </c>
      <c r="L364" s="206" t="s">
        <v>454</v>
      </c>
      <c r="M364" s="206" t="s">
        <v>772</v>
      </c>
      <c r="N364" s="206" t="s">
        <v>773</v>
      </c>
      <c r="O364" s="206" t="s">
        <v>774</v>
      </c>
    </row>
    <row r="365" spans="3:15" x14ac:dyDescent="0.25">
      <c r="C365" s="206" t="s">
        <v>1151</v>
      </c>
      <c r="D365" s="206">
        <v>65</v>
      </c>
      <c r="E365" s="206">
        <v>8312.8790747959665</v>
      </c>
      <c r="F365" s="206">
        <v>479.31744384765602</v>
      </c>
      <c r="G365" s="206">
        <v>36.052486000000002</v>
      </c>
      <c r="H365" s="206" t="s">
        <v>771</v>
      </c>
      <c r="I365" s="206">
        <v>0.7</v>
      </c>
      <c r="J365" s="206"/>
      <c r="K365" s="206">
        <v>3</v>
      </c>
      <c r="L365" s="206" t="s">
        <v>454</v>
      </c>
      <c r="M365" s="206" t="s">
        <v>782</v>
      </c>
      <c r="N365" s="206" t="s">
        <v>776</v>
      </c>
      <c r="O365" s="206" t="s">
        <v>776</v>
      </c>
    </row>
    <row r="366" spans="3:15" x14ac:dyDescent="0.25">
      <c r="C366" s="206" t="s">
        <v>1152</v>
      </c>
      <c r="D366" s="206">
        <v>40</v>
      </c>
      <c r="E366" s="206">
        <v>1486.054668398908</v>
      </c>
      <c r="F366" s="206">
        <v>119.558029682084</v>
      </c>
      <c r="G366" s="206">
        <v>8.4530390000000004</v>
      </c>
      <c r="H366" s="206" t="s">
        <v>771</v>
      </c>
      <c r="I366" s="206">
        <v>0.66</v>
      </c>
      <c r="J366" s="206"/>
      <c r="K366" s="206">
        <v>3</v>
      </c>
      <c r="L366" s="206" t="s">
        <v>454</v>
      </c>
      <c r="M366" s="206" t="s">
        <v>772</v>
      </c>
      <c r="N366" s="206" t="s">
        <v>773</v>
      </c>
      <c r="O366" s="206" t="s">
        <v>774</v>
      </c>
    </row>
    <row r="367" spans="3:15" x14ac:dyDescent="0.25">
      <c r="C367" s="206" t="s">
        <v>1153</v>
      </c>
      <c r="D367" s="206">
        <v>50</v>
      </c>
      <c r="E367" s="206">
        <v>1113.7724168258464</v>
      </c>
      <c r="F367" s="206">
        <v>148.388475348707</v>
      </c>
      <c r="G367" s="206">
        <v>6.0015673999999999</v>
      </c>
      <c r="H367" s="206" t="s">
        <v>771</v>
      </c>
      <c r="I367" s="206">
        <v>0.65</v>
      </c>
      <c r="J367" s="206"/>
      <c r="K367" s="206">
        <v>3</v>
      </c>
      <c r="L367" s="206" t="s">
        <v>454</v>
      </c>
      <c r="M367" s="206" t="s">
        <v>772</v>
      </c>
      <c r="N367" s="206" t="s">
        <v>773</v>
      </c>
      <c r="O367" s="206" t="s">
        <v>774</v>
      </c>
    </row>
    <row r="368" spans="3:15" x14ac:dyDescent="0.25">
      <c r="C368" s="206" t="s">
        <v>1154</v>
      </c>
      <c r="D368" s="206">
        <v>40</v>
      </c>
      <c r="E368" s="206">
        <v>810.35688842854108</v>
      </c>
      <c r="F368" s="206">
        <v>116.80722045898401</v>
      </c>
      <c r="G368" s="206">
        <v>4.6342505999999997</v>
      </c>
      <c r="H368" s="206" t="s">
        <v>771</v>
      </c>
      <c r="I368" s="206">
        <v>0.72000000000000142</v>
      </c>
      <c r="J368" s="206"/>
      <c r="K368" s="206">
        <v>3</v>
      </c>
      <c r="L368" s="206" t="s">
        <v>454</v>
      </c>
      <c r="M368" s="206" t="s">
        <v>772</v>
      </c>
      <c r="N368" s="206" t="s">
        <v>773</v>
      </c>
      <c r="O368" s="206" t="s">
        <v>774</v>
      </c>
    </row>
    <row r="369" spans="3:15" x14ac:dyDescent="0.25">
      <c r="C369" s="206" t="s">
        <v>1155</v>
      </c>
      <c r="D369" s="206">
        <v>65</v>
      </c>
      <c r="E369" s="206">
        <v>1326.0894543178902</v>
      </c>
      <c r="F369" s="206">
        <v>491.91031249461201</v>
      </c>
      <c r="G369" s="206">
        <v>5.7181860000000002</v>
      </c>
      <c r="H369" s="206" t="s">
        <v>771</v>
      </c>
      <c r="I369" s="206">
        <v>0.64</v>
      </c>
      <c r="J369" s="206"/>
      <c r="K369" s="206">
        <v>3</v>
      </c>
      <c r="L369" s="206" t="s">
        <v>454</v>
      </c>
      <c r="M369" s="206" t="s">
        <v>772</v>
      </c>
      <c r="N369" s="206" t="s">
        <v>773</v>
      </c>
      <c r="O369" s="206" t="s">
        <v>774</v>
      </c>
    </row>
    <row r="370" spans="3:15" x14ac:dyDescent="0.25">
      <c r="C370" s="206" t="s">
        <v>1156</v>
      </c>
      <c r="D370" s="206">
        <v>80</v>
      </c>
      <c r="E370" s="206">
        <v>759.07224373684267</v>
      </c>
      <c r="F370" s="206">
        <v>617.18597412109398</v>
      </c>
      <c r="G370" s="206">
        <v>3.1627616999999999</v>
      </c>
      <c r="H370" s="206" t="s">
        <v>771</v>
      </c>
      <c r="I370" s="206">
        <v>0.7294998052048729</v>
      </c>
      <c r="J370" s="206"/>
      <c r="K370" s="206">
        <v>3</v>
      </c>
      <c r="L370" s="206" t="s">
        <v>454</v>
      </c>
      <c r="M370" s="206" t="s">
        <v>791</v>
      </c>
      <c r="N370" s="206" t="s">
        <v>773</v>
      </c>
      <c r="O370" s="206" t="s">
        <v>800</v>
      </c>
    </row>
    <row r="371" spans="3:15" x14ac:dyDescent="0.25">
      <c r="C371" s="206" t="s">
        <v>1157</v>
      </c>
      <c r="D371" s="206">
        <v>400</v>
      </c>
      <c r="E371" s="206">
        <v>2250.7239937916038</v>
      </c>
      <c r="F371" s="206">
        <v>27339.509060267901</v>
      </c>
      <c r="G371" s="206">
        <v>5.7573749999999997</v>
      </c>
      <c r="H371" s="206" t="s">
        <v>771</v>
      </c>
      <c r="I371" s="206">
        <v>0.62</v>
      </c>
      <c r="J371" s="206"/>
      <c r="K371" s="206">
        <v>3</v>
      </c>
      <c r="L371" s="206" t="s">
        <v>454</v>
      </c>
      <c r="M371" s="206" t="s">
        <v>782</v>
      </c>
      <c r="N371" s="206" t="s">
        <v>776</v>
      </c>
      <c r="O371" s="206" t="s">
        <v>776</v>
      </c>
    </row>
    <row r="372" spans="3:15" x14ac:dyDescent="0.25">
      <c r="C372" s="206" t="s">
        <v>1158</v>
      </c>
      <c r="D372" s="206">
        <v>125</v>
      </c>
      <c r="E372" s="206">
        <v>6881.2770967683246</v>
      </c>
      <c r="F372" s="206">
        <v>1648.58963202582</v>
      </c>
      <c r="G372" s="206">
        <v>24.644804000000001</v>
      </c>
      <c r="H372" s="206" t="s">
        <v>771</v>
      </c>
      <c r="I372" s="206">
        <v>0.63</v>
      </c>
      <c r="J372" s="206"/>
      <c r="K372" s="206">
        <v>3</v>
      </c>
      <c r="L372" s="206" t="s">
        <v>454</v>
      </c>
      <c r="M372" s="206" t="s">
        <v>772</v>
      </c>
      <c r="N372" s="206" t="s">
        <v>773</v>
      </c>
      <c r="O372" s="206" t="s">
        <v>774</v>
      </c>
    </row>
    <row r="373" spans="3:15" x14ac:dyDescent="0.25">
      <c r="C373" s="206" t="s">
        <v>1159</v>
      </c>
      <c r="D373" s="206">
        <v>200</v>
      </c>
      <c r="E373" s="206">
        <v>912.40903075486676</v>
      </c>
      <c r="F373" s="206">
        <v>4884.5048828125</v>
      </c>
      <c r="G373" s="206">
        <v>2.8367814999999998</v>
      </c>
      <c r="H373" s="206" t="s">
        <v>771</v>
      </c>
      <c r="I373" s="206">
        <v>0.64000000000000012</v>
      </c>
      <c r="J373" s="206" t="s">
        <v>795</v>
      </c>
      <c r="K373" s="206"/>
      <c r="L373" s="206"/>
      <c r="M373" s="206"/>
      <c r="N373" s="206"/>
      <c r="O373" s="206"/>
    </row>
    <row r="374" spans="3:15" x14ac:dyDescent="0.25">
      <c r="C374" s="206" t="s">
        <v>1160</v>
      </c>
      <c r="D374" s="206">
        <v>100</v>
      </c>
      <c r="E374" s="206">
        <v>1549.7151713241135</v>
      </c>
      <c r="F374" s="206">
        <v>962.60109389794502</v>
      </c>
      <c r="G374" s="206">
        <v>6.0120063000000004</v>
      </c>
      <c r="H374" s="206" t="s">
        <v>771</v>
      </c>
      <c r="I374" s="206">
        <v>0.64</v>
      </c>
      <c r="J374" s="206"/>
      <c r="K374" s="206">
        <v>3</v>
      </c>
      <c r="L374" s="206" t="s">
        <v>454</v>
      </c>
      <c r="M374" s="206" t="s">
        <v>413</v>
      </c>
      <c r="N374" s="206" t="s">
        <v>773</v>
      </c>
      <c r="O374" s="206" t="s">
        <v>800</v>
      </c>
    </row>
    <row r="375" spans="3:15" x14ac:dyDescent="0.25">
      <c r="C375" s="206" t="s">
        <v>1161</v>
      </c>
      <c r="D375" s="206">
        <v>100</v>
      </c>
      <c r="E375" s="206">
        <v>1107.0038984730149</v>
      </c>
      <c r="F375" s="206">
        <v>962.60109389794502</v>
      </c>
      <c r="G375" s="206">
        <v>4.2945403999999998</v>
      </c>
      <c r="H375" s="206" t="s">
        <v>771</v>
      </c>
      <c r="I375" s="206">
        <v>0.64</v>
      </c>
      <c r="J375" s="206"/>
      <c r="K375" s="206">
        <v>3</v>
      </c>
      <c r="L375" s="206" t="s">
        <v>454</v>
      </c>
      <c r="M375" s="206" t="s">
        <v>782</v>
      </c>
      <c r="N375" s="206" t="s">
        <v>776</v>
      </c>
      <c r="O375" s="206" t="s">
        <v>776</v>
      </c>
    </row>
    <row r="376" spans="3:15" x14ac:dyDescent="0.25">
      <c r="C376" s="206" t="s">
        <v>1162</v>
      </c>
      <c r="D376" s="206">
        <v>40</v>
      </c>
      <c r="E376" s="206">
        <v>1063.5411433226441</v>
      </c>
      <c r="F376" s="206">
        <v>100.29582977294901</v>
      </c>
      <c r="G376" s="206">
        <v>6.2846549999999999</v>
      </c>
      <c r="H376" s="206" t="s">
        <v>771</v>
      </c>
      <c r="I376" s="206">
        <v>1</v>
      </c>
      <c r="J376" s="206"/>
      <c r="K376" s="206">
        <v>3</v>
      </c>
      <c r="L376" s="206" t="s">
        <v>454</v>
      </c>
      <c r="M376" s="206" t="s">
        <v>791</v>
      </c>
      <c r="N376" s="206" t="s">
        <v>773</v>
      </c>
      <c r="O376" s="206" t="s">
        <v>792</v>
      </c>
    </row>
    <row r="377" spans="3:15" x14ac:dyDescent="0.25">
      <c r="C377" s="206" t="s">
        <v>1163</v>
      </c>
      <c r="D377" s="206">
        <v>40</v>
      </c>
      <c r="E377" s="206">
        <v>734.12610077884699</v>
      </c>
      <c r="F377" s="206">
        <v>116.80722045898401</v>
      </c>
      <c r="G377" s="206">
        <v>4.1983037000000003</v>
      </c>
      <c r="H377" s="206" t="s">
        <v>771</v>
      </c>
      <c r="I377" s="206">
        <v>0.72000000000000142</v>
      </c>
      <c r="J377" s="206"/>
      <c r="K377" s="206">
        <v>3</v>
      </c>
      <c r="L377" s="206" t="s">
        <v>454</v>
      </c>
      <c r="M377" s="206" t="s">
        <v>772</v>
      </c>
      <c r="N377" s="206" t="s">
        <v>773</v>
      </c>
      <c r="O377" s="206" t="s">
        <v>774</v>
      </c>
    </row>
    <row r="378" spans="3:15" x14ac:dyDescent="0.25">
      <c r="C378" s="206" t="s">
        <v>1164</v>
      </c>
      <c r="D378" s="206">
        <v>50</v>
      </c>
      <c r="E378" s="206">
        <v>10975.541870595283</v>
      </c>
      <c r="F378" s="206">
        <v>148.388475348707</v>
      </c>
      <c r="G378" s="206">
        <v>59.141753999999999</v>
      </c>
      <c r="H378" s="206" t="s">
        <v>771</v>
      </c>
      <c r="I378" s="206">
        <v>0.65</v>
      </c>
      <c r="J378" s="206"/>
      <c r="K378" s="206">
        <v>3</v>
      </c>
      <c r="L378" s="206" t="s">
        <v>454</v>
      </c>
      <c r="M378" s="206" t="s">
        <v>772</v>
      </c>
      <c r="N378" s="206" t="s">
        <v>773</v>
      </c>
      <c r="O378" s="206" t="s">
        <v>774</v>
      </c>
    </row>
    <row r="379" spans="3:15" x14ac:dyDescent="0.25">
      <c r="C379" s="206" t="s">
        <v>1165</v>
      </c>
      <c r="D379" s="206">
        <v>20</v>
      </c>
      <c r="E379" s="206">
        <v>662.00246940321802</v>
      </c>
      <c r="F379" s="206">
        <v>3.02719687647186</v>
      </c>
      <c r="G379" s="206">
        <v>5.6542519999999996</v>
      </c>
      <c r="H379" s="206" t="s">
        <v>771</v>
      </c>
      <c r="I379" s="206">
        <v>1</v>
      </c>
      <c r="J379" s="206"/>
      <c r="K379" s="206">
        <v>3</v>
      </c>
      <c r="L379" s="206" t="s">
        <v>454</v>
      </c>
      <c r="M379" s="206" t="s">
        <v>413</v>
      </c>
      <c r="N379" s="206" t="s">
        <v>773</v>
      </c>
      <c r="O379" s="206" t="s">
        <v>805</v>
      </c>
    </row>
    <row r="380" spans="3:15" x14ac:dyDescent="0.25">
      <c r="C380" s="206" t="s">
        <v>1166</v>
      </c>
      <c r="D380" s="206">
        <v>80</v>
      </c>
      <c r="E380" s="206">
        <v>3917.906424703795</v>
      </c>
      <c r="F380" s="206">
        <v>562.93208777304994</v>
      </c>
      <c r="G380" s="206">
        <v>16.546219000000001</v>
      </c>
      <c r="H380" s="206" t="s">
        <v>771</v>
      </c>
      <c r="I380" s="206">
        <v>0.65</v>
      </c>
      <c r="J380" s="206"/>
      <c r="K380" s="206">
        <v>3</v>
      </c>
      <c r="L380" s="206" t="s">
        <v>454</v>
      </c>
      <c r="M380" s="206" t="s">
        <v>772</v>
      </c>
      <c r="N380" s="206" t="s">
        <v>773</v>
      </c>
      <c r="O380" s="206" t="s">
        <v>774</v>
      </c>
    </row>
    <row r="381" spans="3:15" x14ac:dyDescent="0.25">
      <c r="C381" s="206" t="s">
        <v>1167</v>
      </c>
      <c r="D381" s="206">
        <v>50</v>
      </c>
      <c r="E381" s="206">
        <v>3492.1254826908644</v>
      </c>
      <c r="F381" s="206">
        <v>148.388475348707</v>
      </c>
      <c r="G381" s="206">
        <v>18.817333000000001</v>
      </c>
      <c r="H381" s="206" t="s">
        <v>771</v>
      </c>
      <c r="I381" s="206">
        <v>0.65</v>
      </c>
      <c r="J381" s="206"/>
      <c r="K381" s="206">
        <v>3</v>
      </c>
      <c r="L381" s="206" t="s">
        <v>454</v>
      </c>
      <c r="M381" s="206" t="s">
        <v>782</v>
      </c>
      <c r="N381" s="206" t="s">
        <v>776</v>
      </c>
      <c r="O381" s="206" t="s">
        <v>776</v>
      </c>
    </row>
    <row r="382" spans="3:15" x14ac:dyDescent="0.25">
      <c r="C382" s="206" t="s">
        <v>1168</v>
      </c>
      <c r="D382" s="206">
        <v>65</v>
      </c>
      <c r="E382" s="206">
        <v>929.45095750187465</v>
      </c>
      <c r="F382" s="206">
        <v>366.340331913667</v>
      </c>
      <c r="G382" s="206">
        <v>4.3392809999999997</v>
      </c>
      <c r="H382" s="206" t="s">
        <v>771</v>
      </c>
      <c r="I382" s="206">
        <v>0.74826912236183685</v>
      </c>
      <c r="J382" s="206"/>
      <c r="K382" s="206">
        <v>3</v>
      </c>
      <c r="L382" s="206" t="s">
        <v>454</v>
      </c>
      <c r="M382" s="206" t="s">
        <v>772</v>
      </c>
      <c r="N382" s="206" t="s">
        <v>773</v>
      </c>
      <c r="O382" s="206" t="s">
        <v>774</v>
      </c>
    </row>
    <row r="383" spans="3:15" x14ac:dyDescent="0.25">
      <c r="C383" s="206" t="s">
        <v>1169</v>
      </c>
      <c r="D383" s="206">
        <v>32</v>
      </c>
      <c r="E383" s="206">
        <v>981.14103325850806</v>
      </c>
      <c r="F383" s="206">
        <v>68.843696594238295</v>
      </c>
      <c r="G383" s="206">
        <v>6.3516355000000004</v>
      </c>
      <c r="H383" s="206" t="s">
        <v>771</v>
      </c>
      <c r="I383" s="206">
        <v>0.66000000000000214</v>
      </c>
      <c r="J383" s="206" t="s">
        <v>795</v>
      </c>
      <c r="K383" s="206"/>
      <c r="L383" s="206"/>
      <c r="M383" s="206"/>
      <c r="N383" s="206"/>
      <c r="O383" s="206"/>
    </row>
    <row r="384" spans="3:15" x14ac:dyDescent="0.25">
      <c r="C384" s="206" t="s">
        <v>1170</v>
      </c>
      <c r="D384" s="206">
        <v>80</v>
      </c>
      <c r="E384" s="206">
        <v>1480.3505750221561</v>
      </c>
      <c r="F384" s="206">
        <v>562.93208777304994</v>
      </c>
      <c r="G384" s="206">
        <v>6.2518605999999997</v>
      </c>
      <c r="H384" s="206" t="s">
        <v>771</v>
      </c>
      <c r="I384" s="206">
        <v>0.65</v>
      </c>
      <c r="J384" s="206"/>
      <c r="K384" s="206">
        <v>3</v>
      </c>
      <c r="L384" s="206" t="s">
        <v>454</v>
      </c>
      <c r="M384" s="206" t="s">
        <v>413</v>
      </c>
      <c r="N384" s="206" t="s">
        <v>773</v>
      </c>
      <c r="O384" s="206" t="s">
        <v>774</v>
      </c>
    </row>
    <row r="385" spans="3:15" x14ac:dyDescent="0.25">
      <c r="C385" s="206" t="s">
        <v>1171</v>
      </c>
      <c r="D385" s="206">
        <v>65</v>
      </c>
      <c r="E385" s="206">
        <v>898.88403630313155</v>
      </c>
      <c r="F385" s="206">
        <v>491.91031249461201</v>
      </c>
      <c r="G385" s="206">
        <v>3.8760477999999998</v>
      </c>
      <c r="H385" s="206" t="s">
        <v>771</v>
      </c>
      <c r="I385" s="206">
        <v>0.64</v>
      </c>
      <c r="J385" s="206"/>
      <c r="K385" s="206">
        <v>3</v>
      </c>
      <c r="L385" s="206" t="s">
        <v>454</v>
      </c>
      <c r="M385" s="206" t="s">
        <v>772</v>
      </c>
      <c r="N385" s="206" t="s">
        <v>773</v>
      </c>
      <c r="O385" s="206" t="s">
        <v>774</v>
      </c>
    </row>
    <row r="386" spans="3:15" x14ac:dyDescent="0.25">
      <c r="C386" s="206" t="s">
        <v>1172</v>
      </c>
      <c r="D386" s="206">
        <v>80</v>
      </c>
      <c r="E386" s="206">
        <v>798.54696372899241</v>
      </c>
      <c r="F386" s="206">
        <v>562.93208777304994</v>
      </c>
      <c r="G386" s="206">
        <v>3.3724473000000001</v>
      </c>
      <c r="H386" s="206" t="s">
        <v>771</v>
      </c>
      <c r="I386" s="206">
        <v>0.65</v>
      </c>
      <c r="J386" s="206"/>
      <c r="K386" s="206">
        <v>3</v>
      </c>
      <c r="L386" s="206" t="s">
        <v>454</v>
      </c>
      <c r="M386" s="206" t="s">
        <v>772</v>
      </c>
      <c r="N386" s="206" t="s">
        <v>773</v>
      </c>
      <c r="O386" s="206" t="s">
        <v>774</v>
      </c>
    </row>
    <row r="387" spans="3:15" x14ac:dyDescent="0.25">
      <c r="C387" s="206" t="s">
        <v>1173</v>
      </c>
      <c r="D387" s="206">
        <v>450</v>
      </c>
      <c r="E387" s="206">
        <v>555.94678635554794</v>
      </c>
      <c r="F387" s="206">
        <v>45527.2734375</v>
      </c>
      <c r="G387" s="206">
        <v>1.344641</v>
      </c>
      <c r="H387" s="206" t="s">
        <v>771</v>
      </c>
      <c r="I387" s="206">
        <v>0.62</v>
      </c>
      <c r="J387" s="206" t="s">
        <v>795</v>
      </c>
      <c r="K387" s="206"/>
      <c r="L387" s="206"/>
      <c r="M387" s="206"/>
      <c r="N387" s="206"/>
      <c r="O387" s="206"/>
    </row>
    <row r="388" spans="3:15" x14ac:dyDescent="0.25">
      <c r="C388" s="206" t="s">
        <v>1174</v>
      </c>
      <c r="D388" s="206">
        <v>200</v>
      </c>
      <c r="E388" s="206">
        <v>1069.5285474068694</v>
      </c>
      <c r="F388" s="206">
        <v>5175.2299023437699</v>
      </c>
      <c r="G388" s="206">
        <v>3.3049423999999998</v>
      </c>
      <c r="H388" s="206" t="s">
        <v>771</v>
      </c>
      <c r="I388" s="206">
        <v>0.64</v>
      </c>
      <c r="J388" s="206"/>
      <c r="K388" s="206">
        <v>3</v>
      </c>
      <c r="L388" s="206" t="s">
        <v>454</v>
      </c>
      <c r="M388" s="206" t="s">
        <v>782</v>
      </c>
      <c r="N388" s="206" t="s">
        <v>776</v>
      </c>
      <c r="O388" s="206" t="s">
        <v>776</v>
      </c>
    </row>
    <row r="389" spans="3:15" x14ac:dyDescent="0.25">
      <c r="C389" s="206" t="s">
        <v>1175</v>
      </c>
      <c r="D389" s="206">
        <v>200</v>
      </c>
      <c r="E389" s="206">
        <v>6082.8400514813065</v>
      </c>
      <c r="F389" s="206">
        <v>7368.8380004882902</v>
      </c>
      <c r="G389" s="206">
        <v>17.96725</v>
      </c>
      <c r="H389" s="206" t="s">
        <v>771</v>
      </c>
      <c r="I389" s="206">
        <v>0.63</v>
      </c>
      <c r="J389" s="206"/>
      <c r="K389" s="206">
        <v>3</v>
      </c>
      <c r="L389" s="206" t="s">
        <v>454</v>
      </c>
      <c r="M389" s="206" t="s">
        <v>413</v>
      </c>
      <c r="N389" s="206" t="s">
        <v>773</v>
      </c>
      <c r="O389" s="206" t="s">
        <v>774</v>
      </c>
    </row>
    <row r="390" spans="3:15" x14ac:dyDescent="0.25">
      <c r="C390" s="206" t="s">
        <v>1176</v>
      </c>
      <c r="D390" s="206">
        <v>400</v>
      </c>
      <c r="E390" s="206">
        <v>3592.7534197690752</v>
      </c>
      <c r="F390" s="206">
        <v>27339.509060267901</v>
      </c>
      <c r="G390" s="206">
        <v>9.1903000000000006</v>
      </c>
      <c r="H390" s="206" t="s">
        <v>771</v>
      </c>
      <c r="I390" s="206">
        <v>0.62</v>
      </c>
      <c r="J390" s="206"/>
      <c r="K390" s="206">
        <v>3</v>
      </c>
      <c r="L390" s="206" t="s">
        <v>454</v>
      </c>
      <c r="M390" s="206" t="s">
        <v>413</v>
      </c>
      <c r="N390" s="206" t="s">
        <v>776</v>
      </c>
      <c r="O390" s="206" t="s">
        <v>776</v>
      </c>
    </row>
    <row r="391" spans="3:15" x14ac:dyDescent="0.25">
      <c r="C391" s="206" t="s">
        <v>1177</v>
      </c>
      <c r="D391" s="206">
        <v>40</v>
      </c>
      <c r="E391" s="206">
        <v>3268.7070218149634</v>
      </c>
      <c r="F391" s="206">
        <v>128.72786407469499</v>
      </c>
      <c r="G391" s="206">
        <v>18.268044</v>
      </c>
      <c r="H391" s="206" t="s">
        <v>771</v>
      </c>
      <c r="I391" s="206">
        <v>0.72</v>
      </c>
      <c r="J391" s="206"/>
      <c r="K391" s="206">
        <v>3</v>
      </c>
      <c r="L391" s="206" t="s">
        <v>454</v>
      </c>
      <c r="M391" s="206" t="s">
        <v>413</v>
      </c>
      <c r="N391" s="206" t="s">
        <v>773</v>
      </c>
      <c r="O391" s="206" t="s">
        <v>805</v>
      </c>
    </row>
    <row r="392" spans="3:15" x14ac:dyDescent="0.25">
      <c r="C392" s="206" t="s">
        <v>1178</v>
      </c>
      <c r="D392" s="206">
        <v>50</v>
      </c>
      <c r="E392" s="206">
        <v>637.87660572332027</v>
      </c>
      <c r="F392" s="206">
        <v>148.388475348707</v>
      </c>
      <c r="G392" s="206">
        <v>3.4372007999999998</v>
      </c>
      <c r="H392" s="206" t="s">
        <v>771</v>
      </c>
      <c r="I392" s="206">
        <v>0.65</v>
      </c>
      <c r="J392" s="206"/>
      <c r="K392" s="206">
        <v>3</v>
      </c>
      <c r="L392" s="206" t="s">
        <v>454</v>
      </c>
      <c r="M392" s="206" t="s">
        <v>413</v>
      </c>
      <c r="N392" s="206" t="s">
        <v>773</v>
      </c>
      <c r="O392" s="206" t="s">
        <v>805</v>
      </c>
    </row>
    <row r="393" spans="3:15" x14ac:dyDescent="0.25">
      <c r="C393" s="206" t="s">
        <v>1179</v>
      </c>
      <c r="D393" s="206">
        <v>150</v>
      </c>
      <c r="E393" s="206">
        <v>1324.0050984915242</v>
      </c>
      <c r="F393" s="206">
        <v>3727.3558740168301</v>
      </c>
      <c r="G393" s="206">
        <v>4.2438159999999998</v>
      </c>
      <c r="H393" s="206" t="s">
        <v>771</v>
      </c>
      <c r="I393" s="206">
        <v>0.64</v>
      </c>
      <c r="J393" s="206"/>
      <c r="K393" s="206">
        <v>3</v>
      </c>
      <c r="L393" s="206" t="s">
        <v>454</v>
      </c>
      <c r="M393" s="206" t="s">
        <v>791</v>
      </c>
      <c r="N393" s="206" t="s">
        <v>934</v>
      </c>
      <c r="O393" s="206" t="s">
        <v>800</v>
      </c>
    </row>
    <row r="394" spans="3:15" x14ac:dyDescent="0.25">
      <c r="C394" s="206" t="s">
        <v>1180</v>
      </c>
      <c r="D394" s="206">
        <v>125</v>
      </c>
      <c r="E394" s="206">
        <v>1404.0658325916804</v>
      </c>
      <c r="F394" s="206">
        <v>1523.083984375</v>
      </c>
      <c r="G394" s="206">
        <v>5.0743184000000001</v>
      </c>
      <c r="H394" s="206" t="s">
        <v>771</v>
      </c>
      <c r="I394" s="206">
        <v>0.80547730167345055</v>
      </c>
      <c r="J394" s="206"/>
      <c r="K394" s="206">
        <v>3</v>
      </c>
      <c r="L394" s="206" t="s">
        <v>454</v>
      </c>
      <c r="M394" s="206" t="s">
        <v>772</v>
      </c>
      <c r="N394" s="206" t="s">
        <v>773</v>
      </c>
      <c r="O394" s="206" t="s">
        <v>788</v>
      </c>
    </row>
    <row r="395" spans="3:15" x14ac:dyDescent="0.25">
      <c r="C395" s="206" t="s">
        <v>1181</v>
      </c>
      <c r="D395" s="206">
        <v>80</v>
      </c>
      <c r="E395" s="206">
        <v>1125.6438377796396</v>
      </c>
      <c r="F395" s="206">
        <v>520.43126301543498</v>
      </c>
      <c r="G395" s="206">
        <v>4.8049980000000003</v>
      </c>
      <c r="H395" s="206" t="s">
        <v>771</v>
      </c>
      <c r="I395" s="206">
        <v>0.64</v>
      </c>
      <c r="J395" s="206"/>
      <c r="K395" s="206">
        <v>3</v>
      </c>
      <c r="L395" s="206" t="s">
        <v>454</v>
      </c>
      <c r="M395" s="206" t="s">
        <v>772</v>
      </c>
      <c r="N395" s="206" t="s">
        <v>773</v>
      </c>
      <c r="O395" s="206" t="s">
        <v>774</v>
      </c>
    </row>
    <row r="396" spans="3:15" x14ac:dyDescent="0.25">
      <c r="C396" s="206" t="s">
        <v>1182</v>
      </c>
      <c r="D396" s="206">
        <v>80</v>
      </c>
      <c r="E396" s="206">
        <v>4997.0468594424874</v>
      </c>
      <c r="F396" s="206">
        <v>679.71806616464198</v>
      </c>
      <c r="G396" s="206">
        <v>20.503962000000001</v>
      </c>
      <c r="H396" s="206" t="s">
        <v>771</v>
      </c>
      <c r="I396" s="206">
        <v>0.67</v>
      </c>
      <c r="J396" s="206"/>
      <c r="K396" s="206">
        <v>3</v>
      </c>
      <c r="L396" s="206" t="s">
        <v>454</v>
      </c>
      <c r="M396" s="206" t="s">
        <v>791</v>
      </c>
      <c r="N396" s="206" t="s">
        <v>773</v>
      </c>
      <c r="O396" s="206" t="s">
        <v>792</v>
      </c>
    </row>
    <row r="397" spans="3:15" x14ac:dyDescent="0.25">
      <c r="C397" s="206" t="s">
        <v>1183</v>
      </c>
      <c r="D397" s="206">
        <v>200</v>
      </c>
      <c r="E397" s="206">
        <v>11846.461882398193</v>
      </c>
      <c r="F397" s="206">
        <v>5825.9935531513001</v>
      </c>
      <c r="G397" s="206">
        <v>36.111379999999997</v>
      </c>
      <c r="H397" s="206" t="s">
        <v>771</v>
      </c>
      <c r="I397" s="206">
        <v>1</v>
      </c>
      <c r="J397" s="206"/>
      <c r="K397" s="206">
        <v>3</v>
      </c>
      <c r="L397" s="206" t="s">
        <v>454</v>
      </c>
      <c r="M397" s="206" t="s">
        <v>791</v>
      </c>
      <c r="N397" s="206" t="s">
        <v>773</v>
      </c>
      <c r="O397" s="206" t="s">
        <v>800</v>
      </c>
    </row>
    <row r="398" spans="3:15" x14ac:dyDescent="0.25">
      <c r="C398" s="206" t="s">
        <v>1184</v>
      </c>
      <c r="D398" s="206">
        <v>65</v>
      </c>
      <c r="E398" s="206">
        <v>43.016760700858825</v>
      </c>
      <c r="F398" s="206">
        <v>366.340331913667</v>
      </c>
      <c r="G398" s="206">
        <v>0.20083018999999999</v>
      </c>
      <c r="H398" s="206" t="s">
        <v>771</v>
      </c>
      <c r="I398" s="206">
        <v>0.74826912236183685</v>
      </c>
      <c r="J398" s="206"/>
      <c r="K398" s="206">
        <v>3</v>
      </c>
      <c r="L398" s="206" t="s">
        <v>454</v>
      </c>
      <c r="M398" s="206" t="s">
        <v>772</v>
      </c>
      <c r="N398" s="206" t="s">
        <v>773</v>
      </c>
      <c r="O398" s="206" t="s">
        <v>774</v>
      </c>
    </row>
    <row r="399" spans="3:15" x14ac:dyDescent="0.25">
      <c r="C399" s="206" t="s">
        <v>1185</v>
      </c>
      <c r="D399" s="206">
        <v>25</v>
      </c>
      <c r="E399" s="206">
        <v>485.05482469511691</v>
      </c>
      <c r="F399" s="206">
        <v>30.427696228027301</v>
      </c>
      <c r="G399" s="206">
        <v>3.9163424999999998</v>
      </c>
      <c r="H399" s="206" t="s">
        <v>771</v>
      </c>
      <c r="I399" s="206">
        <v>1</v>
      </c>
      <c r="J399" s="206"/>
      <c r="K399" s="206">
        <v>3</v>
      </c>
      <c r="L399" s="206" t="s">
        <v>454</v>
      </c>
      <c r="M399" s="206" t="s">
        <v>772</v>
      </c>
      <c r="N399" s="206" t="s">
        <v>773</v>
      </c>
      <c r="O399" s="206" t="s">
        <v>774</v>
      </c>
    </row>
    <row r="400" spans="3:15" x14ac:dyDescent="0.25">
      <c r="C400" s="206" t="s">
        <v>1186</v>
      </c>
      <c r="D400" s="206">
        <v>20</v>
      </c>
      <c r="E400" s="206">
        <v>2877.1412705408516</v>
      </c>
      <c r="F400" s="206">
        <v>1</v>
      </c>
      <c r="G400" s="206">
        <v>24.57405</v>
      </c>
      <c r="H400" s="206" t="s">
        <v>771</v>
      </c>
      <c r="I400" s="206">
        <v>1</v>
      </c>
      <c r="J400" s="206"/>
      <c r="K400" s="206">
        <v>3</v>
      </c>
      <c r="L400" s="206" t="s">
        <v>454</v>
      </c>
      <c r="M400" s="206" t="s">
        <v>782</v>
      </c>
      <c r="N400" s="206" t="s">
        <v>776</v>
      </c>
      <c r="O400" s="206" t="s">
        <v>776</v>
      </c>
    </row>
    <row r="401" spans="3:15" x14ac:dyDescent="0.25">
      <c r="C401" s="206" t="s">
        <v>1187</v>
      </c>
      <c r="D401" s="206">
        <v>400</v>
      </c>
      <c r="E401" s="206">
        <v>1745.8787882937368</v>
      </c>
      <c r="F401" s="206">
        <v>27339.509060267901</v>
      </c>
      <c r="G401" s="206">
        <v>4.4659757999999998</v>
      </c>
      <c r="H401" s="206" t="s">
        <v>771</v>
      </c>
      <c r="I401" s="206">
        <v>0.62</v>
      </c>
      <c r="J401" s="206"/>
      <c r="K401" s="206">
        <v>3</v>
      </c>
      <c r="L401" s="206" t="s">
        <v>454</v>
      </c>
      <c r="M401" s="206" t="s">
        <v>413</v>
      </c>
      <c r="N401" s="206" t="s">
        <v>776</v>
      </c>
      <c r="O401" s="206" t="s">
        <v>776</v>
      </c>
    </row>
    <row r="402" spans="3:15" x14ac:dyDescent="0.25">
      <c r="C402" s="206" t="s">
        <v>1188</v>
      </c>
      <c r="D402" s="206">
        <v>150</v>
      </c>
      <c r="E402" s="206">
        <v>1760.3781986760835</v>
      </c>
      <c r="F402" s="206">
        <v>3529.0715643295898</v>
      </c>
      <c r="G402" s="206">
        <v>5.6867840000000003</v>
      </c>
      <c r="H402" s="206" t="s">
        <v>771</v>
      </c>
      <c r="I402" s="206">
        <v>0.63</v>
      </c>
      <c r="J402" s="206"/>
      <c r="K402" s="206">
        <v>3</v>
      </c>
      <c r="L402" s="206" t="s">
        <v>454</v>
      </c>
      <c r="M402" s="206" t="s">
        <v>782</v>
      </c>
      <c r="N402" s="206" t="s">
        <v>773</v>
      </c>
      <c r="O402" s="206" t="s">
        <v>805</v>
      </c>
    </row>
    <row r="403" spans="3:15" x14ac:dyDescent="0.25">
      <c r="C403" s="206" t="s">
        <v>1189</v>
      </c>
      <c r="D403" s="206">
        <v>300</v>
      </c>
      <c r="E403" s="206">
        <v>2597.2732838753227</v>
      </c>
      <c r="F403" s="206">
        <v>14313.356977737199</v>
      </c>
      <c r="G403" s="206">
        <v>7.0832933999999996</v>
      </c>
      <c r="H403" s="206" t="s">
        <v>771</v>
      </c>
      <c r="I403" s="206">
        <v>0.63217717375457105</v>
      </c>
      <c r="J403" s="206"/>
      <c r="K403" s="206">
        <v>3</v>
      </c>
      <c r="L403" s="206" t="s">
        <v>454</v>
      </c>
      <c r="M403" s="206" t="s">
        <v>772</v>
      </c>
      <c r="N403" s="206" t="s">
        <v>932</v>
      </c>
      <c r="O403" s="206" t="s">
        <v>774</v>
      </c>
    </row>
    <row r="404" spans="3:15" x14ac:dyDescent="0.25">
      <c r="C404" s="206" t="s">
        <v>1190</v>
      </c>
      <c r="D404" s="206">
        <v>25</v>
      </c>
      <c r="E404" s="206">
        <v>1187.5654458790889</v>
      </c>
      <c r="F404" s="206">
        <v>34.172988891601598</v>
      </c>
      <c r="G404" s="206">
        <v>9.2720640000000003</v>
      </c>
      <c r="H404" s="206" t="s">
        <v>771</v>
      </c>
      <c r="I404" s="206">
        <v>0.75</v>
      </c>
      <c r="J404" s="206" t="s">
        <v>795</v>
      </c>
      <c r="K404" s="206"/>
      <c r="L404" s="206"/>
      <c r="M404" s="206"/>
      <c r="N404" s="206"/>
      <c r="O404" s="206"/>
    </row>
    <row r="405" spans="3:15" x14ac:dyDescent="0.25">
      <c r="C405" s="206" t="s">
        <v>1191</v>
      </c>
      <c r="D405" s="206">
        <v>65</v>
      </c>
      <c r="E405" s="206">
        <v>524.39822819345011</v>
      </c>
      <c r="F405" s="206">
        <v>475.78259277343801</v>
      </c>
      <c r="G405" s="206">
        <v>2.2779744000000002</v>
      </c>
      <c r="H405" s="206" t="s">
        <v>771</v>
      </c>
      <c r="I405" s="206">
        <v>0.7457233913710184</v>
      </c>
      <c r="J405" s="206"/>
      <c r="K405" s="206">
        <v>3</v>
      </c>
      <c r="L405" s="206" t="s">
        <v>454</v>
      </c>
      <c r="M405" s="206" t="s">
        <v>772</v>
      </c>
      <c r="N405" s="206" t="s">
        <v>773</v>
      </c>
      <c r="O405" s="206" t="s">
        <v>774</v>
      </c>
    </row>
    <row r="406" spans="3:15" x14ac:dyDescent="0.25">
      <c r="C406" s="206" t="s">
        <v>1192</v>
      </c>
      <c r="D406" s="206">
        <v>125</v>
      </c>
      <c r="E406" s="206">
        <v>1439.4970119577501</v>
      </c>
      <c r="F406" s="206">
        <v>1523.083984375</v>
      </c>
      <c r="G406" s="206">
        <v>5.2023672999999997</v>
      </c>
      <c r="H406" s="206" t="s">
        <v>771</v>
      </c>
      <c r="I406" s="206">
        <v>0.80547730167345055</v>
      </c>
      <c r="J406" s="206"/>
      <c r="K406" s="206">
        <v>3</v>
      </c>
      <c r="L406" s="206" t="s">
        <v>454</v>
      </c>
      <c r="M406" s="206" t="s">
        <v>772</v>
      </c>
      <c r="N406" s="206" t="s">
        <v>773</v>
      </c>
      <c r="O406" s="206" t="s">
        <v>788</v>
      </c>
    </row>
    <row r="407" spans="3:15" x14ac:dyDescent="0.25">
      <c r="C407" s="206" t="s">
        <v>1193</v>
      </c>
      <c r="D407" s="206">
        <v>80</v>
      </c>
      <c r="E407" s="206">
        <v>3250.0443728294927</v>
      </c>
      <c r="F407" s="206">
        <v>709.63623789476401</v>
      </c>
      <c r="G407" s="206">
        <v>14.319383</v>
      </c>
      <c r="H407" s="206" t="s">
        <v>771</v>
      </c>
      <c r="I407" s="206">
        <v>1</v>
      </c>
      <c r="J407" s="206"/>
      <c r="K407" s="206">
        <v>3</v>
      </c>
      <c r="L407" s="206" t="s">
        <v>454</v>
      </c>
      <c r="M407" s="206" t="s">
        <v>791</v>
      </c>
      <c r="N407" s="206" t="s">
        <v>822</v>
      </c>
      <c r="O407" s="206" t="s">
        <v>792</v>
      </c>
    </row>
    <row r="408" spans="3:15" x14ac:dyDescent="0.25">
      <c r="C408" s="206" t="s">
        <v>1194</v>
      </c>
      <c r="D408" s="206">
        <v>65</v>
      </c>
      <c r="E408" s="206">
        <v>1921.2885219778314</v>
      </c>
      <c r="F408" s="206">
        <v>491.91031249461201</v>
      </c>
      <c r="G408" s="206">
        <v>8.2847240000000006</v>
      </c>
      <c r="H408" s="206" t="s">
        <v>771</v>
      </c>
      <c r="I408" s="206">
        <v>0.64</v>
      </c>
      <c r="J408" s="206"/>
      <c r="K408" s="206">
        <v>3</v>
      </c>
      <c r="L408" s="206" t="s">
        <v>454</v>
      </c>
      <c r="M408" s="206" t="s">
        <v>772</v>
      </c>
      <c r="N408" s="206" t="s">
        <v>773</v>
      </c>
      <c r="O408" s="206" t="s">
        <v>774</v>
      </c>
    </row>
    <row r="409" spans="3:15" x14ac:dyDescent="0.25">
      <c r="C409" s="206" t="s">
        <v>1195</v>
      </c>
      <c r="D409" s="206">
        <v>200</v>
      </c>
      <c r="E409" s="206">
        <v>2872.5383817544935</v>
      </c>
      <c r="F409" s="206">
        <v>5175.2299023437699</v>
      </c>
      <c r="G409" s="206">
        <v>8.8764099999999999</v>
      </c>
      <c r="H409" s="206" t="s">
        <v>771</v>
      </c>
      <c r="I409" s="206">
        <v>0.64</v>
      </c>
      <c r="J409" s="206"/>
      <c r="K409" s="206">
        <v>3</v>
      </c>
      <c r="L409" s="206" t="s">
        <v>454</v>
      </c>
      <c r="M409" s="206" t="s">
        <v>413</v>
      </c>
      <c r="N409" s="206" t="s">
        <v>776</v>
      </c>
      <c r="O409" s="206" t="s">
        <v>776</v>
      </c>
    </row>
    <row r="410" spans="3:15" x14ac:dyDescent="0.25">
      <c r="C410" s="206" t="s">
        <v>1196</v>
      </c>
      <c r="D410" s="206">
        <v>80</v>
      </c>
      <c r="E410" s="206">
        <v>1127.049171672722</v>
      </c>
      <c r="F410" s="206">
        <v>562.93208777304994</v>
      </c>
      <c r="G410" s="206">
        <v>4.7597876000000001</v>
      </c>
      <c r="H410" s="206" t="s">
        <v>771</v>
      </c>
      <c r="I410" s="206">
        <v>0.65</v>
      </c>
      <c r="J410" s="206"/>
      <c r="K410" s="206">
        <v>3</v>
      </c>
      <c r="L410" s="206" t="s">
        <v>454</v>
      </c>
      <c r="M410" s="206" t="s">
        <v>772</v>
      </c>
      <c r="N410" s="206" t="s">
        <v>773</v>
      </c>
      <c r="O410" s="206" t="s">
        <v>774</v>
      </c>
    </row>
    <row r="411" spans="3:15" x14ac:dyDescent="0.25">
      <c r="C411" s="206" t="s">
        <v>1197</v>
      </c>
      <c r="D411" s="206">
        <v>80</v>
      </c>
      <c r="E411" s="206">
        <v>258.97291002264819</v>
      </c>
      <c r="F411" s="206">
        <v>562.93208777304994</v>
      </c>
      <c r="G411" s="206">
        <v>1.0937021</v>
      </c>
      <c r="H411" s="206" t="s">
        <v>771</v>
      </c>
      <c r="I411" s="206">
        <v>0.65</v>
      </c>
      <c r="J411" s="206"/>
      <c r="K411" s="206">
        <v>3</v>
      </c>
      <c r="L411" s="206" t="s">
        <v>454</v>
      </c>
      <c r="M411" s="206" t="s">
        <v>772</v>
      </c>
      <c r="N411" s="206" t="s">
        <v>773</v>
      </c>
      <c r="O411" s="206" t="s">
        <v>774</v>
      </c>
    </row>
    <row r="412" spans="3:15" x14ac:dyDescent="0.25">
      <c r="C412" s="206" t="s">
        <v>1198</v>
      </c>
      <c r="D412" s="206">
        <v>65</v>
      </c>
      <c r="E412" s="206">
        <v>348.74208847399052</v>
      </c>
      <c r="F412" s="206">
        <v>491.91031249461201</v>
      </c>
      <c r="G412" s="206">
        <v>1.5037990999999999</v>
      </c>
      <c r="H412" s="206" t="s">
        <v>771</v>
      </c>
      <c r="I412" s="206">
        <v>0.64</v>
      </c>
      <c r="J412" s="206"/>
      <c r="K412" s="206">
        <v>3</v>
      </c>
      <c r="L412" s="206" t="s">
        <v>454</v>
      </c>
      <c r="M412" s="206" t="s">
        <v>772</v>
      </c>
      <c r="N412" s="206" t="s">
        <v>773</v>
      </c>
      <c r="O412" s="206" t="s">
        <v>774</v>
      </c>
    </row>
    <row r="413" spans="3:15" x14ac:dyDescent="0.25">
      <c r="C413" s="206" t="s">
        <v>1199</v>
      </c>
      <c r="D413" s="206">
        <v>50</v>
      </c>
      <c r="E413" s="206">
        <v>515.26061257902279</v>
      </c>
      <c r="F413" s="206">
        <v>148.388475348707</v>
      </c>
      <c r="G413" s="206">
        <v>2.776484</v>
      </c>
      <c r="H413" s="206" t="s">
        <v>771</v>
      </c>
      <c r="I413" s="206">
        <v>0.65</v>
      </c>
      <c r="J413" s="206"/>
      <c r="K413" s="206">
        <v>3</v>
      </c>
      <c r="L413" s="206" t="s">
        <v>454</v>
      </c>
      <c r="M413" s="206" t="s">
        <v>772</v>
      </c>
      <c r="N413" s="206" t="s">
        <v>773</v>
      </c>
      <c r="O413" s="206" t="s">
        <v>774</v>
      </c>
    </row>
    <row r="414" spans="3:15" x14ac:dyDescent="0.25">
      <c r="C414" s="206" t="s">
        <v>1200</v>
      </c>
      <c r="D414" s="206">
        <v>80</v>
      </c>
      <c r="E414" s="206">
        <v>288.30233492058375</v>
      </c>
      <c r="F414" s="206">
        <v>562.93208777304994</v>
      </c>
      <c r="G414" s="206">
        <v>1.2175670000000001</v>
      </c>
      <c r="H414" s="206" t="s">
        <v>771</v>
      </c>
      <c r="I414" s="206">
        <v>0.65</v>
      </c>
      <c r="J414" s="206"/>
      <c r="K414" s="206">
        <v>3</v>
      </c>
      <c r="L414" s="206" t="s">
        <v>454</v>
      </c>
      <c r="M414" s="206" t="s">
        <v>772</v>
      </c>
      <c r="N414" s="206" t="s">
        <v>773</v>
      </c>
      <c r="O414" s="206" t="s">
        <v>774</v>
      </c>
    </row>
    <row r="415" spans="3:15" x14ac:dyDescent="0.25">
      <c r="C415" s="206" t="s">
        <v>1201</v>
      </c>
      <c r="D415" s="206">
        <v>50</v>
      </c>
      <c r="E415" s="206">
        <v>846.86610411705533</v>
      </c>
      <c r="F415" s="206">
        <v>148.388475348707</v>
      </c>
      <c r="G415" s="206">
        <v>4.5633416000000002</v>
      </c>
      <c r="H415" s="206" t="s">
        <v>771</v>
      </c>
      <c r="I415" s="206">
        <v>0.65</v>
      </c>
      <c r="J415" s="206"/>
      <c r="K415" s="206">
        <v>3</v>
      </c>
      <c r="L415" s="206" t="s">
        <v>454</v>
      </c>
      <c r="M415" s="206" t="s">
        <v>772</v>
      </c>
      <c r="N415" s="206" t="s">
        <v>773</v>
      </c>
      <c r="O415" s="206" t="s">
        <v>774</v>
      </c>
    </row>
    <row r="416" spans="3:15" x14ac:dyDescent="0.25">
      <c r="C416" s="206" t="s">
        <v>1202</v>
      </c>
      <c r="D416" s="206">
        <v>250</v>
      </c>
      <c r="E416" s="206">
        <v>19586.744823626781</v>
      </c>
      <c r="F416" s="206">
        <v>9286.45086270516</v>
      </c>
      <c r="G416" s="206">
        <v>56.251629999999999</v>
      </c>
      <c r="H416" s="206" t="s">
        <v>771</v>
      </c>
      <c r="I416" s="206">
        <v>1</v>
      </c>
      <c r="J416" s="206"/>
      <c r="K416" s="206">
        <v>3</v>
      </c>
      <c r="L416" s="206" t="s">
        <v>454</v>
      </c>
      <c r="M416" s="206" t="s">
        <v>413</v>
      </c>
      <c r="N416" s="206" t="s">
        <v>773</v>
      </c>
      <c r="O416" s="206" t="s">
        <v>788</v>
      </c>
    </row>
    <row r="417" spans="3:15" x14ac:dyDescent="0.25">
      <c r="C417" s="206" t="s">
        <v>1203</v>
      </c>
      <c r="D417" s="206">
        <v>50</v>
      </c>
      <c r="E417" s="206">
        <v>424.20877753023223</v>
      </c>
      <c r="F417" s="206">
        <v>148.388475348707</v>
      </c>
      <c r="G417" s="206">
        <v>2.2858508</v>
      </c>
      <c r="H417" s="206" t="s">
        <v>771</v>
      </c>
      <c r="I417" s="206">
        <v>0.65</v>
      </c>
      <c r="J417" s="206"/>
      <c r="K417" s="206">
        <v>3</v>
      </c>
      <c r="L417" s="206" t="s">
        <v>454</v>
      </c>
      <c r="M417" s="206" t="s">
        <v>772</v>
      </c>
      <c r="N417" s="206" t="s">
        <v>773</v>
      </c>
      <c r="O417" s="206" t="s">
        <v>774</v>
      </c>
    </row>
    <row r="418" spans="3:15" x14ac:dyDescent="0.25">
      <c r="C418" s="206" t="s">
        <v>1204</v>
      </c>
      <c r="D418" s="206">
        <v>80</v>
      </c>
      <c r="E418" s="206">
        <v>682.62374190382457</v>
      </c>
      <c r="F418" s="206">
        <v>562.93208777304994</v>
      </c>
      <c r="G418" s="206">
        <v>2.8828768999999999</v>
      </c>
      <c r="H418" s="206" t="s">
        <v>771</v>
      </c>
      <c r="I418" s="206">
        <v>0.65</v>
      </c>
      <c r="J418" s="206"/>
      <c r="K418" s="206">
        <v>3</v>
      </c>
      <c r="L418" s="206" t="s">
        <v>454</v>
      </c>
      <c r="M418" s="206" t="s">
        <v>772</v>
      </c>
      <c r="N418" s="206" t="s">
        <v>773</v>
      </c>
      <c r="O418" s="206" t="s">
        <v>774</v>
      </c>
    </row>
    <row r="419" spans="3:15" x14ac:dyDescent="0.25">
      <c r="C419" s="206" t="s">
        <v>1205</v>
      </c>
      <c r="D419" s="206">
        <v>80</v>
      </c>
      <c r="E419" s="206">
        <v>900.2146622242833</v>
      </c>
      <c r="F419" s="206">
        <v>617.18597412109398</v>
      </c>
      <c r="G419" s="206">
        <v>3.7508477999999998</v>
      </c>
      <c r="H419" s="206" t="s">
        <v>771</v>
      </c>
      <c r="I419" s="206">
        <v>0.7294998052048729</v>
      </c>
      <c r="J419" s="206"/>
      <c r="K419" s="206">
        <v>3</v>
      </c>
      <c r="L419" s="206" t="s">
        <v>454</v>
      </c>
      <c r="M419" s="206" t="s">
        <v>772</v>
      </c>
      <c r="N419" s="206" t="s">
        <v>773</v>
      </c>
      <c r="O419" s="206" t="s">
        <v>774</v>
      </c>
    </row>
    <row r="420" spans="3:15" x14ac:dyDescent="0.25">
      <c r="C420" s="206" t="s">
        <v>1206</v>
      </c>
      <c r="D420" s="206">
        <v>65</v>
      </c>
      <c r="E420" s="206">
        <v>980.21752097936974</v>
      </c>
      <c r="F420" s="206">
        <v>491.91031249461201</v>
      </c>
      <c r="G420" s="206">
        <v>4.2267631999999997</v>
      </c>
      <c r="H420" s="206" t="s">
        <v>771</v>
      </c>
      <c r="I420" s="206">
        <v>0.64</v>
      </c>
      <c r="J420" s="206"/>
      <c r="K420" s="206">
        <v>3</v>
      </c>
      <c r="L420" s="206" t="s">
        <v>454</v>
      </c>
      <c r="M420" s="206" t="s">
        <v>772</v>
      </c>
      <c r="N420" s="206" t="s">
        <v>773</v>
      </c>
      <c r="O420" s="206" t="s">
        <v>774</v>
      </c>
    </row>
    <row r="421" spans="3:15" x14ac:dyDescent="0.25">
      <c r="C421" s="206" t="s">
        <v>1207</v>
      </c>
      <c r="D421" s="206">
        <v>40</v>
      </c>
      <c r="E421" s="206">
        <v>498.35845135184371</v>
      </c>
      <c r="F421" s="206">
        <v>100.29582977294901</v>
      </c>
      <c r="G421" s="206">
        <v>2.9448892999999998</v>
      </c>
      <c r="H421" s="206" t="s">
        <v>771</v>
      </c>
      <c r="I421" s="206">
        <v>1</v>
      </c>
      <c r="J421" s="206"/>
      <c r="K421" s="206">
        <v>3</v>
      </c>
      <c r="L421" s="206" t="s">
        <v>454</v>
      </c>
      <c r="M421" s="206" t="s">
        <v>791</v>
      </c>
      <c r="N421" s="206" t="s">
        <v>773</v>
      </c>
      <c r="O421" s="206" t="s">
        <v>792</v>
      </c>
    </row>
    <row r="422" spans="3:15" x14ac:dyDescent="0.25">
      <c r="C422" s="206" t="s">
        <v>1208</v>
      </c>
      <c r="D422" s="206">
        <v>50</v>
      </c>
      <c r="E422" s="206">
        <v>1137.0094032369377</v>
      </c>
      <c r="F422" s="206">
        <v>148.388475348707</v>
      </c>
      <c r="G422" s="206">
        <v>6.1267800000000001</v>
      </c>
      <c r="H422" s="206" t="s">
        <v>771</v>
      </c>
      <c r="I422" s="206">
        <v>0.65</v>
      </c>
      <c r="J422" s="206"/>
      <c r="K422" s="206">
        <v>3</v>
      </c>
      <c r="L422" s="206" t="s">
        <v>454</v>
      </c>
      <c r="M422" s="206" t="s">
        <v>772</v>
      </c>
      <c r="N422" s="206" t="s">
        <v>773</v>
      </c>
      <c r="O422" s="206" t="s">
        <v>774</v>
      </c>
    </row>
    <row r="423" spans="3:15" x14ac:dyDescent="0.25">
      <c r="C423" s="206" t="s">
        <v>1209</v>
      </c>
      <c r="D423" s="206">
        <v>80</v>
      </c>
      <c r="E423" s="206">
        <v>479.9439499997435</v>
      </c>
      <c r="F423" s="206">
        <v>617.18597412109398</v>
      </c>
      <c r="G423" s="206">
        <v>1.9997415999999999</v>
      </c>
      <c r="H423" s="206" t="s">
        <v>771</v>
      </c>
      <c r="I423" s="206">
        <v>0.7294998052048729</v>
      </c>
      <c r="J423" s="206"/>
      <c r="K423" s="206">
        <v>3</v>
      </c>
      <c r="L423" s="206" t="s">
        <v>454</v>
      </c>
      <c r="M423" s="206" t="s">
        <v>772</v>
      </c>
      <c r="N423" s="206" t="s">
        <v>773</v>
      </c>
      <c r="O423" s="206" t="s">
        <v>774</v>
      </c>
    </row>
    <row r="424" spans="3:15" x14ac:dyDescent="0.25">
      <c r="C424" s="206" t="s">
        <v>1210</v>
      </c>
      <c r="D424" s="206">
        <v>125</v>
      </c>
      <c r="E424" s="206">
        <v>588.77375048631461</v>
      </c>
      <c r="F424" s="206">
        <v>1523.083984375</v>
      </c>
      <c r="G424" s="206">
        <v>2.1278386</v>
      </c>
      <c r="H424" s="206" t="s">
        <v>771</v>
      </c>
      <c r="I424" s="206">
        <v>0.80547730167345055</v>
      </c>
      <c r="J424" s="206"/>
      <c r="K424" s="206">
        <v>3</v>
      </c>
      <c r="L424" s="206" t="s">
        <v>454</v>
      </c>
      <c r="M424" s="206" t="s">
        <v>772</v>
      </c>
      <c r="N424" s="206" t="s">
        <v>773</v>
      </c>
      <c r="O424" s="206" t="s">
        <v>774</v>
      </c>
    </row>
    <row r="425" spans="3:15" x14ac:dyDescent="0.25">
      <c r="C425" s="206" t="s">
        <v>1211</v>
      </c>
      <c r="D425" s="206">
        <v>80</v>
      </c>
      <c r="E425" s="206">
        <v>1050.6106597394269</v>
      </c>
      <c r="F425" s="206">
        <v>617.18597412109398</v>
      </c>
      <c r="G425" s="206">
        <v>4.3774899999999999</v>
      </c>
      <c r="H425" s="206" t="s">
        <v>771</v>
      </c>
      <c r="I425" s="206">
        <v>0.7294998052048729</v>
      </c>
      <c r="J425" s="206"/>
      <c r="K425" s="206">
        <v>3</v>
      </c>
      <c r="L425" s="206" t="s">
        <v>454</v>
      </c>
      <c r="M425" s="206" t="s">
        <v>772</v>
      </c>
      <c r="N425" s="206" t="s">
        <v>773</v>
      </c>
      <c r="O425" s="206" t="s">
        <v>774</v>
      </c>
    </row>
    <row r="426" spans="3:15" x14ac:dyDescent="0.25">
      <c r="C426" s="206" t="s">
        <v>1212</v>
      </c>
      <c r="D426" s="206">
        <v>65</v>
      </c>
      <c r="E426" s="206">
        <v>774.45432346911798</v>
      </c>
      <c r="F426" s="206">
        <v>366.340331913667</v>
      </c>
      <c r="G426" s="206">
        <v>3.615656</v>
      </c>
      <c r="H426" s="206" t="s">
        <v>771</v>
      </c>
      <c r="I426" s="206">
        <v>0.74826912236183685</v>
      </c>
      <c r="J426" s="206"/>
      <c r="K426" s="206">
        <v>3</v>
      </c>
      <c r="L426" s="206" t="s">
        <v>454</v>
      </c>
      <c r="M426" s="206" t="s">
        <v>772</v>
      </c>
      <c r="N426" s="206" t="s">
        <v>773</v>
      </c>
      <c r="O426" s="206" t="s">
        <v>774</v>
      </c>
    </row>
    <row r="427" spans="3:15" x14ac:dyDescent="0.25">
      <c r="C427" s="206" t="s">
        <v>1213</v>
      </c>
      <c r="D427" s="206">
        <v>65</v>
      </c>
      <c r="E427" s="206">
        <v>438.17244312230088</v>
      </c>
      <c r="F427" s="206">
        <v>319.08547260653</v>
      </c>
      <c r="G427" s="206">
        <v>2.0508766</v>
      </c>
      <c r="H427" s="206" t="s">
        <v>771</v>
      </c>
      <c r="I427" s="206">
        <v>0.65</v>
      </c>
      <c r="J427" s="206"/>
      <c r="K427" s="206">
        <v>3</v>
      </c>
      <c r="L427" s="206" t="s">
        <v>454</v>
      </c>
      <c r="M427" s="206" t="s">
        <v>413</v>
      </c>
      <c r="N427" s="206" t="s">
        <v>773</v>
      </c>
      <c r="O427" s="206" t="s">
        <v>774</v>
      </c>
    </row>
    <row r="428" spans="3:15" x14ac:dyDescent="0.25">
      <c r="C428" s="206" t="s">
        <v>1214</v>
      </c>
      <c r="D428" s="206">
        <v>20</v>
      </c>
      <c r="E428" s="206">
        <v>631.43744247084862</v>
      </c>
      <c r="F428" s="206">
        <v>1.6231137227732699</v>
      </c>
      <c r="G428" s="206">
        <v>5.393192</v>
      </c>
      <c r="H428" s="206" t="s">
        <v>771</v>
      </c>
      <c r="I428" s="206">
        <v>1</v>
      </c>
      <c r="J428" s="206"/>
      <c r="K428" s="206">
        <v>3</v>
      </c>
      <c r="L428" s="206" t="s">
        <v>454</v>
      </c>
      <c r="M428" s="206" t="s">
        <v>413</v>
      </c>
      <c r="N428" s="206" t="s">
        <v>773</v>
      </c>
      <c r="O428" s="206" t="s">
        <v>774</v>
      </c>
    </row>
    <row r="429" spans="3:15" x14ac:dyDescent="0.25">
      <c r="C429" s="206" t="s">
        <v>1215</v>
      </c>
      <c r="D429" s="206">
        <v>40</v>
      </c>
      <c r="E429" s="206">
        <v>178.16021767715156</v>
      </c>
      <c r="F429" s="206">
        <v>90.169326782226605</v>
      </c>
      <c r="G429" s="206">
        <v>1.0747259</v>
      </c>
      <c r="H429" s="206" t="s">
        <v>771</v>
      </c>
      <c r="I429" s="206">
        <v>1</v>
      </c>
      <c r="J429" s="206" t="s">
        <v>795</v>
      </c>
      <c r="K429" s="206"/>
      <c r="L429" s="206"/>
      <c r="M429" s="206"/>
      <c r="N429" s="206"/>
      <c r="O429" s="206"/>
    </row>
    <row r="430" spans="3:15" x14ac:dyDescent="0.25">
      <c r="C430" s="206" t="s">
        <v>1216</v>
      </c>
      <c r="D430" s="206">
        <v>20</v>
      </c>
      <c r="E430" s="206">
        <v>607.48793029289038</v>
      </c>
      <c r="F430" s="206">
        <v>1.6231137227732699</v>
      </c>
      <c r="G430" s="206">
        <v>5.1886359999999998</v>
      </c>
      <c r="H430" s="206" t="s">
        <v>771</v>
      </c>
      <c r="I430" s="206">
        <v>1</v>
      </c>
      <c r="J430" s="206"/>
      <c r="K430" s="206">
        <v>3</v>
      </c>
      <c r="L430" s="206" t="s">
        <v>454</v>
      </c>
      <c r="M430" s="206" t="s">
        <v>413</v>
      </c>
      <c r="N430" s="206" t="s">
        <v>773</v>
      </c>
      <c r="O430" s="206" t="s">
        <v>774</v>
      </c>
    </row>
    <row r="431" spans="3:15" x14ac:dyDescent="0.25">
      <c r="C431" s="206" t="s">
        <v>1217</v>
      </c>
      <c r="D431" s="206">
        <v>80</v>
      </c>
      <c r="E431" s="206">
        <v>2453.7786977046276</v>
      </c>
      <c r="F431" s="206">
        <v>718.40552917289199</v>
      </c>
      <c r="G431" s="206">
        <v>10.811113000000001</v>
      </c>
      <c r="H431" s="206" t="s">
        <v>771</v>
      </c>
      <c r="I431" s="206">
        <v>1</v>
      </c>
      <c r="J431" s="206"/>
      <c r="K431" s="206">
        <v>3</v>
      </c>
      <c r="L431" s="206" t="s">
        <v>454</v>
      </c>
      <c r="M431" s="206" t="s">
        <v>413</v>
      </c>
      <c r="N431" s="206" t="s">
        <v>784</v>
      </c>
      <c r="O431" s="206" t="s">
        <v>792</v>
      </c>
    </row>
    <row r="432" spans="3:15" x14ac:dyDescent="0.25">
      <c r="C432" s="206" t="s">
        <v>1218</v>
      </c>
      <c r="D432" s="206">
        <v>20</v>
      </c>
      <c r="E432" s="206">
        <v>191.45728682100355</v>
      </c>
      <c r="F432" s="206">
        <v>1</v>
      </c>
      <c r="G432" s="206">
        <v>1.6352624</v>
      </c>
      <c r="H432" s="206" t="s">
        <v>771</v>
      </c>
      <c r="I432" s="206">
        <v>1</v>
      </c>
      <c r="J432" s="206"/>
      <c r="K432" s="206">
        <v>3</v>
      </c>
      <c r="L432" s="206" t="s">
        <v>454</v>
      </c>
      <c r="M432" s="206" t="s">
        <v>413</v>
      </c>
      <c r="N432" s="206" t="s">
        <v>773</v>
      </c>
      <c r="O432" s="206" t="s">
        <v>805</v>
      </c>
    </row>
    <row r="433" spans="3:15" x14ac:dyDescent="0.25">
      <c r="C433" s="206" t="s">
        <v>1219</v>
      </c>
      <c r="D433" s="206">
        <v>200</v>
      </c>
      <c r="E433" s="206">
        <v>2112.4166737477026</v>
      </c>
      <c r="F433" s="206">
        <v>5647.44771793778</v>
      </c>
      <c r="G433" s="206">
        <v>6.4601755000000001</v>
      </c>
      <c r="H433" s="206" t="s">
        <v>771</v>
      </c>
      <c r="I433" s="206">
        <v>1</v>
      </c>
      <c r="J433" s="206"/>
      <c r="K433" s="206">
        <v>3</v>
      </c>
      <c r="L433" s="206" t="s">
        <v>454</v>
      </c>
      <c r="M433" s="206" t="s">
        <v>772</v>
      </c>
      <c r="N433" s="206" t="s">
        <v>773</v>
      </c>
      <c r="O433" s="206" t="s">
        <v>788</v>
      </c>
    </row>
    <row r="434" spans="3:15" x14ac:dyDescent="0.25">
      <c r="C434" s="206" t="s">
        <v>1220</v>
      </c>
      <c r="D434" s="206">
        <v>80</v>
      </c>
      <c r="E434" s="206">
        <v>3254.5017666584736</v>
      </c>
      <c r="F434" s="206">
        <v>610.56615022576898</v>
      </c>
      <c r="G434" s="206">
        <v>13.710418000000001</v>
      </c>
      <c r="H434" s="206" t="s">
        <v>771</v>
      </c>
      <c r="I434" s="206">
        <v>0.67</v>
      </c>
      <c r="J434" s="206"/>
      <c r="K434" s="206">
        <v>3</v>
      </c>
      <c r="L434" s="206" t="s">
        <v>454</v>
      </c>
      <c r="M434" s="206" t="s">
        <v>772</v>
      </c>
      <c r="N434" s="206" t="s">
        <v>773</v>
      </c>
      <c r="O434" s="206" t="s">
        <v>774</v>
      </c>
    </row>
    <row r="435" spans="3:15" x14ac:dyDescent="0.25">
      <c r="C435" s="206" t="s">
        <v>1221</v>
      </c>
      <c r="D435" s="206">
        <v>80</v>
      </c>
      <c r="E435" s="206">
        <v>347.80667506507683</v>
      </c>
      <c r="F435" s="206">
        <v>562.93208777304994</v>
      </c>
      <c r="G435" s="206">
        <v>1.4688675</v>
      </c>
      <c r="H435" s="206" t="s">
        <v>771</v>
      </c>
      <c r="I435" s="206">
        <v>0.65</v>
      </c>
      <c r="J435" s="206"/>
      <c r="K435" s="206">
        <v>3</v>
      </c>
      <c r="L435" s="206" t="s">
        <v>454</v>
      </c>
      <c r="M435" s="206" t="s">
        <v>772</v>
      </c>
      <c r="N435" s="206" t="s">
        <v>773</v>
      </c>
      <c r="O435" s="206" t="s">
        <v>774</v>
      </c>
    </row>
    <row r="436" spans="3:15" x14ac:dyDescent="0.25">
      <c r="C436" s="206" t="s">
        <v>1222</v>
      </c>
      <c r="D436" s="206">
        <v>125</v>
      </c>
      <c r="E436" s="206">
        <v>4038.9136907308034</v>
      </c>
      <c r="F436" s="206">
        <v>1523.083984375</v>
      </c>
      <c r="G436" s="206">
        <v>14.5967045</v>
      </c>
      <c r="H436" s="206" t="s">
        <v>771</v>
      </c>
      <c r="I436" s="206">
        <v>0.80547730167345055</v>
      </c>
      <c r="J436" s="206"/>
      <c r="K436" s="206">
        <v>3</v>
      </c>
      <c r="L436" s="206" t="s">
        <v>454</v>
      </c>
      <c r="M436" s="206" t="s">
        <v>413</v>
      </c>
      <c r="N436" s="206" t="s">
        <v>773</v>
      </c>
      <c r="O436" s="206" t="s">
        <v>788</v>
      </c>
    </row>
    <row r="437" spans="3:15" x14ac:dyDescent="0.25">
      <c r="C437" s="206" t="s">
        <v>1223</v>
      </c>
      <c r="D437" s="206">
        <v>100</v>
      </c>
      <c r="E437" s="206">
        <v>3790.6202162479885</v>
      </c>
      <c r="F437" s="206">
        <v>962.60109389794502</v>
      </c>
      <c r="G437" s="206">
        <v>14.705432999999999</v>
      </c>
      <c r="H437" s="206" t="s">
        <v>771</v>
      </c>
      <c r="I437" s="206">
        <v>0.64</v>
      </c>
      <c r="J437" s="206"/>
      <c r="K437" s="206">
        <v>3</v>
      </c>
      <c r="L437" s="206" t="s">
        <v>454</v>
      </c>
      <c r="M437" s="206" t="s">
        <v>413</v>
      </c>
      <c r="N437" s="206" t="s">
        <v>776</v>
      </c>
      <c r="O437" s="206" t="s">
        <v>776</v>
      </c>
    </row>
    <row r="438" spans="3:15" x14ac:dyDescent="0.25">
      <c r="C438" s="206" t="s">
        <v>1224</v>
      </c>
      <c r="D438" s="206">
        <v>40</v>
      </c>
      <c r="E438" s="206">
        <v>314.99396198800042</v>
      </c>
      <c r="F438" s="206">
        <v>147.16501775104601</v>
      </c>
      <c r="G438" s="206">
        <v>1.7006314</v>
      </c>
      <c r="H438" s="206" t="s">
        <v>771</v>
      </c>
      <c r="I438" s="206">
        <v>0.72</v>
      </c>
      <c r="J438" s="206"/>
      <c r="K438" s="206">
        <v>3</v>
      </c>
      <c r="L438" s="206" t="s">
        <v>454</v>
      </c>
      <c r="M438" s="206" t="s">
        <v>772</v>
      </c>
      <c r="N438" s="206" t="s">
        <v>773</v>
      </c>
      <c r="O438" s="206" t="s">
        <v>774</v>
      </c>
    </row>
    <row r="439" spans="3:15" x14ac:dyDescent="0.25">
      <c r="C439" s="206" t="s">
        <v>1225</v>
      </c>
      <c r="D439" s="206">
        <v>65</v>
      </c>
      <c r="E439" s="206">
        <v>711.08990333193253</v>
      </c>
      <c r="F439" s="206">
        <v>319.08547260653</v>
      </c>
      <c r="G439" s="206">
        <v>3.3282733000000002</v>
      </c>
      <c r="H439" s="206" t="s">
        <v>771</v>
      </c>
      <c r="I439" s="206">
        <v>0.65</v>
      </c>
      <c r="J439" s="206"/>
      <c r="K439" s="206">
        <v>3</v>
      </c>
      <c r="L439" s="206" t="s">
        <v>454</v>
      </c>
      <c r="M439" s="206" t="s">
        <v>772</v>
      </c>
      <c r="N439" s="206" t="s">
        <v>773</v>
      </c>
      <c r="O439" s="206" t="s">
        <v>774</v>
      </c>
    </row>
    <row r="440" spans="3:15" x14ac:dyDescent="0.25">
      <c r="C440" s="206" t="s">
        <v>1226</v>
      </c>
      <c r="D440" s="206">
        <v>80</v>
      </c>
      <c r="E440" s="206">
        <v>6697.4558302887617</v>
      </c>
      <c r="F440" s="206">
        <v>620.9996038237</v>
      </c>
      <c r="G440" s="206">
        <v>27.879448</v>
      </c>
      <c r="H440" s="206" t="s">
        <v>771</v>
      </c>
      <c r="I440" s="206">
        <v>0.67</v>
      </c>
      <c r="J440" s="206"/>
      <c r="K440" s="206">
        <v>3</v>
      </c>
      <c r="L440" s="206" t="s">
        <v>454</v>
      </c>
      <c r="M440" s="206" t="s">
        <v>791</v>
      </c>
      <c r="N440" s="206" t="s">
        <v>822</v>
      </c>
      <c r="O440" s="206" t="s">
        <v>800</v>
      </c>
    </row>
    <row r="441" spans="3:15" x14ac:dyDescent="0.25">
      <c r="C441" s="206" t="s">
        <v>1227</v>
      </c>
      <c r="D441" s="206">
        <v>125</v>
      </c>
      <c r="E441" s="206">
        <v>1478.6772877907536</v>
      </c>
      <c r="F441" s="206">
        <v>1523.083984375</v>
      </c>
      <c r="G441" s="206">
        <v>5.3439655000000004</v>
      </c>
      <c r="H441" s="206" t="s">
        <v>771</v>
      </c>
      <c r="I441" s="206">
        <v>0.80547730167345055</v>
      </c>
      <c r="J441" s="206"/>
      <c r="K441" s="206">
        <v>3</v>
      </c>
      <c r="L441" s="206" t="s">
        <v>454</v>
      </c>
      <c r="M441" s="206" t="s">
        <v>413</v>
      </c>
      <c r="N441" s="206" t="s">
        <v>773</v>
      </c>
      <c r="O441" s="206" t="s">
        <v>774</v>
      </c>
    </row>
    <row r="442" spans="3:15" x14ac:dyDescent="0.25">
      <c r="C442" s="206" t="s">
        <v>1228</v>
      </c>
      <c r="D442" s="206">
        <v>65</v>
      </c>
      <c r="E442" s="206">
        <v>27.851142487618681</v>
      </c>
      <c r="F442" s="206">
        <v>366.340331913667</v>
      </c>
      <c r="G442" s="206">
        <v>0.13002722999999999</v>
      </c>
      <c r="H442" s="206" t="s">
        <v>771</v>
      </c>
      <c r="I442" s="206">
        <v>0.74826912236183685</v>
      </c>
      <c r="J442" s="206"/>
      <c r="K442" s="206">
        <v>3</v>
      </c>
      <c r="L442" s="206" t="s">
        <v>454</v>
      </c>
      <c r="M442" s="206" t="s">
        <v>772</v>
      </c>
      <c r="N442" s="206" t="s">
        <v>773</v>
      </c>
      <c r="O442" s="206" t="s">
        <v>774</v>
      </c>
    </row>
    <row r="443" spans="3:15" x14ac:dyDescent="0.25">
      <c r="C443" s="206" t="s">
        <v>1229</v>
      </c>
      <c r="D443" s="206">
        <v>65</v>
      </c>
      <c r="E443" s="206">
        <v>410.72851766811635</v>
      </c>
      <c r="F443" s="206">
        <v>366.340331913667</v>
      </c>
      <c r="G443" s="206">
        <v>1.9175476</v>
      </c>
      <c r="H443" s="206" t="s">
        <v>771</v>
      </c>
      <c r="I443" s="206">
        <v>0.74826912236183685</v>
      </c>
      <c r="J443" s="206"/>
      <c r="K443" s="206">
        <v>3</v>
      </c>
      <c r="L443" s="206" t="s">
        <v>454</v>
      </c>
      <c r="M443" s="206" t="s">
        <v>772</v>
      </c>
      <c r="N443" s="206" t="s">
        <v>773</v>
      </c>
      <c r="O443" s="206" t="s">
        <v>774</v>
      </c>
    </row>
    <row r="444" spans="3:15" x14ac:dyDescent="0.25">
      <c r="C444" s="206" t="s">
        <v>1230</v>
      </c>
      <c r="D444" s="206">
        <v>80</v>
      </c>
      <c r="E444" s="206">
        <v>826.5515258273058</v>
      </c>
      <c r="F444" s="206">
        <v>562.93208777304994</v>
      </c>
      <c r="G444" s="206">
        <v>3.4907170000000001</v>
      </c>
      <c r="H444" s="206" t="s">
        <v>771</v>
      </c>
      <c r="I444" s="206">
        <v>0.65</v>
      </c>
      <c r="J444" s="206"/>
      <c r="K444" s="206">
        <v>3</v>
      </c>
      <c r="L444" s="206" t="s">
        <v>454</v>
      </c>
      <c r="M444" s="206" t="s">
        <v>772</v>
      </c>
      <c r="N444" s="206" t="s">
        <v>773</v>
      </c>
      <c r="O444" s="206" t="s">
        <v>774</v>
      </c>
    </row>
    <row r="445" spans="3:15" x14ac:dyDescent="0.25">
      <c r="C445" s="206" t="s">
        <v>1231</v>
      </c>
      <c r="D445" s="206">
        <v>65</v>
      </c>
      <c r="E445" s="206">
        <v>1151.4042096845535</v>
      </c>
      <c r="F445" s="206">
        <v>366.340331913667</v>
      </c>
      <c r="G445" s="206">
        <v>5.3755030000000001</v>
      </c>
      <c r="H445" s="206" t="s">
        <v>771</v>
      </c>
      <c r="I445" s="206">
        <v>0.74826912236183685</v>
      </c>
      <c r="J445" s="206"/>
      <c r="K445" s="206">
        <v>3</v>
      </c>
      <c r="L445" s="206" t="s">
        <v>454</v>
      </c>
      <c r="M445" s="206" t="s">
        <v>772</v>
      </c>
      <c r="N445" s="206" t="s">
        <v>773</v>
      </c>
      <c r="O445" s="206" t="s">
        <v>774</v>
      </c>
    </row>
    <row r="446" spans="3:15" x14ac:dyDescent="0.25">
      <c r="C446" s="206" t="s">
        <v>1232</v>
      </c>
      <c r="D446" s="206">
        <v>50</v>
      </c>
      <c r="E446" s="206">
        <v>988.96553740672698</v>
      </c>
      <c r="F446" s="206">
        <v>148.388475348707</v>
      </c>
      <c r="G446" s="206">
        <v>5.3290449999999998</v>
      </c>
      <c r="H446" s="206" t="s">
        <v>771</v>
      </c>
      <c r="I446" s="206">
        <v>0.65</v>
      </c>
      <c r="J446" s="206"/>
      <c r="K446" s="206">
        <v>3</v>
      </c>
      <c r="L446" s="206" t="s">
        <v>454</v>
      </c>
      <c r="M446" s="206" t="s">
        <v>772</v>
      </c>
      <c r="N446" s="206" t="s">
        <v>773</v>
      </c>
      <c r="O446" s="206" t="s">
        <v>774</v>
      </c>
    </row>
    <row r="447" spans="3:15" x14ac:dyDescent="0.25">
      <c r="C447" s="206" t="s">
        <v>1233</v>
      </c>
      <c r="D447" s="206">
        <v>80</v>
      </c>
      <c r="E447" s="206">
        <v>1456.5538351405582</v>
      </c>
      <c r="F447" s="206">
        <v>562.93208777304994</v>
      </c>
      <c r="G447" s="206">
        <v>6.1513615000000001</v>
      </c>
      <c r="H447" s="206" t="s">
        <v>771</v>
      </c>
      <c r="I447" s="206">
        <v>0.65</v>
      </c>
      <c r="J447" s="206"/>
      <c r="K447" s="206">
        <v>3</v>
      </c>
      <c r="L447" s="206" t="s">
        <v>454</v>
      </c>
      <c r="M447" s="206" t="s">
        <v>772</v>
      </c>
      <c r="N447" s="206" t="s">
        <v>773</v>
      </c>
      <c r="O447" s="206" t="s">
        <v>774</v>
      </c>
    </row>
    <row r="448" spans="3:15" x14ac:dyDescent="0.25">
      <c r="C448" s="206" t="s">
        <v>1234</v>
      </c>
      <c r="D448" s="206">
        <v>125</v>
      </c>
      <c r="E448" s="206">
        <v>11597.349809685069</v>
      </c>
      <c r="F448" s="206">
        <v>2448.1711902533598</v>
      </c>
      <c r="G448" s="206">
        <v>39.278602999999997</v>
      </c>
      <c r="H448" s="206" t="s">
        <v>771</v>
      </c>
      <c r="I448" s="206">
        <v>0.63</v>
      </c>
      <c r="J448" s="206"/>
      <c r="K448" s="206">
        <v>3</v>
      </c>
      <c r="L448" s="206" t="s">
        <v>454</v>
      </c>
      <c r="M448" s="206" t="s">
        <v>772</v>
      </c>
      <c r="N448" s="206" t="s">
        <v>773</v>
      </c>
      <c r="O448" s="206" t="s">
        <v>774</v>
      </c>
    </row>
    <row r="449" spans="3:15" x14ac:dyDescent="0.25">
      <c r="C449" s="206" t="s">
        <v>1235</v>
      </c>
      <c r="D449" s="206">
        <v>20</v>
      </c>
      <c r="E449" s="206">
        <v>563.62772034804368</v>
      </c>
      <c r="F449" s="206">
        <v>2.91598506120499</v>
      </c>
      <c r="G449" s="206">
        <v>3.7950691999999999</v>
      </c>
      <c r="H449" s="206" t="s">
        <v>771</v>
      </c>
      <c r="I449" s="206">
        <v>1</v>
      </c>
      <c r="J449" s="206"/>
      <c r="K449" s="206">
        <v>3</v>
      </c>
      <c r="L449" s="206" t="s">
        <v>454</v>
      </c>
      <c r="M449" s="206" t="s">
        <v>772</v>
      </c>
      <c r="N449" s="206" t="s">
        <v>773</v>
      </c>
      <c r="O449" s="206" t="s">
        <v>774</v>
      </c>
    </row>
    <row r="450" spans="3:15" x14ac:dyDescent="0.25">
      <c r="C450" s="206" t="s">
        <v>1236</v>
      </c>
      <c r="D450" s="206">
        <v>125</v>
      </c>
      <c r="E450" s="206">
        <v>904.68223656716896</v>
      </c>
      <c r="F450" s="206">
        <v>2448.1711902533598</v>
      </c>
      <c r="G450" s="206">
        <v>3.0640323</v>
      </c>
      <c r="H450" s="206" t="s">
        <v>771</v>
      </c>
      <c r="I450" s="206">
        <v>0.63</v>
      </c>
      <c r="J450" s="206"/>
      <c r="K450" s="206">
        <v>3</v>
      </c>
      <c r="L450" s="206" t="s">
        <v>454</v>
      </c>
      <c r="M450" s="206" t="s">
        <v>413</v>
      </c>
      <c r="N450" s="206" t="s">
        <v>773</v>
      </c>
      <c r="O450" s="206" t="s">
        <v>774</v>
      </c>
    </row>
    <row r="451" spans="3:15" x14ac:dyDescent="0.25">
      <c r="C451" s="206" t="s">
        <v>1237</v>
      </c>
      <c r="D451" s="206">
        <v>125</v>
      </c>
      <c r="E451" s="206">
        <v>1944.5869105057868</v>
      </c>
      <c r="F451" s="206">
        <v>1523.9643803030599</v>
      </c>
      <c r="G451" s="206">
        <v>7.0277710000000004</v>
      </c>
      <c r="H451" s="206" t="s">
        <v>771</v>
      </c>
      <c r="I451" s="206">
        <v>0.80663529349950736</v>
      </c>
      <c r="J451" s="206"/>
      <c r="K451" s="206">
        <v>3</v>
      </c>
      <c r="L451" s="206" t="s">
        <v>454</v>
      </c>
      <c r="M451" s="206" t="s">
        <v>413</v>
      </c>
      <c r="N451" s="206" t="s">
        <v>776</v>
      </c>
      <c r="O451" s="206" t="s">
        <v>776</v>
      </c>
    </row>
    <row r="452" spans="3:15" x14ac:dyDescent="0.25">
      <c r="C452" s="206" t="s">
        <v>1238</v>
      </c>
      <c r="D452" s="206">
        <v>40</v>
      </c>
      <c r="E452" s="206">
        <v>81.353729354989724</v>
      </c>
      <c r="F452" s="206">
        <v>103.443859683932</v>
      </c>
      <c r="G452" s="206">
        <v>0.4777014</v>
      </c>
      <c r="H452" s="206" t="s">
        <v>771</v>
      </c>
      <c r="I452" s="206">
        <v>0.66</v>
      </c>
      <c r="J452" s="206"/>
      <c r="K452" s="206">
        <v>3</v>
      </c>
      <c r="L452" s="206" t="s">
        <v>454</v>
      </c>
      <c r="M452" s="206" t="s">
        <v>772</v>
      </c>
      <c r="N452" s="206" t="s">
        <v>773</v>
      </c>
      <c r="O452" s="206" t="s">
        <v>774</v>
      </c>
    </row>
    <row r="453" spans="3:15" x14ac:dyDescent="0.25">
      <c r="C453" s="206" t="s">
        <v>1239</v>
      </c>
      <c r="D453" s="206">
        <v>50</v>
      </c>
      <c r="E453" s="206">
        <v>997.72232738468233</v>
      </c>
      <c r="F453" s="206">
        <v>148.388475348707</v>
      </c>
      <c r="G453" s="206">
        <v>5.3762309999999998</v>
      </c>
      <c r="H453" s="206" t="s">
        <v>771</v>
      </c>
      <c r="I453" s="206">
        <v>0.65</v>
      </c>
      <c r="J453" s="206"/>
      <c r="K453" s="206">
        <v>3</v>
      </c>
      <c r="L453" s="206" t="s">
        <v>454</v>
      </c>
      <c r="M453" s="206" t="s">
        <v>772</v>
      </c>
      <c r="N453" s="206" t="s">
        <v>773</v>
      </c>
      <c r="O453" s="206" t="s">
        <v>774</v>
      </c>
    </row>
    <row r="454" spans="3:15" x14ac:dyDescent="0.25">
      <c r="C454" s="206" t="s">
        <v>1240</v>
      </c>
      <c r="D454" s="206">
        <v>200</v>
      </c>
      <c r="E454" s="206">
        <v>4466.1687610703893</v>
      </c>
      <c r="F454" s="206">
        <v>5647.44771793778</v>
      </c>
      <c r="G454" s="206">
        <v>13.658401</v>
      </c>
      <c r="H454" s="206" t="s">
        <v>771</v>
      </c>
      <c r="I454" s="206">
        <v>1</v>
      </c>
      <c r="J454" s="206"/>
      <c r="K454" s="206">
        <v>3</v>
      </c>
      <c r="L454" s="206" t="s">
        <v>454</v>
      </c>
      <c r="M454" s="206" t="s">
        <v>413</v>
      </c>
      <c r="N454" s="206" t="s">
        <v>776</v>
      </c>
      <c r="O454" s="206" t="s">
        <v>776</v>
      </c>
    </row>
    <row r="455" spans="3:15" x14ac:dyDescent="0.25">
      <c r="C455" s="206" t="s">
        <v>1241</v>
      </c>
      <c r="D455" s="206">
        <v>200</v>
      </c>
      <c r="E455" s="206">
        <v>2288.7521572764804</v>
      </c>
      <c r="F455" s="206">
        <v>5646.44771793778</v>
      </c>
      <c r="G455" s="206">
        <v>6.9995890000000003</v>
      </c>
      <c r="H455" s="206" t="s">
        <v>771</v>
      </c>
      <c r="I455" s="206">
        <v>1</v>
      </c>
      <c r="J455" s="206"/>
      <c r="K455" s="206">
        <v>3</v>
      </c>
      <c r="L455" s="206" t="s">
        <v>454</v>
      </c>
      <c r="M455" s="206" t="s">
        <v>413</v>
      </c>
      <c r="N455" s="206" t="s">
        <v>773</v>
      </c>
      <c r="O455" s="206" t="s">
        <v>788</v>
      </c>
    </row>
    <row r="456" spans="3:15" x14ac:dyDescent="0.25">
      <c r="C456" s="206" t="s">
        <v>1242</v>
      </c>
      <c r="D456" s="206">
        <v>80</v>
      </c>
      <c r="E456" s="206">
        <v>3109.769296094903</v>
      </c>
      <c r="F456" s="206">
        <v>707.22149280696101</v>
      </c>
      <c r="G456" s="206">
        <v>13.701344499999999</v>
      </c>
      <c r="H456" s="206" t="s">
        <v>771</v>
      </c>
      <c r="I456" s="206">
        <v>1</v>
      </c>
      <c r="J456" s="206"/>
      <c r="K456" s="206">
        <v>3</v>
      </c>
      <c r="L456" s="206" t="s">
        <v>454</v>
      </c>
      <c r="M456" s="206" t="s">
        <v>413</v>
      </c>
      <c r="N456" s="206" t="s">
        <v>822</v>
      </c>
      <c r="O456" s="206" t="s">
        <v>792</v>
      </c>
    </row>
    <row r="457" spans="3:15" x14ac:dyDescent="0.25">
      <c r="C457" s="206" t="s">
        <v>1243</v>
      </c>
      <c r="D457" s="206">
        <v>20</v>
      </c>
      <c r="E457" s="206">
        <v>126.88660095611573</v>
      </c>
      <c r="F457" s="206">
        <v>1.6231137227732699</v>
      </c>
      <c r="G457" s="206">
        <v>1.0837555000000001</v>
      </c>
      <c r="H457" s="206" t="s">
        <v>771</v>
      </c>
      <c r="I457" s="206">
        <v>1</v>
      </c>
      <c r="J457" s="206"/>
      <c r="K457" s="206">
        <v>3</v>
      </c>
      <c r="L457" s="206" t="s">
        <v>454</v>
      </c>
      <c r="M457" s="206" t="s">
        <v>413</v>
      </c>
      <c r="N457" s="206" t="s">
        <v>773</v>
      </c>
      <c r="O457" s="206" t="s">
        <v>774</v>
      </c>
    </row>
    <row r="458" spans="3:15" x14ac:dyDescent="0.25">
      <c r="C458" s="206" t="s">
        <v>1244</v>
      </c>
      <c r="D458" s="206">
        <v>200</v>
      </c>
      <c r="E458" s="206">
        <v>1599.8191888333631</v>
      </c>
      <c r="F458" s="206">
        <v>5649.9864774420503</v>
      </c>
      <c r="G458" s="206">
        <v>4.8922954000000001</v>
      </c>
      <c r="H458" s="206" t="s">
        <v>771</v>
      </c>
      <c r="I458" s="206">
        <v>1</v>
      </c>
      <c r="J458" s="206"/>
      <c r="K458" s="206">
        <v>3</v>
      </c>
      <c r="L458" s="206" t="s">
        <v>454</v>
      </c>
      <c r="M458" s="206" t="s">
        <v>413</v>
      </c>
      <c r="N458" s="206" t="s">
        <v>773</v>
      </c>
      <c r="O458" s="206" t="s">
        <v>788</v>
      </c>
    </row>
    <row r="459" spans="3:15" x14ac:dyDescent="0.25">
      <c r="C459" s="206" t="s">
        <v>1245</v>
      </c>
      <c r="D459" s="206">
        <v>40</v>
      </c>
      <c r="E459" s="206">
        <v>857.05061426412215</v>
      </c>
      <c r="F459" s="206">
        <v>100.29582977294901</v>
      </c>
      <c r="G459" s="206">
        <v>5.0644654999999998</v>
      </c>
      <c r="H459" s="206" t="s">
        <v>771</v>
      </c>
      <c r="I459" s="206">
        <v>1</v>
      </c>
      <c r="J459" s="206"/>
      <c r="K459" s="206">
        <v>3</v>
      </c>
      <c r="L459" s="206" t="s">
        <v>454</v>
      </c>
      <c r="M459" s="206" t="s">
        <v>791</v>
      </c>
      <c r="N459" s="206" t="s">
        <v>773</v>
      </c>
      <c r="O459" s="206" t="s">
        <v>792</v>
      </c>
    </row>
    <row r="460" spans="3:15" x14ac:dyDescent="0.25">
      <c r="C460" s="206" t="s">
        <v>1246</v>
      </c>
      <c r="D460" s="206">
        <v>80</v>
      </c>
      <c r="E460" s="206">
        <v>1128.0513903755414</v>
      </c>
      <c r="F460" s="206">
        <v>617.18597412109398</v>
      </c>
      <c r="G460" s="206">
        <v>4.7001556999999998</v>
      </c>
      <c r="H460" s="206" t="s">
        <v>771</v>
      </c>
      <c r="I460" s="206">
        <v>0.7294998052048729</v>
      </c>
      <c r="J460" s="206"/>
      <c r="K460" s="206">
        <v>3</v>
      </c>
      <c r="L460" s="206" t="s">
        <v>454</v>
      </c>
      <c r="M460" s="206" t="s">
        <v>772</v>
      </c>
      <c r="N460" s="206" t="s">
        <v>773</v>
      </c>
      <c r="O460" s="206" t="s">
        <v>774</v>
      </c>
    </row>
    <row r="461" spans="3:15" x14ac:dyDescent="0.25">
      <c r="C461" s="206" t="s">
        <v>1247</v>
      </c>
      <c r="D461" s="206">
        <v>65</v>
      </c>
      <c r="E461" s="206">
        <v>1464.3165565035235</v>
      </c>
      <c r="F461" s="206">
        <v>475.78259277343801</v>
      </c>
      <c r="G461" s="206">
        <v>6.3609590000000003</v>
      </c>
      <c r="H461" s="206" t="s">
        <v>771</v>
      </c>
      <c r="I461" s="206">
        <v>0.7457233913710184</v>
      </c>
      <c r="J461" s="206"/>
      <c r="K461" s="206">
        <v>3</v>
      </c>
      <c r="L461" s="206" t="s">
        <v>454</v>
      </c>
      <c r="M461" s="206" t="s">
        <v>772</v>
      </c>
      <c r="N461" s="206" t="s">
        <v>773</v>
      </c>
      <c r="O461" s="206" t="s">
        <v>774</v>
      </c>
    </row>
    <row r="462" spans="3:15" x14ac:dyDescent="0.25">
      <c r="C462" s="206" t="s">
        <v>1248</v>
      </c>
      <c r="D462" s="206">
        <v>200</v>
      </c>
      <c r="E462" s="206">
        <v>7922.3324529656975</v>
      </c>
      <c r="F462" s="206">
        <v>5175.2299023437699</v>
      </c>
      <c r="G462" s="206">
        <v>24.480741999999999</v>
      </c>
      <c r="H462" s="206" t="s">
        <v>771</v>
      </c>
      <c r="I462" s="206">
        <v>0.64</v>
      </c>
      <c r="J462" s="206"/>
      <c r="K462" s="206">
        <v>3</v>
      </c>
      <c r="L462" s="206" t="s">
        <v>454</v>
      </c>
      <c r="M462" s="206" t="s">
        <v>772</v>
      </c>
      <c r="N462" s="206" t="s">
        <v>773</v>
      </c>
      <c r="O462" s="206" t="s">
        <v>774</v>
      </c>
    </row>
    <row r="463" spans="3:15" x14ac:dyDescent="0.25">
      <c r="C463" s="206" t="s">
        <v>1249</v>
      </c>
      <c r="D463" s="206">
        <v>40</v>
      </c>
      <c r="E463" s="206">
        <v>2051.2388402439942</v>
      </c>
      <c r="F463" s="206">
        <v>83.601570015664905</v>
      </c>
      <c r="G463" s="206">
        <v>11.453882999999999</v>
      </c>
      <c r="H463" s="206" t="s">
        <v>771</v>
      </c>
      <c r="I463" s="206">
        <v>0.81</v>
      </c>
      <c r="J463" s="206"/>
      <c r="K463" s="206">
        <v>3</v>
      </c>
      <c r="L463" s="206" t="s">
        <v>454</v>
      </c>
      <c r="M463" s="206" t="s">
        <v>791</v>
      </c>
      <c r="N463" s="206" t="s">
        <v>773</v>
      </c>
      <c r="O463" s="206" t="s">
        <v>792</v>
      </c>
    </row>
    <row r="464" spans="3:15" x14ac:dyDescent="0.25">
      <c r="C464" s="206" t="s">
        <v>1250</v>
      </c>
      <c r="D464" s="206">
        <v>150</v>
      </c>
      <c r="E464" s="206">
        <v>4958.7929246543054</v>
      </c>
      <c r="F464" s="206">
        <v>3402.5771484375</v>
      </c>
      <c r="G464" s="206">
        <v>16.099625</v>
      </c>
      <c r="H464" s="206" t="s">
        <v>771</v>
      </c>
      <c r="I464" s="206">
        <v>1</v>
      </c>
      <c r="J464" s="206" t="s">
        <v>795</v>
      </c>
      <c r="K464" s="206"/>
      <c r="L464" s="206"/>
      <c r="M464" s="206"/>
      <c r="N464" s="206"/>
      <c r="O464" s="206"/>
    </row>
    <row r="465" spans="3:15" x14ac:dyDescent="0.25">
      <c r="C465" s="206" t="s">
        <v>1251</v>
      </c>
      <c r="D465" s="206">
        <v>200</v>
      </c>
      <c r="E465" s="206">
        <v>193.25119022846826</v>
      </c>
      <c r="F465" s="206">
        <v>5175.2299023437699</v>
      </c>
      <c r="G465" s="206">
        <v>0.59716409999999998</v>
      </c>
      <c r="H465" s="206" t="s">
        <v>771</v>
      </c>
      <c r="I465" s="206">
        <v>0.64</v>
      </c>
      <c r="J465" s="206"/>
      <c r="K465" s="206">
        <v>3</v>
      </c>
      <c r="L465" s="206" t="s">
        <v>454</v>
      </c>
      <c r="M465" s="206" t="s">
        <v>782</v>
      </c>
      <c r="N465" s="206" t="s">
        <v>776</v>
      </c>
      <c r="O465" s="206" t="s">
        <v>776</v>
      </c>
    </row>
    <row r="466" spans="3:15" x14ac:dyDescent="0.25">
      <c r="C466" s="206" t="s">
        <v>1252</v>
      </c>
      <c r="D466" s="206">
        <v>50</v>
      </c>
      <c r="E466" s="206">
        <v>2193.0012626279499</v>
      </c>
      <c r="F466" s="206">
        <v>161.74373130797201</v>
      </c>
      <c r="G466" s="206">
        <v>11.653719000000001</v>
      </c>
      <c r="H466" s="206" t="s">
        <v>771</v>
      </c>
      <c r="I466" s="206">
        <v>0.7</v>
      </c>
      <c r="J466" s="206"/>
      <c r="K466" s="206">
        <v>3</v>
      </c>
      <c r="L466" s="206" t="s">
        <v>454</v>
      </c>
      <c r="M466" s="206" t="s">
        <v>413</v>
      </c>
      <c r="N466" s="206" t="s">
        <v>773</v>
      </c>
      <c r="O466" s="206" t="s">
        <v>805</v>
      </c>
    </row>
    <row r="467" spans="3:15" x14ac:dyDescent="0.25">
      <c r="C467" s="206" t="s">
        <v>1253</v>
      </c>
      <c r="D467" s="206">
        <v>40</v>
      </c>
      <c r="E467" s="206">
        <v>155.86141336541354</v>
      </c>
      <c r="F467" s="206">
        <v>83.601570015664905</v>
      </c>
      <c r="G467" s="206">
        <v>0.87031230000000004</v>
      </c>
      <c r="H467" s="206" t="s">
        <v>771</v>
      </c>
      <c r="I467" s="206">
        <v>0.81</v>
      </c>
      <c r="J467" s="206"/>
      <c r="K467" s="206">
        <v>3</v>
      </c>
      <c r="L467" s="206" t="s">
        <v>454</v>
      </c>
      <c r="M467" s="206" t="s">
        <v>791</v>
      </c>
      <c r="N467" s="206" t="s">
        <v>773</v>
      </c>
      <c r="O467" s="206" t="s">
        <v>792</v>
      </c>
    </row>
    <row r="468" spans="3:15" x14ac:dyDescent="0.25">
      <c r="C468" s="206" t="s">
        <v>1254</v>
      </c>
      <c r="D468" s="206">
        <v>50</v>
      </c>
      <c r="E468" s="206">
        <v>2170.0047843731572</v>
      </c>
      <c r="F468" s="206">
        <v>148.388475348707</v>
      </c>
      <c r="G468" s="206">
        <v>11.69308</v>
      </c>
      <c r="H468" s="206" t="s">
        <v>771</v>
      </c>
      <c r="I468" s="206">
        <v>0.65</v>
      </c>
      <c r="J468" s="206"/>
      <c r="K468" s="206">
        <v>3</v>
      </c>
      <c r="L468" s="206" t="s">
        <v>454</v>
      </c>
      <c r="M468" s="206" t="s">
        <v>772</v>
      </c>
      <c r="N468" s="206" t="s">
        <v>773</v>
      </c>
      <c r="O468" s="206" t="s">
        <v>774</v>
      </c>
    </row>
    <row r="469" spans="3:15" x14ac:dyDescent="0.25">
      <c r="C469" s="206" t="s">
        <v>1255</v>
      </c>
      <c r="D469" s="206">
        <v>25</v>
      </c>
      <c r="E469" s="206">
        <v>112.81477986626307</v>
      </c>
      <c r="F469" s="206">
        <v>31.4380187988281</v>
      </c>
      <c r="G469" s="206">
        <v>0.90256150000000002</v>
      </c>
      <c r="H469" s="206" t="s">
        <v>771</v>
      </c>
      <c r="I469" s="206">
        <v>0.81000000000030525</v>
      </c>
      <c r="J469" s="206"/>
      <c r="K469" s="206">
        <v>3</v>
      </c>
      <c r="L469" s="206" t="s">
        <v>454</v>
      </c>
      <c r="M469" s="206" t="s">
        <v>791</v>
      </c>
      <c r="N469" s="206" t="s">
        <v>773</v>
      </c>
      <c r="O469" s="206" t="s">
        <v>800</v>
      </c>
    </row>
    <row r="470" spans="3:15" x14ac:dyDescent="0.25">
      <c r="C470" s="206" t="s">
        <v>1256</v>
      </c>
      <c r="D470" s="206">
        <v>400</v>
      </c>
      <c r="E470" s="206">
        <v>2078.1530976718927</v>
      </c>
      <c r="F470" s="206">
        <v>32353.013028163401</v>
      </c>
      <c r="G470" s="206">
        <v>5.2313023000000003</v>
      </c>
      <c r="H470" s="206" t="s">
        <v>771</v>
      </c>
      <c r="I470" s="206">
        <v>0.62</v>
      </c>
      <c r="J470" s="206"/>
      <c r="K470" s="206">
        <v>3</v>
      </c>
      <c r="L470" s="206" t="s">
        <v>454</v>
      </c>
      <c r="M470" s="206" t="s">
        <v>413</v>
      </c>
      <c r="N470" s="206" t="s">
        <v>776</v>
      </c>
      <c r="O470" s="206" t="s">
        <v>776</v>
      </c>
    </row>
    <row r="471" spans="3:15" x14ac:dyDescent="0.25">
      <c r="C471" s="206" t="s">
        <v>1257</v>
      </c>
      <c r="D471" s="206">
        <v>100</v>
      </c>
      <c r="E471" s="206">
        <v>7443.8164593702777</v>
      </c>
      <c r="F471" s="206">
        <v>1483.19997479839</v>
      </c>
      <c r="G471" s="206">
        <v>27.063939999999999</v>
      </c>
      <c r="H471" s="206" t="s">
        <v>771</v>
      </c>
      <c r="I471" s="206">
        <v>1</v>
      </c>
      <c r="J471" s="206"/>
      <c r="K471" s="206">
        <v>3</v>
      </c>
      <c r="L471" s="206" t="s">
        <v>454</v>
      </c>
      <c r="M471" s="206" t="s">
        <v>810</v>
      </c>
      <c r="N471" s="206" t="s">
        <v>784</v>
      </c>
      <c r="O471" s="206" t="s">
        <v>800</v>
      </c>
    </row>
    <row r="472" spans="3:15" x14ac:dyDescent="0.25">
      <c r="C472" s="206" t="s">
        <v>1258</v>
      </c>
      <c r="D472" s="206">
        <v>80</v>
      </c>
      <c r="E472" s="206">
        <v>42.006296564212157</v>
      </c>
      <c r="F472" s="206">
        <v>617.18597412109398</v>
      </c>
      <c r="G472" s="206">
        <v>0.17502406000000001</v>
      </c>
      <c r="H472" s="206" t="s">
        <v>771</v>
      </c>
      <c r="I472" s="206">
        <v>0.7294998052048729</v>
      </c>
      <c r="J472" s="206"/>
      <c r="K472" s="206">
        <v>3</v>
      </c>
      <c r="L472" s="206" t="s">
        <v>454</v>
      </c>
      <c r="M472" s="206" t="s">
        <v>791</v>
      </c>
      <c r="N472" s="206" t="s">
        <v>773</v>
      </c>
      <c r="O472" s="206" t="s">
        <v>800</v>
      </c>
    </row>
    <row r="473" spans="3:15" x14ac:dyDescent="0.25">
      <c r="C473" s="206" t="s">
        <v>1259</v>
      </c>
      <c r="D473" s="206">
        <v>250</v>
      </c>
      <c r="E473" s="206">
        <v>26913.806643965512</v>
      </c>
      <c r="F473" s="206">
        <v>9286.45086270516</v>
      </c>
      <c r="G473" s="206">
        <v>77.294390000000007</v>
      </c>
      <c r="H473" s="206" t="s">
        <v>771</v>
      </c>
      <c r="I473" s="206">
        <v>1</v>
      </c>
      <c r="J473" s="206"/>
      <c r="K473" s="206">
        <v>3</v>
      </c>
      <c r="L473" s="206" t="s">
        <v>454</v>
      </c>
      <c r="M473" s="206" t="s">
        <v>413</v>
      </c>
      <c r="N473" s="206" t="s">
        <v>773</v>
      </c>
      <c r="O473" s="206" t="s">
        <v>788</v>
      </c>
    </row>
    <row r="474" spans="3:15" x14ac:dyDescent="0.25">
      <c r="C474" s="206" t="s">
        <v>1260</v>
      </c>
      <c r="D474" s="206">
        <v>200</v>
      </c>
      <c r="E474" s="206">
        <v>2673.2737923780483</v>
      </c>
      <c r="F474" s="206">
        <v>5649.9864774420503</v>
      </c>
      <c r="G474" s="206">
        <v>8.1749519999999993</v>
      </c>
      <c r="H474" s="206" t="s">
        <v>771</v>
      </c>
      <c r="I474" s="206">
        <v>1</v>
      </c>
      <c r="J474" s="206"/>
      <c r="K474" s="206">
        <v>3</v>
      </c>
      <c r="L474" s="206" t="s">
        <v>454</v>
      </c>
      <c r="M474" s="206" t="s">
        <v>413</v>
      </c>
      <c r="N474" s="206" t="s">
        <v>773</v>
      </c>
      <c r="O474" s="206" t="s">
        <v>788</v>
      </c>
    </row>
    <row r="475" spans="3:15" x14ac:dyDescent="0.25">
      <c r="C475" s="206" t="s">
        <v>1261</v>
      </c>
      <c r="D475" s="206">
        <v>200</v>
      </c>
      <c r="E475" s="206">
        <v>3536.9214494160378</v>
      </c>
      <c r="F475" s="206">
        <v>5825.9935531513001</v>
      </c>
      <c r="G475" s="206">
        <v>10.781541000000001</v>
      </c>
      <c r="H475" s="206" t="s">
        <v>771</v>
      </c>
      <c r="I475" s="206">
        <v>1</v>
      </c>
      <c r="J475" s="206"/>
      <c r="K475" s="206">
        <v>3</v>
      </c>
      <c r="L475" s="206" t="s">
        <v>454</v>
      </c>
      <c r="M475" s="206" t="s">
        <v>791</v>
      </c>
      <c r="N475" s="206" t="s">
        <v>773</v>
      </c>
      <c r="O475" s="206" t="s">
        <v>800</v>
      </c>
    </row>
    <row r="476" spans="3:15" x14ac:dyDescent="0.25">
      <c r="C476" s="206" t="s">
        <v>1262</v>
      </c>
      <c r="D476" s="206">
        <v>50</v>
      </c>
      <c r="E476" s="206">
        <v>888.65712619150065</v>
      </c>
      <c r="F476" s="206">
        <v>148.388475348707</v>
      </c>
      <c r="G476" s="206">
        <v>4.7885327000000002</v>
      </c>
      <c r="H476" s="206" t="s">
        <v>771</v>
      </c>
      <c r="I476" s="206">
        <v>0.65</v>
      </c>
      <c r="J476" s="206"/>
      <c r="K476" s="206">
        <v>3</v>
      </c>
      <c r="L476" s="206" t="s">
        <v>454</v>
      </c>
      <c r="M476" s="206" t="s">
        <v>772</v>
      </c>
      <c r="N476" s="206" t="s">
        <v>773</v>
      </c>
      <c r="O476" s="206" t="s">
        <v>774</v>
      </c>
    </row>
    <row r="477" spans="3:15" x14ac:dyDescent="0.25">
      <c r="C477" s="206" t="s">
        <v>1263</v>
      </c>
      <c r="D477" s="206">
        <v>20</v>
      </c>
      <c r="E477" s="206">
        <v>1751.9704607599583</v>
      </c>
      <c r="F477" s="206">
        <v>1.8229734604829</v>
      </c>
      <c r="G477" s="206">
        <v>14.963815</v>
      </c>
      <c r="H477" s="206" t="s">
        <v>771</v>
      </c>
      <c r="I477" s="206">
        <v>1</v>
      </c>
      <c r="J477" s="206"/>
      <c r="K477" s="206">
        <v>3</v>
      </c>
      <c r="L477" s="206" t="s">
        <v>454</v>
      </c>
      <c r="M477" s="206" t="s">
        <v>413</v>
      </c>
      <c r="N477" s="206" t="s">
        <v>776</v>
      </c>
      <c r="O477" s="206" t="s">
        <v>776</v>
      </c>
    </row>
    <row r="478" spans="3:15" x14ac:dyDescent="0.25">
      <c r="C478" s="206" t="s">
        <v>1264</v>
      </c>
      <c r="D478" s="206">
        <v>200</v>
      </c>
      <c r="E478" s="206">
        <v>1811.6941726724078</v>
      </c>
      <c r="F478" s="206">
        <v>5649.9864774420503</v>
      </c>
      <c r="G478" s="206">
        <v>5.5402155000000004</v>
      </c>
      <c r="H478" s="206" t="s">
        <v>771</v>
      </c>
      <c r="I478" s="206">
        <v>1</v>
      </c>
      <c r="J478" s="206"/>
      <c r="K478" s="206">
        <v>3</v>
      </c>
      <c r="L478" s="206" t="s">
        <v>454</v>
      </c>
      <c r="M478" s="206" t="s">
        <v>413</v>
      </c>
      <c r="N478" s="206" t="s">
        <v>773</v>
      </c>
      <c r="O478" s="206" t="s">
        <v>788</v>
      </c>
    </row>
    <row r="479" spans="3:15" x14ac:dyDescent="0.25">
      <c r="C479" s="206" t="s">
        <v>1265</v>
      </c>
      <c r="D479" s="206">
        <v>20</v>
      </c>
      <c r="E479" s="206">
        <v>576.91827868204143</v>
      </c>
      <c r="F479" s="206">
        <v>1</v>
      </c>
      <c r="G479" s="206">
        <v>4.9275365000000004</v>
      </c>
      <c r="H479" s="206" t="s">
        <v>771</v>
      </c>
      <c r="I479" s="206">
        <v>1</v>
      </c>
      <c r="J479" s="206"/>
      <c r="K479" s="206">
        <v>3</v>
      </c>
      <c r="L479" s="206" t="s">
        <v>454</v>
      </c>
      <c r="M479" s="206" t="s">
        <v>772</v>
      </c>
      <c r="N479" s="206" t="s">
        <v>773</v>
      </c>
      <c r="O479" s="206" t="s">
        <v>774</v>
      </c>
    </row>
    <row r="480" spans="3:15" x14ac:dyDescent="0.25">
      <c r="C480" s="206" t="s">
        <v>1266</v>
      </c>
      <c r="D480" s="206">
        <v>65</v>
      </c>
      <c r="E480" s="206">
        <v>1157.4554620533411</v>
      </c>
      <c r="F480" s="206">
        <v>491.91031249461201</v>
      </c>
      <c r="G480" s="206">
        <v>4.9910249999999996</v>
      </c>
      <c r="H480" s="206" t="s">
        <v>771</v>
      </c>
      <c r="I480" s="206">
        <v>0.64</v>
      </c>
      <c r="J480" s="206"/>
      <c r="K480" s="206">
        <v>3</v>
      </c>
      <c r="L480" s="206" t="s">
        <v>454</v>
      </c>
      <c r="M480" s="206" t="s">
        <v>772</v>
      </c>
      <c r="N480" s="206" t="s">
        <v>773</v>
      </c>
      <c r="O480" s="206" t="s">
        <v>774</v>
      </c>
    </row>
    <row r="481" spans="3:15" x14ac:dyDescent="0.25">
      <c r="C481" s="206" t="s">
        <v>1267</v>
      </c>
      <c r="D481" s="206">
        <v>65</v>
      </c>
      <c r="E481" s="206">
        <v>1136.7792970110324</v>
      </c>
      <c r="F481" s="206">
        <v>491.91031249461201</v>
      </c>
      <c r="G481" s="206">
        <v>4.9018680000000003</v>
      </c>
      <c r="H481" s="206" t="s">
        <v>771</v>
      </c>
      <c r="I481" s="206">
        <v>0.64</v>
      </c>
      <c r="J481" s="206"/>
      <c r="K481" s="206">
        <v>3</v>
      </c>
      <c r="L481" s="206" t="s">
        <v>454</v>
      </c>
      <c r="M481" s="206" t="s">
        <v>772</v>
      </c>
      <c r="N481" s="206" t="s">
        <v>773</v>
      </c>
      <c r="O481" s="206" t="s">
        <v>774</v>
      </c>
    </row>
    <row r="482" spans="3:15" x14ac:dyDescent="0.25">
      <c r="C482" s="206" t="s">
        <v>1268</v>
      </c>
      <c r="D482" s="206">
        <v>80</v>
      </c>
      <c r="E482" s="206">
        <v>2842.5247270377977</v>
      </c>
      <c r="F482" s="206">
        <v>667.92590213301196</v>
      </c>
      <c r="G482" s="206">
        <v>11.697056</v>
      </c>
      <c r="H482" s="206" t="s">
        <v>771</v>
      </c>
      <c r="I482" s="206">
        <v>0.63</v>
      </c>
      <c r="J482" s="206"/>
      <c r="K482" s="206">
        <v>3</v>
      </c>
      <c r="L482" s="206" t="s">
        <v>454</v>
      </c>
      <c r="M482" s="206" t="s">
        <v>413</v>
      </c>
      <c r="N482" s="206" t="s">
        <v>773</v>
      </c>
      <c r="O482" s="206" t="s">
        <v>774</v>
      </c>
    </row>
    <row r="483" spans="3:15" x14ac:dyDescent="0.25">
      <c r="C483" s="206" t="s">
        <v>1269</v>
      </c>
      <c r="D483" s="206">
        <v>40</v>
      </c>
      <c r="E483" s="206">
        <v>1025.8232133637146</v>
      </c>
      <c r="F483" s="206">
        <v>100.29582977294901</v>
      </c>
      <c r="G483" s="206">
        <v>6.0617729999999996</v>
      </c>
      <c r="H483" s="206" t="s">
        <v>771</v>
      </c>
      <c r="I483" s="206">
        <v>1</v>
      </c>
      <c r="J483" s="206"/>
      <c r="K483" s="206">
        <v>3</v>
      </c>
      <c r="L483" s="206" t="s">
        <v>454</v>
      </c>
      <c r="M483" s="206" t="s">
        <v>791</v>
      </c>
      <c r="N483" s="206" t="s">
        <v>773</v>
      </c>
      <c r="O483" s="206" t="s">
        <v>792</v>
      </c>
    </row>
    <row r="484" spans="3:15" x14ac:dyDescent="0.25">
      <c r="C484" s="206" t="s">
        <v>1270</v>
      </c>
      <c r="D484" s="206">
        <v>25</v>
      </c>
      <c r="E484" s="206">
        <v>372.61951161094447</v>
      </c>
      <c r="F484" s="206">
        <v>30.427696228027301</v>
      </c>
      <c r="G484" s="206">
        <v>3.0085375000000001</v>
      </c>
      <c r="H484" s="206" t="s">
        <v>771</v>
      </c>
      <c r="I484" s="206">
        <v>1</v>
      </c>
      <c r="J484" s="206"/>
      <c r="K484" s="206">
        <v>3</v>
      </c>
      <c r="L484" s="206" t="s">
        <v>454</v>
      </c>
      <c r="M484" s="206" t="s">
        <v>772</v>
      </c>
      <c r="N484" s="206" t="s">
        <v>773</v>
      </c>
      <c r="O484" s="206" t="s">
        <v>774</v>
      </c>
    </row>
    <row r="485" spans="3:15" x14ac:dyDescent="0.25">
      <c r="C485" s="206" t="s">
        <v>1271</v>
      </c>
      <c r="D485" s="206">
        <v>100</v>
      </c>
      <c r="E485" s="206">
        <v>3004.647109106761</v>
      </c>
      <c r="F485" s="206">
        <v>962.60109389794502</v>
      </c>
      <c r="G485" s="206">
        <v>11.656307999999999</v>
      </c>
      <c r="H485" s="206" t="s">
        <v>771</v>
      </c>
      <c r="I485" s="206">
        <v>0.64</v>
      </c>
      <c r="J485" s="206"/>
      <c r="K485" s="206">
        <v>3</v>
      </c>
      <c r="L485" s="206" t="s">
        <v>454</v>
      </c>
      <c r="M485" s="206" t="s">
        <v>413</v>
      </c>
      <c r="N485" s="206" t="s">
        <v>773</v>
      </c>
      <c r="O485" s="206" t="s">
        <v>800</v>
      </c>
    </row>
    <row r="486" spans="3:15" x14ac:dyDescent="0.25">
      <c r="C486" s="206" t="s">
        <v>1272</v>
      </c>
      <c r="D486" s="206">
        <v>65</v>
      </c>
      <c r="E486" s="206">
        <v>1292.62182769472</v>
      </c>
      <c r="F486" s="206">
        <v>366.340331913667</v>
      </c>
      <c r="G486" s="206">
        <v>6.0347986000000002</v>
      </c>
      <c r="H486" s="206" t="s">
        <v>771</v>
      </c>
      <c r="I486" s="206">
        <v>0.74826912236183685</v>
      </c>
      <c r="J486" s="206"/>
      <c r="K486" s="206">
        <v>3</v>
      </c>
      <c r="L486" s="206" t="s">
        <v>454</v>
      </c>
      <c r="M486" s="206" t="s">
        <v>772</v>
      </c>
      <c r="N486" s="206" t="s">
        <v>773</v>
      </c>
      <c r="O486" s="206" t="s">
        <v>774</v>
      </c>
    </row>
    <row r="487" spans="3:15" x14ac:dyDescent="0.25">
      <c r="C487" s="206" t="s">
        <v>1273</v>
      </c>
      <c r="D487" s="206">
        <v>80</v>
      </c>
      <c r="E487" s="206">
        <v>281.39804562681314</v>
      </c>
      <c r="F487" s="206">
        <v>562.93208777304994</v>
      </c>
      <c r="G487" s="206">
        <v>1.1884086</v>
      </c>
      <c r="H487" s="206" t="s">
        <v>771</v>
      </c>
      <c r="I487" s="206">
        <v>0.65</v>
      </c>
      <c r="J487" s="206"/>
      <c r="K487" s="206">
        <v>3</v>
      </c>
      <c r="L487" s="206" t="s">
        <v>454</v>
      </c>
      <c r="M487" s="206" t="s">
        <v>772</v>
      </c>
      <c r="N487" s="206" t="s">
        <v>773</v>
      </c>
      <c r="O487" s="206" t="s">
        <v>774</v>
      </c>
    </row>
    <row r="488" spans="3:15" x14ac:dyDescent="0.25">
      <c r="C488" s="206" t="s">
        <v>1274</v>
      </c>
      <c r="D488" s="206">
        <v>200</v>
      </c>
      <c r="E488" s="206">
        <v>5876.3624145385347</v>
      </c>
      <c r="F488" s="206">
        <v>5646.44771793778</v>
      </c>
      <c r="G488" s="206">
        <v>17.971418</v>
      </c>
      <c r="H488" s="206" t="s">
        <v>771</v>
      </c>
      <c r="I488" s="206">
        <v>1</v>
      </c>
      <c r="J488" s="206"/>
      <c r="K488" s="206">
        <v>3</v>
      </c>
      <c r="L488" s="206" t="s">
        <v>454</v>
      </c>
      <c r="M488" s="206" t="s">
        <v>772</v>
      </c>
      <c r="N488" s="206" t="s">
        <v>934</v>
      </c>
      <c r="O488" s="206" t="s">
        <v>774</v>
      </c>
    </row>
    <row r="489" spans="3:15" x14ac:dyDescent="0.25">
      <c r="C489" s="206" t="s">
        <v>1275</v>
      </c>
      <c r="D489" s="206">
        <v>40</v>
      </c>
      <c r="E489" s="206">
        <v>1298.1232026042946</v>
      </c>
      <c r="F489" s="206">
        <v>103.443859683932</v>
      </c>
      <c r="G489" s="206">
        <v>7.6224565999999996</v>
      </c>
      <c r="H489" s="206" t="s">
        <v>771</v>
      </c>
      <c r="I489" s="206">
        <v>0.66</v>
      </c>
      <c r="J489" s="206"/>
      <c r="K489" s="206">
        <v>3</v>
      </c>
      <c r="L489" s="206" t="s">
        <v>454</v>
      </c>
      <c r="M489" s="206" t="s">
        <v>772</v>
      </c>
      <c r="N489" s="206" t="s">
        <v>773</v>
      </c>
      <c r="O489" s="206" t="s">
        <v>774</v>
      </c>
    </row>
    <row r="490" spans="3:15" x14ac:dyDescent="0.25">
      <c r="C490" s="206" t="s">
        <v>1276</v>
      </c>
      <c r="D490" s="206">
        <v>25</v>
      </c>
      <c r="E490" s="206">
        <v>532.08124082506322</v>
      </c>
      <c r="F490" s="206">
        <v>25.546085357666001</v>
      </c>
      <c r="G490" s="206">
        <v>4.4959803000000003</v>
      </c>
      <c r="H490" s="206" t="s">
        <v>771</v>
      </c>
      <c r="I490" s="206">
        <v>0.81000000000011196</v>
      </c>
      <c r="J490" s="206"/>
      <c r="K490" s="206">
        <v>3</v>
      </c>
      <c r="L490" s="206" t="s">
        <v>454</v>
      </c>
      <c r="M490" s="206" t="s">
        <v>772</v>
      </c>
      <c r="N490" s="206" t="s">
        <v>773</v>
      </c>
      <c r="O490" s="206" t="s">
        <v>774</v>
      </c>
    </row>
    <row r="491" spans="3:15" x14ac:dyDescent="0.25">
      <c r="C491" s="206" t="s">
        <v>1277</v>
      </c>
      <c r="D491" s="206">
        <v>125</v>
      </c>
      <c r="E491" s="206">
        <v>465.21214406564178</v>
      </c>
      <c r="F491" s="206">
        <v>1523.083984375</v>
      </c>
      <c r="G491" s="206">
        <v>1.6812848</v>
      </c>
      <c r="H491" s="206" t="s">
        <v>771</v>
      </c>
      <c r="I491" s="206">
        <v>0.80547730167345055</v>
      </c>
      <c r="J491" s="206"/>
      <c r="K491" s="206">
        <v>3</v>
      </c>
      <c r="L491" s="206" t="s">
        <v>454</v>
      </c>
      <c r="M491" s="206" t="s">
        <v>772</v>
      </c>
      <c r="N491" s="206" t="s">
        <v>773</v>
      </c>
      <c r="O491" s="206" t="s">
        <v>788</v>
      </c>
    </row>
    <row r="492" spans="3:15" x14ac:dyDescent="0.25">
      <c r="C492" s="206" t="s">
        <v>1278</v>
      </c>
      <c r="D492" s="206">
        <v>200</v>
      </c>
      <c r="E492" s="206">
        <v>2110.4002599370906</v>
      </c>
      <c r="F492" s="206">
        <v>7368.8380004882902</v>
      </c>
      <c r="G492" s="206">
        <v>6.2336159999999996</v>
      </c>
      <c r="H492" s="206" t="s">
        <v>771</v>
      </c>
      <c r="I492" s="206">
        <v>0.63</v>
      </c>
      <c r="J492" s="206"/>
      <c r="K492" s="206">
        <v>3</v>
      </c>
      <c r="L492" s="206" t="s">
        <v>454</v>
      </c>
      <c r="M492" s="206" t="s">
        <v>782</v>
      </c>
      <c r="N492" s="206" t="s">
        <v>773</v>
      </c>
      <c r="O492" s="206" t="s">
        <v>805</v>
      </c>
    </row>
    <row r="493" spans="3:15" x14ac:dyDescent="0.25">
      <c r="C493" s="206" t="s">
        <v>1279</v>
      </c>
      <c r="D493" s="206">
        <v>125</v>
      </c>
      <c r="E493" s="206">
        <v>1882.9247375012058</v>
      </c>
      <c r="F493" s="206">
        <v>1663.8595535212201</v>
      </c>
      <c r="G493" s="206">
        <v>6.7361712000000002</v>
      </c>
      <c r="H493" s="206" t="s">
        <v>771</v>
      </c>
      <c r="I493" s="206">
        <v>0.81039513855616951</v>
      </c>
      <c r="J493" s="206" t="s">
        <v>795</v>
      </c>
      <c r="K493" s="206"/>
      <c r="L493" s="206"/>
      <c r="M493" s="206"/>
      <c r="N493" s="206"/>
      <c r="O493" s="206"/>
    </row>
    <row r="494" spans="3:15" x14ac:dyDescent="0.25">
      <c r="C494" s="206" t="s">
        <v>1280</v>
      </c>
      <c r="D494" s="206">
        <v>150</v>
      </c>
      <c r="E494" s="206">
        <v>2113.8439306565783</v>
      </c>
      <c r="F494" s="206">
        <v>3529.0715643295898</v>
      </c>
      <c r="G494" s="206">
        <v>6.8286313999999999</v>
      </c>
      <c r="H494" s="206" t="s">
        <v>771</v>
      </c>
      <c r="I494" s="206">
        <v>0.63</v>
      </c>
      <c r="J494" s="206"/>
      <c r="K494" s="206">
        <v>3</v>
      </c>
      <c r="L494" s="206" t="s">
        <v>454</v>
      </c>
      <c r="M494" s="206" t="s">
        <v>782</v>
      </c>
      <c r="N494" s="206" t="s">
        <v>773</v>
      </c>
      <c r="O494" s="206" t="s">
        <v>805</v>
      </c>
    </row>
    <row r="495" spans="3:15" x14ac:dyDescent="0.25">
      <c r="C495" s="206" t="s">
        <v>1281</v>
      </c>
      <c r="D495" s="206">
        <v>32</v>
      </c>
      <c r="E495" s="206">
        <v>581.78538787309981</v>
      </c>
      <c r="F495" s="206">
        <v>65.035728454589801</v>
      </c>
      <c r="G495" s="206">
        <v>3.8244946</v>
      </c>
      <c r="H495" s="206" t="s">
        <v>771</v>
      </c>
      <c r="I495" s="206">
        <v>0.67</v>
      </c>
      <c r="J495" s="206" t="s">
        <v>795</v>
      </c>
      <c r="K495" s="206"/>
      <c r="L495" s="206"/>
      <c r="M495" s="206"/>
      <c r="N495" s="206"/>
      <c r="O495" s="206"/>
    </row>
    <row r="496" spans="3:15" x14ac:dyDescent="0.25">
      <c r="C496" s="206" t="s">
        <v>1282</v>
      </c>
      <c r="D496" s="206">
        <v>80</v>
      </c>
      <c r="E496" s="206">
        <v>1890.2150388052473</v>
      </c>
      <c r="F496" s="206">
        <v>562.93208777304994</v>
      </c>
      <c r="G496" s="206">
        <v>7.9828124000000003</v>
      </c>
      <c r="H496" s="206" t="s">
        <v>771</v>
      </c>
      <c r="I496" s="206">
        <v>0.65</v>
      </c>
      <c r="J496" s="206"/>
      <c r="K496" s="206">
        <v>3</v>
      </c>
      <c r="L496" s="206" t="s">
        <v>454</v>
      </c>
      <c r="M496" s="206" t="s">
        <v>413</v>
      </c>
      <c r="N496" s="206" t="s">
        <v>773</v>
      </c>
      <c r="O496" s="206" t="s">
        <v>774</v>
      </c>
    </row>
    <row r="497" spans="3:15" x14ac:dyDescent="0.25">
      <c r="C497" s="206" t="s">
        <v>1283</v>
      </c>
      <c r="D497" s="206">
        <v>65</v>
      </c>
      <c r="E497" s="206">
        <v>1485.115684389853</v>
      </c>
      <c r="F497" s="206">
        <v>366.340331913667</v>
      </c>
      <c r="G497" s="206">
        <v>6.9334850000000001</v>
      </c>
      <c r="H497" s="206" t="s">
        <v>771</v>
      </c>
      <c r="I497" s="206">
        <v>0.74826912236183685</v>
      </c>
      <c r="J497" s="206"/>
      <c r="K497" s="206">
        <v>3</v>
      </c>
      <c r="L497" s="206" t="s">
        <v>454</v>
      </c>
      <c r="M497" s="206" t="s">
        <v>413</v>
      </c>
      <c r="N497" s="206" t="s">
        <v>773</v>
      </c>
      <c r="O497" s="206" t="s">
        <v>774</v>
      </c>
    </row>
    <row r="498" spans="3:15" x14ac:dyDescent="0.25">
      <c r="C498" s="206" t="s">
        <v>1284</v>
      </c>
      <c r="D498" s="206">
        <v>200</v>
      </c>
      <c r="E498" s="206">
        <v>7104.6768534801577</v>
      </c>
      <c r="F498" s="206">
        <v>5647.44771793778</v>
      </c>
      <c r="G498" s="206">
        <v>21.727464999999999</v>
      </c>
      <c r="H498" s="206" t="s">
        <v>771</v>
      </c>
      <c r="I498" s="206">
        <v>1</v>
      </c>
      <c r="J498" s="206"/>
      <c r="K498" s="206">
        <v>3</v>
      </c>
      <c r="L498" s="206" t="s">
        <v>454</v>
      </c>
      <c r="M498" s="206" t="s">
        <v>413</v>
      </c>
      <c r="N498" s="206" t="s">
        <v>773</v>
      </c>
      <c r="O498" s="206" t="s">
        <v>788</v>
      </c>
    </row>
    <row r="499" spans="3:15" x14ac:dyDescent="0.25">
      <c r="C499" s="206" t="s">
        <v>1285</v>
      </c>
      <c r="D499" s="206">
        <v>32</v>
      </c>
      <c r="E499" s="206">
        <v>1218.7379151116486</v>
      </c>
      <c r="F499" s="206">
        <v>73.313278198242202</v>
      </c>
      <c r="G499" s="206">
        <v>7.7513740000000002</v>
      </c>
      <c r="H499" s="206" t="s">
        <v>771</v>
      </c>
      <c r="I499" s="206">
        <v>1</v>
      </c>
      <c r="J499" s="206" t="s">
        <v>795</v>
      </c>
      <c r="K499" s="206"/>
      <c r="L499" s="206"/>
      <c r="M499" s="206"/>
      <c r="N499" s="206"/>
      <c r="O499" s="206"/>
    </row>
    <row r="500" spans="3:15" x14ac:dyDescent="0.25">
      <c r="C500" s="206" t="s">
        <v>1286</v>
      </c>
      <c r="D500" s="206">
        <v>50</v>
      </c>
      <c r="E500" s="206">
        <v>287.15641277131772</v>
      </c>
      <c r="F500" s="206">
        <v>205.55093383789099</v>
      </c>
      <c r="G500" s="206">
        <v>1.4598019</v>
      </c>
      <c r="H500" s="206" t="s">
        <v>771</v>
      </c>
      <c r="I500" s="206">
        <v>0.68000000000000105</v>
      </c>
      <c r="J500" s="206"/>
      <c r="K500" s="206">
        <v>3</v>
      </c>
      <c r="L500" s="206" t="s">
        <v>454</v>
      </c>
      <c r="M500" s="206" t="s">
        <v>782</v>
      </c>
      <c r="N500" s="206" t="s">
        <v>773</v>
      </c>
      <c r="O500" s="206" t="s">
        <v>805</v>
      </c>
    </row>
    <row r="501" spans="3:15" x14ac:dyDescent="0.25">
      <c r="C501" s="206" t="s">
        <v>1287</v>
      </c>
      <c r="D501" s="206">
        <v>20</v>
      </c>
      <c r="E501" s="206">
        <v>3702.7758701087341</v>
      </c>
      <c r="F501" s="206">
        <v>1.5302434375044001</v>
      </c>
      <c r="G501" s="206">
        <v>31.625906000000001</v>
      </c>
      <c r="H501" s="206" t="s">
        <v>771</v>
      </c>
      <c r="I501" s="206">
        <v>1</v>
      </c>
      <c r="J501" s="206"/>
      <c r="K501" s="206">
        <v>3</v>
      </c>
      <c r="L501" s="206" t="s">
        <v>454</v>
      </c>
      <c r="M501" s="206" t="s">
        <v>772</v>
      </c>
      <c r="N501" s="206" t="s">
        <v>773</v>
      </c>
      <c r="O501" s="206" t="s">
        <v>774</v>
      </c>
    </row>
    <row r="502" spans="3:15" x14ac:dyDescent="0.25">
      <c r="C502" s="206" t="s">
        <v>1288</v>
      </c>
      <c r="D502" s="206">
        <v>65</v>
      </c>
      <c r="E502" s="206">
        <v>2625.1839635884485</v>
      </c>
      <c r="F502" s="206">
        <v>491.91031249461201</v>
      </c>
      <c r="G502" s="206">
        <v>11.319967999999999</v>
      </c>
      <c r="H502" s="206" t="s">
        <v>771</v>
      </c>
      <c r="I502" s="206">
        <v>0.64</v>
      </c>
      <c r="J502" s="206"/>
      <c r="K502" s="206">
        <v>3</v>
      </c>
      <c r="L502" s="206" t="s">
        <v>454</v>
      </c>
      <c r="M502" s="206" t="s">
        <v>772</v>
      </c>
      <c r="N502" s="206" t="s">
        <v>773</v>
      </c>
      <c r="O502" s="206" t="s">
        <v>774</v>
      </c>
    </row>
    <row r="503" spans="3:15" x14ac:dyDescent="0.25">
      <c r="C503" s="206" t="s">
        <v>1289</v>
      </c>
      <c r="D503" s="206">
        <v>20</v>
      </c>
      <c r="E503" s="206">
        <v>208.11942968794011</v>
      </c>
      <c r="F503" s="206">
        <v>2.5387595042702702</v>
      </c>
      <c r="G503" s="206">
        <v>1.777576</v>
      </c>
      <c r="H503" s="206" t="s">
        <v>771</v>
      </c>
      <c r="I503" s="206">
        <v>1</v>
      </c>
      <c r="J503" s="206"/>
      <c r="K503" s="206">
        <v>3</v>
      </c>
      <c r="L503" s="206" t="s">
        <v>454</v>
      </c>
      <c r="M503" s="206" t="s">
        <v>413</v>
      </c>
      <c r="N503" s="206" t="s">
        <v>776</v>
      </c>
      <c r="O503" s="206" t="s">
        <v>776</v>
      </c>
    </row>
    <row r="504" spans="3:15" x14ac:dyDescent="0.25">
      <c r="C504" s="206" t="s">
        <v>1290</v>
      </c>
      <c r="D504" s="206">
        <v>40</v>
      </c>
      <c r="E504" s="206">
        <v>458.7259140865076</v>
      </c>
      <c r="F504" s="206">
        <v>132.918380737305</v>
      </c>
      <c r="G504" s="206">
        <v>2.5433865</v>
      </c>
      <c r="H504" s="206" t="s">
        <v>771</v>
      </c>
      <c r="I504" s="206">
        <v>0.72000000000000164</v>
      </c>
      <c r="J504" s="206" t="s">
        <v>795</v>
      </c>
      <c r="K504" s="206"/>
      <c r="L504" s="206"/>
      <c r="M504" s="206"/>
      <c r="N504" s="206"/>
      <c r="O504" s="206"/>
    </row>
    <row r="505" spans="3:15" x14ac:dyDescent="0.25">
      <c r="C505" s="206" t="s">
        <v>1291</v>
      </c>
      <c r="D505" s="206">
        <v>50</v>
      </c>
      <c r="E505" s="206">
        <v>23.916712685962086</v>
      </c>
      <c r="F505" s="206">
        <v>205.55093383789099</v>
      </c>
      <c r="G505" s="206">
        <v>0.12158413</v>
      </c>
      <c r="H505" s="206" t="s">
        <v>771</v>
      </c>
      <c r="I505" s="206">
        <v>0.68000000000000105</v>
      </c>
      <c r="J505" s="206"/>
      <c r="K505" s="206">
        <v>3</v>
      </c>
      <c r="L505" s="206" t="s">
        <v>454</v>
      </c>
      <c r="M505" s="206" t="s">
        <v>782</v>
      </c>
      <c r="N505" s="206" t="s">
        <v>773</v>
      </c>
      <c r="O505" s="206" t="s">
        <v>805</v>
      </c>
    </row>
    <row r="506" spans="3:15" x14ac:dyDescent="0.25">
      <c r="C506" s="206" t="s">
        <v>1292</v>
      </c>
      <c r="D506" s="206">
        <v>200</v>
      </c>
      <c r="E506" s="206">
        <v>21662.548365492272</v>
      </c>
      <c r="F506" s="206">
        <v>7536.2844369506902</v>
      </c>
      <c r="G506" s="206">
        <v>63.771202000000002</v>
      </c>
      <c r="H506" s="206" t="s">
        <v>771</v>
      </c>
      <c r="I506" s="206">
        <v>0.63</v>
      </c>
      <c r="J506" s="206"/>
      <c r="K506" s="206">
        <v>3</v>
      </c>
      <c r="L506" s="206" t="s">
        <v>454</v>
      </c>
      <c r="M506" s="206" t="s">
        <v>413</v>
      </c>
      <c r="N506" s="206" t="s">
        <v>773</v>
      </c>
      <c r="O506" s="206" t="s">
        <v>774</v>
      </c>
    </row>
    <row r="507" spans="3:15" x14ac:dyDescent="0.25">
      <c r="C507" s="206" t="s">
        <v>1293</v>
      </c>
      <c r="D507" s="206">
        <v>50</v>
      </c>
      <c r="E507" s="206">
        <v>1236.7520942692538</v>
      </c>
      <c r="F507" s="206">
        <v>253.60720825195301</v>
      </c>
      <c r="G507" s="206">
        <v>6.0017513999999998</v>
      </c>
      <c r="H507" s="206" t="s">
        <v>771</v>
      </c>
      <c r="I507" s="206">
        <v>0.75</v>
      </c>
      <c r="J507" s="206" t="s">
        <v>795</v>
      </c>
      <c r="K507" s="206"/>
      <c r="L507" s="206"/>
      <c r="M507" s="206"/>
      <c r="N507" s="206"/>
      <c r="O507" s="206"/>
    </row>
    <row r="508" spans="3:15" x14ac:dyDescent="0.25">
      <c r="C508" s="206" t="s">
        <v>1294</v>
      </c>
      <c r="D508" s="206">
        <v>50</v>
      </c>
      <c r="E508" s="206">
        <v>851.51904653733459</v>
      </c>
      <c r="F508" s="206">
        <v>148.388475348707</v>
      </c>
      <c r="G508" s="206">
        <v>4.5884140000000002</v>
      </c>
      <c r="H508" s="206" t="s">
        <v>771</v>
      </c>
      <c r="I508" s="206">
        <v>0.65</v>
      </c>
      <c r="J508" s="206"/>
      <c r="K508" s="206">
        <v>3</v>
      </c>
      <c r="L508" s="206" t="s">
        <v>454</v>
      </c>
      <c r="M508" s="206" t="s">
        <v>772</v>
      </c>
      <c r="N508" s="206" t="s">
        <v>773</v>
      </c>
      <c r="O508" s="206" t="s">
        <v>774</v>
      </c>
    </row>
    <row r="509" spans="3:15" x14ac:dyDescent="0.25">
      <c r="C509" s="206" t="s">
        <v>1295</v>
      </c>
      <c r="D509" s="206">
        <v>150</v>
      </c>
      <c r="E509" s="206">
        <v>3773.7868656874207</v>
      </c>
      <c r="F509" s="206">
        <v>3529.0715643295898</v>
      </c>
      <c r="G509" s="206">
        <v>12.190966</v>
      </c>
      <c r="H509" s="206" t="s">
        <v>771</v>
      </c>
      <c r="I509" s="206">
        <v>0.63</v>
      </c>
      <c r="J509" s="206"/>
      <c r="K509" s="206">
        <v>3</v>
      </c>
      <c r="L509" s="206" t="s">
        <v>454</v>
      </c>
      <c r="M509" s="206" t="s">
        <v>782</v>
      </c>
      <c r="N509" s="206" t="s">
        <v>776</v>
      </c>
      <c r="O509" s="206" t="s">
        <v>776</v>
      </c>
    </row>
    <row r="510" spans="3:15" x14ac:dyDescent="0.25">
      <c r="C510" s="206" t="s">
        <v>1296</v>
      </c>
      <c r="D510" s="206">
        <v>80</v>
      </c>
      <c r="E510" s="206">
        <v>296.34774138691989</v>
      </c>
      <c r="F510" s="206">
        <v>562.93208777304994</v>
      </c>
      <c r="G510" s="206">
        <v>1.2515445999999999</v>
      </c>
      <c r="H510" s="206" t="s">
        <v>771</v>
      </c>
      <c r="I510" s="206">
        <v>0.65</v>
      </c>
      <c r="J510" s="206"/>
      <c r="K510" s="206">
        <v>3</v>
      </c>
      <c r="L510" s="206" t="s">
        <v>454</v>
      </c>
      <c r="M510" s="206" t="s">
        <v>772</v>
      </c>
      <c r="N510" s="206" t="s">
        <v>773</v>
      </c>
      <c r="O510" s="206" t="s">
        <v>774</v>
      </c>
    </row>
    <row r="511" spans="3:15" x14ac:dyDescent="0.25">
      <c r="C511" s="206" t="s">
        <v>1297</v>
      </c>
      <c r="D511" s="206">
        <v>25</v>
      </c>
      <c r="E511" s="206">
        <v>580.8077847136916</v>
      </c>
      <c r="F511" s="206">
        <v>31.4380187988281</v>
      </c>
      <c r="G511" s="206">
        <v>4.6466849999999997</v>
      </c>
      <c r="H511" s="206" t="s">
        <v>771</v>
      </c>
      <c r="I511" s="206">
        <v>0.81000000000030525</v>
      </c>
      <c r="J511" s="206"/>
      <c r="K511" s="206">
        <v>3</v>
      </c>
      <c r="L511" s="206" t="s">
        <v>454</v>
      </c>
      <c r="M511" s="206" t="s">
        <v>791</v>
      </c>
      <c r="N511" s="206" t="s">
        <v>773</v>
      </c>
      <c r="O511" s="206" t="s">
        <v>800</v>
      </c>
    </row>
    <row r="512" spans="3:15" x14ac:dyDescent="0.25">
      <c r="C512" s="206" t="s">
        <v>1298</v>
      </c>
      <c r="D512" s="206">
        <v>50</v>
      </c>
      <c r="E512" s="206">
        <v>1118.4290151771766</v>
      </c>
      <c r="F512" s="206">
        <v>148.388475348707</v>
      </c>
      <c r="G512" s="206">
        <v>6.0266595000000001</v>
      </c>
      <c r="H512" s="206" t="s">
        <v>771</v>
      </c>
      <c r="I512" s="206">
        <v>0.65</v>
      </c>
      <c r="J512" s="206"/>
      <c r="K512" s="206">
        <v>3</v>
      </c>
      <c r="L512" s="206" t="s">
        <v>454</v>
      </c>
      <c r="M512" s="206" t="s">
        <v>772</v>
      </c>
      <c r="N512" s="206" t="s">
        <v>773</v>
      </c>
      <c r="O512" s="206" t="s">
        <v>774</v>
      </c>
    </row>
    <row r="513" spans="3:15" x14ac:dyDescent="0.25">
      <c r="C513" s="206" t="s">
        <v>1299</v>
      </c>
      <c r="D513" s="206">
        <v>200</v>
      </c>
      <c r="E513" s="206">
        <v>4648.2448532094804</v>
      </c>
      <c r="F513" s="206">
        <v>7368.8380004882902</v>
      </c>
      <c r="G513" s="206">
        <v>13.729799999999999</v>
      </c>
      <c r="H513" s="206" t="s">
        <v>771</v>
      </c>
      <c r="I513" s="206">
        <v>0.63</v>
      </c>
      <c r="J513" s="206"/>
      <c r="K513" s="206">
        <v>3</v>
      </c>
      <c r="L513" s="206" t="s">
        <v>454</v>
      </c>
      <c r="M513" s="206" t="s">
        <v>772</v>
      </c>
      <c r="N513" s="206" t="s">
        <v>773</v>
      </c>
      <c r="O513" s="206" t="s">
        <v>774</v>
      </c>
    </row>
    <row r="514" spans="3:15" x14ac:dyDescent="0.25">
      <c r="C514" s="206" t="s">
        <v>1300</v>
      </c>
      <c r="D514" s="206">
        <v>80</v>
      </c>
      <c r="E514" s="206">
        <v>415.66935596542095</v>
      </c>
      <c r="F514" s="206">
        <v>679.71806616464198</v>
      </c>
      <c r="G514" s="206">
        <v>1.7055811000000001</v>
      </c>
      <c r="H514" s="206" t="s">
        <v>771</v>
      </c>
      <c r="I514" s="206">
        <v>0.67</v>
      </c>
      <c r="J514" s="206"/>
      <c r="K514" s="206">
        <v>3</v>
      </c>
      <c r="L514" s="206" t="s">
        <v>454</v>
      </c>
      <c r="M514" s="206" t="s">
        <v>791</v>
      </c>
      <c r="N514" s="206" t="s">
        <v>773</v>
      </c>
      <c r="O514" s="206" t="s">
        <v>792</v>
      </c>
    </row>
    <row r="515" spans="3:15" x14ac:dyDescent="0.25">
      <c r="C515" s="206" t="s">
        <v>1301</v>
      </c>
      <c r="D515" s="206">
        <v>150</v>
      </c>
      <c r="E515" s="206">
        <v>956.31989226283122</v>
      </c>
      <c r="F515" s="206">
        <v>3530.03561769525</v>
      </c>
      <c r="G515" s="206">
        <v>3.0892096000000002</v>
      </c>
      <c r="H515" s="206" t="s">
        <v>771</v>
      </c>
      <c r="I515" s="206">
        <v>0.63</v>
      </c>
      <c r="J515" s="206"/>
      <c r="K515" s="206">
        <v>3</v>
      </c>
      <c r="L515" s="206" t="s">
        <v>454</v>
      </c>
      <c r="M515" s="206" t="s">
        <v>791</v>
      </c>
      <c r="N515" s="206" t="s">
        <v>773</v>
      </c>
      <c r="O515" s="206" t="s">
        <v>800</v>
      </c>
    </row>
    <row r="516" spans="3:15" x14ac:dyDescent="0.25">
      <c r="C516" s="206" t="s">
        <v>1302</v>
      </c>
      <c r="D516" s="206">
        <v>80</v>
      </c>
      <c r="E516" s="206">
        <v>3928.1535584106246</v>
      </c>
      <c r="F516" s="206">
        <v>562.93208777304994</v>
      </c>
      <c r="G516" s="206">
        <v>16.589494999999999</v>
      </c>
      <c r="H516" s="206" t="s">
        <v>771</v>
      </c>
      <c r="I516" s="206">
        <v>0.65</v>
      </c>
      <c r="J516" s="206"/>
      <c r="K516" s="206">
        <v>3</v>
      </c>
      <c r="L516" s="206" t="s">
        <v>454</v>
      </c>
      <c r="M516" s="206" t="s">
        <v>772</v>
      </c>
      <c r="N516" s="206" t="s">
        <v>773</v>
      </c>
      <c r="O516" s="206" t="s">
        <v>774</v>
      </c>
    </row>
    <row r="517" spans="3:15" x14ac:dyDescent="0.25">
      <c r="C517" s="206" t="s">
        <v>1303</v>
      </c>
      <c r="D517" s="206">
        <v>20</v>
      </c>
      <c r="E517" s="206">
        <v>239.73247394388912</v>
      </c>
      <c r="F517" s="206">
        <v>2.91598506120499</v>
      </c>
      <c r="G517" s="206">
        <v>1.6141884</v>
      </c>
      <c r="H517" s="206" t="s">
        <v>771</v>
      </c>
      <c r="I517" s="206">
        <v>1</v>
      </c>
      <c r="J517" s="206"/>
      <c r="K517" s="206">
        <v>3</v>
      </c>
      <c r="L517" s="206" t="s">
        <v>454</v>
      </c>
      <c r="M517" s="206" t="s">
        <v>772</v>
      </c>
      <c r="N517" s="206" t="s">
        <v>773</v>
      </c>
      <c r="O517" s="206" t="s">
        <v>774</v>
      </c>
    </row>
    <row r="518" spans="3:15" x14ac:dyDescent="0.25">
      <c r="C518" s="206" t="s">
        <v>1304</v>
      </c>
      <c r="D518" s="206">
        <v>20</v>
      </c>
      <c r="E518" s="206">
        <v>1106.5562448006679</v>
      </c>
      <c r="F518" s="206">
        <v>2.91598506120499</v>
      </c>
      <c r="G518" s="206">
        <v>7.4507646999999997</v>
      </c>
      <c r="H518" s="206" t="s">
        <v>771</v>
      </c>
      <c r="I518" s="206">
        <v>1</v>
      </c>
      <c r="J518" s="206"/>
      <c r="K518" s="206">
        <v>3</v>
      </c>
      <c r="L518" s="206" t="s">
        <v>454</v>
      </c>
      <c r="M518" s="206" t="s">
        <v>772</v>
      </c>
      <c r="N518" s="206" t="s">
        <v>773</v>
      </c>
      <c r="O518" s="206" t="s">
        <v>774</v>
      </c>
    </row>
    <row r="519" spans="3:15" x14ac:dyDescent="0.25">
      <c r="C519" s="206" t="s">
        <v>1305</v>
      </c>
      <c r="D519" s="206">
        <v>20</v>
      </c>
      <c r="E519" s="206">
        <v>1370.2229218052128</v>
      </c>
      <c r="F519" s="206">
        <v>3</v>
      </c>
      <c r="G519" s="206">
        <v>11.703258</v>
      </c>
      <c r="H519" s="206" t="s">
        <v>771</v>
      </c>
      <c r="I519" s="206">
        <v>1</v>
      </c>
      <c r="J519" s="206"/>
      <c r="K519" s="206">
        <v>3</v>
      </c>
      <c r="L519" s="206" t="s">
        <v>454</v>
      </c>
      <c r="M519" s="206" t="s">
        <v>413</v>
      </c>
      <c r="N519" s="206" t="s">
        <v>776</v>
      </c>
      <c r="O519" s="206" t="s">
        <v>776</v>
      </c>
    </row>
    <row r="520" spans="3:15" x14ac:dyDescent="0.25">
      <c r="C520" s="206" t="s">
        <v>1306</v>
      </c>
      <c r="D520" s="206">
        <v>80</v>
      </c>
      <c r="E520" s="206">
        <v>680.77515670997093</v>
      </c>
      <c r="F520" s="206">
        <v>562.93208777304994</v>
      </c>
      <c r="G520" s="206">
        <v>2.8750699000000002</v>
      </c>
      <c r="H520" s="206" t="s">
        <v>771</v>
      </c>
      <c r="I520" s="206">
        <v>0.65</v>
      </c>
      <c r="J520" s="206"/>
      <c r="K520" s="206">
        <v>3</v>
      </c>
      <c r="L520" s="206" t="s">
        <v>454</v>
      </c>
      <c r="M520" s="206" t="s">
        <v>772</v>
      </c>
      <c r="N520" s="206" t="s">
        <v>773</v>
      </c>
      <c r="O520" s="206" t="s">
        <v>774</v>
      </c>
    </row>
    <row r="521" spans="3:15" x14ac:dyDescent="0.25">
      <c r="C521" s="206" t="s">
        <v>1307</v>
      </c>
      <c r="D521" s="206">
        <v>80</v>
      </c>
      <c r="E521" s="206">
        <v>1290.2953853438009</v>
      </c>
      <c r="F521" s="206">
        <v>718.40552917289199</v>
      </c>
      <c r="G521" s="206">
        <v>5.6849173999999998</v>
      </c>
      <c r="H521" s="206" t="s">
        <v>771</v>
      </c>
      <c r="I521" s="206">
        <v>1</v>
      </c>
      <c r="J521" s="206"/>
      <c r="K521" s="206">
        <v>3</v>
      </c>
      <c r="L521" s="206" t="s">
        <v>454</v>
      </c>
      <c r="M521" s="206" t="s">
        <v>791</v>
      </c>
      <c r="N521" s="206" t="s">
        <v>822</v>
      </c>
      <c r="O521" s="206" t="s">
        <v>792</v>
      </c>
    </row>
    <row r="522" spans="3:15" x14ac:dyDescent="0.25">
      <c r="C522" s="206" t="s">
        <v>1308</v>
      </c>
      <c r="D522" s="206">
        <v>50</v>
      </c>
      <c r="E522" s="206">
        <v>956.46356804358572</v>
      </c>
      <c r="F522" s="206">
        <v>148.388475348707</v>
      </c>
      <c r="G522" s="206">
        <v>5.1539080000000004</v>
      </c>
      <c r="H522" s="206" t="s">
        <v>771</v>
      </c>
      <c r="I522" s="206">
        <v>0.65</v>
      </c>
      <c r="J522" s="206"/>
      <c r="K522" s="206">
        <v>3</v>
      </c>
      <c r="L522" s="206" t="s">
        <v>454</v>
      </c>
      <c r="M522" s="206" t="s">
        <v>782</v>
      </c>
      <c r="N522" s="206" t="s">
        <v>776</v>
      </c>
      <c r="O522" s="206" t="s">
        <v>776</v>
      </c>
    </row>
    <row r="523" spans="3:15" x14ac:dyDescent="0.25">
      <c r="C523" s="206" t="s">
        <v>1309</v>
      </c>
      <c r="D523" s="206">
        <v>65</v>
      </c>
      <c r="E523" s="206">
        <v>685.67666603162945</v>
      </c>
      <c r="F523" s="206">
        <v>316.28182983398398</v>
      </c>
      <c r="G523" s="206">
        <v>3.2137809000000002</v>
      </c>
      <c r="H523" s="206" t="s">
        <v>771</v>
      </c>
      <c r="I523" s="206">
        <v>0.75000000000000089</v>
      </c>
      <c r="J523" s="206"/>
      <c r="K523" s="206">
        <v>3</v>
      </c>
      <c r="L523" s="206" t="s">
        <v>454</v>
      </c>
      <c r="M523" s="206" t="s">
        <v>782</v>
      </c>
      <c r="N523" s="206" t="s">
        <v>776</v>
      </c>
      <c r="O523" s="206" t="s">
        <v>776</v>
      </c>
    </row>
    <row r="524" spans="3:15" x14ac:dyDescent="0.25">
      <c r="C524" s="206" t="s">
        <v>1310</v>
      </c>
      <c r="D524" s="206">
        <v>80</v>
      </c>
      <c r="E524" s="206">
        <v>163.34330885822067</v>
      </c>
      <c r="F524" s="206">
        <v>617.18597412109398</v>
      </c>
      <c r="G524" s="206">
        <v>0.68058865999999996</v>
      </c>
      <c r="H524" s="206" t="s">
        <v>771</v>
      </c>
      <c r="I524" s="206">
        <v>0.7294998052048729</v>
      </c>
      <c r="J524" s="206"/>
      <c r="K524" s="206">
        <v>3</v>
      </c>
      <c r="L524" s="206" t="s">
        <v>454</v>
      </c>
      <c r="M524" s="206" t="s">
        <v>772</v>
      </c>
      <c r="N524" s="206" t="s">
        <v>773</v>
      </c>
      <c r="O524" s="206" t="s">
        <v>774</v>
      </c>
    </row>
    <row r="525" spans="3:15" x14ac:dyDescent="0.25">
      <c r="C525" s="206" t="s">
        <v>1311</v>
      </c>
      <c r="D525" s="206">
        <v>65</v>
      </c>
      <c r="E525" s="206">
        <v>5.2442031413189927</v>
      </c>
      <c r="F525" s="206">
        <v>316.28182983398398</v>
      </c>
      <c r="G525" s="206">
        <v>2.4579690000000001E-2</v>
      </c>
      <c r="H525" s="206" t="s">
        <v>771</v>
      </c>
      <c r="I525" s="206">
        <v>0.75000000000000089</v>
      </c>
      <c r="J525" s="206"/>
      <c r="K525" s="206">
        <v>3</v>
      </c>
      <c r="L525" s="206" t="s">
        <v>454</v>
      </c>
      <c r="M525" s="206" t="s">
        <v>782</v>
      </c>
      <c r="N525" s="206" t="s">
        <v>776</v>
      </c>
      <c r="O525" s="206" t="s">
        <v>776</v>
      </c>
    </row>
    <row r="526" spans="3:15" x14ac:dyDescent="0.25">
      <c r="C526" s="206" t="s">
        <v>1312</v>
      </c>
      <c r="D526" s="206">
        <v>200</v>
      </c>
      <c r="E526" s="206">
        <v>4044.4824276956733</v>
      </c>
      <c r="F526" s="206">
        <v>5825.9935531513001</v>
      </c>
      <c r="G526" s="206">
        <v>12.328730999999999</v>
      </c>
      <c r="H526" s="206" t="s">
        <v>771</v>
      </c>
      <c r="I526" s="206">
        <v>1</v>
      </c>
      <c r="J526" s="206"/>
      <c r="K526" s="206">
        <v>3</v>
      </c>
      <c r="L526" s="206" t="s">
        <v>454</v>
      </c>
      <c r="M526" s="206" t="s">
        <v>791</v>
      </c>
      <c r="N526" s="206" t="s">
        <v>773</v>
      </c>
      <c r="O526" s="206" t="s">
        <v>800</v>
      </c>
    </row>
    <row r="527" spans="3:15" x14ac:dyDescent="0.25">
      <c r="C527" s="206" t="s">
        <v>1313</v>
      </c>
      <c r="D527" s="206">
        <v>65</v>
      </c>
      <c r="E527" s="206">
        <v>679.77850406185394</v>
      </c>
      <c r="F527" s="206">
        <v>454.25784301757801</v>
      </c>
      <c r="G527" s="206">
        <v>2.9824001999999998</v>
      </c>
      <c r="H527" s="206" t="s">
        <v>771</v>
      </c>
      <c r="I527" s="206">
        <v>1</v>
      </c>
      <c r="J527" s="206" t="s">
        <v>795</v>
      </c>
      <c r="K527" s="206"/>
      <c r="L527" s="206"/>
      <c r="M527" s="206"/>
      <c r="N527" s="206"/>
      <c r="O527" s="206"/>
    </row>
    <row r="528" spans="3:15" x14ac:dyDescent="0.25">
      <c r="C528" s="206" t="s">
        <v>1314</v>
      </c>
      <c r="D528" s="206">
        <v>20</v>
      </c>
      <c r="E528" s="206">
        <v>3589.5254556203754</v>
      </c>
      <c r="F528" s="206">
        <v>1</v>
      </c>
      <c r="G528" s="206">
        <v>30.658619000000002</v>
      </c>
      <c r="H528" s="206" t="s">
        <v>771</v>
      </c>
      <c r="I528" s="206">
        <v>1</v>
      </c>
      <c r="J528" s="206"/>
      <c r="K528" s="206">
        <v>3</v>
      </c>
      <c r="L528" s="206" t="s">
        <v>454</v>
      </c>
      <c r="M528" s="206" t="s">
        <v>791</v>
      </c>
      <c r="N528" s="206" t="s">
        <v>934</v>
      </c>
      <c r="O528" s="206" t="s">
        <v>800</v>
      </c>
    </row>
    <row r="529" spans="3:15" x14ac:dyDescent="0.25">
      <c r="C529" s="206" t="s">
        <v>1315</v>
      </c>
      <c r="D529" s="206">
        <v>80</v>
      </c>
      <c r="E529" s="206">
        <v>7690.427074894701</v>
      </c>
      <c r="F529" s="206">
        <v>667.92590213301196</v>
      </c>
      <c r="G529" s="206">
        <v>31.646287999999998</v>
      </c>
      <c r="H529" s="206" t="s">
        <v>771</v>
      </c>
      <c r="I529" s="206">
        <v>0.63</v>
      </c>
      <c r="J529" s="206"/>
      <c r="K529" s="206">
        <v>3</v>
      </c>
      <c r="L529" s="206" t="s">
        <v>454</v>
      </c>
      <c r="M529" s="206" t="s">
        <v>772</v>
      </c>
      <c r="N529" s="206" t="s">
        <v>773</v>
      </c>
      <c r="O529" s="206" t="s">
        <v>774</v>
      </c>
    </row>
    <row r="530" spans="3:15" x14ac:dyDescent="0.25">
      <c r="C530" s="206" t="s">
        <v>1316</v>
      </c>
      <c r="D530" s="206">
        <v>80</v>
      </c>
      <c r="E530" s="206">
        <v>2412.2402287726063</v>
      </c>
      <c r="F530" s="206">
        <v>723.92397888488199</v>
      </c>
      <c r="G530" s="206">
        <v>10.6280985</v>
      </c>
      <c r="H530" s="206" t="s">
        <v>771</v>
      </c>
      <c r="I530" s="206">
        <v>1</v>
      </c>
      <c r="J530" s="206"/>
      <c r="K530" s="206">
        <v>3</v>
      </c>
      <c r="L530" s="206" t="s">
        <v>454</v>
      </c>
      <c r="M530" s="206" t="s">
        <v>791</v>
      </c>
      <c r="N530" s="206" t="s">
        <v>934</v>
      </c>
      <c r="O530" s="206" t="s">
        <v>792</v>
      </c>
    </row>
    <row r="531" spans="3:15" x14ac:dyDescent="0.25">
      <c r="C531" s="206" t="s">
        <v>1317</v>
      </c>
      <c r="D531" s="206">
        <v>20</v>
      </c>
      <c r="E531" s="206">
        <v>1251.7706221310532</v>
      </c>
      <c r="F531" s="206">
        <v>1</v>
      </c>
      <c r="G531" s="206">
        <v>10.691541000000001</v>
      </c>
      <c r="H531" s="206" t="s">
        <v>771</v>
      </c>
      <c r="I531" s="206">
        <v>1</v>
      </c>
      <c r="J531" s="206"/>
      <c r="K531" s="206">
        <v>3</v>
      </c>
      <c r="L531" s="206" t="s">
        <v>454</v>
      </c>
      <c r="M531" s="206" t="s">
        <v>772</v>
      </c>
      <c r="N531" s="206" t="s">
        <v>773</v>
      </c>
      <c r="O531" s="206" t="s">
        <v>774</v>
      </c>
    </row>
    <row r="532" spans="3:15" x14ac:dyDescent="0.25">
      <c r="C532" s="206" t="s">
        <v>1318</v>
      </c>
      <c r="D532" s="206">
        <v>200</v>
      </c>
      <c r="E532" s="206">
        <v>1729.6691061189081</v>
      </c>
      <c r="F532" s="206">
        <v>5647.44771793778</v>
      </c>
      <c r="G532" s="206">
        <v>5.2896599999999996</v>
      </c>
      <c r="H532" s="206" t="s">
        <v>771</v>
      </c>
      <c r="I532" s="206">
        <v>1</v>
      </c>
      <c r="J532" s="206"/>
      <c r="K532" s="206">
        <v>3</v>
      </c>
      <c r="L532" s="206" t="s">
        <v>454</v>
      </c>
      <c r="M532" s="206" t="s">
        <v>413</v>
      </c>
      <c r="N532" s="206" t="s">
        <v>773</v>
      </c>
      <c r="O532" s="206" t="s">
        <v>774</v>
      </c>
    </row>
    <row r="533" spans="3:15" x14ac:dyDescent="0.25">
      <c r="C533" s="206" t="s">
        <v>1319</v>
      </c>
      <c r="D533" s="206">
        <v>80</v>
      </c>
      <c r="E533" s="206">
        <v>616.92868955537745</v>
      </c>
      <c r="F533" s="206">
        <v>562.93208777304994</v>
      </c>
      <c r="G533" s="206">
        <v>2.6054316000000002</v>
      </c>
      <c r="H533" s="206" t="s">
        <v>771</v>
      </c>
      <c r="I533" s="206">
        <v>0.65</v>
      </c>
      <c r="J533" s="206"/>
      <c r="K533" s="206">
        <v>3</v>
      </c>
      <c r="L533" s="206" t="s">
        <v>454</v>
      </c>
      <c r="M533" s="206" t="s">
        <v>413</v>
      </c>
      <c r="N533" s="206" t="s">
        <v>773</v>
      </c>
      <c r="O533" s="206" t="s">
        <v>774</v>
      </c>
    </row>
    <row r="534" spans="3:15" x14ac:dyDescent="0.25">
      <c r="C534" s="206" t="s">
        <v>1320</v>
      </c>
      <c r="D534" s="206">
        <v>80</v>
      </c>
      <c r="E534" s="206">
        <v>645.6164014106447</v>
      </c>
      <c r="F534" s="206">
        <v>617.18597412109398</v>
      </c>
      <c r="G534" s="206">
        <v>2.6900349000000001</v>
      </c>
      <c r="H534" s="206" t="s">
        <v>771</v>
      </c>
      <c r="I534" s="206">
        <v>0.7294998052048729</v>
      </c>
      <c r="J534" s="206"/>
      <c r="K534" s="206">
        <v>3</v>
      </c>
      <c r="L534" s="206" t="s">
        <v>454</v>
      </c>
      <c r="M534" s="206" t="s">
        <v>791</v>
      </c>
      <c r="N534" s="206" t="s">
        <v>773</v>
      </c>
      <c r="O534" s="206" t="s">
        <v>800</v>
      </c>
    </row>
    <row r="535" spans="3:15" x14ac:dyDescent="0.25">
      <c r="C535" s="206" t="s">
        <v>1321</v>
      </c>
      <c r="D535" s="206">
        <v>20</v>
      </c>
      <c r="E535" s="206">
        <v>171.29110117254007</v>
      </c>
      <c r="F535" s="206">
        <v>2.5387595042702702</v>
      </c>
      <c r="G535" s="206">
        <v>1.4630202999999999</v>
      </c>
      <c r="H535" s="206" t="s">
        <v>771</v>
      </c>
      <c r="I535" s="206">
        <v>1</v>
      </c>
      <c r="J535" s="206"/>
      <c r="K535" s="206">
        <v>3</v>
      </c>
      <c r="L535" s="206" t="s">
        <v>454</v>
      </c>
      <c r="M535" s="206" t="s">
        <v>413</v>
      </c>
      <c r="N535" s="206" t="s">
        <v>773</v>
      </c>
      <c r="O535" s="206" t="s">
        <v>805</v>
      </c>
    </row>
    <row r="536" spans="3:15" x14ac:dyDescent="0.25">
      <c r="C536" s="206" t="s">
        <v>1322</v>
      </c>
      <c r="D536" s="206">
        <v>40</v>
      </c>
      <c r="E536" s="206">
        <v>480.4082928226909</v>
      </c>
      <c r="F536" s="206">
        <v>100.29582977294901</v>
      </c>
      <c r="G536" s="206">
        <v>2.8388186000000002</v>
      </c>
      <c r="H536" s="206" t="s">
        <v>771</v>
      </c>
      <c r="I536" s="206">
        <v>1</v>
      </c>
      <c r="J536" s="206"/>
      <c r="K536" s="206">
        <v>3</v>
      </c>
      <c r="L536" s="206" t="s">
        <v>454</v>
      </c>
      <c r="M536" s="206" t="s">
        <v>791</v>
      </c>
      <c r="N536" s="206" t="s">
        <v>773</v>
      </c>
      <c r="O536" s="206" t="s">
        <v>792</v>
      </c>
    </row>
    <row r="537" spans="3:15" x14ac:dyDescent="0.25">
      <c r="C537" s="206" t="s">
        <v>1323</v>
      </c>
      <c r="D537" s="206">
        <v>80</v>
      </c>
      <c r="E537" s="206">
        <v>1295.5368317940902</v>
      </c>
      <c r="F537" s="206">
        <v>562.93208777304994</v>
      </c>
      <c r="G537" s="206">
        <v>5.4713497000000002</v>
      </c>
      <c r="H537" s="206" t="s">
        <v>771</v>
      </c>
      <c r="I537" s="206">
        <v>0.65</v>
      </c>
      <c r="J537" s="206"/>
      <c r="K537" s="206">
        <v>3</v>
      </c>
      <c r="L537" s="206" t="s">
        <v>454</v>
      </c>
      <c r="M537" s="206" t="s">
        <v>772</v>
      </c>
      <c r="N537" s="206" t="s">
        <v>773</v>
      </c>
      <c r="O537" s="206" t="s">
        <v>774</v>
      </c>
    </row>
    <row r="538" spans="3:15" x14ac:dyDescent="0.25">
      <c r="C538" s="206" t="s">
        <v>1324</v>
      </c>
      <c r="D538" s="206">
        <v>150</v>
      </c>
      <c r="E538" s="206">
        <v>4527.222991837576</v>
      </c>
      <c r="F538" s="206">
        <v>3529.0715643295898</v>
      </c>
      <c r="G538" s="206">
        <v>14.624891</v>
      </c>
      <c r="H538" s="206" t="s">
        <v>771</v>
      </c>
      <c r="I538" s="206">
        <v>0.63</v>
      </c>
      <c r="J538" s="206"/>
      <c r="K538" s="206">
        <v>3</v>
      </c>
      <c r="L538" s="206" t="s">
        <v>454</v>
      </c>
      <c r="M538" s="206" t="s">
        <v>782</v>
      </c>
      <c r="N538" s="206" t="s">
        <v>773</v>
      </c>
      <c r="O538" s="206" t="s">
        <v>805</v>
      </c>
    </row>
    <row r="539" spans="3:15" x14ac:dyDescent="0.25">
      <c r="C539" s="206" t="s">
        <v>1325</v>
      </c>
      <c r="D539" s="206">
        <v>400</v>
      </c>
      <c r="E539" s="206">
        <v>3833.0378798637134</v>
      </c>
      <c r="F539" s="206">
        <v>26893.983908885599</v>
      </c>
      <c r="G539" s="206">
        <v>9.8190670000000004</v>
      </c>
      <c r="H539" s="206" t="s">
        <v>771</v>
      </c>
      <c r="I539" s="206">
        <v>0.62</v>
      </c>
      <c r="J539" s="206"/>
      <c r="K539" s="206">
        <v>3</v>
      </c>
      <c r="L539" s="206" t="s">
        <v>454</v>
      </c>
      <c r="M539" s="206" t="s">
        <v>791</v>
      </c>
      <c r="N539" s="206" t="s">
        <v>773</v>
      </c>
      <c r="O539" s="206" t="s">
        <v>800</v>
      </c>
    </row>
    <row r="540" spans="3:15" x14ac:dyDescent="0.25">
      <c r="C540" s="206" t="s">
        <v>1326</v>
      </c>
      <c r="D540" s="206">
        <v>400</v>
      </c>
      <c r="E540" s="206">
        <v>1700.6054859011203</v>
      </c>
      <c r="F540" s="206">
        <v>32353.013028163401</v>
      </c>
      <c r="G540" s="206">
        <v>4.2809075999999999</v>
      </c>
      <c r="H540" s="206" t="s">
        <v>771</v>
      </c>
      <c r="I540" s="206">
        <v>0.62</v>
      </c>
      <c r="J540" s="206"/>
      <c r="K540" s="206">
        <v>3</v>
      </c>
      <c r="L540" s="206" t="s">
        <v>454</v>
      </c>
      <c r="M540" s="206" t="s">
        <v>413</v>
      </c>
      <c r="N540" s="206" t="s">
        <v>776</v>
      </c>
      <c r="O540" s="206" t="s">
        <v>776</v>
      </c>
    </row>
    <row r="541" spans="3:15" x14ac:dyDescent="0.25">
      <c r="C541" s="206" t="s">
        <v>1327</v>
      </c>
      <c r="D541" s="206">
        <v>40</v>
      </c>
      <c r="E541" s="206">
        <v>8673.7477460779155</v>
      </c>
      <c r="F541" s="206">
        <v>119.457427711459</v>
      </c>
      <c r="G541" s="206">
        <v>49.348014999999997</v>
      </c>
      <c r="H541" s="206" t="s">
        <v>771</v>
      </c>
      <c r="I541" s="206">
        <v>0.81</v>
      </c>
      <c r="J541" s="206"/>
      <c r="K541" s="206">
        <v>3</v>
      </c>
      <c r="L541" s="206" t="s">
        <v>454</v>
      </c>
      <c r="M541" s="206" t="s">
        <v>413</v>
      </c>
      <c r="N541" s="206" t="s">
        <v>776</v>
      </c>
      <c r="O541" s="206" t="s">
        <v>776</v>
      </c>
    </row>
    <row r="542" spans="3:15" x14ac:dyDescent="0.25">
      <c r="C542" s="206" t="s">
        <v>1328</v>
      </c>
      <c r="D542" s="206">
        <v>100</v>
      </c>
      <c r="E542" s="206">
        <v>420.37610915671752</v>
      </c>
      <c r="F542" s="206">
        <v>1483.19997479839</v>
      </c>
      <c r="G542" s="206">
        <v>1.5283872000000001</v>
      </c>
      <c r="H542" s="206" t="s">
        <v>771</v>
      </c>
      <c r="I542" s="206">
        <v>1</v>
      </c>
      <c r="J542" s="206"/>
      <c r="K542" s="206">
        <v>3</v>
      </c>
      <c r="L542" s="206" t="s">
        <v>454</v>
      </c>
      <c r="M542" s="206" t="s">
        <v>810</v>
      </c>
      <c r="N542" s="206" t="s">
        <v>784</v>
      </c>
      <c r="O542" s="206" t="s">
        <v>800</v>
      </c>
    </row>
    <row r="543" spans="3:15" x14ac:dyDescent="0.25">
      <c r="C543" s="206" t="s">
        <v>1329</v>
      </c>
      <c r="D543" s="206">
        <v>65</v>
      </c>
      <c r="E543" s="206">
        <v>1190.9687538366938</v>
      </c>
      <c r="F543" s="206">
        <v>366.340331913667</v>
      </c>
      <c r="G543" s="206">
        <v>5.5602159999999996</v>
      </c>
      <c r="H543" s="206" t="s">
        <v>771</v>
      </c>
      <c r="I543" s="206">
        <v>0.74826912236183685</v>
      </c>
      <c r="J543" s="206"/>
      <c r="K543" s="206">
        <v>3</v>
      </c>
      <c r="L543" s="206" t="s">
        <v>454</v>
      </c>
      <c r="M543" s="206" t="s">
        <v>772</v>
      </c>
      <c r="N543" s="206" t="s">
        <v>773</v>
      </c>
      <c r="O543" s="206" t="s">
        <v>774</v>
      </c>
    </row>
    <row r="544" spans="3:15" x14ac:dyDescent="0.25">
      <c r="C544" s="206" t="s">
        <v>1330</v>
      </c>
      <c r="D544" s="206">
        <v>20</v>
      </c>
      <c r="E544" s="206">
        <v>200.78359771920051</v>
      </c>
      <c r="F544" s="206">
        <v>2.91598506120499</v>
      </c>
      <c r="G544" s="206">
        <v>1.3519342999999999</v>
      </c>
      <c r="H544" s="206" t="s">
        <v>771</v>
      </c>
      <c r="I544" s="206">
        <v>1</v>
      </c>
      <c r="J544" s="206"/>
      <c r="K544" s="206">
        <v>3</v>
      </c>
      <c r="L544" s="206" t="s">
        <v>454</v>
      </c>
      <c r="M544" s="206" t="s">
        <v>772</v>
      </c>
      <c r="N544" s="206" t="s">
        <v>773</v>
      </c>
      <c r="O544" s="206" t="s">
        <v>774</v>
      </c>
    </row>
    <row r="545" spans="3:15" x14ac:dyDescent="0.25">
      <c r="C545" s="206" t="s">
        <v>1331</v>
      </c>
      <c r="D545" s="206">
        <v>80</v>
      </c>
      <c r="E545" s="206">
        <v>720.13672774432973</v>
      </c>
      <c r="F545" s="206">
        <v>617.18597412109398</v>
      </c>
      <c r="G545" s="206">
        <v>3.0005324</v>
      </c>
      <c r="H545" s="206" t="s">
        <v>771</v>
      </c>
      <c r="I545" s="206">
        <v>0.7294998052048729</v>
      </c>
      <c r="J545" s="206"/>
      <c r="K545" s="206">
        <v>3</v>
      </c>
      <c r="L545" s="206" t="s">
        <v>454</v>
      </c>
      <c r="M545" s="206" t="s">
        <v>772</v>
      </c>
      <c r="N545" s="206" t="s">
        <v>773</v>
      </c>
      <c r="O545" s="206" t="s">
        <v>774</v>
      </c>
    </row>
    <row r="546" spans="3:15" x14ac:dyDescent="0.25">
      <c r="C546" s="206" t="s">
        <v>1332</v>
      </c>
      <c r="D546" s="206">
        <v>100</v>
      </c>
      <c r="E546" s="206">
        <v>7040.1359455948514</v>
      </c>
      <c r="F546" s="206">
        <v>1483.19997479839</v>
      </c>
      <c r="G546" s="206">
        <v>25.596253999999998</v>
      </c>
      <c r="H546" s="206" t="s">
        <v>771</v>
      </c>
      <c r="I546" s="206">
        <v>1</v>
      </c>
      <c r="J546" s="206"/>
      <c r="K546" s="206">
        <v>3</v>
      </c>
      <c r="L546" s="206" t="s">
        <v>454</v>
      </c>
      <c r="M546" s="206" t="s">
        <v>791</v>
      </c>
      <c r="N546" s="206" t="s">
        <v>862</v>
      </c>
      <c r="O546" s="206" t="s">
        <v>792</v>
      </c>
    </row>
    <row r="547" spans="3:15" x14ac:dyDescent="0.25">
      <c r="C547" s="206" t="s">
        <v>1333</v>
      </c>
      <c r="D547" s="206">
        <v>25</v>
      </c>
      <c r="E547" s="206">
        <v>578.10850537494844</v>
      </c>
      <c r="F547" s="206">
        <v>25.546085357666001</v>
      </c>
      <c r="G547" s="206">
        <v>4.8849014999999998</v>
      </c>
      <c r="H547" s="206" t="s">
        <v>771</v>
      </c>
      <c r="I547" s="206">
        <v>0.81000000000011196</v>
      </c>
      <c r="J547" s="206"/>
      <c r="K547" s="206">
        <v>3</v>
      </c>
      <c r="L547" s="206" t="s">
        <v>454</v>
      </c>
      <c r="M547" s="206" t="s">
        <v>772</v>
      </c>
      <c r="N547" s="206" t="s">
        <v>773</v>
      </c>
      <c r="O547" s="206" t="s">
        <v>774</v>
      </c>
    </row>
    <row r="548" spans="3:15" x14ac:dyDescent="0.25">
      <c r="C548" s="206" t="s">
        <v>1334</v>
      </c>
      <c r="D548" s="206">
        <v>25</v>
      </c>
      <c r="E548" s="206">
        <v>546.7431175604122</v>
      </c>
      <c r="F548" s="206">
        <v>31.4380187988281</v>
      </c>
      <c r="G548" s="206">
        <v>4.3741545999999998</v>
      </c>
      <c r="H548" s="206" t="s">
        <v>771</v>
      </c>
      <c r="I548" s="206">
        <v>0.81000000000030525</v>
      </c>
      <c r="J548" s="206"/>
      <c r="K548" s="206">
        <v>3</v>
      </c>
      <c r="L548" s="206" t="s">
        <v>454</v>
      </c>
      <c r="M548" s="206" t="s">
        <v>791</v>
      </c>
      <c r="N548" s="206" t="s">
        <v>773</v>
      </c>
      <c r="O548" s="206" t="s">
        <v>800</v>
      </c>
    </row>
    <row r="549" spans="3:15" x14ac:dyDescent="0.25">
      <c r="C549" s="206" t="s">
        <v>1335</v>
      </c>
      <c r="D549" s="206">
        <v>200</v>
      </c>
      <c r="E549" s="206">
        <v>1741.8895950795104</v>
      </c>
      <c r="F549" s="206">
        <v>5647.44771793778</v>
      </c>
      <c r="G549" s="206">
        <v>5.3270325999999999</v>
      </c>
      <c r="H549" s="206" t="s">
        <v>771</v>
      </c>
      <c r="I549" s="206">
        <v>1</v>
      </c>
      <c r="J549" s="206"/>
      <c r="K549" s="206">
        <v>3</v>
      </c>
      <c r="L549" s="206" t="s">
        <v>454</v>
      </c>
      <c r="M549" s="206" t="s">
        <v>413</v>
      </c>
      <c r="N549" s="206" t="s">
        <v>773</v>
      </c>
      <c r="O549" s="206" t="s">
        <v>774</v>
      </c>
    </row>
    <row r="550" spans="3:15" x14ac:dyDescent="0.25">
      <c r="C550" s="206" t="s">
        <v>1336</v>
      </c>
      <c r="D550" s="206">
        <v>200</v>
      </c>
      <c r="E550" s="206">
        <v>2047.0713181302856</v>
      </c>
      <c r="F550" s="206">
        <v>7536.2844369506902</v>
      </c>
      <c r="G550" s="206">
        <v>6.0262623</v>
      </c>
      <c r="H550" s="206" t="s">
        <v>771</v>
      </c>
      <c r="I550" s="206">
        <v>0.63</v>
      </c>
      <c r="J550" s="206"/>
      <c r="K550" s="206">
        <v>3</v>
      </c>
      <c r="L550" s="206" t="s">
        <v>454</v>
      </c>
      <c r="M550" s="206" t="s">
        <v>772</v>
      </c>
      <c r="N550" s="206" t="s">
        <v>773</v>
      </c>
      <c r="O550" s="206" t="s">
        <v>774</v>
      </c>
    </row>
    <row r="551" spans="3:15" x14ac:dyDescent="0.25">
      <c r="C551" s="206" t="s">
        <v>1337</v>
      </c>
      <c r="D551" s="206">
        <v>400</v>
      </c>
      <c r="E551" s="206">
        <v>2388.0232883540616</v>
      </c>
      <c r="F551" s="206">
        <v>27339.509060267901</v>
      </c>
      <c r="G551" s="206">
        <v>6.1085880000000001</v>
      </c>
      <c r="H551" s="206" t="s">
        <v>771</v>
      </c>
      <c r="I551" s="206">
        <v>0.62</v>
      </c>
      <c r="J551" s="206"/>
      <c r="K551" s="206">
        <v>3</v>
      </c>
      <c r="L551" s="206" t="s">
        <v>454</v>
      </c>
      <c r="M551" s="206" t="s">
        <v>782</v>
      </c>
      <c r="N551" s="206" t="s">
        <v>776</v>
      </c>
      <c r="O551" s="206" t="s">
        <v>776</v>
      </c>
    </row>
    <row r="552" spans="3:15" x14ac:dyDescent="0.25">
      <c r="C552" s="206" t="s">
        <v>1338</v>
      </c>
      <c r="D552" s="206">
        <v>40</v>
      </c>
      <c r="E552" s="206">
        <v>398.20507211565103</v>
      </c>
      <c r="F552" s="206">
        <v>103.443859683932</v>
      </c>
      <c r="G552" s="206">
        <v>2.3382225000000001</v>
      </c>
      <c r="H552" s="206" t="s">
        <v>771</v>
      </c>
      <c r="I552" s="206">
        <v>0.66</v>
      </c>
      <c r="J552" s="206"/>
      <c r="K552" s="206">
        <v>3</v>
      </c>
      <c r="L552" s="206" t="s">
        <v>454</v>
      </c>
      <c r="M552" s="206" t="s">
        <v>772</v>
      </c>
      <c r="N552" s="206" t="s">
        <v>773</v>
      </c>
      <c r="O552" s="206" t="s">
        <v>774</v>
      </c>
    </row>
    <row r="553" spans="3:15" x14ac:dyDescent="0.25">
      <c r="C553" s="206" t="s">
        <v>1339</v>
      </c>
      <c r="D553" s="206">
        <v>40</v>
      </c>
      <c r="E553" s="206">
        <v>136.41404514989298</v>
      </c>
      <c r="F553" s="206">
        <v>128.72786407469499</v>
      </c>
      <c r="G553" s="206">
        <v>0.76238640000000002</v>
      </c>
      <c r="H553" s="206" t="s">
        <v>771</v>
      </c>
      <c r="I553" s="206">
        <v>0.72</v>
      </c>
      <c r="J553" s="206"/>
      <c r="K553" s="206">
        <v>3</v>
      </c>
      <c r="L553" s="206" t="s">
        <v>454</v>
      </c>
      <c r="M553" s="206" t="s">
        <v>413</v>
      </c>
      <c r="N553" s="206" t="s">
        <v>773</v>
      </c>
      <c r="O553" s="206" t="s">
        <v>805</v>
      </c>
    </row>
    <row r="554" spans="3:15" x14ac:dyDescent="0.25">
      <c r="C554" s="206" t="s">
        <v>1340</v>
      </c>
      <c r="D554" s="206">
        <v>125</v>
      </c>
      <c r="E554" s="206">
        <v>3766.4867123412714</v>
      </c>
      <c r="F554" s="206">
        <v>1648.58963202582</v>
      </c>
      <c r="G554" s="206">
        <v>13.489404</v>
      </c>
      <c r="H554" s="206" t="s">
        <v>771</v>
      </c>
      <c r="I554" s="206">
        <v>0.63</v>
      </c>
      <c r="J554" s="206"/>
      <c r="K554" s="206">
        <v>3</v>
      </c>
      <c r="L554" s="206" t="s">
        <v>454</v>
      </c>
      <c r="M554" s="206" t="s">
        <v>772</v>
      </c>
      <c r="N554" s="206" t="s">
        <v>773</v>
      </c>
      <c r="O554" s="206" t="s">
        <v>774</v>
      </c>
    </row>
    <row r="555" spans="3:15" x14ac:dyDescent="0.25">
      <c r="C555" s="206" t="s">
        <v>1341</v>
      </c>
      <c r="D555" s="206">
        <v>25</v>
      </c>
      <c r="E555" s="206">
        <v>349.22136051592685</v>
      </c>
      <c r="F555" s="206">
        <v>31.4380187988281</v>
      </c>
      <c r="G555" s="206">
        <v>2.7939048</v>
      </c>
      <c r="H555" s="206" t="s">
        <v>771</v>
      </c>
      <c r="I555" s="206">
        <v>0.81000000000030525</v>
      </c>
      <c r="J555" s="206"/>
      <c r="K555" s="206">
        <v>3</v>
      </c>
      <c r="L555" s="206" t="s">
        <v>454</v>
      </c>
      <c r="M555" s="206" t="s">
        <v>791</v>
      </c>
      <c r="N555" s="206" t="s">
        <v>773</v>
      </c>
      <c r="O555" s="206" t="s">
        <v>800</v>
      </c>
    </row>
    <row r="556" spans="3:15" x14ac:dyDescent="0.25">
      <c r="C556" s="206" t="s">
        <v>1342</v>
      </c>
      <c r="D556" s="206">
        <v>80</v>
      </c>
      <c r="E556" s="206">
        <v>1498.0637245060891</v>
      </c>
      <c r="F556" s="206">
        <v>562.93208777304994</v>
      </c>
      <c r="G556" s="206">
        <v>6.3266673000000004</v>
      </c>
      <c r="H556" s="206" t="s">
        <v>771</v>
      </c>
      <c r="I556" s="206">
        <v>0.65</v>
      </c>
      <c r="J556" s="206"/>
      <c r="K556" s="206">
        <v>3</v>
      </c>
      <c r="L556" s="206" t="s">
        <v>454</v>
      </c>
      <c r="M556" s="206" t="s">
        <v>413</v>
      </c>
      <c r="N556" s="206" t="s">
        <v>773</v>
      </c>
      <c r="O556" s="206" t="s">
        <v>774</v>
      </c>
    </row>
    <row r="557" spans="3:15" x14ac:dyDescent="0.25">
      <c r="C557" s="206" t="s">
        <v>1343</v>
      </c>
      <c r="D557" s="206">
        <v>65</v>
      </c>
      <c r="E557" s="206">
        <v>3824.1465492667376</v>
      </c>
      <c r="F557" s="206">
        <v>316.28182983398398</v>
      </c>
      <c r="G557" s="206">
        <v>17.923855</v>
      </c>
      <c r="H557" s="206" t="s">
        <v>771</v>
      </c>
      <c r="I557" s="206">
        <v>0.75000000000000089</v>
      </c>
      <c r="J557" s="206"/>
      <c r="K557" s="206">
        <v>3</v>
      </c>
      <c r="L557" s="206" t="s">
        <v>454</v>
      </c>
      <c r="M557" s="206" t="s">
        <v>782</v>
      </c>
      <c r="N557" s="206" t="s">
        <v>776</v>
      </c>
      <c r="O557" s="206" t="s">
        <v>776</v>
      </c>
    </row>
    <row r="558" spans="3:15" x14ac:dyDescent="0.25">
      <c r="C558" s="206" t="s">
        <v>1344</v>
      </c>
      <c r="D558" s="206">
        <v>25</v>
      </c>
      <c r="E558" s="206">
        <v>402.05920723233294</v>
      </c>
      <c r="F558" s="206">
        <v>30.427696228027301</v>
      </c>
      <c r="G558" s="206">
        <v>3.2462342</v>
      </c>
      <c r="H558" s="206" t="s">
        <v>771</v>
      </c>
      <c r="I558" s="206">
        <v>1</v>
      </c>
      <c r="J558" s="206"/>
      <c r="K558" s="206">
        <v>3</v>
      </c>
      <c r="L558" s="206" t="s">
        <v>454</v>
      </c>
      <c r="M558" s="206" t="s">
        <v>772</v>
      </c>
      <c r="N558" s="206" t="s">
        <v>773</v>
      </c>
      <c r="O558" s="206" t="s">
        <v>774</v>
      </c>
    </row>
    <row r="559" spans="3:15" x14ac:dyDescent="0.25">
      <c r="C559" s="206" t="s">
        <v>1345</v>
      </c>
      <c r="D559" s="206">
        <v>200</v>
      </c>
      <c r="E559" s="206">
        <v>490.29364938942291</v>
      </c>
      <c r="F559" s="206">
        <v>7536.2844369506902</v>
      </c>
      <c r="G559" s="206">
        <v>1.4433488999999999</v>
      </c>
      <c r="H559" s="206" t="s">
        <v>771</v>
      </c>
      <c r="I559" s="206">
        <v>0.63</v>
      </c>
      <c r="J559" s="206"/>
      <c r="K559" s="206">
        <v>3</v>
      </c>
      <c r="L559" s="206" t="s">
        <v>454</v>
      </c>
      <c r="M559" s="206" t="s">
        <v>413</v>
      </c>
      <c r="N559" s="206" t="s">
        <v>773</v>
      </c>
      <c r="O559" s="206" t="s">
        <v>774</v>
      </c>
    </row>
    <row r="560" spans="3:15" x14ac:dyDescent="0.25">
      <c r="C560" s="206" t="s">
        <v>1346</v>
      </c>
      <c r="D560" s="206">
        <v>200</v>
      </c>
      <c r="E560" s="206">
        <v>1409.8119025050289</v>
      </c>
      <c r="F560" s="206">
        <v>5647.44771793778</v>
      </c>
      <c r="G560" s="206">
        <v>4.3114752999999997</v>
      </c>
      <c r="H560" s="206" t="s">
        <v>771</v>
      </c>
      <c r="I560" s="206">
        <v>1</v>
      </c>
      <c r="J560" s="206"/>
      <c r="K560" s="206">
        <v>3</v>
      </c>
      <c r="L560" s="206" t="s">
        <v>454</v>
      </c>
      <c r="M560" s="206" t="s">
        <v>413</v>
      </c>
      <c r="N560" s="206" t="s">
        <v>773</v>
      </c>
      <c r="O560" s="206" t="s">
        <v>774</v>
      </c>
    </row>
    <row r="561" spans="3:15" x14ac:dyDescent="0.25">
      <c r="C561" s="206" t="s">
        <v>1347</v>
      </c>
      <c r="D561" s="206">
        <v>400</v>
      </c>
      <c r="E561" s="206">
        <v>902.28177094157263</v>
      </c>
      <c r="F561" s="206">
        <v>27339.509060267901</v>
      </c>
      <c r="G561" s="206">
        <v>2.308046</v>
      </c>
      <c r="H561" s="206" t="s">
        <v>771</v>
      </c>
      <c r="I561" s="206">
        <v>0.62</v>
      </c>
      <c r="J561" s="206"/>
      <c r="K561" s="206">
        <v>3</v>
      </c>
      <c r="L561" s="206" t="s">
        <v>454</v>
      </c>
      <c r="M561" s="206" t="s">
        <v>782</v>
      </c>
      <c r="N561" s="206" t="s">
        <v>776</v>
      </c>
      <c r="O561" s="206" t="s">
        <v>776</v>
      </c>
    </row>
    <row r="562" spans="3:15" x14ac:dyDescent="0.25">
      <c r="C562" s="206" t="s">
        <v>1348</v>
      </c>
      <c r="D562" s="206">
        <v>300</v>
      </c>
      <c r="E562" s="206">
        <v>11386.751420180442</v>
      </c>
      <c r="F562" s="206">
        <v>14313.356977737199</v>
      </c>
      <c r="G562" s="206">
        <v>31.053991</v>
      </c>
      <c r="H562" s="206" t="s">
        <v>771</v>
      </c>
      <c r="I562" s="206">
        <v>0.63217717375457105</v>
      </c>
      <c r="J562" s="206"/>
      <c r="K562" s="206">
        <v>3</v>
      </c>
      <c r="L562" s="206" t="s">
        <v>454</v>
      </c>
      <c r="M562" s="206" t="s">
        <v>772</v>
      </c>
      <c r="N562" s="206" t="s">
        <v>932</v>
      </c>
      <c r="O562" s="206" t="s">
        <v>774</v>
      </c>
    </row>
    <row r="563" spans="3:15" x14ac:dyDescent="0.25">
      <c r="C563" s="206" t="s">
        <v>1349</v>
      </c>
      <c r="D563" s="206">
        <v>20</v>
      </c>
      <c r="E563" s="206">
        <v>1578.5612919679995</v>
      </c>
      <c r="F563" s="206">
        <v>1.5302434375044001</v>
      </c>
      <c r="G563" s="206">
        <v>13.482704</v>
      </c>
      <c r="H563" s="206" t="s">
        <v>771</v>
      </c>
      <c r="I563" s="206">
        <v>1</v>
      </c>
      <c r="J563" s="206"/>
      <c r="K563" s="206">
        <v>3</v>
      </c>
      <c r="L563" s="206" t="s">
        <v>454</v>
      </c>
      <c r="M563" s="206" t="s">
        <v>772</v>
      </c>
      <c r="N563" s="206" t="s">
        <v>773</v>
      </c>
      <c r="O563" s="206" t="s">
        <v>774</v>
      </c>
    </row>
    <row r="564" spans="3:15" x14ac:dyDescent="0.25">
      <c r="C564" s="206" t="s">
        <v>1350</v>
      </c>
      <c r="D564" s="206">
        <v>20</v>
      </c>
      <c r="E564" s="206">
        <v>2348.7859210075712</v>
      </c>
      <c r="F564" s="206">
        <v>1</v>
      </c>
      <c r="G564" s="206">
        <v>20.061295999999999</v>
      </c>
      <c r="H564" s="206" t="s">
        <v>771</v>
      </c>
      <c r="I564" s="206">
        <v>1</v>
      </c>
      <c r="J564" s="206"/>
      <c r="K564" s="206">
        <v>3</v>
      </c>
      <c r="L564" s="206" t="s">
        <v>454</v>
      </c>
      <c r="M564" s="206" t="s">
        <v>413</v>
      </c>
      <c r="N564" s="206" t="s">
        <v>776</v>
      </c>
      <c r="O564" s="206" t="s">
        <v>776</v>
      </c>
    </row>
    <row r="565" spans="3:15" x14ac:dyDescent="0.25">
      <c r="C565" s="206" t="s">
        <v>1351</v>
      </c>
      <c r="D565" s="206">
        <v>200</v>
      </c>
      <c r="E565" s="206">
        <v>6399.0150219569559</v>
      </c>
      <c r="F565" s="206">
        <v>7368.8380004882902</v>
      </c>
      <c r="G565" s="206">
        <v>18.901154999999999</v>
      </c>
      <c r="H565" s="206" t="s">
        <v>771</v>
      </c>
      <c r="I565" s="206">
        <v>0.63</v>
      </c>
      <c r="J565" s="206"/>
      <c r="K565" s="206">
        <v>3</v>
      </c>
      <c r="L565" s="206" t="s">
        <v>454</v>
      </c>
      <c r="M565" s="206" t="s">
        <v>772</v>
      </c>
      <c r="N565" s="206" t="s">
        <v>773</v>
      </c>
      <c r="O565" s="206" t="s">
        <v>774</v>
      </c>
    </row>
    <row r="566" spans="3:15" x14ac:dyDescent="0.25">
      <c r="C566" s="206" t="s">
        <v>1352</v>
      </c>
      <c r="D566" s="206">
        <v>65</v>
      </c>
      <c r="E566" s="206">
        <v>1609.0407606978167</v>
      </c>
      <c r="F566" s="206">
        <v>479.31744384765602</v>
      </c>
      <c r="G566" s="206">
        <v>6.9783187</v>
      </c>
      <c r="H566" s="206" t="s">
        <v>771</v>
      </c>
      <c r="I566" s="206">
        <v>0.7</v>
      </c>
      <c r="J566" s="206"/>
      <c r="K566" s="206">
        <v>3</v>
      </c>
      <c r="L566" s="206" t="s">
        <v>454</v>
      </c>
      <c r="M566" s="206" t="s">
        <v>782</v>
      </c>
      <c r="N566" s="206" t="s">
        <v>776</v>
      </c>
      <c r="O566" s="206" t="s">
        <v>776</v>
      </c>
    </row>
    <row r="567" spans="3:15" x14ac:dyDescent="0.25">
      <c r="C567" s="206" t="s">
        <v>1353</v>
      </c>
      <c r="D567" s="206">
        <v>80</v>
      </c>
      <c r="E567" s="206">
        <v>674.94331676422235</v>
      </c>
      <c r="F567" s="206">
        <v>562.93208777304994</v>
      </c>
      <c r="G567" s="206">
        <v>2.8504407</v>
      </c>
      <c r="H567" s="206" t="s">
        <v>771</v>
      </c>
      <c r="I567" s="206">
        <v>0.65</v>
      </c>
      <c r="J567" s="206"/>
      <c r="K567" s="206">
        <v>3</v>
      </c>
      <c r="L567" s="206" t="s">
        <v>454</v>
      </c>
      <c r="M567" s="206" t="s">
        <v>772</v>
      </c>
      <c r="N567" s="206" t="s">
        <v>773</v>
      </c>
      <c r="O567" s="206" t="s">
        <v>774</v>
      </c>
    </row>
    <row r="568" spans="3:15" x14ac:dyDescent="0.25">
      <c r="C568" s="206" t="s">
        <v>1354</v>
      </c>
      <c r="D568" s="206">
        <v>80</v>
      </c>
      <c r="E568" s="206">
        <v>222.07898457894893</v>
      </c>
      <c r="F568" s="206">
        <v>617.18597412109398</v>
      </c>
      <c r="G568" s="206">
        <v>0.92531759999999996</v>
      </c>
      <c r="H568" s="206" t="s">
        <v>771</v>
      </c>
      <c r="I568" s="206">
        <v>0.7294998052048729</v>
      </c>
      <c r="J568" s="206"/>
      <c r="K568" s="206">
        <v>3</v>
      </c>
      <c r="L568" s="206" t="s">
        <v>454</v>
      </c>
      <c r="M568" s="206" t="s">
        <v>772</v>
      </c>
      <c r="N568" s="206" t="s">
        <v>773</v>
      </c>
      <c r="O568" s="206" t="s">
        <v>774</v>
      </c>
    </row>
    <row r="569" spans="3:15" x14ac:dyDescent="0.25">
      <c r="C569" s="206" t="s">
        <v>1355</v>
      </c>
      <c r="D569" s="206">
        <v>65</v>
      </c>
      <c r="E569" s="206">
        <v>2187.2374077269083</v>
      </c>
      <c r="F569" s="206">
        <v>319.08547260653</v>
      </c>
      <c r="G569" s="206">
        <v>10.237417000000001</v>
      </c>
      <c r="H569" s="206" t="s">
        <v>771</v>
      </c>
      <c r="I569" s="206">
        <v>0.65</v>
      </c>
      <c r="J569" s="206"/>
      <c r="K569" s="206">
        <v>3</v>
      </c>
      <c r="L569" s="206" t="s">
        <v>454</v>
      </c>
      <c r="M569" s="206" t="s">
        <v>772</v>
      </c>
      <c r="N569" s="206" t="s">
        <v>773</v>
      </c>
      <c r="O569" s="206" t="s">
        <v>774</v>
      </c>
    </row>
    <row r="570" spans="3:15" x14ac:dyDescent="0.25">
      <c r="C570" s="206" t="s">
        <v>1356</v>
      </c>
      <c r="D570" s="206">
        <v>80</v>
      </c>
      <c r="E570" s="206">
        <v>996.78603066604205</v>
      </c>
      <c r="F570" s="206">
        <v>617.18597412109398</v>
      </c>
      <c r="G570" s="206">
        <v>4.1532235000000002</v>
      </c>
      <c r="H570" s="206" t="s">
        <v>771</v>
      </c>
      <c r="I570" s="206">
        <v>0.7294998052048729</v>
      </c>
      <c r="J570" s="206"/>
      <c r="K570" s="206">
        <v>3</v>
      </c>
      <c r="L570" s="206" t="s">
        <v>454</v>
      </c>
      <c r="M570" s="206" t="s">
        <v>791</v>
      </c>
      <c r="N570" s="206" t="s">
        <v>773</v>
      </c>
      <c r="O570" s="206" t="s">
        <v>800</v>
      </c>
    </row>
    <row r="571" spans="3:15" x14ac:dyDescent="0.25">
      <c r="C571" s="206" t="s">
        <v>1357</v>
      </c>
      <c r="D571" s="206">
        <v>20</v>
      </c>
      <c r="E571" s="206">
        <v>544.45548960170743</v>
      </c>
      <c r="F571" s="206">
        <v>2.91598506120499</v>
      </c>
      <c r="G571" s="206">
        <v>3.6659769999999998</v>
      </c>
      <c r="H571" s="206" t="s">
        <v>771</v>
      </c>
      <c r="I571" s="206">
        <v>1</v>
      </c>
      <c r="J571" s="206"/>
      <c r="K571" s="206">
        <v>3</v>
      </c>
      <c r="L571" s="206" t="s">
        <v>454</v>
      </c>
      <c r="M571" s="206" t="s">
        <v>772</v>
      </c>
      <c r="N571" s="206" t="s">
        <v>773</v>
      </c>
      <c r="O571" s="206" t="s">
        <v>774</v>
      </c>
    </row>
    <row r="572" spans="3:15" x14ac:dyDescent="0.25">
      <c r="C572" s="206" t="s">
        <v>1358</v>
      </c>
      <c r="D572" s="206">
        <v>25</v>
      </c>
      <c r="E572" s="206">
        <v>693.50986988525869</v>
      </c>
      <c r="F572" s="206">
        <v>25.546085357666001</v>
      </c>
      <c r="G572" s="206">
        <v>5.8600199999999996</v>
      </c>
      <c r="H572" s="206" t="s">
        <v>771</v>
      </c>
      <c r="I572" s="206">
        <v>0.81000000000011196</v>
      </c>
      <c r="J572" s="206"/>
      <c r="K572" s="206">
        <v>3</v>
      </c>
      <c r="L572" s="206" t="s">
        <v>454</v>
      </c>
      <c r="M572" s="206" t="s">
        <v>772</v>
      </c>
      <c r="N572" s="206" t="s">
        <v>773</v>
      </c>
      <c r="O572" s="206" t="s">
        <v>774</v>
      </c>
    </row>
    <row r="573" spans="3:15" x14ac:dyDescent="0.25">
      <c r="C573" s="206" t="s">
        <v>1359</v>
      </c>
      <c r="D573" s="206">
        <v>20</v>
      </c>
      <c r="E573" s="206">
        <v>1159.1918169122866</v>
      </c>
      <c r="F573" s="206">
        <v>2.91598506120499</v>
      </c>
      <c r="G573" s="206">
        <v>7.8051753000000001</v>
      </c>
      <c r="H573" s="206" t="s">
        <v>771</v>
      </c>
      <c r="I573" s="206">
        <v>1</v>
      </c>
      <c r="J573" s="206"/>
      <c r="K573" s="206">
        <v>3</v>
      </c>
      <c r="L573" s="206" t="s">
        <v>454</v>
      </c>
      <c r="M573" s="206" t="s">
        <v>772</v>
      </c>
      <c r="N573" s="206" t="s">
        <v>773</v>
      </c>
      <c r="O573" s="206" t="s">
        <v>774</v>
      </c>
    </row>
    <row r="574" spans="3:15" x14ac:dyDescent="0.25">
      <c r="C574" s="206" t="s">
        <v>1360</v>
      </c>
      <c r="D574" s="206">
        <v>65</v>
      </c>
      <c r="E574" s="206">
        <v>897.11132216381441</v>
      </c>
      <c r="F574" s="206">
        <v>319.08547260653</v>
      </c>
      <c r="G574" s="206">
        <v>4.1989510000000001</v>
      </c>
      <c r="H574" s="206" t="s">
        <v>771</v>
      </c>
      <c r="I574" s="206">
        <v>0.65</v>
      </c>
      <c r="J574" s="206"/>
      <c r="K574" s="206">
        <v>3</v>
      </c>
      <c r="L574" s="206" t="s">
        <v>454</v>
      </c>
      <c r="M574" s="206" t="s">
        <v>413</v>
      </c>
      <c r="N574" s="206" t="s">
        <v>773</v>
      </c>
      <c r="O574" s="206" t="s">
        <v>774</v>
      </c>
    </row>
    <row r="575" spans="3:15" x14ac:dyDescent="0.25">
      <c r="C575" s="206" t="s">
        <v>1361</v>
      </c>
      <c r="D575" s="206">
        <v>80</v>
      </c>
      <c r="E575" s="206">
        <v>5666.6410250434446</v>
      </c>
      <c r="F575" s="206">
        <v>520.43126301543498</v>
      </c>
      <c r="G575" s="206">
        <v>24.189</v>
      </c>
      <c r="H575" s="206" t="s">
        <v>771</v>
      </c>
      <c r="I575" s="206">
        <v>0.64</v>
      </c>
      <c r="J575" s="206"/>
      <c r="K575" s="206">
        <v>3</v>
      </c>
      <c r="L575" s="206" t="s">
        <v>454</v>
      </c>
      <c r="M575" s="206" t="s">
        <v>772</v>
      </c>
      <c r="N575" s="206" t="s">
        <v>773</v>
      </c>
      <c r="O575" s="206" t="s">
        <v>774</v>
      </c>
    </row>
    <row r="576" spans="3:15" x14ac:dyDescent="0.25">
      <c r="C576" s="206" t="s">
        <v>1362</v>
      </c>
      <c r="D576" s="206">
        <v>40</v>
      </c>
      <c r="E576" s="206">
        <v>111.03229381454945</v>
      </c>
      <c r="F576" s="206">
        <v>100.29582977294901</v>
      </c>
      <c r="G576" s="206">
        <v>0.65610970000000002</v>
      </c>
      <c r="H576" s="206" t="s">
        <v>771</v>
      </c>
      <c r="I576" s="206">
        <v>1</v>
      </c>
      <c r="J576" s="206"/>
      <c r="K576" s="206">
        <v>3</v>
      </c>
      <c r="L576" s="206" t="s">
        <v>454</v>
      </c>
      <c r="M576" s="206" t="s">
        <v>791</v>
      </c>
      <c r="N576" s="206" t="s">
        <v>773</v>
      </c>
      <c r="O576" s="206" t="s">
        <v>792</v>
      </c>
    </row>
    <row r="577" spans="3:15" x14ac:dyDescent="0.25">
      <c r="C577" s="206" t="s">
        <v>1363</v>
      </c>
      <c r="D577" s="206">
        <v>250</v>
      </c>
      <c r="E577" s="206">
        <v>5929.9152055417399</v>
      </c>
      <c r="F577" s="206">
        <v>9286.45086270516</v>
      </c>
      <c r="G577" s="206">
        <v>17.030262</v>
      </c>
      <c r="H577" s="206" t="s">
        <v>771</v>
      </c>
      <c r="I577" s="206">
        <v>1</v>
      </c>
      <c r="J577" s="206"/>
      <c r="K577" s="206">
        <v>3</v>
      </c>
      <c r="L577" s="206" t="s">
        <v>454</v>
      </c>
      <c r="M577" s="206" t="s">
        <v>413</v>
      </c>
      <c r="N577" s="206" t="s">
        <v>773</v>
      </c>
      <c r="O577" s="206" t="s">
        <v>788</v>
      </c>
    </row>
    <row r="578" spans="3:15" x14ac:dyDescent="0.25">
      <c r="C578" s="206" t="s">
        <v>1364</v>
      </c>
      <c r="D578" s="206">
        <v>50</v>
      </c>
      <c r="E578" s="206">
        <v>1030.2437826747444</v>
      </c>
      <c r="F578" s="206">
        <v>148.388475348707</v>
      </c>
      <c r="G578" s="206">
        <v>5.5514729999999997</v>
      </c>
      <c r="H578" s="206" t="s">
        <v>771</v>
      </c>
      <c r="I578" s="206">
        <v>0.65</v>
      </c>
      <c r="J578" s="206"/>
      <c r="K578" s="206">
        <v>3</v>
      </c>
      <c r="L578" s="206" t="s">
        <v>454</v>
      </c>
      <c r="M578" s="206" t="s">
        <v>772</v>
      </c>
      <c r="N578" s="206" t="s">
        <v>773</v>
      </c>
      <c r="O578" s="206" t="s">
        <v>774</v>
      </c>
    </row>
    <row r="579" spans="3:15" x14ac:dyDescent="0.25">
      <c r="C579" s="206" t="s">
        <v>1365</v>
      </c>
      <c r="D579" s="206">
        <v>32</v>
      </c>
      <c r="E579" s="206">
        <v>2462.6916100593235</v>
      </c>
      <c r="F579" s="206">
        <v>55.308235168457003</v>
      </c>
      <c r="G579" s="206">
        <v>16.854085999999999</v>
      </c>
      <c r="H579" s="206" t="s">
        <v>771</v>
      </c>
      <c r="I579" s="206">
        <v>1</v>
      </c>
      <c r="J579" s="206" t="s">
        <v>795</v>
      </c>
      <c r="K579" s="206"/>
      <c r="L579" s="206"/>
      <c r="M579" s="206"/>
      <c r="N579" s="206"/>
      <c r="O579" s="206"/>
    </row>
    <row r="580" spans="3:15" x14ac:dyDescent="0.25">
      <c r="C580" s="206" t="s">
        <v>1366</v>
      </c>
      <c r="D580" s="206">
        <v>80</v>
      </c>
      <c r="E580" s="206">
        <v>1281.5183901276057</v>
      </c>
      <c r="F580" s="206">
        <v>562.93208777304994</v>
      </c>
      <c r="G580" s="206">
        <v>5.4121465999999998</v>
      </c>
      <c r="H580" s="206" t="s">
        <v>771</v>
      </c>
      <c r="I580" s="206">
        <v>0.65</v>
      </c>
      <c r="J580" s="206"/>
      <c r="K580" s="206">
        <v>3</v>
      </c>
      <c r="L580" s="206" t="s">
        <v>454</v>
      </c>
      <c r="M580" s="206" t="s">
        <v>772</v>
      </c>
      <c r="N580" s="206" t="s">
        <v>773</v>
      </c>
      <c r="O580" s="206" t="s">
        <v>774</v>
      </c>
    </row>
    <row r="581" spans="3:15" x14ac:dyDescent="0.25">
      <c r="C581" s="206" t="s">
        <v>1367</v>
      </c>
      <c r="D581" s="206">
        <v>80</v>
      </c>
      <c r="E581" s="206">
        <v>1419.2588005241191</v>
      </c>
      <c r="F581" s="206">
        <v>562.93208777304994</v>
      </c>
      <c r="G581" s="206">
        <v>5.9938560000000001</v>
      </c>
      <c r="H581" s="206" t="s">
        <v>771</v>
      </c>
      <c r="I581" s="206">
        <v>0.65</v>
      </c>
      <c r="J581" s="206"/>
      <c r="K581" s="206">
        <v>3</v>
      </c>
      <c r="L581" s="206" t="s">
        <v>454</v>
      </c>
      <c r="M581" s="206" t="s">
        <v>772</v>
      </c>
      <c r="N581" s="206" t="s">
        <v>773</v>
      </c>
      <c r="O581" s="206" t="s">
        <v>774</v>
      </c>
    </row>
    <row r="582" spans="3:15" x14ac:dyDescent="0.25">
      <c r="C582" s="206" t="s">
        <v>1368</v>
      </c>
      <c r="D582" s="206">
        <v>250</v>
      </c>
      <c r="E582" s="206">
        <v>6128.1501390916847</v>
      </c>
      <c r="F582" s="206">
        <v>8774.0685194129201</v>
      </c>
      <c r="G582" s="206">
        <v>17.695340999999999</v>
      </c>
      <c r="H582" s="206" t="s">
        <v>771</v>
      </c>
      <c r="I582" s="206">
        <v>1</v>
      </c>
      <c r="J582" s="206"/>
      <c r="K582" s="206">
        <v>3</v>
      </c>
      <c r="L582" s="206" t="s">
        <v>454</v>
      </c>
      <c r="M582" s="206" t="s">
        <v>772</v>
      </c>
      <c r="N582" s="206" t="s">
        <v>773</v>
      </c>
      <c r="O582" s="206" t="s">
        <v>788</v>
      </c>
    </row>
    <row r="583" spans="3:15" x14ac:dyDescent="0.25">
      <c r="C583" s="206" t="s">
        <v>1369</v>
      </c>
      <c r="D583" s="206">
        <v>65</v>
      </c>
      <c r="E583" s="206">
        <v>661.78461100348545</v>
      </c>
      <c r="F583" s="206">
        <v>319.08547260653</v>
      </c>
      <c r="G583" s="206">
        <v>3.0974987</v>
      </c>
      <c r="H583" s="206" t="s">
        <v>771</v>
      </c>
      <c r="I583" s="206">
        <v>0.65</v>
      </c>
      <c r="J583" s="206"/>
      <c r="K583" s="206">
        <v>3</v>
      </c>
      <c r="L583" s="206" t="s">
        <v>454</v>
      </c>
      <c r="M583" s="206" t="s">
        <v>772</v>
      </c>
      <c r="N583" s="206" t="s">
        <v>773</v>
      </c>
      <c r="O583" s="206" t="s">
        <v>774</v>
      </c>
    </row>
    <row r="584" spans="3:15" x14ac:dyDescent="0.25">
      <c r="C584" s="206" t="s">
        <v>1370</v>
      </c>
      <c r="D584" s="206">
        <v>400</v>
      </c>
      <c r="E584" s="206">
        <v>298.99215850134192</v>
      </c>
      <c r="F584" s="206">
        <v>27339.509060267901</v>
      </c>
      <c r="G584" s="206">
        <v>0.76482499999999998</v>
      </c>
      <c r="H584" s="206" t="s">
        <v>771</v>
      </c>
      <c r="I584" s="206">
        <v>0.62</v>
      </c>
      <c r="J584" s="206"/>
      <c r="K584" s="206">
        <v>3</v>
      </c>
      <c r="L584" s="206" t="s">
        <v>454</v>
      </c>
      <c r="M584" s="206" t="s">
        <v>782</v>
      </c>
      <c r="N584" s="206" t="s">
        <v>776</v>
      </c>
      <c r="O584" s="206" t="s">
        <v>776</v>
      </c>
    </row>
    <row r="585" spans="3:15" x14ac:dyDescent="0.25">
      <c r="C585" s="206" t="s">
        <v>1371</v>
      </c>
      <c r="D585" s="206">
        <v>300</v>
      </c>
      <c r="E585" s="206">
        <v>6747.362423057114</v>
      </c>
      <c r="F585" s="206">
        <v>14313.356977737199</v>
      </c>
      <c r="G585" s="206">
        <v>18.401432</v>
      </c>
      <c r="H585" s="206" t="s">
        <v>771</v>
      </c>
      <c r="I585" s="206">
        <v>0.63217717375457105</v>
      </c>
      <c r="J585" s="206"/>
      <c r="K585" s="206">
        <v>3</v>
      </c>
      <c r="L585" s="206" t="s">
        <v>454</v>
      </c>
      <c r="M585" s="206" t="s">
        <v>772</v>
      </c>
      <c r="N585" s="206" t="s">
        <v>773</v>
      </c>
      <c r="O585" s="206" t="s">
        <v>774</v>
      </c>
    </row>
    <row r="586" spans="3:15" x14ac:dyDescent="0.25">
      <c r="C586" s="206" t="s">
        <v>1372</v>
      </c>
      <c r="D586" s="206">
        <v>200</v>
      </c>
      <c r="E586" s="206">
        <v>1532.0909104418836</v>
      </c>
      <c r="F586" s="206">
        <v>5175.2299023437699</v>
      </c>
      <c r="G586" s="206">
        <v>4.7343029999999997</v>
      </c>
      <c r="H586" s="206" t="s">
        <v>771</v>
      </c>
      <c r="I586" s="206">
        <v>0.64</v>
      </c>
      <c r="J586" s="206"/>
      <c r="K586" s="206">
        <v>3</v>
      </c>
      <c r="L586" s="206" t="s">
        <v>454</v>
      </c>
      <c r="M586" s="206" t="s">
        <v>791</v>
      </c>
      <c r="N586" s="206" t="s">
        <v>934</v>
      </c>
      <c r="O586" s="206" t="s">
        <v>800</v>
      </c>
    </row>
    <row r="587" spans="3:15" x14ac:dyDescent="0.25">
      <c r="C587" s="206" t="s">
        <v>1373</v>
      </c>
      <c r="D587" s="206">
        <v>65</v>
      </c>
      <c r="E587" s="206">
        <v>2457.8839770760624</v>
      </c>
      <c r="F587" s="206">
        <v>374.62326049804699</v>
      </c>
      <c r="G587" s="206">
        <v>11.196733999999999</v>
      </c>
      <c r="H587" s="206" t="s">
        <v>771</v>
      </c>
      <c r="I587" s="206">
        <v>0.70000000000000029</v>
      </c>
      <c r="J587" s="206"/>
      <c r="K587" s="206">
        <v>3</v>
      </c>
      <c r="L587" s="206" t="s">
        <v>454</v>
      </c>
      <c r="M587" s="206" t="s">
        <v>791</v>
      </c>
      <c r="N587" s="206" t="s">
        <v>932</v>
      </c>
      <c r="O587" s="206" t="s">
        <v>800</v>
      </c>
    </row>
    <row r="588" spans="3:15" x14ac:dyDescent="0.25">
      <c r="C588" s="206" t="s">
        <v>1374</v>
      </c>
      <c r="D588" s="206">
        <v>200</v>
      </c>
      <c r="E588" s="206">
        <v>2042.9820963812356</v>
      </c>
      <c r="F588" s="206">
        <v>5825.9935531513001</v>
      </c>
      <c r="G588" s="206">
        <v>6.2275895999999999</v>
      </c>
      <c r="H588" s="206" t="s">
        <v>771</v>
      </c>
      <c r="I588" s="206">
        <v>1</v>
      </c>
      <c r="J588" s="206"/>
      <c r="K588" s="206">
        <v>3</v>
      </c>
      <c r="L588" s="206" t="s">
        <v>454</v>
      </c>
      <c r="M588" s="206" t="s">
        <v>791</v>
      </c>
      <c r="N588" s="206" t="s">
        <v>773</v>
      </c>
      <c r="O588" s="206" t="s">
        <v>800</v>
      </c>
    </row>
    <row r="589" spans="3:15" x14ac:dyDescent="0.25">
      <c r="C589" s="206" t="s">
        <v>1375</v>
      </c>
      <c r="D589" s="206">
        <v>80</v>
      </c>
      <c r="E589" s="206">
        <v>1476.2967992810734</v>
      </c>
      <c r="F589" s="206">
        <v>617.18597412109398</v>
      </c>
      <c r="G589" s="206">
        <v>6.1511601999999996</v>
      </c>
      <c r="H589" s="206" t="s">
        <v>771</v>
      </c>
      <c r="I589" s="206">
        <v>0.7294998052048729</v>
      </c>
      <c r="J589" s="206"/>
      <c r="K589" s="206">
        <v>3</v>
      </c>
      <c r="L589" s="206" t="s">
        <v>454</v>
      </c>
      <c r="M589" s="206" t="s">
        <v>772</v>
      </c>
      <c r="N589" s="206" t="s">
        <v>773</v>
      </c>
      <c r="O589" s="206" t="s">
        <v>774</v>
      </c>
    </row>
    <row r="590" spans="3:15" x14ac:dyDescent="0.25">
      <c r="C590" s="206" t="s">
        <v>1376</v>
      </c>
      <c r="D590" s="206">
        <v>65</v>
      </c>
      <c r="E590" s="206">
        <v>306.73406350236866</v>
      </c>
      <c r="F590" s="206">
        <v>491.91031249461201</v>
      </c>
      <c r="G590" s="206">
        <v>1.3226576999999999</v>
      </c>
      <c r="H590" s="206" t="s">
        <v>771</v>
      </c>
      <c r="I590" s="206">
        <v>0.64</v>
      </c>
      <c r="J590" s="206"/>
      <c r="K590" s="206">
        <v>3</v>
      </c>
      <c r="L590" s="206" t="s">
        <v>454</v>
      </c>
      <c r="M590" s="206" t="s">
        <v>772</v>
      </c>
      <c r="N590" s="206" t="s">
        <v>773</v>
      </c>
      <c r="O590" s="206" t="s">
        <v>774</v>
      </c>
    </row>
    <row r="591" spans="3:15" x14ac:dyDescent="0.25">
      <c r="C591" s="206" t="s">
        <v>1377</v>
      </c>
      <c r="D591" s="206">
        <v>65</v>
      </c>
      <c r="E591" s="206">
        <v>306.44795938477051</v>
      </c>
      <c r="F591" s="206">
        <v>491.91031249461201</v>
      </c>
      <c r="G591" s="206">
        <v>1.3214239999999999</v>
      </c>
      <c r="H591" s="206" t="s">
        <v>771</v>
      </c>
      <c r="I591" s="206">
        <v>0.64</v>
      </c>
      <c r="J591" s="206"/>
      <c r="K591" s="206">
        <v>3</v>
      </c>
      <c r="L591" s="206" t="s">
        <v>454</v>
      </c>
      <c r="M591" s="206" t="s">
        <v>772</v>
      </c>
      <c r="N591" s="206" t="s">
        <v>773</v>
      </c>
      <c r="O591" s="206" t="s">
        <v>774</v>
      </c>
    </row>
    <row r="592" spans="3:15" x14ac:dyDescent="0.25">
      <c r="C592" s="206" t="s">
        <v>1378</v>
      </c>
      <c r="D592" s="206">
        <v>80</v>
      </c>
      <c r="E592" s="206">
        <v>1109.5635257950728</v>
      </c>
      <c r="F592" s="206">
        <v>562.93208777304994</v>
      </c>
      <c r="G592" s="206">
        <v>4.6859416999999999</v>
      </c>
      <c r="H592" s="206" t="s">
        <v>771</v>
      </c>
      <c r="I592" s="206">
        <v>0.65</v>
      </c>
      <c r="J592" s="206"/>
      <c r="K592" s="206">
        <v>3</v>
      </c>
      <c r="L592" s="206" t="s">
        <v>454</v>
      </c>
      <c r="M592" s="206" t="s">
        <v>772</v>
      </c>
      <c r="N592" s="206" t="s">
        <v>773</v>
      </c>
      <c r="O592" s="206" t="s">
        <v>774</v>
      </c>
    </row>
    <row r="593" spans="3:15" x14ac:dyDescent="0.25">
      <c r="C593" s="206" t="s">
        <v>1379</v>
      </c>
      <c r="D593" s="206">
        <v>50</v>
      </c>
      <c r="E593" s="206">
        <v>1072.0498738660085</v>
      </c>
      <c r="F593" s="206">
        <v>148.388475348707</v>
      </c>
      <c r="G593" s="206">
        <v>5.7767453</v>
      </c>
      <c r="H593" s="206" t="s">
        <v>771</v>
      </c>
      <c r="I593" s="206">
        <v>0.65</v>
      </c>
      <c r="J593" s="206"/>
      <c r="K593" s="206">
        <v>3</v>
      </c>
      <c r="L593" s="206" t="s">
        <v>454</v>
      </c>
      <c r="M593" s="206" t="s">
        <v>772</v>
      </c>
      <c r="N593" s="206" t="s">
        <v>773</v>
      </c>
      <c r="O593" s="206" t="s">
        <v>774</v>
      </c>
    </row>
    <row r="594" spans="3:15" x14ac:dyDescent="0.25">
      <c r="C594" s="206" t="s">
        <v>1380</v>
      </c>
      <c r="D594" s="206">
        <v>80</v>
      </c>
      <c r="E594" s="206">
        <v>1152.2669473898723</v>
      </c>
      <c r="F594" s="206">
        <v>617.18597412109398</v>
      </c>
      <c r="G594" s="206">
        <v>4.8010526000000002</v>
      </c>
      <c r="H594" s="206" t="s">
        <v>771</v>
      </c>
      <c r="I594" s="206">
        <v>0.7294998052048729</v>
      </c>
      <c r="J594" s="206"/>
      <c r="K594" s="206">
        <v>3</v>
      </c>
      <c r="L594" s="206" t="s">
        <v>454</v>
      </c>
      <c r="M594" s="206" t="s">
        <v>772</v>
      </c>
      <c r="N594" s="206" t="s">
        <v>773</v>
      </c>
      <c r="O594" s="206" t="s">
        <v>774</v>
      </c>
    </row>
    <row r="595" spans="3:15" x14ac:dyDescent="0.25">
      <c r="C595" s="206" t="s">
        <v>1381</v>
      </c>
      <c r="D595" s="206">
        <v>125</v>
      </c>
      <c r="E595" s="206">
        <v>1352.5788922806926</v>
      </c>
      <c r="F595" s="206">
        <v>1523.083984375</v>
      </c>
      <c r="G595" s="206">
        <v>4.8882437000000003</v>
      </c>
      <c r="H595" s="206" t="s">
        <v>771</v>
      </c>
      <c r="I595" s="206">
        <v>0.80547730167345055</v>
      </c>
      <c r="J595" s="206"/>
      <c r="K595" s="206">
        <v>3</v>
      </c>
      <c r="L595" s="206" t="s">
        <v>454</v>
      </c>
      <c r="M595" s="206" t="s">
        <v>413</v>
      </c>
      <c r="N595" s="206" t="s">
        <v>773</v>
      </c>
      <c r="O595" s="206" t="s">
        <v>774</v>
      </c>
    </row>
    <row r="596" spans="3:15" x14ac:dyDescent="0.25">
      <c r="C596" s="206" t="s">
        <v>1382</v>
      </c>
      <c r="D596" s="206">
        <v>65</v>
      </c>
      <c r="E596" s="206">
        <v>1788.8291924739219</v>
      </c>
      <c r="F596" s="206">
        <v>366.340331913667</v>
      </c>
      <c r="G596" s="206">
        <v>8.3514169999999996</v>
      </c>
      <c r="H596" s="206" t="s">
        <v>771</v>
      </c>
      <c r="I596" s="206">
        <v>0.74826912236183685</v>
      </c>
      <c r="J596" s="206"/>
      <c r="K596" s="206">
        <v>3</v>
      </c>
      <c r="L596" s="206" t="s">
        <v>454</v>
      </c>
      <c r="M596" s="206" t="s">
        <v>772</v>
      </c>
      <c r="N596" s="206" t="s">
        <v>773</v>
      </c>
      <c r="O596" s="206" t="s">
        <v>774</v>
      </c>
    </row>
    <row r="597" spans="3:15" x14ac:dyDescent="0.25">
      <c r="C597" s="206" t="s">
        <v>1383</v>
      </c>
      <c r="D597" s="206">
        <v>65</v>
      </c>
      <c r="E597" s="206">
        <v>4616.805980124278</v>
      </c>
      <c r="F597" s="206">
        <v>454.25784301757801</v>
      </c>
      <c r="G597" s="206">
        <v>20.255367</v>
      </c>
      <c r="H597" s="206" t="s">
        <v>771</v>
      </c>
      <c r="I597" s="206">
        <v>1</v>
      </c>
      <c r="J597" s="206"/>
      <c r="K597" s="206">
        <v>3</v>
      </c>
      <c r="L597" s="206" t="s">
        <v>454</v>
      </c>
      <c r="M597" s="206" t="s">
        <v>782</v>
      </c>
      <c r="N597" s="206" t="s">
        <v>776</v>
      </c>
      <c r="O597" s="206" t="s">
        <v>776</v>
      </c>
    </row>
    <row r="598" spans="3:15" x14ac:dyDescent="0.25">
      <c r="C598" s="206" t="s">
        <v>1384</v>
      </c>
      <c r="D598" s="206">
        <v>25</v>
      </c>
      <c r="E598" s="206">
        <v>348.26559783919146</v>
      </c>
      <c r="F598" s="206">
        <v>25.546085357666001</v>
      </c>
      <c r="G598" s="206">
        <v>2.9427748</v>
      </c>
      <c r="H598" s="206" t="s">
        <v>771</v>
      </c>
      <c r="I598" s="206">
        <v>0.81000000000011196</v>
      </c>
      <c r="J598" s="206"/>
      <c r="K598" s="206">
        <v>3</v>
      </c>
      <c r="L598" s="206" t="s">
        <v>454</v>
      </c>
      <c r="M598" s="206" t="s">
        <v>772</v>
      </c>
      <c r="N598" s="206" t="s">
        <v>773</v>
      </c>
      <c r="O598" s="206" t="s">
        <v>774</v>
      </c>
    </row>
    <row r="599" spans="3:15" x14ac:dyDescent="0.25">
      <c r="C599" s="206" t="s">
        <v>1385</v>
      </c>
      <c r="D599" s="206">
        <v>125</v>
      </c>
      <c r="E599" s="206">
        <v>656.75181820227863</v>
      </c>
      <c r="F599" s="206">
        <v>1598.07043457031</v>
      </c>
      <c r="G599" s="206">
        <v>2.3606783999999998</v>
      </c>
      <c r="H599" s="206" t="s">
        <v>771</v>
      </c>
      <c r="I599" s="206">
        <v>0.81000000000000183</v>
      </c>
      <c r="J599" s="206"/>
      <c r="K599" s="206">
        <v>3</v>
      </c>
      <c r="L599" s="206" t="s">
        <v>454</v>
      </c>
      <c r="M599" s="206" t="s">
        <v>782</v>
      </c>
      <c r="N599" s="206" t="s">
        <v>776</v>
      </c>
      <c r="O599" s="206" t="s">
        <v>776</v>
      </c>
    </row>
    <row r="600" spans="3:15" x14ac:dyDescent="0.25">
      <c r="C600" s="206" t="s">
        <v>1386</v>
      </c>
      <c r="D600" s="206">
        <v>32</v>
      </c>
      <c r="E600" s="206">
        <v>4064.8546196082125</v>
      </c>
      <c r="F600" s="206">
        <v>49.635706729895901</v>
      </c>
      <c r="G600" s="206">
        <v>28.501681999999999</v>
      </c>
      <c r="H600" s="206" t="s">
        <v>771</v>
      </c>
      <c r="I600" s="206">
        <v>0.81</v>
      </c>
      <c r="J600" s="206" t="s">
        <v>795</v>
      </c>
      <c r="K600" s="206"/>
      <c r="L600" s="206"/>
      <c r="M600" s="206"/>
      <c r="N600" s="206"/>
      <c r="O600" s="206"/>
    </row>
    <row r="601" spans="3:15" x14ac:dyDescent="0.25">
      <c r="C601" s="206" t="s">
        <v>1387</v>
      </c>
      <c r="D601" s="206">
        <v>40</v>
      </c>
      <c r="E601" s="206">
        <v>801.55560152305566</v>
      </c>
      <c r="F601" s="206">
        <v>116.80722045898401</v>
      </c>
      <c r="G601" s="206">
        <v>4.5839179999999997</v>
      </c>
      <c r="H601" s="206" t="s">
        <v>771</v>
      </c>
      <c r="I601" s="206">
        <v>0.72000000000000142</v>
      </c>
      <c r="J601" s="206"/>
      <c r="K601" s="206">
        <v>3</v>
      </c>
      <c r="L601" s="206" t="s">
        <v>454</v>
      </c>
      <c r="M601" s="206" t="s">
        <v>772</v>
      </c>
      <c r="N601" s="206" t="s">
        <v>773</v>
      </c>
      <c r="O601" s="206" t="s">
        <v>774</v>
      </c>
    </row>
    <row r="602" spans="3:15" x14ac:dyDescent="0.25">
      <c r="C602" s="206" t="s">
        <v>1388</v>
      </c>
      <c r="D602" s="206">
        <v>80</v>
      </c>
      <c r="E602" s="206">
        <v>631.41129683242082</v>
      </c>
      <c r="F602" s="206">
        <v>617.18597412109398</v>
      </c>
      <c r="G602" s="206">
        <v>2.6308476999999999</v>
      </c>
      <c r="H602" s="206" t="s">
        <v>771</v>
      </c>
      <c r="I602" s="206">
        <v>0.7294998052048729</v>
      </c>
      <c r="J602" s="206"/>
      <c r="K602" s="206">
        <v>3</v>
      </c>
      <c r="L602" s="206" t="s">
        <v>454</v>
      </c>
      <c r="M602" s="206" t="s">
        <v>791</v>
      </c>
      <c r="N602" s="206" t="s">
        <v>773</v>
      </c>
      <c r="O602" s="206" t="s">
        <v>800</v>
      </c>
    </row>
    <row r="603" spans="3:15" x14ac:dyDescent="0.25">
      <c r="C603" s="206" t="s">
        <v>1389</v>
      </c>
      <c r="D603" s="206">
        <v>150</v>
      </c>
      <c r="E603" s="206">
        <v>2794.7978134931514</v>
      </c>
      <c r="F603" s="206">
        <v>3530.03561769525</v>
      </c>
      <c r="G603" s="206">
        <v>9.0280629999999995</v>
      </c>
      <c r="H603" s="206" t="s">
        <v>771</v>
      </c>
      <c r="I603" s="206">
        <v>0.63</v>
      </c>
      <c r="J603" s="206"/>
      <c r="K603" s="206">
        <v>3</v>
      </c>
      <c r="L603" s="206" t="s">
        <v>454</v>
      </c>
      <c r="M603" s="206" t="s">
        <v>772</v>
      </c>
      <c r="N603" s="206" t="s">
        <v>773</v>
      </c>
      <c r="O603" s="206" t="s">
        <v>774</v>
      </c>
    </row>
    <row r="604" spans="3:15" x14ac:dyDescent="0.25">
      <c r="C604" s="206" t="s">
        <v>1390</v>
      </c>
      <c r="D604" s="206">
        <v>125</v>
      </c>
      <c r="E604" s="206">
        <v>1351.7751606851489</v>
      </c>
      <c r="F604" s="206">
        <v>1523.083984375</v>
      </c>
      <c r="G604" s="206">
        <v>4.8853390000000001</v>
      </c>
      <c r="H604" s="206" t="s">
        <v>771</v>
      </c>
      <c r="I604" s="206">
        <v>0.80547730167345055</v>
      </c>
      <c r="J604" s="206"/>
      <c r="K604" s="206">
        <v>3</v>
      </c>
      <c r="L604" s="206" t="s">
        <v>454</v>
      </c>
      <c r="M604" s="206" t="s">
        <v>413</v>
      </c>
      <c r="N604" s="206" t="s">
        <v>773</v>
      </c>
      <c r="O604" s="206" t="s">
        <v>774</v>
      </c>
    </row>
    <row r="605" spans="3:15" x14ac:dyDescent="0.25">
      <c r="C605" s="206" t="s">
        <v>1391</v>
      </c>
      <c r="D605" s="206">
        <v>200</v>
      </c>
      <c r="E605" s="206">
        <v>4791.6969304839849</v>
      </c>
      <c r="F605" s="206">
        <v>5825.9935531513001</v>
      </c>
      <c r="G605" s="206">
        <v>14.606453</v>
      </c>
      <c r="H605" s="206" t="s">
        <v>771</v>
      </c>
      <c r="I605" s="206">
        <v>1</v>
      </c>
      <c r="J605" s="206"/>
      <c r="K605" s="206">
        <v>3</v>
      </c>
      <c r="L605" s="206" t="s">
        <v>454</v>
      </c>
      <c r="M605" s="206" t="s">
        <v>791</v>
      </c>
      <c r="N605" s="206" t="s">
        <v>773</v>
      </c>
      <c r="O605" s="206" t="s">
        <v>800</v>
      </c>
    </row>
    <row r="606" spans="3:15" x14ac:dyDescent="0.25">
      <c r="C606" s="206" t="s">
        <v>1392</v>
      </c>
      <c r="D606" s="206">
        <v>125</v>
      </c>
      <c r="E606" s="206">
        <v>10665.898122733177</v>
      </c>
      <c r="F606" s="206">
        <v>1778.40284744429</v>
      </c>
      <c r="G606" s="206">
        <v>37.846172000000003</v>
      </c>
      <c r="H606" s="206" t="s">
        <v>771</v>
      </c>
      <c r="I606" s="206">
        <v>1</v>
      </c>
      <c r="J606" s="206"/>
      <c r="K606" s="206">
        <v>3</v>
      </c>
      <c r="L606" s="206" t="s">
        <v>454</v>
      </c>
      <c r="M606" s="206" t="s">
        <v>413</v>
      </c>
      <c r="N606" s="206" t="s">
        <v>776</v>
      </c>
      <c r="O606" s="206" t="s">
        <v>776</v>
      </c>
    </row>
    <row r="607" spans="3:15" x14ac:dyDescent="0.25">
      <c r="C607" s="206" t="s">
        <v>1393</v>
      </c>
      <c r="D607" s="206">
        <v>150</v>
      </c>
      <c r="E607" s="206">
        <v>1663.5784514864024</v>
      </c>
      <c r="F607" s="206">
        <v>3727.9958740168299</v>
      </c>
      <c r="G607" s="206">
        <v>5.3321120000000004</v>
      </c>
      <c r="H607" s="206" t="s">
        <v>771</v>
      </c>
      <c r="I607" s="206">
        <v>0.64</v>
      </c>
      <c r="J607" s="206"/>
      <c r="K607" s="206">
        <v>3</v>
      </c>
      <c r="L607" s="206" t="s">
        <v>454</v>
      </c>
      <c r="M607" s="206" t="s">
        <v>791</v>
      </c>
      <c r="N607" s="206" t="s">
        <v>773</v>
      </c>
      <c r="O607" s="206" t="s">
        <v>800</v>
      </c>
    </row>
    <row r="608" spans="3:15" x14ac:dyDescent="0.25">
      <c r="C608" s="206" t="s">
        <v>1394</v>
      </c>
      <c r="D608" s="206">
        <v>65</v>
      </c>
      <c r="E608" s="206">
        <v>1806.5335837447644</v>
      </c>
      <c r="F608" s="206">
        <v>309.752197265625</v>
      </c>
      <c r="G608" s="206">
        <v>8.4947230000000005</v>
      </c>
      <c r="H608" s="206" t="s">
        <v>771</v>
      </c>
      <c r="I608" s="206">
        <v>1</v>
      </c>
      <c r="J608" s="206" t="s">
        <v>795</v>
      </c>
      <c r="K608" s="206"/>
      <c r="L608" s="206"/>
      <c r="M608" s="206"/>
      <c r="N608" s="206"/>
      <c r="O608" s="206"/>
    </row>
    <row r="609" spans="3:15" x14ac:dyDescent="0.25">
      <c r="C609" s="206" t="s">
        <v>1395</v>
      </c>
      <c r="D609" s="206">
        <v>150</v>
      </c>
      <c r="E609" s="206">
        <v>1942.3194555604475</v>
      </c>
      <c r="F609" s="206">
        <v>3727.9958740168299</v>
      </c>
      <c r="G609" s="206">
        <v>6.2255343999999999</v>
      </c>
      <c r="H609" s="206" t="s">
        <v>771</v>
      </c>
      <c r="I609" s="206">
        <v>0.64</v>
      </c>
      <c r="J609" s="206"/>
      <c r="K609" s="206">
        <v>3</v>
      </c>
      <c r="L609" s="206" t="s">
        <v>454</v>
      </c>
      <c r="M609" s="206" t="s">
        <v>791</v>
      </c>
      <c r="N609" s="206" t="s">
        <v>773</v>
      </c>
      <c r="O609" s="206" t="s">
        <v>800</v>
      </c>
    </row>
    <row r="610" spans="3:15" x14ac:dyDescent="0.25">
      <c r="C610" s="206" t="s">
        <v>1396</v>
      </c>
      <c r="D610" s="206">
        <v>80</v>
      </c>
      <c r="E610" s="206">
        <v>516.05496688198798</v>
      </c>
      <c r="F610" s="206">
        <v>617.18597412109398</v>
      </c>
      <c r="G610" s="206">
        <v>2.1502023000000001</v>
      </c>
      <c r="H610" s="206" t="s">
        <v>771</v>
      </c>
      <c r="I610" s="206">
        <v>0.7294998052048729</v>
      </c>
      <c r="J610" s="206"/>
      <c r="K610" s="206">
        <v>3</v>
      </c>
      <c r="L610" s="206" t="s">
        <v>454</v>
      </c>
      <c r="M610" s="206" t="s">
        <v>413</v>
      </c>
      <c r="N610" s="206" t="s">
        <v>773</v>
      </c>
      <c r="O610" s="206" t="s">
        <v>774</v>
      </c>
    </row>
    <row r="611" spans="3:15" x14ac:dyDescent="0.25">
      <c r="C611" s="206" t="s">
        <v>1397</v>
      </c>
      <c r="D611" s="206">
        <v>150</v>
      </c>
      <c r="E611" s="206">
        <v>6197.460026445623</v>
      </c>
      <c r="F611" s="206">
        <v>3529.0715643295898</v>
      </c>
      <c r="G611" s="206">
        <v>20.020479999999999</v>
      </c>
      <c r="H611" s="206" t="s">
        <v>771</v>
      </c>
      <c r="I611" s="206">
        <v>0.63</v>
      </c>
      <c r="J611" s="206"/>
      <c r="K611" s="206">
        <v>3</v>
      </c>
      <c r="L611" s="206" t="s">
        <v>454</v>
      </c>
      <c r="M611" s="206" t="s">
        <v>782</v>
      </c>
      <c r="N611" s="206" t="s">
        <v>776</v>
      </c>
      <c r="O611" s="206" t="s">
        <v>776</v>
      </c>
    </row>
    <row r="612" spans="3:15" x14ac:dyDescent="0.25">
      <c r="C612" s="206" t="s">
        <v>1398</v>
      </c>
      <c r="D612" s="206">
        <v>150</v>
      </c>
      <c r="E612" s="206">
        <v>459.33705945596898</v>
      </c>
      <c r="F612" s="206">
        <v>3727.9958740168299</v>
      </c>
      <c r="G612" s="206">
        <v>1.47227</v>
      </c>
      <c r="H612" s="206" t="s">
        <v>771</v>
      </c>
      <c r="I612" s="206">
        <v>0.64</v>
      </c>
      <c r="J612" s="206"/>
      <c r="K612" s="206">
        <v>3</v>
      </c>
      <c r="L612" s="206" t="s">
        <v>454</v>
      </c>
      <c r="M612" s="206" t="s">
        <v>791</v>
      </c>
      <c r="N612" s="206" t="s">
        <v>773</v>
      </c>
      <c r="O612" s="206" t="s">
        <v>800</v>
      </c>
    </row>
    <row r="613" spans="3:15" x14ac:dyDescent="0.25">
      <c r="C613" s="206" t="s">
        <v>1399</v>
      </c>
      <c r="D613" s="206">
        <v>80</v>
      </c>
      <c r="E613" s="206">
        <v>489.07417275146986</v>
      </c>
      <c r="F613" s="206">
        <v>562.93208777304994</v>
      </c>
      <c r="G613" s="206">
        <v>2.0654726000000001</v>
      </c>
      <c r="H613" s="206" t="s">
        <v>771</v>
      </c>
      <c r="I613" s="206">
        <v>0.65</v>
      </c>
      <c r="J613" s="206"/>
      <c r="K613" s="206">
        <v>3</v>
      </c>
      <c r="L613" s="206" t="s">
        <v>454</v>
      </c>
      <c r="M613" s="206" t="s">
        <v>772</v>
      </c>
      <c r="N613" s="206" t="s">
        <v>773</v>
      </c>
      <c r="O613" s="206" t="s">
        <v>774</v>
      </c>
    </row>
    <row r="614" spans="3:15" x14ac:dyDescent="0.25">
      <c r="C614" s="206" t="s">
        <v>1400</v>
      </c>
      <c r="D614" s="206">
        <v>50</v>
      </c>
      <c r="E614" s="206">
        <v>930.3450584335219</v>
      </c>
      <c r="F614" s="206">
        <v>148.388475348707</v>
      </c>
      <c r="G614" s="206">
        <v>5.0131683000000002</v>
      </c>
      <c r="H614" s="206" t="s">
        <v>771</v>
      </c>
      <c r="I614" s="206">
        <v>0.65</v>
      </c>
      <c r="J614" s="206"/>
      <c r="K614" s="206">
        <v>3</v>
      </c>
      <c r="L614" s="206" t="s">
        <v>454</v>
      </c>
      <c r="M614" s="206" t="s">
        <v>772</v>
      </c>
      <c r="N614" s="206" t="s">
        <v>773</v>
      </c>
      <c r="O614" s="206" t="s">
        <v>774</v>
      </c>
    </row>
    <row r="615" spans="3:15" x14ac:dyDescent="0.25">
      <c r="C615" s="206" t="s">
        <v>1401</v>
      </c>
      <c r="D615" s="206">
        <v>50</v>
      </c>
      <c r="E615" s="206">
        <v>160.57970822432139</v>
      </c>
      <c r="F615" s="206">
        <v>148.388475348707</v>
      </c>
      <c r="G615" s="206">
        <v>0.86528444000000004</v>
      </c>
      <c r="H615" s="206" t="s">
        <v>771</v>
      </c>
      <c r="I615" s="206">
        <v>0.65</v>
      </c>
      <c r="J615" s="206"/>
      <c r="K615" s="206">
        <v>3</v>
      </c>
      <c r="L615" s="206" t="s">
        <v>454</v>
      </c>
      <c r="M615" s="206" t="s">
        <v>772</v>
      </c>
      <c r="N615" s="206" t="s">
        <v>773</v>
      </c>
      <c r="O615" s="206" t="s">
        <v>774</v>
      </c>
    </row>
    <row r="616" spans="3:15" x14ac:dyDescent="0.25">
      <c r="C616" s="206" t="s">
        <v>1402</v>
      </c>
      <c r="D616" s="206">
        <v>200</v>
      </c>
      <c r="E616" s="206">
        <v>2221.7499053089236</v>
      </c>
      <c r="F616" s="206">
        <v>5647.44771793778</v>
      </c>
      <c r="G616" s="206">
        <v>6.7945374999999997</v>
      </c>
      <c r="H616" s="206" t="s">
        <v>771</v>
      </c>
      <c r="I616" s="206">
        <v>1</v>
      </c>
      <c r="J616" s="206"/>
      <c r="K616" s="206">
        <v>3</v>
      </c>
      <c r="L616" s="206" t="s">
        <v>454</v>
      </c>
      <c r="M616" s="206" t="s">
        <v>413</v>
      </c>
      <c r="N616" s="206" t="s">
        <v>773</v>
      </c>
      <c r="O616" s="206" t="s">
        <v>774</v>
      </c>
    </row>
    <row r="617" spans="3:15" x14ac:dyDescent="0.25">
      <c r="C617" s="206" t="s">
        <v>1403</v>
      </c>
      <c r="D617" s="206">
        <v>200</v>
      </c>
      <c r="E617" s="206">
        <v>4609.2291112520006</v>
      </c>
      <c r="F617" s="206">
        <v>5647.44771793778</v>
      </c>
      <c r="G617" s="206">
        <v>14.095907</v>
      </c>
      <c r="H617" s="206" t="s">
        <v>771</v>
      </c>
      <c r="I617" s="206">
        <v>1</v>
      </c>
      <c r="J617" s="206"/>
      <c r="K617" s="206">
        <v>3</v>
      </c>
      <c r="L617" s="206" t="s">
        <v>454</v>
      </c>
      <c r="M617" s="206" t="s">
        <v>413</v>
      </c>
      <c r="N617" s="206" t="s">
        <v>773</v>
      </c>
      <c r="O617" s="206" t="s">
        <v>788</v>
      </c>
    </row>
    <row r="618" spans="3:15" x14ac:dyDescent="0.25">
      <c r="C618" s="206" t="s">
        <v>1404</v>
      </c>
      <c r="D618" s="206">
        <v>200</v>
      </c>
      <c r="E618" s="206">
        <v>1993.8080323777915</v>
      </c>
      <c r="F618" s="206">
        <v>7536.2844369506902</v>
      </c>
      <c r="G618" s="206">
        <v>5.8694633999999999</v>
      </c>
      <c r="H618" s="206" t="s">
        <v>771</v>
      </c>
      <c r="I618" s="206">
        <v>0.63</v>
      </c>
      <c r="J618" s="206"/>
      <c r="K618" s="206">
        <v>3</v>
      </c>
      <c r="L618" s="206" t="s">
        <v>454</v>
      </c>
      <c r="M618" s="206" t="s">
        <v>772</v>
      </c>
      <c r="N618" s="206" t="s">
        <v>773</v>
      </c>
      <c r="O618" s="206" t="s">
        <v>774</v>
      </c>
    </row>
    <row r="619" spans="3:15" x14ac:dyDescent="0.25">
      <c r="C619" s="206" t="s">
        <v>1405</v>
      </c>
      <c r="D619" s="206">
        <v>65</v>
      </c>
      <c r="E619" s="206">
        <v>1322.6328750256794</v>
      </c>
      <c r="F619" s="206">
        <v>491.91031249461201</v>
      </c>
      <c r="G619" s="206">
        <v>5.7032809999999996</v>
      </c>
      <c r="H619" s="206" t="s">
        <v>771</v>
      </c>
      <c r="I619" s="206">
        <v>0.64</v>
      </c>
      <c r="J619" s="206"/>
      <c r="K619" s="206">
        <v>3</v>
      </c>
      <c r="L619" s="206" t="s">
        <v>454</v>
      </c>
      <c r="M619" s="206" t="s">
        <v>772</v>
      </c>
      <c r="N619" s="206" t="s">
        <v>773</v>
      </c>
      <c r="O619" s="206" t="s">
        <v>774</v>
      </c>
    </row>
    <row r="620" spans="3:15" x14ac:dyDescent="0.25">
      <c r="C620" s="206" t="s">
        <v>1406</v>
      </c>
      <c r="D620" s="206">
        <v>20</v>
      </c>
      <c r="E620" s="206">
        <v>214.25894077787973</v>
      </c>
      <c r="F620" s="206">
        <v>2.91598506120499</v>
      </c>
      <c r="G620" s="206">
        <v>1.4426677000000001</v>
      </c>
      <c r="H620" s="206" t="s">
        <v>771</v>
      </c>
      <c r="I620" s="206">
        <v>1</v>
      </c>
      <c r="J620" s="206"/>
      <c r="K620" s="206">
        <v>3</v>
      </c>
      <c r="L620" s="206" t="s">
        <v>454</v>
      </c>
      <c r="M620" s="206" t="s">
        <v>772</v>
      </c>
      <c r="N620" s="206" t="s">
        <v>773</v>
      </c>
      <c r="O620" s="206" t="s">
        <v>774</v>
      </c>
    </row>
    <row r="621" spans="3:15" x14ac:dyDescent="0.25">
      <c r="C621" s="206" t="s">
        <v>1407</v>
      </c>
      <c r="D621" s="206">
        <v>40</v>
      </c>
      <c r="E621" s="206">
        <v>102.35658827358814</v>
      </c>
      <c r="F621" s="206">
        <v>103.443859683932</v>
      </c>
      <c r="G621" s="206">
        <v>0.60102820000000001</v>
      </c>
      <c r="H621" s="206" t="s">
        <v>771</v>
      </c>
      <c r="I621" s="206">
        <v>0.66</v>
      </c>
      <c r="J621" s="206"/>
      <c r="K621" s="206">
        <v>3</v>
      </c>
      <c r="L621" s="206" t="s">
        <v>454</v>
      </c>
      <c r="M621" s="206" t="s">
        <v>772</v>
      </c>
      <c r="N621" s="206" t="s">
        <v>773</v>
      </c>
      <c r="O621" s="206" t="s">
        <v>774</v>
      </c>
    </row>
    <row r="622" spans="3:15" x14ac:dyDescent="0.25">
      <c r="C622" s="206" t="s">
        <v>1408</v>
      </c>
      <c r="D622" s="206">
        <v>200</v>
      </c>
      <c r="E622" s="206">
        <v>7129.7362136246429</v>
      </c>
      <c r="F622" s="206">
        <v>7536.2844369506902</v>
      </c>
      <c r="G622" s="206">
        <v>20.988844</v>
      </c>
      <c r="H622" s="206" t="s">
        <v>771</v>
      </c>
      <c r="I622" s="206">
        <v>0.63</v>
      </c>
      <c r="J622" s="206"/>
      <c r="K622" s="206">
        <v>3</v>
      </c>
      <c r="L622" s="206" t="s">
        <v>454</v>
      </c>
      <c r="M622" s="206" t="s">
        <v>413</v>
      </c>
      <c r="N622" s="206" t="s">
        <v>773</v>
      </c>
      <c r="O622" s="206" t="s">
        <v>774</v>
      </c>
    </row>
    <row r="623" spans="3:15" x14ac:dyDescent="0.25">
      <c r="C623" s="206" t="s">
        <v>1409</v>
      </c>
      <c r="D623" s="206">
        <v>80</v>
      </c>
      <c r="E623" s="206">
        <v>1258.2913564041241</v>
      </c>
      <c r="F623" s="206">
        <v>562.93208777304994</v>
      </c>
      <c r="G623" s="206">
        <v>5.3140535</v>
      </c>
      <c r="H623" s="206" t="s">
        <v>771</v>
      </c>
      <c r="I623" s="206">
        <v>0.65</v>
      </c>
      <c r="J623" s="206"/>
      <c r="K623" s="206">
        <v>3</v>
      </c>
      <c r="L623" s="206" t="s">
        <v>454</v>
      </c>
      <c r="M623" s="206" t="s">
        <v>772</v>
      </c>
      <c r="N623" s="206" t="s">
        <v>773</v>
      </c>
      <c r="O623" s="206" t="s">
        <v>774</v>
      </c>
    </row>
    <row r="624" spans="3:15" x14ac:dyDescent="0.25">
      <c r="C624" s="206" t="s">
        <v>1410</v>
      </c>
      <c r="D624" s="206">
        <v>200</v>
      </c>
      <c r="E624" s="206">
        <v>5943.9870898452664</v>
      </c>
      <c r="F624" s="206">
        <v>5647.44771793778</v>
      </c>
      <c r="G624" s="206">
        <v>18.177852999999999</v>
      </c>
      <c r="H624" s="206" t="s">
        <v>771</v>
      </c>
      <c r="I624" s="206">
        <v>1</v>
      </c>
      <c r="J624" s="206"/>
      <c r="K624" s="206">
        <v>3</v>
      </c>
      <c r="L624" s="206" t="s">
        <v>454</v>
      </c>
      <c r="M624" s="206" t="s">
        <v>413</v>
      </c>
      <c r="N624" s="206" t="s">
        <v>934</v>
      </c>
      <c r="O624" s="206" t="s">
        <v>774</v>
      </c>
    </row>
    <row r="625" spans="3:15" x14ac:dyDescent="0.25">
      <c r="C625" s="206" t="s">
        <v>1411</v>
      </c>
      <c r="D625" s="206">
        <v>200</v>
      </c>
      <c r="E625" s="206">
        <v>1841.0381642908387</v>
      </c>
      <c r="F625" s="206">
        <v>7368.8380004882902</v>
      </c>
      <c r="G625" s="206">
        <v>5.4379850000000003</v>
      </c>
      <c r="H625" s="206" t="s">
        <v>771</v>
      </c>
      <c r="I625" s="206">
        <v>0.63</v>
      </c>
      <c r="J625" s="206"/>
      <c r="K625" s="206">
        <v>3</v>
      </c>
      <c r="L625" s="206" t="s">
        <v>454</v>
      </c>
      <c r="M625" s="206" t="s">
        <v>772</v>
      </c>
      <c r="N625" s="206" t="s">
        <v>773</v>
      </c>
      <c r="O625" s="206" t="s">
        <v>774</v>
      </c>
    </row>
    <row r="626" spans="3:15" x14ac:dyDescent="0.25">
      <c r="C626" s="206" t="s">
        <v>1412</v>
      </c>
      <c r="D626" s="206">
        <v>50</v>
      </c>
      <c r="E626" s="206">
        <v>321.56242624502147</v>
      </c>
      <c r="F626" s="206">
        <v>148.388475348707</v>
      </c>
      <c r="G626" s="206">
        <v>1.7327405</v>
      </c>
      <c r="H626" s="206" t="s">
        <v>771</v>
      </c>
      <c r="I626" s="206">
        <v>0.65</v>
      </c>
      <c r="J626" s="206"/>
      <c r="K626" s="206">
        <v>3</v>
      </c>
      <c r="L626" s="206" t="s">
        <v>454</v>
      </c>
      <c r="M626" s="206" t="s">
        <v>413</v>
      </c>
      <c r="N626" s="206" t="s">
        <v>773</v>
      </c>
      <c r="O626" s="206" t="s">
        <v>805</v>
      </c>
    </row>
    <row r="627" spans="3:15" x14ac:dyDescent="0.25">
      <c r="C627" s="206" t="s">
        <v>1413</v>
      </c>
      <c r="D627" s="206">
        <v>40</v>
      </c>
      <c r="E627" s="206">
        <v>402.53698797796824</v>
      </c>
      <c r="F627" s="206">
        <v>103.443859683932</v>
      </c>
      <c r="G627" s="206">
        <v>2.3636591</v>
      </c>
      <c r="H627" s="206" t="s">
        <v>771</v>
      </c>
      <c r="I627" s="206">
        <v>0.66</v>
      </c>
      <c r="J627" s="206"/>
      <c r="K627" s="206">
        <v>3</v>
      </c>
      <c r="L627" s="206" t="s">
        <v>454</v>
      </c>
      <c r="M627" s="206" t="s">
        <v>772</v>
      </c>
      <c r="N627" s="206" t="s">
        <v>773</v>
      </c>
      <c r="O627" s="206" t="s">
        <v>774</v>
      </c>
    </row>
    <row r="628" spans="3:15" x14ac:dyDescent="0.25">
      <c r="C628" s="206" t="s">
        <v>1414</v>
      </c>
      <c r="D628" s="206">
        <v>80</v>
      </c>
      <c r="E628" s="206">
        <v>3464.7107133344425</v>
      </c>
      <c r="F628" s="206">
        <v>679.71806616464198</v>
      </c>
      <c r="G628" s="206">
        <v>14.216456000000001</v>
      </c>
      <c r="H628" s="206" t="s">
        <v>771</v>
      </c>
      <c r="I628" s="206">
        <v>0.67</v>
      </c>
      <c r="J628" s="206"/>
      <c r="K628" s="206">
        <v>3</v>
      </c>
      <c r="L628" s="206" t="s">
        <v>454</v>
      </c>
      <c r="M628" s="206" t="s">
        <v>791</v>
      </c>
      <c r="N628" s="206" t="s">
        <v>773</v>
      </c>
      <c r="O628" s="206" t="s">
        <v>792</v>
      </c>
    </row>
    <row r="629" spans="3:15" x14ac:dyDescent="0.25">
      <c r="C629" s="206" t="s">
        <v>1415</v>
      </c>
      <c r="D629" s="206">
        <v>150</v>
      </c>
      <c r="E629" s="206">
        <v>1019.5453671154037</v>
      </c>
      <c r="F629" s="206">
        <v>3529.0715643295898</v>
      </c>
      <c r="G629" s="206">
        <v>3.2935731000000001</v>
      </c>
      <c r="H629" s="206" t="s">
        <v>771</v>
      </c>
      <c r="I629" s="206">
        <v>0.63</v>
      </c>
      <c r="J629" s="206"/>
      <c r="K629" s="206">
        <v>3</v>
      </c>
      <c r="L629" s="206" t="s">
        <v>454</v>
      </c>
      <c r="M629" s="206" t="s">
        <v>782</v>
      </c>
      <c r="N629" s="206" t="s">
        <v>776</v>
      </c>
      <c r="O629" s="206" t="s">
        <v>776</v>
      </c>
    </row>
    <row r="630" spans="3:15" x14ac:dyDescent="0.25">
      <c r="C630" s="206" t="s">
        <v>1416</v>
      </c>
      <c r="D630" s="206">
        <v>80</v>
      </c>
      <c r="E630" s="206">
        <v>1005.2371629645537</v>
      </c>
      <c r="F630" s="206">
        <v>562.93208777304994</v>
      </c>
      <c r="G630" s="206">
        <v>4.2453475000000003</v>
      </c>
      <c r="H630" s="206" t="s">
        <v>771</v>
      </c>
      <c r="I630" s="206">
        <v>0.65</v>
      </c>
      <c r="J630" s="206"/>
      <c r="K630" s="206">
        <v>3</v>
      </c>
      <c r="L630" s="206" t="s">
        <v>454</v>
      </c>
      <c r="M630" s="206" t="s">
        <v>772</v>
      </c>
      <c r="N630" s="206" t="s">
        <v>773</v>
      </c>
      <c r="O630" s="206" t="s">
        <v>774</v>
      </c>
    </row>
    <row r="631" spans="3:15" x14ac:dyDescent="0.25">
      <c r="C631" s="206" t="s">
        <v>1417</v>
      </c>
      <c r="D631" s="206">
        <v>20</v>
      </c>
      <c r="E631" s="206">
        <v>66.960895323736423</v>
      </c>
      <c r="F631" s="206">
        <v>2</v>
      </c>
      <c r="G631" s="206">
        <v>0.57192200000000004</v>
      </c>
      <c r="H631" s="206" t="s">
        <v>771</v>
      </c>
      <c r="I631" s="206">
        <v>1</v>
      </c>
      <c r="J631" s="206"/>
      <c r="K631" s="206">
        <v>3</v>
      </c>
      <c r="L631" s="206" t="s">
        <v>454</v>
      </c>
      <c r="M631" s="206" t="s">
        <v>413</v>
      </c>
      <c r="N631" s="206" t="s">
        <v>773</v>
      </c>
      <c r="O631" s="206" t="s">
        <v>800</v>
      </c>
    </row>
    <row r="632" spans="3:15" x14ac:dyDescent="0.25">
      <c r="C632" s="206" t="s">
        <v>1418</v>
      </c>
      <c r="D632" s="206">
        <v>25</v>
      </c>
      <c r="E632" s="206">
        <v>551.76970356767799</v>
      </c>
      <c r="F632" s="206">
        <v>30.1490154266357</v>
      </c>
      <c r="G632" s="206">
        <v>4.4663389999999996</v>
      </c>
      <c r="H632" s="206" t="s">
        <v>771</v>
      </c>
      <c r="I632" s="206">
        <v>1</v>
      </c>
      <c r="J632" s="206" t="s">
        <v>795</v>
      </c>
      <c r="K632" s="206"/>
      <c r="L632" s="206"/>
      <c r="M632" s="206"/>
      <c r="N632" s="206"/>
      <c r="O632" s="206"/>
    </row>
    <row r="633" spans="3:15" x14ac:dyDescent="0.25">
      <c r="C633" s="206" t="s">
        <v>1419</v>
      </c>
      <c r="D633" s="206">
        <v>80</v>
      </c>
      <c r="E633" s="206">
        <v>1769.0009542525536</v>
      </c>
      <c r="F633" s="206">
        <v>620.9996038237</v>
      </c>
      <c r="G633" s="206">
        <v>7.3638066999999996</v>
      </c>
      <c r="H633" s="206" t="s">
        <v>771</v>
      </c>
      <c r="I633" s="206">
        <v>0.67</v>
      </c>
      <c r="J633" s="206"/>
      <c r="K633" s="206">
        <v>3</v>
      </c>
      <c r="L633" s="206" t="s">
        <v>454</v>
      </c>
      <c r="M633" s="206" t="s">
        <v>782</v>
      </c>
      <c r="N633" s="206" t="s">
        <v>776</v>
      </c>
      <c r="O633" s="206" t="s">
        <v>776</v>
      </c>
    </row>
    <row r="634" spans="3:15" x14ac:dyDescent="0.25">
      <c r="C634" s="206" t="s">
        <v>1420</v>
      </c>
      <c r="D634" s="206">
        <v>20</v>
      </c>
      <c r="E634" s="206">
        <v>391.47891619958494</v>
      </c>
      <c r="F634" s="206">
        <v>1</v>
      </c>
      <c r="G634" s="206">
        <v>3.343674</v>
      </c>
      <c r="H634" s="206" t="s">
        <v>771</v>
      </c>
      <c r="I634" s="206">
        <v>1</v>
      </c>
      <c r="J634" s="206"/>
      <c r="K634" s="206">
        <v>3</v>
      </c>
      <c r="L634" s="206" t="s">
        <v>454</v>
      </c>
      <c r="M634" s="206" t="s">
        <v>413</v>
      </c>
      <c r="N634" s="206" t="s">
        <v>784</v>
      </c>
      <c r="O634" s="206" t="s">
        <v>774</v>
      </c>
    </row>
    <row r="635" spans="3:15" x14ac:dyDescent="0.25">
      <c r="C635" s="206" t="s">
        <v>1421</v>
      </c>
      <c r="D635" s="206">
        <v>80</v>
      </c>
      <c r="E635" s="206">
        <v>866.4333247514503</v>
      </c>
      <c r="F635" s="206">
        <v>562.93208777304994</v>
      </c>
      <c r="G635" s="206">
        <v>3.6591469999999999</v>
      </c>
      <c r="H635" s="206" t="s">
        <v>771</v>
      </c>
      <c r="I635" s="206">
        <v>0.65</v>
      </c>
      <c r="J635" s="206"/>
      <c r="K635" s="206">
        <v>3</v>
      </c>
      <c r="L635" s="206" t="s">
        <v>454</v>
      </c>
      <c r="M635" s="206" t="s">
        <v>772</v>
      </c>
      <c r="N635" s="206" t="s">
        <v>773</v>
      </c>
      <c r="O635" s="206" t="s">
        <v>774</v>
      </c>
    </row>
    <row r="636" spans="3:15" x14ac:dyDescent="0.25">
      <c r="C636" s="206" t="s">
        <v>1422</v>
      </c>
      <c r="D636" s="206">
        <v>40</v>
      </c>
      <c r="E636" s="206">
        <v>436.11162825130492</v>
      </c>
      <c r="F636" s="206">
        <v>90.169326782226605</v>
      </c>
      <c r="G636" s="206">
        <v>2.6307806999999999</v>
      </c>
      <c r="H636" s="206" t="s">
        <v>771</v>
      </c>
      <c r="I636" s="206">
        <v>1</v>
      </c>
      <c r="J636" s="206"/>
      <c r="K636" s="206">
        <v>3</v>
      </c>
      <c r="L636" s="206" t="s">
        <v>454</v>
      </c>
      <c r="M636" s="206" t="s">
        <v>413</v>
      </c>
      <c r="N636" s="206" t="s">
        <v>776</v>
      </c>
      <c r="O636" s="206" t="s">
        <v>776</v>
      </c>
    </row>
    <row r="637" spans="3:15" x14ac:dyDescent="0.25">
      <c r="C637" s="206" t="s">
        <v>1423</v>
      </c>
      <c r="D637" s="206">
        <v>200</v>
      </c>
      <c r="E637" s="206">
        <v>101.29817979468561</v>
      </c>
      <c r="F637" s="206">
        <v>5175.2299023437699</v>
      </c>
      <c r="G637" s="206">
        <v>0.31302077</v>
      </c>
      <c r="H637" s="206" t="s">
        <v>771</v>
      </c>
      <c r="I637" s="206">
        <v>0.64</v>
      </c>
      <c r="J637" s="206"/>
      <c r="K637" s="206">
        <v>3</v>
      </c>
      <c r="L637" s="206" t="s">
        <v>454</v>
      </c>
      <c r="M637" s="206" t="s">
        <v>782</v>
      </c>
      <c r="N637" s="206" t="s">
        <v>776</v>
      </c>
      <c r="O637" s="206" t="s">
        <v>776</v>
      </c>
    </row>
    <row r="638" spans="3:15" x14ac:dyDescent="0.25">
      <c r="C638" s="206" t="s">
        <v>1424</v>
      </c>
      <c r="D638" s="206">
        <v>65</v>
      </c>
      <c r="E638" s="206">
        <v>386.89862991589678</v>
      </c>
      <c r="F638" s="206">
        <v>366.340331913667</v>
      </c>
      <c r="G638" s="206">
        <v>1.8062942</v>
      </c>
      <c r="H638" s="206" t="s">
        <v>771</v>
      </c>
      <c r="I638" s="206">
        <v>0.74826912236183685</v>
      </c>
      <c r="J638" s="206"/>
      <c r="K638" s="206">
        <v>3</v>
      </c>
      <c r="L638" s="206" t="s">
        <v>454</v>
      </c>
      <c r="M638" s="206" t="s">
        <v>772</v>
      </c>
      <c r="N638" s="206" t="s">
        <v>773</v>
      </c>
      <c r="O638" s="206" t="s">
        <v>774</v>
      </c>
    </row>
    <row r="639" spans="3:15" x14ac:dyDescent="0.25">
      <c r="C639" s="206" t="s">
        <v>1425</v>
      </c>
      <c r="D639" s="206">
        <v>20</v>
      </c>
      <c r="E639" s="206">
        <v>230.07325845950513</v>
      </c>
      <c r="F639" s="206">
        <v>1</v>
      </c>
      <c r="G639" s="206">
        <v>1.9650866</v>
      </c>
      <c r="H639" s="206" t="s">
        <v>771</v>
      </c>
      <c r="I639" s="206">
        <v>1</v>
      </c>
      <c r="J639" s="206"/>
      <c r="K639" s="206">
        <v>3</v>
      </c>
      <c r="L639" s="206" t="s">
        <v>454</v>
      </c>
      <c r="M639" s="206" t="s">
        <v>782</v>
      </c>
      <c r="N639" s="206" t="s">
        <v>776</v>
      </c>
      <c r="O639" s="206" t="s">
        <v>776</v>
      </c>
    </row>
    <row r="640" spans="3:15" x14ac:dyDescent="0.25">
      <c r="C640" s="206" t="s">
        <v>1426</v>
      </c>
      <c r="D640" s="206">
        <v>80</v>
      </c>
      <c r="E640" s="206">
        <v>1238.6266673466414</v>
      </c>
      <c r="F640" s="206">
        <v>562.93208777304994</v>
      </c>
      <c r="G640" s="206">
        <v>5.2310049999999997</v>
      </c>
      <c r="H640" s="206" t="s">
        <v>771</v>
      </c>
      <c r="I640" s="206">
        <v>0.65</v>
      </c>
      <c r="J640" s="206"/>
      <c r="K640" s="206">
        <v>3</v>
      </c>
      <c r="L640" s="206" t="s">
        <v>454</v>
      </c>
      <c r="M640" s="206" t="s">
        <v>772</v>
      </c>
      <c r="N640" s="206" t="s">
        <v>773</v>
      </c>
      <c r="O640" s="206" t="s">
        <v>774</v>
      </c>
    </row>
    <row r="641" spans="3:15" x14ac:dyDescent="0.25">
      <c r="C641" s="206" t="s">
        <v>1427</v>
      </c>
      <c r="D641" s="206">
        <v>65</v>
      </c>
      <c r="E641" s="206">
        <v>750.02263431012216</v>
      </c>
      <c r="F641" s="206">
        <v>366.340331913667</v>
      </c>
      <c r="G641" s="206">
        <v>3.5015930000000002</v>
      </c>
      <c r="H641" s="206" t="s">
        <v>771</v>
      </c>
      <c r="I641" s="206">
        <v>0.74826912236183685</v>
      </c>
      <c r="J641" s="206"/>
      <c r="K641" s="206">
        <v>3</v>
      </c>
      <c r="L641" s="206" t="s">
        <v>454</v>
      </c>
      <c r="M641" s="206" t="s">
        <v>772</v>
      </c>
      <c r="N641" s="206" t="s">
        <v>773</v>
      </c>
      <c r="O641" s="206" t="s">
        <v>774</v>
      </c>
    </row>
    <row r="642" spans="3:15" x14ac:dyDescent="0.25">
      <c r="C642" s="206" t="s">
        <v>1428</v>
      </c>
      <c r="D642" s="206">
        <v>80</v>
      </c>
      <c r="E642" s="206">
        <v>1104.149661262285</v>
      </c>
      <c r="F642" s="206">
        <v>617.18597412109398</v>
      </c>
      <c r="G642" s="206">
        <v>4.6005663999999999</v>
      </c>
      <c r="H642" s="206" t="s">
        <v>771</v>
      </c>
      <c r="I642" s="206">
        <v>0.7294998052048729</v>
      </c>
      <c r="J642" s="206"/>
      <c r="K642" s="206">
        <v>3</v>
      </c>
      <c r="L642" s="206" t="s">
        <v>454</v>
      </c>
      <c r="M642" s="206" t="s">
        <v>772</v>
      </c>
      <c r="N642" s="206" t="s">
        <v>773</v>
      </c>
      <c r="O642" s="206" t="s">
        <v>774</v>
      </c>
    </row>
    <row r="643" spans="3:15" x14ac:dyDescent="0.25">
      <c r="C643" s="206" t="s">
        <v>1429</v>
      </c>
      <c r="D643" s="206">
        <v>80</v>
      </c>
      <c r="E643" s="206">
        <v>3928.0188274031561</v>
      </c>
      <c r="F643" s="206">
        <v>562.93208777304994</v>
      </c>
      <c r="G643" s="206">
        <v>16.588926000000001</v>
      </c>
      <c r="H643" s="206" t="s">
        <v>771</v>
      </c>
      <c r="I643" s="206">
        <v>0.65</v>
      </c>
      <c r="J643" s="206"/>
      <c r="K643" s="206">
        <v>3</v>
      </c>
      <c r="L643" s="206" t="s">
        <v>454</v>
      </c>
      <c r="M643" s="206" t="s">
        <v>413</v>
      </c>
      <c r="N643" s="206" t="s">
        <v>773</v>
      </c>
      <c r="O643" s="206" t="s">
        <v>774</v>
      </c>
    </row>
    <row r="644" spans="3:15" x14ac:dyDescent="0.25">
      <c r="C644" s="206" t="s">
        <v>1430</v>
      </c>
      <c r="D644" s="206">
        <v>250</v>
      </c>
      <c r="E644" s="206">
        <v>2610.961683916531</v>
      </c>
      <c r="F644" s="206">
        <v>13386.7484804549</v>
      </c>
      <c r="G644" s="206">
        <v>7.1862073000000004</v>
      </c>
      <c r="H644" s="206" t="s">
        <v>771</v>
      </c>
      <c r="I644" s="206">
        <v>0.63</v>
      </c>
      <c r="J644" s="206"/>
      <c r="K644" s="206">
        <v>3</v>
      </c>
      <c r="L644" s="206" t="s">
        <v>454</v>
      </c>
      <c r="M644" s="206" t="s">
        <v>413</v>
      </c>
      <c r="N644" s="206" t="s">
        <v>776</v>
      </c>
      <c r="O644" s="206" t="s">
        <v>776</v>
      </c>
    </row>
    <row r="645" spans="3:15" x14ac:dyDescent="0.25">
      <c r="C645" s="206" t="s">
        <v>1431</v>
      </c>
      <c r="D645" s="206">
        <v>50</v>
      </c>
      <c r="E645" s="206">
        <v>148.9152579240837</v>
      </c>
      <c r="F645" s="206">
        <v>148.388475348707</v>
      </c>
      <c r="G645" s="206">
        <v>0.80243050000000005</v>
      </c>
      <c r="H645" s="206" t="s">
        <v>771</v>
      </c>
      <c r="I645" s="206">
        <v>0.65</v>
      </c>
      <c r="J645" s="206"/>
      <c r="K645" s="206">
        <v>3</v>
      </c>
      <c r="L645" s="206" t="s">
        <v>454</v>
      </c>
      <c r="M645" s="206" t="s">
        <v>772</v>
      </c>
      <c r="N645" s="206" t="s">
        <v>773</v>
      </c>
      <c r="O645" s="206" t="s">
        <v>774</v>
      </c>
    </row>
    <row r="646" spans="3:15" x14ac:dyDescent="0.25">
      <c r="C646" s="206" t="s">
        <v>1432</v>
      </c>
      <c r="D646" s="206">
        <v>80</v>
      </c>
      <c r="E646" s="206">
        <v>795.52202766501364</v>
      </c>
      <c r="F646" s="206">
        <v>562.93208777304994</v>
      </c>
      <c r="G646" s="206">
        <v>3.3596723000000002</v>
      </c>
      <c r="H646" s="206" t="s">
        <v>771</v>
      </c>
      <c r="I646" s="206">
        <v>0.65</v>
      </c>
      <c r="J646" s="206"/>
      <c r="K646" s="206">
        <v>3</v>
      </c>
      <c r="L646" s="206" t="s">
        <v>454</v>
      </c>
      <c r="M646" s="206" t="s">
        <v>772</v>
      </c>
      <c r="N646" s="206" t="s">
        <v>773</v>
      </c>
      <c r="O646" s="206" t="s">
        <v>774</v>
      </c>
    </row>
    <row r="647" spans="3:15" x14ac:dyDescent="0.25">
      <c r="C647" s="206" t="s">
        <v>1433</v>
      </c>
      <c r="D647" s="206">
        <v>40</v>
      </c>
      <c r="E647" s="206">
        <v>7454.5442614611411</v>
      </c>
      <c r="F647" s="206">
        <v>142.01289367675801</v>
      </c>
      <c r="G647" s="206">
        <v>40.632263000000002</v>
      </c>
      <c r="H647" s="206" t="s">
        <v>771</v>
      </c>
      <c r="I647" s="206">
        <v>0.84745709737159336</v>
      </c>
      <c r="J647" s="206" t="s">
        <v>795</v>
      </c>
      <c r="K647" s="206"/>
      <c r="L647" s="206"/>
      <c r="M647" s="206"/>
      <c r="N647" s="206"/>
      <c r="O647" s="206"/>
    </row>
    <row r="648" spans="3:15" x14ac:dyDescent="0.25">
      <c r="C648" s="206" t="s">
        <v>1434</v>
      </c>
      <c r="D648" s="206">
        <v>25</v>
      </c>
      <c r="E648" s="206">
        <v>971.60371688451391</v>
      </c>
      <c r="F648" s="206">
        <v>29.2371730804443</v>
      </c>
      <c r="G648" s="206">
        <v>7.9307637</v>
      </c>
      <c r="H648" s="206" t="s">
        <v>771</v>
      </c>
      <c r="I648" s="206">
        <v>1</v>
      </c>
      <c r="J648" s="206" t="s">
        <v>795</v>
      </c>
      <c r="K648" s="206"/>
      <c r="L648" s="206"/>
      <c r="M648" s="206"/>
      <c r="N648" s="206"/>
      <c r="O648" s="206"/>
    </row>
    <row r="649" spans="3:15" x14ac:dyDescent="0.25">
      <c r="C649" s="206" t="s">
        <v>1435</v>
      </c>
      <c r="D649" s="206">
        <v>200</v>
      </c>
      <c r="E649" s="206">
        <v>2070.0179278658779</v>
      </c>
      <c r="F649" s="206">
        <v>5647.44771793778</v>
      </c>
      <c r="G649" s="206">
        <v>6.3305119999999997</v>
      </c>
      <c r="H649" s="206" t="s">
        <v>771</v>
      </c>
      <c r="I649" s="206">
        <v>1</v>
      </c>
      <c r="J649" s="206"/>
      <c r="K649" s="206">
        <v>3</v>
      </c>
      <c r="L649" s="206" t="s">
        <v>454</v>
      </c>
      <c r="M649" s="206" t="s">
        <v>413</v>
      </c>
      <c r="N649" s="206" t="s">
        <v>773</v>
      </c>
      <c r="O649" s="206" t="s">
        <v>774</v>
      </c>
    </row>
    <row r="650" spans="3:15" x14ac:dyDescent="0.25">
      <c r="C650" s="206" t="s">
        <v>1436</v>
      </c>
      <c r="D650" s="206">
        <v>65</v>
      </c>
      <c r="E650" s="206">
        <v>2499.5208242375411</v>
      </c>
      <c r="F650" s="206">
        <v>319.08547260653</v>
      </c>
      <c r="G650" s="206">
        <v>11.699066999999999</v>
      </c>
      <c r="H650" s="206" t="s">
        <v>771</v>
      </c>
      <c r="I650" s="206">
        <v>0.65</v>
      </c>
      <c r="J650" s="206"/>
      <c r="K650" s="206">
        <v>3</v>
      </c>
      <c r="L650" s="206" t="s">
        <v>454</v>
      </c>
      <c r="M650" s="206" t="s">
        <v>772</v>
      </c>
      <c r="N650" s="206" t="s">
        <v>773</v>
      </c>
      <c r="O650" s="206" t="s">
        <v>774</v>
      </c>
    </row>
    <row r="651" spans="3:15" x14ac:dyDescent="0.25">
      <c r="C651" s="206" t="s">
        <v>1437</v>
      </c>
      <c r="D651" s="206">
        <v>50</v>
      </c>
      <c r="E651" s="206">
        <v>3511.4562332601427</v>
      </c>
      <c r="F651" s="206">
        <v>202.98360729217501</v>
      </c>
      <c r="G651" s="206">
        <v>17.896478999999999</v>
      </c>
      <c r="H651" s="206" t="s">
        <v>771</v>
      </c>
      <c r="I651" s="206">
        <v>0.75</v>
      </c>
      <c r="J651" s="206"/>
      <c r="K651" s="206">
        <v>3</v>
      </c>
      <c r="L651" s="206" t="s">
        <v>454</v>
      </c>
      <c r="M651" s="206" t="s">
        <v>413</v>
      </c>
      <c r="N651" s="206" t="s">
        <v>773</v>
      </c>
      <c r="O651" s="206" t="s">
        <v>774</v>
      </c>
    </row>
    <row r="652" spans="3:15" x14ac:dyDescent="0.25">
      <c r="C652" s="206" t="s">
        <v>1438</v>
      </c>
      <c r="D652" s="206">
        <v>20</v>
      </c>
      <c r="E652" s="206">
        <v>2700.8908764578628</v>
      </c>
      <c r="F652" s="206">
        <v>2.91598506120499</v>
      </c>
      <c r="G652" s="206">
        <v>18.185883</v>
      </c>
      <c r="H652" s="206" t="s">
        <v>771</v>
      </c>
      <c r="I652" s="206">
        <v>1</v>
      </c>
      <c r="J652" s="206"/>
      <c r="K652" s="206">
        <v>3</v>
      </c>
      <c r="L652" s="206" t="s">
        <v>454</v>
      </c>
      <c r="M652" s="206" t="s">
        <v>772</v>
      </c>
      <c r="N652" s="206" t="s">
        <v>773</v>
      </c>
      <c r="O652" s="206" t="s">
        <v>774</v>
      </c>
    </row>
    <row r="653" spans="3:15" x14ac:dyDescent="0.25">
      <c r="C653" s="206" t="s">
        <v>1439</v>
      </c>
      <c r="D653" s="206">
        <v>400</v>
      </c>
      <c r="E653" s="206">
        <v>3506.4357941249364</v>
      </c>
      <c r="F653" s="206">
        <v>32353.013028163401</v>
      </c>
      <c r="G653" s="206">
        <v>8.8266960000000001</v>
      </c>
      <c r="H653" s="206" t="s">
        <v>771</v>
      </c>
      <c r="I653" s="206">
        <v>0.62</v>
      </c>
      <c r="J653" s="206"/>
      <c r="K653" s="206">
        <v>3</v>
      </c>
      <c r="L653" s="206" t="s">
        <v>454</v>
      </c>
      <c r="M653" s="206" t="s">
        <v>413</v>
      </c>
      <c r="N653" s="206" t="s">
        <v>776</v>
      </c>
      <c r="O653" s="206" t="s">
        <v>776</v>
      </c>
    </row>
    <row r="654" spans="3:15" x14ac:dyDescent="0.25">
      <c r="C654" s="206" t="s">
        <v>1440</v>
      </c>
      <c r="D654" s="206">
        <v>200</v>
      </c>
      <c r="E654" s="206">
        <v>1663.7594743833176</v>
      </c>
      <c r="F654" s="206">
        <v>5647.44771793778</v>
      </c>
      <c r="G654" s="206">
        <v>5.0880957000000002</v>
      </c>
      <c r="H654" s="206" t="s">
        <v>771</v>
      </c>
      <c r="I654" s="206">
        <v>1</v>
      </c>
      <c r="J654" s="206"/>
      <c r="K654" s="206">
        <v>3</v>
      </c>
      <c r="L654" s="206" t="s">
        <v>454</v>
      </c>
      <c r="M654" s="206" t="s">
        <v>413</v>
      </c>
      <c r="N654" s="206" t="s">
        <v>773</v>
      </c>
      <c r="O654" s="206" t="s">
        <v>774</v>
      </c>
    </row>
    <row r="655" spans="3:15" x14ac:dyDescent="0.25">
      <c r="C655" s="206" t="s">
        <v>1441</v>
      </c>
      <c r="D655" s="206">
        <v>32</v>
      </c>
      <c r="E655" s="206">
        <v>5314.7167426101369</v>
      </c>
      <c r="F655" s="206">
        <v>60.193447113037102</v>
      </c>
      <c r="G655" s="206">
        <v>35.637462999999997</v>
      </c>
      <c r="H655" s="206" t="s">
        <v>771</v>
      </c>
      <c r="I655" s="206">
        <v>1</v>
      </c>
      <c r="J655" s="206" t="s">
        <v>795</v>
      </c>
      <c r="K655" s="206"/>
      <c r="L655" s="206"/>
      <c r="M655" s="206"/>
      <c r="N655" s="206"/>
      <c r="O655" s="206"/>
    </row>
    <row r="656" spans="3:15" x14ac:dyDescent="0.25">
      <c r="C656" s="206" t="s">
        <v>1442</v>
      </c>
      <c r="D656" s="206">
        <v>200</v>
      </c>
      <c r="E656" s="206">
        <v>3036.3655860130571</v>
      </c>
      <c r="F656" s="206">
        <v>5509.1328814323497</v>
      </c>
      <c r="G656" s="206">
        <v>9.3171920000000004</v>
      </c>
      <c r="H656" s="206" t="s">
        <v>771</v>
      </c>
      <c r="I656" s="206">
        <v>0.62</v>
      </c>
      <c r="J656" s="206"/>
      <c r="K656" s="206">
        <v>3</v>
      </c>
      <c r="L656" s="206" t="s">
        <v>454</v>
      </c>
      <c r="M656" s="206" t="s">
        <v>413</v>
      </c>
      <c r="N656" s="206" t="s">
        <v>776</v>
      </c>
      <c r="O656" s="206" t="s">
        <v>776</v>
      </c>
    </row>
    <row r="657" spans="3:15" x14ac:dyDescent="0.25">
      <c r="C657" s="206" t="s">
        <v>1443</v>
      </c>
      <c r="D657" s="206">
        <v>80</v>
      </c>
      <c r="E657" s="206">
        <v>200.03198701068524</v>
      </c>
      <c r="F657" s="206">
        <v>562.93208777304994</v>
      </c>
      <c r="G657" s="206">
        <v>0.84478103999999998</v>
      </c>
      <c r="H657" s="206" t="s">
        <v>771</v>
      </c>
      <c r="I657" s="206">
        <v>0.65</v>
      </c>
      <c r="J657" s="206"/>
      <c r="K657" s="206">
        <v>3</v>
      </c>
      <c r="L657" s="206" t="s">
        <v>454</v>
      </c>
      <c r="M657" s="206" t="s">
        <v>772</v>
      </c>
      <c r="N657" s="206" t="s">
        <v>773</v>
      </c>
      <c r="O657" s="206" t="s">
        <v>774</v>
      </c>
    </row>
    <row r="658" spans="3:15" x14ac:dyDescent="0.25">
      <c r="C658" s="206" t="s">
        <v>1444</v>
      </c>
      <c r="D658" s="206">
        <v>80</v>
      </c>
      <c r="E658" s="206">
        <v>14.92527914836305</v>
      </c>
      <c r="F658" s="206">
        <v>620.9996038237</v>
      </c>
      <c r="G658" s="206">
        <v>6.2129345000000002E-2</v>
      </c>
      <c r="H658" s="206" t="s">
        <v>771</v>
      </c>
      <c r="I658" s="206">
        <v>0.67</v>
      </c>
      <c r="J658" s="206"/>
      <c r="K658" s="206">
        <v>3</v>
      </c>
      <c r="L658" s="206" t="s">
        <v>454</v>
      </c>
      <c r="M658" s="206" t="s">
        <v>782</v>
      </c>
      <c r="N658" s="206" t="s">
        <v>776</v>
      </c>
      <c r="O658" s="206" t="s">
        <v>776</v>
      </c>
    </row>
    <row r="659" spans="3:15" x14ac:dyDescent="0.25">
      <c r="C659" s="206" t="s">
        <v>1445</v>
      </c>
      <c r="D659" s="206">
        <v>20</v>
      </c>
      <c r="E659" s="206">
        <v>1249.190519861427</v>
      </c>
      <c r="F659" s="206">
        <v>2.5387595042702702</v>
      </c>
      <c r="G659" s="206">
        <v>10.669504</v>
      </c>
      <c r="H659" s="206" t="s">
        <v>771</v>
      </c>
      <c r="I659" s="206">
        <v>1</v>
      </c>
      <c r="J659" s="206"/>
      <c r="K659" s="206">
        <v>3</v>
      </c>
      <c r="L659" s="206" t="s">
        <v>454</v>
      </c>
      <c r="M659" s="206" t="s">
        <v>413</v>
      </c>
      <c r="N659" s="206" t="s">
        <v>776</v>
      </c>
      <c r="O659" s="206" t="s">
        <v>776</v>
      </c>
    </row>
    <row r="660" spans="3:15" x14ac:dyDescent="0.25">
      <c r="C660" s="206" t="s">
        <v>1446</v>
      </c>
      <c r="D660" s="206">
        <v>80</v>
      </c>
      <c r="E660" s="206">
        <v>383.97362102927684</v>
      </c>
      <c r="F660" s="206">
        <v>617.18597412109398</v>
      </c>
      <c r="G660" s="206">
        <v>1.5998702</v>
      </c>
      <c r="H660" s="206" t="s">
        <v>771</v>
      </c>
      <c r="I660" s="206">
        <v>0.7294998052048729</v>
      </c>
      <c r="J660" s="206"/>
      <c r="K660" s="206">
        <v>3</v>
      </c>
      <c r="L660" s="206" t="s">
        <v>454</v>
      </c>
      <c r="M660" s="206" t="s">
        <v>772</v>
      </c>
      <c r="N660" s="206" t="s">
        <v>773</v>
      </c>
      <c r="O660" s="206" t="s">
        <v>774</v>
      </c>
    </row>
    <row r="661" spans="3:15" x14ac:dyDescent="0.25">
      <c r="C661" s="206" t="s">
        <v>1447</v>
      </c>
      <c r="D661" s="206">
        <v>80</v>
      </c>
      <c r="E661" s="206">
        <v>1224.2886986647256</v>
      </c>
      <c r="F661" s="206">
        <v>617.18597412109398</v>
      </c>
      <c r="G661" s="206">
        <v>5.1011395000000004</v>
      </c>
      <c r="H661" s="206" t="s">
        <v>771</v>
      </c>
      <c r="I661" s="206">
        <v>0.7294998052048729</v>
      </c>
      <c r="J661" s="206"/>
      <c r="K661" s="206">
        <v>3</v>
      </c>
      <c r="L661" s="206" t="s">
        <v>454</v>
      </c>
      <c r="M661" s="206" t="s">
        <v>791</v>
      </c>
      <c r="N661" s="206" t="s">
        <v>773</v>
      </c>
      <c r="O661" s="206" t="s">
        <v>800</v>
      </c>
    </row>
    <row r="662" spans="3:15" x14ac:dyDescent="0.25">
      <c r="C662" s="206" t="s">
        <v>1448</v>
      </c>
      <c r="D662" s="206">
        <v>20</v>
      </c>
      <c r="E662" s="206">
        <v>437.60467197364551</v>
      </c>
      <c r="F662" s="206">
        <v>2.91598506120499</v>
      </c>
      <c r="G662" s="206">
        <v>2.9465194000000001</v>
      </c>
      <c r="H662" s="206" t="s">
        <v>771</v>
      </c>
      <c r="I662" s="206">
        <v>1</v>
      </c>
      <c r="J662" s="206"/>
      <c r="K662" s="206">
        <v>3</v>
      </c>
      <c r="L662" s="206" t="s">
        <v>454</v>
      </c>
      <c r="M662" s="206" t="s">
        <v>772</v>
      </c>
      <c r="N662" s="206" t="s">
        <v>773</v>
      </c>
      <c r="O662" s="206" t="s">
        <v>774</v>
      </c>
    </row>
    <row r="663" spans="3:15" x14ac:dyDescent="0.25">
      <c r="C663" s="206" t="s">
        <v>1449</v>
      </c>
      <c r="D663" s="206">
        <v>50</v>
      </c>
      <c r="E663" s="206">
        <v>174.75794887808968</v>
      </c>
      <c r="F663" s="206">
        <v>148.388475348707</v>
      </c>
      <c r="G663" s="206">
        <v>0.94168395000000005</v>
      </c>
      <c r="H663" s="206" t="s">
        <v>771</v>
      </c>
      <c r="I663" s="206">
        <v>0.65</v>
      </c>
      <c r="J663" s="206"/>
      <c r="K663" s="206">
        <v>3</v>
      </c>
      <c r="L663" s="206" t="s">
        <v>454</v>
      </c>
      <c r="M663" s="206" t="s">
        <v>772</v>
      </c>
      <c r="N663" s="206" t="s">
        <v>773</v>
      </c>
      <c r="O663" s="206" t="s">
        <v>774</v>
      </c>
    </row>
    <row r="664" spans="3:15" x14ac:dyDescent="0.25">
      <c r="C664" s="206" t="s">
        <v>1450</v>
      </c>
      <c r="D664" s="206">
        <v>200</v>
      </c>
      <c r="E664" s="206">
        <v>4953.9746169507471</v>
      </c>
      <c r="F664" s="206">
        <v>5175.2299023437699</v>
      </c>
      <c r="G664" s="206">
        <v>15.308241000000001</v>
      </c>
      <c r="H664" s="206" t="s">
        <v>771</v>
      </c>
      <c r="I664" s="206">
        <v>0.64</v>
      </c>
      <c r="J664" s="206"/>
      <c r="K664" s="206">
        <v>3</v>
      </c>
      <c r="L664" s="206" t="s">
        <v>454</v>
      </c>
      <c r="M664" s="206" t="s">
        <v>782</v>
      </c>
      <c r="N664" s="206" t="s">
        <v>776</v>
      </c>
      <c r="O664" s="206" t="s">
        <v>776</v>
      </c>
    </row>
    <row r="665" spans="3:15" x14ac:dyDescent="0.25">
      <c r="C665" s="206" t="s">
        <v>1451</v>
      </c>
      <c r="D665" s="206">
        <v>65</v>
      </c>
      <c r="E665" s="206">
        <v>167.31979015297017</v>
      </c>
      <c r="F665" s="206">
        <v>366.340331913667</v>
      </c>
      <c r="G665" s="206">
        <v>0.78115749999999995</v>
      </c>
      <c r="H665" s="206" t="s">
        <v>771</v>
      </c>
      <c r="I665" s="206">
        <v>0.74826912236183685</v>
      </c>
      <c r="J665" s="206"/>
      <c r="K665" s="206">
        <v>3</v>
      </c>
      <c r="L665" s="206" t="s">
        <v>454</v>
      </c>
      <c r="M665" s="206" t="s">
        <v>772</v>
      </c>
      <c r="N665" s="206" t="s">
        <v>773</v>
      </c>
      <c r="O665" s="206" t="s">
        <v>774</v>
      </c>
    </row>
    <row r="666" spans="3:15" x14ac:dyDescent="0.25">
      <c r="C666" s="206" t="s">
        <v>1452</v>
      </c>
      <c r="D666" s="206">
        <v>80</v>
      </c>
      <c r="E666" s="206">
        <v>1068.3262399550315</v>
      </c>
      <c r="F666" s="206">
        <v>617.18597412109398</v>
      </c>
      <c r="G666" s="206">
        <v>4.4513040000000004</v>
      </c>
      <c r="H666" s="206" t="s">
        <v>771</v>
      </c>
      <c r="I666" s="206">
        <v>0.7294998052048729</v>
      </c>
      <c r="J666" s="206"/>
      <c r="K666" s="206">
        <v>3</v>
      </c>
      <c r="L666" s="206" t="s">
        <v>454</v>
      </c>
      <c r="M666" s="206" t="s">
        <v>772</v>
      </c>
      <c r="N666" s="206" t="s">
        <v>773</v>
      </c>
      <c r="O666" s="206" t="s">
        <v>774</v>
      </c>
    </row>
    <row r="667" spans="3:15" x14ac:dyDescent="0.25">
      <c r="C667" s="206" t="s">
        <v>1453</v>
      </c>
      <c r="D667" s="206">
        <v>40</v>
      </c>
      <c r="E667" s="206">
        <v>4090.0713919353479</v>
      </c>
      <c r="F667" s="206">
        <v>119.457427711459</v>
      </c>
      <c r="G667" s="206">
        <v>23.269860999999999</v>
      </c>
      <c r="H667" s="206" t="s">
        <v>771</v>
      </c>
      <c r="I667" s="206">
        <v>0.81</v>
      </c>
      <c r="J667" s="206"/>
      <c r="K667" s="206">
        <v>3</v>
      </c>
      <c r="L667" s="206" t="s">
        <v>454</v>
      </c>
      <c r="M667" s="206" t="s">
        <v>413</v>
      </c>
      <c r="N667" s="206" t="s">
        <v>773</v>
      </c>
      <c r="O667" s="206" t="s">
        <v>774</v>
      </c>
    </row>
    <row r="668" spans="3:15" x14ac:dyDescent="0.25">
      <c r="C668" s="206" t="s">
        <v>1454</v>
      </c>
      <c r="D668" s="206">
        <v>200</v>
      </c>
      <c r="E668" s="206">
        <v>2336.5917840414627</v>
      </c>
      <c r="F668" s="206">
        <v>5647.44771793778</v>
      </c>
      <c r="G668" s="206">
        <v>7.1457459999999999</v>
      </c>
      <c r="H668" s="206" t="s">
        <v>771</v>
      </c>
      <c r="I668" s="206">
        <v>1</v>
      </c>
      <c r="J668" s="206"/>
      <c r="K668" s="206">
        <v>3</v>
      </c>
      <c r="L668" s="206" t="s">
        <v>454</v>
      </c>
      <c r="M668" s="206" t="s">
        <v>413</v>
      </c>
      <c r="N668" s="206" t="s">
        <v>773</v>
      </c>
      <c r="O668" s="206" t="s">
        <v>774</v>
      </c>
    </row>
    <row r="669" spans="3:15" x14ac:dyDescent="0.25">
      <c r="C669" s="206" t="s">
        <v>1455</v>
      </c>
      <c r="D669" s="206">
        <v>50</v>
      </c>
      <c r="E669" s="206">
        <v>935.29275797502316</v>
      </c>
      <c r="F669" s="206">
        <v>148.388475348707</v>
      </c>
      <c r="G669" s="206">
        <v>5.0398290000000001</v>
      </c>
      <c r="H669" s="206" t="s">
        <v>771</v>
      </c>
      <c r="I669" s="206">
        <v>0.65</v>
      </c>
      <c r="J669" s="206"/>
      <c r="K669" s="206">
        <v>3</v>
      </c>
      <c r="L669" s="206" t="s">
        <v>454</v>
      </c>
      <c r="M669" s="206" t="s">
        <v>772</v>
      </c>
      <c r="N669" s="206" t="s">
        <v>773</v>
      </c>
      <c r="O669" s="206" t="s">
        <v>774</v>
      </c>
    </row>
    <row r="670" spans="3:15" x14ac:dyDescent="0.25">
      <c r="C670" s="206" t="s">
        <v>1456</v>
      </c>
      <c r="D670" s="206">
        <v>150</v>
      </c>
      <c r="E670" s="206">
        <v>3379.054655749866</v>
      </c>
      <c r="F670" s="206">
        <v>3727.9958740168299</v>
      </c>
      <c r="G670" s="206">
        <v>10.830567</v>
      </c>
      <c r="H670" s="206" t="s">
        <v>771</v>
      </c>
      <c r="I670" s="206">
        <v>0.64</v>
      </c>
      <c r="J670" s="206"/>
      <c r="K670" s="206">
        <v>3</v>
      </c>
      <c r="L670" s="206" t="s">
        <v>454</v>
      </c>
      <c r="M670" s="206" t="s">
        <v>791</v>
      </c>
      <c r="N670" s="206" t="s">
        <v>773</v>
      </c>
      <c r="O670" s="206" t="s">
        <v>800</v>
      </c>
    </row>
    <row r="671" spans="3:15" x14ac:dyDescent="0.25">
      <c r="C671" s="206" t="s">
        <v>1457</v>
      </c>
      <c r="D671" s="206">
        <v>250</v>
      </c>
      <c r="E671" s="206">
        <v>687.2991261015984</v>
      </c>
      <c r="F671" s="206">
        <v>9393.3191221109992</v>
      </c>
      <c r="G671" s="206">
        <v>1.9711661</v>
      </c>
      <c r="H671" s="206" t="s">
        <v>771</v>
      </c>
      <c r="I671" s="206">
        <v>0.63</v>
      </c>
      <c r="J671" s="206"/>
      <c r="K671" s="206">
        <v>3</v>
      </c>
      <c r="L671" s="206" t="s">
        <v>454</v>
      </c>
      <c r="M671" s="206" t="s">
        <v>782</v>
      </c>
      <c r="N671" s="206" t="s">
        <v>776</v>
      </c>
      <c r="O671" s="206" t="s">
        <v>776</v>
      </c>
    </row>
    <row r="672" spans="3:15" x14ac:dyDescent="0.25">
      <c r="C672" s="206" t="s">
        <v>1458</v>
      </c>
      <c r="D672" s="206">
        <v>125</v>
      </c>
      <c r="E672" s="206">
        <v>1412.0763639502754</v>
      </c>
      <c r="F672" s="206">
        <v>1523.083984375</v>
      </c>
      <c r="G672" s="206">
        <v>5.1032685999999998</v>
      </c>
      <c r="H672" s="206" t="s">
        <v>771</v>
      </c>
      <c r="I672" s="206">
        <v>0.80547730167345055</v>
      </c>
      <c r="J672" s="206"/>
      <c r="K672" s="206">
        <v>3</v>
      </c>
      <c r="L672" s="206" t="s">
        <v>454</v>
      </c>
      <c r="M672" s="206" t="s">
        <v>772</v>
      </c>
      <c r="N672" s="206" t="s">
        <v>773</v>
      </c>
      <c r="O672" s="206" t="s">
        <v>788</v>
      </c>
    </row>
    <row r="673" spans="3:15" x14ac:dyDescent="0.25">
      <c r="C673" s="206" t="s">
        <v>1459</v>
      </c>
      <c r="D673" s="206">
        <v>80</v>
      </c>
      <c r="E673" s="206">
        <v>889.7173764478639</v>
      </c>
      <c r="F673" s="206">
        <v>562.93208777304994</v>
      </c>
      <c r="G673" s="206">
        <v>3.7574809</v>
      </c>
      <c r="H673" s="206" t="s">
        <v>771</v>
      </c>
      <c r="I673" s="206">
        <v>0.65</v>
      </c>
      <c r="J673" s="206"/>
      <c r="K673" s="206">
        <v>3</v>
      </c>
      <c r="L673" s="206" t="s">
        <v>454</v>
      </c>
      <c r="M673" s="206" t="s">
        <v>772</v>
      </c>
      <c r="N673" s="206" t="s">
        <v>773</v>
      </c>
      <c r="O673" s="206" t="s">
        <v>774</v>
      </c>
    </row>
    <row r="674" spans="3:15" x14ac:dyDescent="0.25">
      <c r="C674" s="206" t="s">
        <v>1460</v>
      </c>
      <c r="D674" s="206">
        <v>80</v>
      </c>
      <c r="E674" s="206">
        <v>2937.8088387784501</v>
      </c>
      <c r="F674" s="206">
        <v>617.18597412109398</v>
      </c>
      <c r="G674" s="206">
        <v>12.240717999999999</v>
      </c>
      <c r="H674" s="206" t="s">
        <v>771</v>
      </c>
      <c r="I674" s="206">
        <v>0.7294998052048729</v>
      </c>
      <c r="J674" s="206"/>
      <c r="K674" s="206">
        <v>3</v>
      </c>
      <c r="L674" s="206" t="s">
        <v>454</v>
      </c>
      <c r="M674" s="206" t="s">
        <v>791</v>
      </c>
      <c r="N674" s="206" t="s">
        <v>773</v>
      </c>
      <c r="O674" s="206" t="s">
        <v>800</v>
      </c>
    </row>
    <row r="675" spans="3:15" x14ac:dyDescent="0.25">
      <c r="C675" s="206" t="s">
        <v>1461</v>
      </c>
      <c r="D675" s="206">
        <v>40</v>
      </c>
      <c r="E675" s="206">
        <v>1461.6981078227943</v>
      </c>
      <c r="F675" s="206">
        <v>83.601570015664905</v>
      </c>
      <c r="G675" s="206">
        <v>8.1619550000000007</v>
      </c>
      <c r="H675" s="206" t="s">
        <v>771</v>
      </c>
      <c r="I675" s="206">
        <v>0.81</v>
      </c>
      <c r="J675" s="206"/>
      <c r="K675" s="206">
        <v>3</v>
      </c>
      <c r="L675" s="206" t="s">
        <v>454</v>
      </c>
      <c r="M675" s="206" t="s">
        <v>791</v>
      </c>
      <c r="N675" s="206" t="s">
        <v>773</v>
      </c>
      <c r="O675" s="206" t="s">
        <v>792</v>
      </c>
    </row>
    <row r="676" spans="3:15" x14ac:dyDescent="0.25">
      <c r="C676" s="206" t="s">
        <v>1462</v>
      </c>
      <c r="D676" s="206">
        <v>40</v>
      </c>
      <c r="E676" s="206">
        <v>459.66287289206718</v>
      </c>
      <c r="F676" s="206">
        <v>100.29582977294901</v>
      </c>
      <c r="G676" s="206">
        <v>2.7162302</v>
      </c>
      <c r="H676" s="206" t="s">
        <v>771</v>
      </c>
      <c r="I676" s="206">
        <v>1</v>
      </c>
      <c r="J676" s="206"/>
      <c r="K676" s="206">
        <v>3</v>
      </c>
      <c r="L676" s="206" t="s">
        <v>454</v>
      </c>
      <c r="M676" s="206" t="s">
        <v>791</v>
      </c>
      <c r="N676" s="206" t="s">
        <v>773</v>
      </c>
      <c r="O676" s="206" t="s">
        <v>792</v>
      </c>
    </row>
    <row r="677" spans="3:15" x14ac:dyDescent="0.25">
      <c r="C677" s="206" t="s">
        <v>1463</v>
      </c>
      <c r="D677" s="206">
        <v>400</v>
      </c>
      <c r="E677" s="206">
        <v>194.00559632960676</v>
      </c>
      <c r="F677" s="206">
        <v>27339.509060267901</v>
      </c>
      <c r="G677" s="206">
        <v>0.4962683</v>
      </c>
      <c r="H677" s="206" t="s">
        <v>771</v>
      </c>
      <c r="I677" s="206">
        <v>0.62</v>
      </c>
      <c r="J677" s="206"/>
      <c r="K677" s="206">
        <v>3</v>
      </c>
      <c r="L677" s="206" t="s">
        <v>454</v>
      </c>
      <c r="M677" s="206" t="s">
        <v>782</v>
      </c>
      <c r="N677" s="206" t="s">
        <v>776</v>
      </c>
      <c r="O677" s="206" t="s">
        <v>776</v>
      </c>
    </row>
    <row r="678" spans="3:15" x14ac:dyDescent="0.25">
      <c r="C678" s="206" t="s">
        <v>1464</v>
      </c>
      <c r="D678" s="206">
        <v>200</v>
      </c>
      <c r="E678" s="206">
        <v>6024.2708798156928</v>
      </c>
      <c r="F678" s="206">
        <v>6106.5859375</v>
      </c>
      <c r="G678" s="206">
        <v>18.257764999999999</v>
      </c>
      <c r="H678" s="206" t="s">
        <v>771</v>
      </c>
      <c r="I678" s="206">
        <v>0.64</v>
      </c>
      <c r="J678" s="206" t="s">
        <v>795</v>
      </c>
      <c r="K678" s="206"/>
      <c r="L678" s="206"/>
      <c r="M678" s="206"/>
      <c r="N678" s="206"/>
      <c r="O678" s="206"/>
    </row>
    <row r="679" spans="3:15" x14ac:dyDescent="0.25">
      <c r="C679" s="206" t="s">
        <v>1465</v>
      </c>
      <c r="D679" s="206">
        <v>100</v>
      </c>
      <c r="E679" s="206">
        <v>14788.699031788565</v>
      </c>
      <c r="F679" s="206">
        <v>1483.19997479839</v>
      </c>
      <c r="G679" s="206">
        <v>53.768180000000001</v>
      </c>
      <c r="H679" s="206" t="s">
        <v>771</v>
      </c>
      <c r="I679" s="206">
        <v>1</v>
      </c>
      <c r="J679" s="206"/>
      <c r="K679" s="206">
        <v>3</v>
      </c>
      <c r="L679" s="206" t="s">
        <v>454</v>
      </c>
      <c r="M679" s="206" t="s">
        <v>791</v>
      </c>
      <c r="N679" s="206" t="s">
        <v>934</v>
      </c>
      <c r="O679" s="206" t="s">
        <v>792</v>
      </c>
    </row>
    <row r="680" spans="3:15" x14ac:dyDescent="0.25">
      <c r="C680" s="206" t="s">
        <v>1466</v>
      </c>
      <c r="D680" s="206">
        <v>40</v>
      </c>
      <c r="E680" s="206">
        <v>72.391750256530173</v>
      </c>
      <c r="F680" s="206">
        <v>116.80722045898401</v>
      </c>
      <c r="G680" s="206">
        <v>0.41399229999999998</v>
      </c>
      <c r="H680" s="206" t="s">
        <v>771</v>
      </c>
      <c r="I680" s="206">
        <v>0.72000000000000142</v>
      </c>
      <c r="J680" s="206"/>
      <c r="K680" s="206">
        <v>3</v>
      </c>
      <c r="L680" s="206" t="s">
        <v>454</v>
      </c>
      <c r="M680" s="206" t="s">
        <v>772</v>
      </c>
      <c r="N680" s="206" t="s">
        <v>773</v>
      </c>
      <c r="O680" s="206" t="s">
        <v>774</v>
      </c>
    </row>
    <row r="681" spans="3:15" x14ac:dyDescent="0.25">
      <c r="C681" s="206" t="s">
        <v>1467</v>
      </c>
      <c r="D681" s="206">
        <v>200</v>
      </c>
      <c r="E681" s="206">
        <v>4933.7185618265567</v>
      </c>
      <c r="F681" s="206">
        <v>5647.44771793778</v>
      </c>
      <c r="G681" s="206">
        <v>15.088258</v>
      </c>
      <c r="H681" s="206" t="s">
        <v>771</v>
      </c>
      <c r="I681" s="206">
        <v>1</v>
      </c>
      <c r="J681" s="206"/>
      <c r="K681" s="206">
        <v>3</v>
      </c>
      <c r="L681" s="206" t="s">
        <v>454</v>
      </c>
      <c r="M681" s="206" t="s">
        <v>413</v>
      </c>
      <c r="N681" s="206" t="s">
        <v>773</v>
      </c>
      <c r="O681" s="206" t="s">
        <v>788</v>
      </c>
    </row>
    <row r="682" spans="3:15" x14ac:dyDescent="0.25">
      <c r="C682" s="206" t="s">
        <v>1468</v>
      </c>
      <c r="D682" s="206">
        <v>20</v>
      </c>
      <c r="E682" s="206">
        <v>198.01854549441691</v>
      </c>
      <c r="F682" s="206">
        <v>2.91598506120499</v>
      </c>
      <c r="G682" s="206">
        <v>1.3333164</v>
      </c>
      <c r="H682" s="206" t="s">
        <v>771</v>
      </c>
      <c r="I682" s="206">
        <v>1</v>
      </c>
      <c r="J682" s="206"/>
      <c r="K682" s="206">
        <v>3</v>
      </c>
      <c r="L682" s="206" t="s">
        <v>454</v>
      </c>
      <c r="M682" s="206" t="s">
        <v>772</v>
      </c>
      <c r="N682" s="206" t="s">
        <v>773</v>
      </c>
      <c r="O682" s="206" t="s">
        <v>774</v>
      </c>
    </row>
    <row r="683" spans="3:15" x14ac:dyDescent="0.25">
      <c r="C683" s="206" t="s">
        <v>1469</v>
      </c>
      <c r="D683" s="206">
        <v>200</v>
      </c>
      <c r="E683" s="206">
        <v>3973.2726108150687</v>
      </c>
      <c r="F683" s="206">
        <v>5647.44771793778</v>
      </c>
      <c r="G683" s="206">
        <v>12.15103</v>
      </c>
      <c r="H683" s="206" t="s">
        <v>771</v>
      </c>
      <c r="I683" s="206">
        <v>1</v>
      </c>
      <c r="J683" s="206"/>
      <c r="K683" s="206">
        <v>3</v>
      </c>
      <c r="L683" s="206" t="s">
        <v>454</v>
      </c>
      <c r="M683" s="206" t="s">
        <v>413</v>
      </c>
      <c r="N683" s="206" t="s">
        <v>773</v>
      </c>
      <c r="O683" s="206" t="s">
        <v>788</v>
      </c>
    </row>
    <row r="684" spans="3:15" x14ac:dyDescent="0.25">
      <c r="C684" s="206" t="s">
        <v>1470</v>
      </c>
      <c r="D684" s="206">
        <v>80</v>
      </c>
      <c r="E684" s="206">
        <v>855.16801295654977</v>
      </c>
      <c r="F684" s="206">
        <v>562.93208777304994</v>
      </c>
      <c r="G684" s="206">
        <v>3.6115710000000001</v>
      </c>
      <c r="H684" s="206" t="s">
        <v>771</v>
      </c>
      <c r="I684" s="206">
        <v>0.65</v>
      </c>
      <c r="J684" s="206"/>
      <c r="K684" s="206">
        <v>3</v>
      </c>
      <c r="L684" s="206" t="s">
        <v>454</v>
      </c>
      <c r="M684" s="206" t="s">
        <v>413</v>
      </c>
      <c r="N684" s="206" t="s">
        <v>773</v>
      </c>
      <c r="O684" s="206" t="s">
        <v>774</v>
      </c>
    </row>
    <row r="685" spans="3:15" x14ac:dyDescent="0.25">
      <c r="C685" s="206" t="s">
        <v>1471</v>
      </c>
      <c r="D685" s="206">
        <v>80</v>
      </c>
      <c r="E685" s="206">
        <v>3330.6428419477497</v>
      </c>
      <c r="F685" s="206">
        <v>617.18597412109398</v>
      </c>
      <c r="G685" s="206">
        <v>13.877506</v>
      </c>
      <c r="H685" s="206" t="s">
        <v>771</v>
      </c>
      <c r="I685" s="206">
        <v>0.7294998052048729</v>
      </c>
      <c r="J685" s="206"/>
      <c r="K685" s="206">
        <v>3</v>
      </c>
      <c r="L685" s="206" t="s">
        <v>454</v>
      </c>
      <c r="M685" s="206" t="s">
        <v>791</v>
      </c>
      <c r="N685" s="206" t="s">
        <v>773</v>
      </c>
      <c r="O685" s="206" t="s">
        <v>800</v>
      </c>
    </row>
    <row r="686" spans="3:15" x14ac:dyDescent="0.25">
      <c r="C686" s="206" t="s">
        <v>1472</v>
      </c>
      <c r="D686" s="206">
        <v>50</v>
      </c>
      <c r="E686" s="206">
        <v>132.82490594503534</v>
      </c>
      <c r="F686" s="206">
        <v>148.388475348707</v>
      </c>
      <c r="G686" s="206">
        <v>0.71572756999999998</v>
      </c>
      <c r="H686" s="206" t="s">
        <v>771</v>
      </c>
      <c r="I686" s="206">
        <v>0.65</v>
      </c>
      <c r="J686" s="206"/>
      <c r="K686" s="206">
        <v>3</v>
      </c>
      <c r="L686" s="206" t="s">
        <v>454</v>
      </c>
      <c r="M686" s="206" t="s">
        <v>772</v>
      </c>
      <c r="N686" s="206" t="s">
        <v>773</v>
      </c>
      <c r="O686" s="206" t="s">
        <v>774</v>
      </c>
    </row>
    <row r="687" spans="3:15" x14ac:dyDescent="0.25">
      <c r="C687" s="206" t="s">
        <v>1473</v>
      </c>
      <c r="D687" s="206">
        <v>80</v>
      </c>
      <c r="E687" s="206">
        <v>1547.145461931106</v>
      </c>
      <c r="F687" s="206">
        <v>610.56615022576898</v>
      </c>
      <c r="G687" s="206">
        <v>6.5177445000000001</v>
      </c>
      <c r="H687" s="206" t="s">
        <v>771</v>
      </c>
      <c r="I687" s="206">
        <v>0.67</v>
      </c>
      <c r="J687" s="206"/>
      <c r="K687" s="206">
        <v>3</v>
      </c>
      <c r="L687" s="206" t="s">
        <v>454</v>
      </c>
      <c r="M687" s="206" t="s">
        <v>772</v>
      </c>
      <c r="N687" s="206" t="s">
        <v>773</v>
      </c>
      <c r="O687" s="206" t="s">
        <v>774</v>
      </c>
    </row>
    <row r="688" spans="3:15" x14ac:dyDescent="0.25">
      <c r="C688" s="206" t="s">
        <v>1474</v>
      </c>
      <c r="D688" s="206">
        <v>80</v>
      </c>
      <c r="E688" s="206">
        <v>1049.1824294705002</v>
      </c>
      <c r="F688" s="206">
        <v>679.71806616464198</v>
      </c>
      <c r="G688" s="206">
        <v>4.3050220000000001</v>
      </c>
      <c r="H688" s="206" t="s">
        <v>771</v>
      </c>
      <c r="I688" s="206">
        <v>0.67</v>
      </c>
      <c r="J688" s="206"/>
      <c r="K688" s="206">
        <v>3</v>
      </c>
      <c r="L688" s="206" t="s">
        <v>454</v>
      </c>
      <c r="M688" s="206" t="s">
        <v>791</v>
      </c>
      <c r="N688" s="206" t="s">
        <v>773</v>
      </c>
      <c r="O688" s="206" t="s">
        <v>792</v>
      </c>
    </row>
    <row r="689" spans="3:15" x14ac:dyDescent="0.25">
      <c r="C689" s="206" t="s">
        <v>1475</v>
      </c>
      <c r="D689" s="206">
        <v>200</v>
      </c>
      <c r="E689" s="206">
        <v>2509.6609233089212</v>
      </c>
      <c r="F689" s="206">
        <v>5175.2299023437699</v>
      </c>
      <c r="G689" s="206">
        <v>7.7550850000000002</v>
      </c>
      <c r="H689" s="206" t="s">
        <v>771</v>
      </c>
      <c r="I689" s="206">
        <v>0.64</v>
      </c>
      <c r="J689" s="206"/>
      <c r="K689" s="206">
        <v>3</v>
      </c>
      <c r="L689" s="206" t="s">
        <v>454</v>
      </c>
      <c r="M689" s="206" t="s">
        <v>782</v>
      </c>
      <c r="N689" s="206" t="s">
        <v>776</v>
      </c>
      <c r="O689" s="206" t="s">
        <v>776</v>
      </c>
    </row>
    <row r="690" spans="3:15" x14ac:dyDescent="0.25">
      <c r="C690" s="206" t="s">
        <v>1476</v>
      </c>
      <c r="D690" s="206">
        <v>50</v>
      </c>
      <c r="E690" s="206">
        <v>320.34450013839398</v>
      </c>
      <c r="F690" s="206">
        <v>148.388475348707</v>
      </c>
      <c r="G690" s="206">
        <v>1.7261777</v>
      </c>
      <c r="H690" s="206" t="s">
        <v>771</v>
      </c>
      <c r="I690" s="206">
        <v>0.65</v>
      </c>
      <c r="J690" s="206"/>
      <c r="K690" s="206">
        <v>3</v>
      </c>
      <c r="L690" s="206" t="s">
        <v>454</v>
      </c>
      <c r="M690" s="206" t="s">
        <v>772</v>
      </c>
      <c r="N690" s="206" t="s">
        <v>773</v>
      </c>
      <c r="O690" s="206" t="s">
        <v>774</v>
      </c>
    </row>
    <row r="691" spans="3:15" x14ac:dyDescent="0.25">
      <c r="C691" s="206" t="s">
        <v>1477</v>
      </c>
      <c r="D691" s="206">
        <v>40</v>
      </c>
      <c r="E691" s="206">
        <v>671.15855798755695</v>
      </c>
      <c r="F691" s="206">
        <v>83.601570015664905</v>
      </c>
      <c r="G691" s="206">
        <v>3.7476726</v>
      </c>
      <c r="H691" s="206" t="s">
        <v>771</v>
      </c>
      <c r="I691" s="206">
        <v>0.81</v>
      </c>
      <c r="J691" s="206"/>
      <c r="K691" s="206">
        <v>3</v>
      </c>
      <c r="L691" s="206" t="s">
        <v>454</v>
      </c>
      <c r="M691" s="206" t="s">
        <v>791</v>
      </c>
      <c r="N691" s="206" t="s">
        <v>773</v>
      </c>
      <c r="O691" s="206" t="s">
        <v>792</v>
      </c>
    </row>
    <row r="692" spans="3:15" x14ac:dyDescent="0.25">
      <c r="C692" s="206" t="s">
        <v>1478</v>
      </c>
      <c r="D692" s="206">
        <v>40</v>
      </c>
      <c r="E692" s="206">
        <v>176.93178536104898</v>
      </c>
      <c r="F692" s="206">
        <v>103.443859683932</v>
      </c>
      <c r="G692" s="206">
        <v>1.0389267</v>
      </c>
      <c r="H692" s="206" t="s">
        <v>771</v>
      </c>
      <c r="I692" s="206">
        <v>0.66</v>
      </c>
      <c r="J692" s="206"/>
      <c r="K692" s="206">
        <v>3</v>
      </c>
      <c r="L692" s="206" t="s">
        <v>454</v>
      </c>
      <c r="M692" s="206" t="s">
        <v>772</v>
      </c>
      <c r="N692" s="206" t="s">
        <v>773</v>
      </c>
      <c r="O692" s="206" t="s">
        <v>774</v>
      </c>
    </row>
    <row r="693" spans="3:15" x14ac:dyDescent="0.25">
      <c r="C693" s="206" t="s">
        <v>1479</v>
      </c>
      <c r="D693" s="206">
        <v>65</v>
      </c>
      <c r="E693" s="206">
        <v>314.54709471992629</v>
      </c>
      <c r="F693" s="206">
        <v>319.08547260653</v>
      </c>
      <c r="G693" s="206">
        <v>1.4722451999999999</v>
      </c>
      <c r="H693" s="206" t="s">
        <v>771</v>
      </c>
      <c r="I693" s="206">
        <v>0.65</v>
      </c>
      <c r="J693" s="206"/>
      <c r="K693" s="206">
        <v>3</v>
      </c>
      <c r="L693" s="206" t="s">
        <v>454</v>
      </c>
      <c r="M693" s="206" t="s">
        <v>772</v>
      </c>
      <c r="N693" s="206" t="s">
        <v>773</v>
      </c>
      <c r="O693" s="206" t="s">
        <v>774</v>
      </c>
    </row>
    <row r="694" spans="3:15" x14ac:dyDescent="0.25">
      <c r="C694" s="206" t="s">
        <v>1480</v>
      </c>
      <c r="D694" s="206">
        <v>400</v>
      </c>
      <c r="E694" s="206">
        <v>2952.3525405701862</v>
      </c>
      <c r="F694" s="206">
        <v>27339.509060267901</v>
      </c>
      <c r="G694" s="206">
        <v>7.5521479999999999</v>
      </c>
      <c r="H694" s="206" t="s">
        <v>771</v>
      </c>
      <c r="I694" s="206">
        <v>0.62</v>
      </c>
      <c r="J694" s="206"/>
      <c r="K694" s="206">
        <v>3</v>
      </c>
      <c r="L694" s="206" t="s">
        <v>454</v>
      </c>
      <c r="M694" s="206" t="s">
        <v>413</v>
      </c>
      <c r="N694" s="206" t="s">
        <v>776</v>
      </c>
      <c r="O694" s="206" t="s">
        <v>776</v>
      </c>
    </row>
    <row r="695" spans="3:15" x14ac:dyDescent="0.25">
      <c r="C695" s="206" t="s">
        <v>1481</v>
      </c>
      <c r="D695" s="206">
        <v>200</v>
      </c>
      <c r="E695" s="206">
        <v>1491.2372397914341</v>
      </c>
      <c r="F695" s="206">
        <v>7368.8380004882902</v>
      </c>
      <c r="G695" s="206">
        <v>4.404757</v>
      </c>
      <c r="H695" s="206" t="s">
        <v>771</v>
      </c>
      <c r="I695" s="206">
        <v>0.63</v>
      </c>
      <c r="J695" s="206"/>
      <c r="K695" s="206">
        <v>3</v>
      </c>
      <c r="L695" s="206" t="s">
        <v>454</v>
      </c>
      <c r="M695" s="206" t="s">
        <v>772</v>
      </c>
      <c r="N695" s="206" t="s">
        <v>773</v>
      </c>
      <c r="O695" s="206" t="s">
        <v>774</v>
      </c>
    </row>
    <row r="696" spans="3:15" x14ac:dyDescent="0.25">
      <c r="C696" s="206" t="s">
        <v>1482</v>
      </c>
      <c r="D696" s="206">
        <v>80</v>
      </c>
      <c r="E696" s="206">
        <v>1420.9832390269087</v>
      </c>
      <c r="F696" s="206">
        <v>562.93208777304994</v>
      </c>
      <c r="G696" s="206">
        <v>6.0011387000000003</v>
      </c>
      <c r="H696" s="206" t="s">
        <v>771</v>
      </c>
      <c r="I696" s="206">
        <v>0.65</v>
      </c>
      <c r="J696" s="206"/>
      <c r="K696" s="206">
        <v>3</v>
      </c>
      <c r="L696" s="206" t="s">
        <v>454</v>
      </c>
      <c r="M696" s="206" t="s">
        <v>772</v>
      </c>
      <c r="N696" s="206" t="s">
        <v>773</v>
      </c>
      <c r="O696" s="206" t="s">
        <v>774</v>
      </c>
    </row>
    <row r="697" spans="3:15" x14ac:dyDescent="0.25">
      <c r="C697" s="206" t="s">
        <v>1483</v>
      </c>
      <c r="D697" s="206">
        <v>20</v>
      </c>
      <c r="E697" s="206">
        <v>929.50659988588336</v>
      </c>
      <c r="F697" s="206">
        <v>2.91598506120499</v>
      </c>
      <c r="G697" s="206">
        <v>6.2586380000000004</v>
      </c>
      <c r="H697" s="206" t="s">
        <v>771</v>
      </c>
      <c r="I697" s="206">
        <v>1</v>
      </c>
      <c r="J697" s="206"/>
      <c r="K697" s="206">
        <v>3</v>
      </c>
      <c r="L697" s="206" t="s">
        <v>454</v>
      </c>
      <c r="M697" s="206" t="s">
        <v>772</v>
      </c>
      <c r="N697" s="206" t="s">
        <v>773</v>
      </c>
      <c r="O697" s="206" t="s">
        <v>774</v>
      </c>
    </row>
    <row r="698" spans="3:15" x14ac:dyDescent="0.25">
      <c r="C698" s="206" t="s">
        <v>1484</v>
      </c>
      <c r="D698" s="206">
        <v>125</v>
      </c>
      <c r="E698" s="206">
        <v>1691.7182825647089</v>
      </c>
      <c r="F698" s="206">
        <v>1663.85827636719</v>
      </c>
      <c r="G698" s="206">
        <v>6.0521292999999998</v>
      </c>
      <c r="H698" s="206" t="s">
        <v>771</v>
      </c>
      <c r="I698" s="206">
        <v>0.81000000000000172</v>
      </c>
      <c r="J698" s="206"/>
      <c r="K698" s="206">
        <v>3</v>
      </c>
      <c r="L698" s="206" t="s">
        <v>454</v>
      </c>
      <c r="M698" s="206" t="s">
        <v>791</v>
      </c>
      <c r="N698" s="206" t="s">
        <v>773</v>
      </c>
      <c r="O698" s="206" t="s">
        <v>800</v>
      </c>
    </row>
    <row r="699" spans="3:15" x14ac:dyDescent="0.25">
      <c r="C699" s="206" t="s">
        <v>1485</v>
      </c>
      <c r="D699" s="206">
        <v>40</v>
      </c>
      <c r="E699" s="206">
        <v>2290.6659455843378</v>
      </c>
      <c r="F699" s="206">
        <v>90.169326782226605</v>
      </c>
      <c r="G699" s="206">
        <v>13.818113</v>
      </c>
      <c r="H699" s="206" t="s">
        <v>771</v>
      </c>
      <c r="I699" s="206">
        <v>1</v>
      </c>
      <c r="J699" s="206"/>
      <c r="K699" s="206">
        <v>3</v>
      </c>
      <c r="L699" s="206" t="s">
        <v>454</v>
      </c>
      <c r="M699" s="206" t="s">
        <v>782</v>
      </c>
      <c r="N699" s="206" t="s">
        <v>776</v>
      </c>
      <c r="O699" s="206" t="s">
        <v>776</v>
      </c>
    </row>
    <row r="700" spans="3:15" x14ac:dyDescent="0.25">
      <c r="C700" s="206" t="s">
        <v>1486</v>
      </c>
      <c r="D700" s="206">
        <v>125</v>
      </c>
      <c r="E700" s="206">
        <v>10154.1633545281</v>
      </c>
      <c r="F700" s="206">
        <v>1508.51940917969</v>
      </c>
      <c r="G700" s="206">
        <v>36.736114999999998</v>
      </c>
      <c r="H700" s="206" t="s">
        <v>771</v>
      </c>
      <c r="I700" s="206">
        <v>0.70000000000000118</v>
      </c>
      <c r="J700" s="206" t="s">
        <v>795</v>
      </c>
      <c r="K700" s="206"/>
      <c r="L700" s="206"/>
      <c r="M700" s="206"/>
      <c r="N700" s="206"/>
      <c r="O700" s="206"/>
    </row>
    <row r="701" spans="3:15" x14ac:dyDescent="0.25">
      <c r="C701" s="206" t="s">
        <v>1487</v>
      </c>
      <c r="D701" s="206">
        <v>32</v>
      </c>
      <c r="E701" s="206">
        <v>1045.1630360303611</v>
      </c>
      <c r="F701" s="206">
        <v>65.035728454589801</v>
      </c>
      <c r="G701" s="206">
        <v>6.8706098000000004</v>
      </c>
      <c r="H701" s="206" t="s">
        <v>771</v>
      </c>
      <c r="I701" s="206">
        <v>0.67</v>
      </c>
      <c r="J701" s="206" t="s">
        <v>795</v>
      </c>
      <c r="K701" s="206"/>
      <c r="L701" s="206"/>
      <c r="M701" s="206"/>
      <c r="N701" s="206"/>
      <c r="O701" s="206"/>
    </row>
    <row r="702" spans="3:15" x14ac:dyDescent="0.25">
      <c r="C702" s="206" t="s">
        <v>1488</v>
      </c>
      <c r="D702" s="206">
        <v>40</v>
      </c>
      <c r="E702" s="206">
        <v>19.711734430302805</v>
      </c>
      <c r="F702" s="206">
        <v>147.16501775104601</v>
      </c>
      <c r="G702" s="206">
        <v>0.10642234</v>
      </c>
      <c r="H702" s="206" t="s">
        <v>771</v>
      </c>
      <c r="I702" s="206">
        <v>0.72</v>
      </c>
      <c r="J702" s="206"/>
      <c r="K702" s="206">
        <v>3</v>
      </c>
      <c r="L702" s="206" t="s">
        <v>454</v>
      </c>
      <c r="M702" s="206" t="s">
        <v>772</v>
      </c>
      <c r="N702" s="206" t="s">
        <v>773</v>
      </c>
      <c r="O702" s="206" t="s">
        <v>774</v>
      </c>
    </row>
    <row r="703" spans="3:15" x14ac:dyDescent="0.25">
      <c r="C703" s="206" t="s">
        <v>1489</v>
      </c>
      <c r="D703" s="206">
        <v>150</v>
      </c>
      <c r="E703" s="206">
        <v>5374.9047691557653</v>
      </c>
      <c r="F703" s="206">
        <v>3530.03561769525</v>
      </c>
      <c r="G703" s="206">
        <v>17.362608000000002</v>
      </c>
      <c r="H703" s="206" t="s">
        <v>771</v>
      </c>
      <c r="I703" s="206">
        <v>0.63</v>
      </c>
      <c r="J703" s="206"/>
      <c r="K703" s="206">
        <v>3</v>
      </c>
      <c r="L703" s="206" t="s">
        <v>454</v>
      </c>
      <c r="M703" s="206" t="s">
        <v>413</v>
      </c>
      <c r="N703" s="206" t="s">
        <v>773</v>
      </c>
      <c r="O703" s="206" t="s">
        <v>800</v>
      </c>
    </row>
    <row r="704" spans="3:15" x14ac:dyDescent="0.25">
      <c r="C704" s="206" t="s">
        <v>1490</v>
      </c>
      <c r="D704" s="206">
        <v>400</v>
      </c>
      <c r="E704" s="206">
        <v>1660.2728757485788</v>
      </c>
      <c r="F704" s="206">
        <v>27339.509060267901</v>
      </c>
      <c r="G704" s="206">
        <v>4.2469950000000001</v>
      </c>
      <c r="H704" s="206" t="s">
        <v>771</v>
      </c>
      <c r="I704" s="206">
        <v>0.62</v>
      </c>
      <c r="J704" s="206"/>
      <c r="K704" s="206">
        <v>3</v>
      </c>
      <c r="L704" s="206" t="s">
        <v>454</v>
      </c>
      <c r="M704" s="206" t="s">
        <v>413</v>
      </c>
      <c r="N704" s="206" t="s">
        <v>776</v>
      </c>
      <c r="O704" s="206" t="s">
        <v>776</v>
      </c>
    </row>
    <row r="705" spans="3:15" x14ac:dyDescent="0.25">
      <c r="C705" s="206" t="s">
        <v>1491</v>
      </c>
      <c r="D705" s="206">
        <v>400</v>
      </c>
      <c r="E705" s="206">
        <v>1974.4003838743649</v>
      </c>
      <c r="F705" s="206">
        <v>27007.699886683899</v>
      </c>
      <c r="G705" s="206">
        <v>5.0559500000000002</v>
      </c>
      <c r="H705" s="206" t="s">
        <v>771</v>
      </c>
      <c r="I705" s="206">
        <v>0.62</v>
      </c>
      <c r="J705" s="206"/>
      <c r="K705" s="206">
        <v>3</v>
      </c>
      <c r="L705" s="206" t="s">
        <v>454</v>
      </c>
      <c r="M705" s="206" t="s">
        <v>791</v>
      </c>
      <c r="N705" s="206" t="s">
        <v>932</v>
      </c>
      <c r="O705" s="206" t="s">
        <v>800</v>
      </c>
    </row>
    <row r="706" spans="3:15" x14ac:dyDescent="0.25">
      <c r="C706" s="206" t="s">
        <v>1492</v>
      </c>
      <c r="D706" s="206">
        <v>100</v>
      </c>
      <c r="E706" s="206">
        <v>14574.778774025312</v>
      </c>
      <c r="F706" s="206">
        <v>1483.19997479839</v>
      </c>
      <c r="G706" s="206">
        <v>52.990417000000001</v>
      </c>
      <c r="H706" s="206" t="s">
        <v>771</v>
      </c>
      <c r="I706" s="206">
        <v>1</v>
      </c>
      <c r="J706" s="206"/>
      <c r="K706" s="206">
        <v>3</v>
      </c>
      <c r="L706" s="206" t="s">
        <v>454</v>
      </c>
      <c r="M706" s="206" t="s">
        <v>810</v>
      </c>
      <c r="N706" s="206" t="s">
        <v>784</v>
      </c>
      <c r="O706" s="206" t="s">
        <v>800</v>
      </c>
    </row>
    <row r="707" spans="3:15" x14ac:dyDescent="0.25">
      <c r="C707" s="206" t="s">
        <v>1493</v>
      </c>
      <c r="D707" s="206">
        <v>250</v>
      </c>
      <c r="E707" s="206">
        <v>2109.577743249517</v>
      </c>
      <c r="F707" s="206">
        <v>9286.45086270516</v>
      </c>
      <c r="G707" s="206">
        <v>6.0585456000000004</v>
      </c>
      <c r="H707" s="206" t="s">
        <v>771</v>
      </c>
      <c r="I707" s="206">
        <v>1</v>
      </c>
      <c r="J707" s="206"/>
      <c r="K707" s="206">
        <v>3</v>
      </c>
      <c r="L707" s="206" t="s">
        <v>454</v>
      </c>
      <c r="M707" s="206" t="s">
        <v>772</v>
      </c>
      <c r="N707" s="206" t="s">
        <v>773</v>
      </c>
      <c r="O707" s="206" t="s">
        <v>788</v>
      </c>
    </row>
    <row r="708" spans="3:15" x14ac:dyDescent="0.25">
      <c r="C708" s="206" t="s">
        <v>1494</v>
      </c>
      <c r="D708" s="206">
        <v>40</v>
      </c>
      <c r="E708" s="206">
        <v>4013.714589006046</v>
      </c>
      <c r="F708" s="206">
        <v>100.29582977294901</v>
      </c>
      <c r="G708" s="206">
        <v>23.717758</v>
      </c>
      <c r="H708" s="206" t="s">
        <v>771</v>
      </c>
      <c r="I708" s="206">
        <v>1</v>
      </c>
      <c r="J708" s="206"/>
      <c r="K708" s="206">
        <v>3</v>
      </c>
      <c r="L708" s="206" t="s">
        <v>454</v>
      </c>
      <c r="M708" s="206" t="s">
        <v>791</v>
      </c>
      <c r="N708" s="206" t="s">
        <v>773</v>
      </c>
      <c r="O708" s="206" t="s">
        <v>792</v>
      </c>
    </row>
    <row r="709" spans="3:15" x14ac:dyDescent="0.25">
      <c r="C709" s="206" t="s">
        <v>1495</v>
      </c>
      <c r="D709" s="206">
        <v>40</v>
      </c>
      <c r="E709" s="206">
        <v>281.08520613323196</v>
      </c>
      <c r="F709" s="206">
        <v>100.29582977294901</v>
      </c>
      <c r="G709" s="206">
        <v>1.6609828</v>
      </c>
      <c r="H709" s="206" t="s">
        <v>771</v>
      </c>
      <c r="I709" s="206">
        <v>1</v>
      </c>
      <c r="J709" s="206"/>
      <c r="K709" s="206">
        <v>3</v>
      </c>
      <c r="L709" s="206" t="s">
        <v>454</v>
      </c>
      <c r="M709" s="206" t="s">
        <v>791</v>
      </c>
      <c r="N709" s="206" t="s">
        <v>773</v>
      </c>
      <c r="O709" s="206" t="s">
        <v>792</v>
      </c>
    </row>
    <row r="710" spans="3:15" x14ac:dyDescent="0.25">
      <c r="C710" s="206" t="s">
        <v>1496</v>
      </c>
      <c r="D710" s="206">
        <v>200</v>
      </c>
      <c r="E710" s="206">
        <v>2009.8658248676029</v>
      </c>
      <c r="F710" s="206">
        <v>5825.9935531513001</v>
      </c>
      <c r="G710" s="206">
        <v>6.1266417999999998</v>
      </c>
      <c r="H710" s="206" t="s">
        <v>771</v>
      </c>
      <c r="I710" s="206">
        <v>1</v>
      </c>
      <c r="J710" s="206"/>
      <c r="K710" s="206">
        <v>3</v>
      </c>
      <c r="L710" s="206" t="s">
        <v>454</v>
      </c>
      <c r="M710" s="206" t="s">
        <v>791</v>
      </c>
      <c r="N710" s="206" t="s">
        <v>773</v>
      </c>
      <c r="O710" s="206" t="s">
        <v>800</v>
      </c>
    </row>
    <row r="711" spans="3:15" x14ac:dyDescent="0.25">
      <c r="C711" s="206" t="s">
        <v>1497</v>
      </c>
      <c r="D711" s="206">
        <v>40</v>
      </c>
      <c r="E711" s="206">
        <v>1253.8429291266139</v>
      </c>
      <c r="F711" s="206">
        <v>107.162635803223</v>
      </c>
      <c r="G711" s="206">
        <v>7.3079925000000001</v>
      </c>
      <c r="H711" s="206" t="s">
        <v>771</v>
      </c>
      <c r="I711" s="206">
        <v>1</v>
      </c>
      <c r="J711" s="206" t="s">
        <v>795</v>
      </c>
      <c r="K711" s="206"/>
      <c r="L711" s="206"/>
      <c r="M711" s="206"/>
      <c r="N711" s="206"/>
      <c r="O711" s="206"/>
    </row>
    <row r="712" spans="3:15" x14ac:dyDescent="0.25">
      <c r="C712" s="206" t="s">
        <v>1498</v>
      </c>
      <c r="D712" s="206">
        <v>50</v>
      </c>
      <c r="E712" s="206">
        <v>1542.2177689131245</v>
      </c>
      <c r="F712" s="206">
        <v>148.388475348707</v>
      </c>
      <c r="G712" s="206">
        <v>8.3102470000000004</v>
      </c>
      <c r="H712" s="206" t="s">
        <v>771</v>
      </c>
      <c r="I712" s="206">
        <v>0.65</v>
      </c>
      <c r="J712" s="206"/>
      <c r="K712" s="206">
        <v>3</v>
      </c>
      <c r="L712" s="206" t="s">
        <v>454</v>
      </c>
      <c r="M712" s="206" t="s">
        <v>413</v>
      </c>
      <c r="N712" s="206" t="s">
        <v>773</v>
      </c>
      <c r="O712" s="206" t="s">
        <v>805</v>
      </c>
    </row>
    <row r="713" spans="3:15" x14ac:dyDescent="0.25">
      <c r="C713" s="206" t="s">
        <v>1499</v>
      </c>
      <c r="D713" s="206">
        <v>40</v>
      </c>
      <c r="E713" s="206">
        <v>524.41113984699916</v>
      </c>
      <c r="F713" s="206">
        <v>100.29582977294901</v>
      </c>
      <c r="G713" s="206">
        <v>3.0988392999999999</v>
      </c>
      <c r="H713" s="206" t="s">
        <v>771</v>
      </c>
      <c r="I713" s="206">
        <v>1</v>
      </c>
      <c r="J713" s="206"/>
      <c r="K713" s="206">
        <v>3</v>
      </c>
      <c r="L713" s="206" t="s">
        <v>454</v>
      </c>
      <c r="M713" s="206" t="s">
        <v>791</v>
      </c>
      <c r="N713" s="206" t="s">
        <v>773</v>
      </c>
      <c r="O713" s="206" t="s">
        <v>792</v>
      </c>
    </row>
    <row r="714" spans="3:15" x14ac:dyDescent="0.25">
      <c r="C714" s="206" t="s">
        <v>1500</v>
      </c>
      <c r="D714" s="206">
        <v>65</v>
      </c>
      <c r="E714" s="206">
        <v>20.377734104485025</v>
      </c>
      <c r="F714" s="206">
        <v>303.99337188720699</v>
      </c>
      <c r="G714" s="206">
        <v>9.6117999999999995E-2</v>
      </c>
      <c r="H714" s="206" t="s">
        <v>771</v>
      </c>
      <c r="I714" s="206">
        <v>0.72</v>
      </c>
      <c r="J714" s="206"/>
      <c r="K714" s="206">
        <v>3</v>
      </c>
      <c r="L714" s="206" t="s">
        <v>454</v>
      </c>
      <c r="M714" s="206" t="s">
        <v>413</v>
      </c>
      <c r="N714" s="206" t="s">
        <v>776</v>
      </c>
      <c r="O714" s="206" t="s">
        <v>776</v>
      </c>
    </row>
    <row r="715" spans="3:15" x14ac:dyDescent="0.25">
      <c r="C715" s="206" t="s">
        <v>1501</v>
      </c>
      <c r="D715" s="206">
        <v>200</v>
      </c>
      <c r="E715" s="206">
        <v>1304.9337475447114</v>
      </c>
      <c r="F715" s="206">
        <v>5175.2299023437699</v>
      </c>
      <c r="G715" s="206">
        <v>4.0323662999999996</v>
      </c>
      <c r="H715" s="206" t="s">
        <v>771</v>
      </c>
      <c r="I715" s="206">
        <v>0.64</v>
      </c>
      <c r="J715" s="206"/>
      <c r="K715" s="206">
        <v>3</v>
      </c>
      <c r="L715" s="206" t="s">
        <v>454</v>
      </c>
      <c r="M715" s="206" t="s">
        <v>782</v>
      </c>
      <c r="N715" s="206" t="s">
        <v>776</v>
      </c>
      <c r="O715" s="206" t="s">
        <v>776</v>
      </c>
    </row>
    <row r="716" spans="3:15" x14ac:dyDescent="0.25">
      <c r="C716" s="206" t="s">
        <v>1502</v>
      </c>
      <c r="D716" s="206">
        <v>80</v>
      </c>
      <c r="E716" s="206">
        <v>38497.161070987218</v>
      </c>
      <c r="F716" s="206">
        <v>718.40552917289199</v>
      </c>
      <c r="G716" s="206">
        <v>169.61479</v>
      </c>
      <c r="H716" s="206" t="s">
        <v>771</v>
      </c>
      <c r="I716" s="206">
        <v>1</v>
      </c>
      <c r="J716" s="206"/>
      <c r="K716" s="206">
        <v>3</v>
      </c>
      <c r="L716" s="206" t="s">
        <v>454</v>
      </c>
      <c r="M716" s="206" t="s">
        <v>413</v>
      </c>
      <c r="N716" s="206" t="s">
        <v>822</v>
      </c>
      <c r="O716" s="206" t="s">
        <v>792</v>
      </c>
    </row>
    <row r="717" spans="3:15" x14ac:dyDescent="0.25">
      <c r="C717" s="206" t="s">
        <v>1503</v>
      </c>
      <c r="D717" s="206">
        <v>50</v>
      </c>
      <c r="E717" s="206">
        <v>2019.4083618211405</v>
      </c>
      <c r="F717" s="206">
        <v>194.396395330084</v>
      </c>
      <c r="G717" s="206">
        <v>10.380561</v>
      </c>
      <c r="H717" s="206" t="s">
        <v>771</v>
      </c>
      <c r="I717" s="206">
        <v>0.7</v>
      </c>
      <c r="J717" s="206"/>
      <c r="K717" s="206">
        <v>3</v>
      </c>
      <c r="L717" s="206" t="s">
        <v>454</v>
      </c>
      <c r="M717" s="206" t="s">
        <v>772</v>
      </c>
      <c r="N717" s="206" t="s">
        <v>773</v>
      </c>
      <c r="O717" s="206" t="s">
        <v>774</v>
      </c>
    </row>
    <row r="718" spans="3:15" x14ac:dyDescent="0.25">
      <c r="C718" s="206" t="s">
        <v>1504</v>
      </c>
      <c r="D718" s="206">
        <v>65</v>
      </c>
      <c r="E718" s="206">
        <v>768.09428331709478</v>
      </c>
      <c r="F718" s="206">
        <v>366.340331913667</v>
      </c>
      <c r="G718" s="206">
        <v>3.5859632000000001</v>
      </c>
      <c r="H718" s="206" t="s">
        <v>771</v>
      </c>
      <c r="I718" s="206">
        <v>0.74826912236183685</v>
      </c>
      <c r="J718" s="206"/>
      <c r="K718" s="206">
        <v>3</v>
      </c>
      <c r="L718" s="206" t="s">
        <v>454</v>
      </c>
      <c r="M718" s="206" t="s">
        <v>772</v>
      </c>
      <c r="N718" s="206" t="s">
        <v>773</v>
      </c>
      <c r="O718" s="206" t="s">
        <v>774</v>
      </c>
    </row>
    <row r="719" spans="3:15" x14ac:dyDescent="0.25">
      <c r="C719" s="206" t="s">
        <v>1505</v>
      </c>
      <c r="D719" s="206">
        <v>65</v>
      </c>
      <c r="E719" s="206">
        <v>543.13466289205462</v>
      </c>
      <c r="F719" s="206">
        <v>405.01596069335898</v>
      </c>
      <c r="G719" s="206">
        <v>2.4385512</v>
      </c>
      <c r="H719" s="206" t="s">
        <v>771</v>
      </c>
      <c r="I719" s="206">
        <v>0.63</v>
      </c>
      <c r="J719" s="206" t="s">
        <v>795</v>
      </c>
      <c r="K719" s="206"/>
      <c r="L719" s="206"/>
      <c r="M719" s="206"/>
      <c r="N719" s="206"/>
      <c r="O719" s="206"/>
    </row>
    <row r="720" spans="3:15" x14ac:dyDescent="0.25">
      <c r="C720" s="206" t="s">
        <v>1506</v>
      </c>
      <c r="D720" s="206">
        <v>25</v>
      </c>
      <c r="E720" s="206">
        <v>384.45754229180847</v>
      </c>
      <c r="F720" s="206">
        <v>30.427696228027301</v>
      </c>
      <c r="G720" s="206">
        <v>3.1041180000000002</v>
      </c>
      <c r="H720" s="206" t="s">
        <v>771</v>
      </c>
      <c r="I720" s="206">
        <v>1</v>
      </c>
      <c r="J720" s="206"/>
      <c r="K720" s="206">
        <v>3</v>
      </c>
      <c r="L720" s="206" t="s">
        <v>454</v>
      </c>
      <c r="M720" s="206" t="s">
        <v>772</v>
      </c>
      <c r="N720" s="206" t="s">
        <v>773</v>
      </c>
      <c r="O720" s="206" t="s">
        <v>774</v>
      </c>
    </row>
    <row r="721" spans="3:15" x14ac:dyDescent="0.25">
      <c r="C721" s="206" t="s">
        <v>1507</v>
      </c>
      <c r="D721" s="206">
        <v>400</v>
      </c>
      <c r="E721" s="206">
        <v>3355.0673959305514</v>
      </c>
      <c r="F721" s="206">
        <v>27007.699886683899</v>
      </c>
      <c r="G721" s="206">
        <v>8.5914959999999994</v>
      </c>
      <c r="H721" s="206" t="s">
        <v>771</v>
      </c>
      <c r="I721" s="206">
        <v>0.62</v>
      </c>
      <c r="J721" s="206"/>
      <c r="K721" s="206">
        <v>3</v>
      </c>
      <c r="L721" s="206" t="s">
        <v>454</v>
      </c>
      <c r="M721" s="206" t="s">
        <v>791</v>
      </c>
      <c r="N721" s="206" t="s">
        <v>773</v>
      </c>
      <c r="O721" s="206" t="s">
        <v>800</v>
      </c>
    </row>
    <row r="722" spans="3:15" x14ac:dyDescent="0.25">
      <c r="C722" s="206" t="s">
        <v>1508</v>
      </c>
      <c r="D722" s="206">
        <v>25</v>
      </c>
      <c r="E722" s="206">
        <v>958.64894263338124</v>
      </c>
      <c r="F722" s="206">
        <v>40.315670013427699</v>
      </c>
      <c r="G722" s="206">
        <v>7.1005305999999999</v>
      </c>
      <c r="H722" s="206" t="s">
        <v>771</v>
      </c>
      <c r="I722" s="206">
        <v>1</v>
      </c>
      <c r="J722" s="206"/>
      <c r="K722" s="206">
        <v>3</v>
      </c>
      <c r="L722" s="206" t="s">
        <v>454</v>
      </c>
      <c r="M722" s="206" t="s">
        <v>413</v>
      </c>
      <c r="N722" s="206" t="s">
        <v>776</v>
      </c>
      <c r="O722" s="206" t="s">
        <v>776</v>
      </c>
    </row>
    <row r="723" spans="3:15" x14ac:dyDescent="0.25">
      <c r="C723" s="206" t="s">
        <v>1509</v>
      </c>
      <c r="D723" s="206">
        <v>25</v>
      </c>
      <c r="E723" s="206">
        <v>4568.7874282999419</v>
      </c>
      <c r="F723" s="206">
        <v>25.532529830932599</v>
      </c>
      <c r="G723" s="206">
        <v>38.610332</v>
      </c>
      <c r="H723" s="206" t="s">
        <v>771</v>
      </c>
      <c r="I723" s="206">
        <v>1</v>
      </c>
      <c r="J723" s="206" t="s">
        <v>795</v>
      </c>
      <c r="K723" s="206"/>
      <c r="L723" s="206"/>
      <c r="M723" s="206"/>
      <c r="N723" s="206"/>
      <c r="O723" s="206"/>
    </row>
    <row r="724" spans="3:15" x14ac:dyDescent="0.25">
      <c r="C724" s="206" t="s">
        <v>1510</v>
      </c>
      <c r="D724" s="206">
        <v>20</v>
      </c>
      <c r="E724" s="206">
        <v>52.431136675825009</v>
      </c>
      <c r="F724" s="206">
        <v>1</v>
      </c>
      <c r="G724" s="206">
        <v>0.44782137999999999</v>
      </c>
      <c r="H724" s="206" t="s">
        <v>771</v>
      </c>
      <c r="I724" s="206">
        <v>1</v>
      </c>
      <c r="J724" s="206"/>
      <c r="K724" s="206">
        <v>3</v>
      </c>
      <c r="L724" s="206" t="s">
        <v>454</v>
      </c>
      <c r="M724" s="206" t="s">
        <v>782</v>
      </c>
      <c r="N724" s="206" t="s">
        <v>773</v>
      </c>
      <c r="O724" s="206" t="s">
        <v>805</v>
      </c>
    </row>
    <row r="725" spans="3:15" x14ac:dyDescent="0.25">
      <c r="C725" s="206" t="s">
        <v>1511</v>
      </c>
      <c r="D725" s="206">
        <v>20</v>
      </c>
      <c r="E725" s="206">
        <v>713.0545878383333</v>
      </c>
      <c r="F725" s="206">
        <v>2.5387595042702702</v>
      </c>
      <c r="G725" s="206">
        <v>6.0902950000000002</v>
      </c>
      <c r="H725" s="206" t="s">
        <v>771</v>
      </c>
      <c r="I725" s="206">
        <v>1</v>
      </c>
      <c r="J725" s="206"/>
      <c r="K725" s="206">
        <v>3</v>
      </c>
      <c r="L725" s="206" t="s">
        <v>454</v>
      </c>
      <c r="M725" s="206" t="s">
        <v>782</v>
      </c>
      <c r="N725" s="206" t="s">
        <v>776</v>
      </c>
      <c r="O725" s="206" t="s">
        <v>776</v>
      </c>
    </row>
    <row r="726" spans="3:15" x14ac:dyDescent="0.25">
      <c r="C726" s="206" t="s">
        <v>1512</v>
      </c>
      <c r="D726" s="206">
        <v>65</v>
      </c>
      <c r="E726" s="206">
        <v>743.07720006473357</v>
      </c>
      <c r="F726" s="206">
        <v>366.340331913667</v>
      </c>
      <c r="G726" s="206">
        <v>3.4691671999999998</v>
      </c>
      <c r="H726" s="206" t="s">
        <v>771</v>
      </c>
      <c r="I726" s="206">
        <v>0.74826912236183685</v>
      </c>
      <c r="J726" s="206"/>
      <c r="K726" s="206">
        <v>3</v>
      </c>
      <c r="L726" s="206" t="s">
        <v>454</v>
      </c>
      <c r="M726" s="206" t="s">
        <v>772</v>
      </c>
      <c r="N726" s="206" t="s">
        <v>773</v>
      </c>
      <c r="O726" s="206" t="s">
        <v>774</v>
      </c>
    </row>
    <row r="727" spans="3:15" x14ac:dyDescent="0.25">
      <c r="C727" s="206" t="s">
        <v>1513</v>
      </c>
      <c r="D727" s="206">
        <v>250</v>
      </c>
      <c r="E727" s="206">
        <v>2931.6965754045282</v>
      </c>
      <c r="F727" s="206">
        <v>13386.7484804549</v>
      </c>
      <c r="G727" s="206">
        <v>8.0689729999999997</v>
      </c>
      <c r="H727" s="206" t="s">
        <v>771</v>
      </c>
      <c r="I727" s="206">
        <v>0.63</v>
      </c>
      <c r="J727" s="206"/>
      <c r="K727" s="206">
        <v>3</v>
      </c>
      <c r="L727" s="206" t="s">
        <v>454</v>
      </c>
      <c r="M727" s="206" t="s">
        <v>772</v>
      </c>
      <c r="N727" s="206" t="s">
        <v>773</v>
      </c>
      <c r="O727" s="206" t="s">
        <v>788</v>
      </c>
    </row>
    <row r="728" spans="3:15" x14ac:dyDescent="0.25">
      <c r="C728" s="206" t="s">
        <v>1514</v>
      </c>
      <c r="D728" s="206">
        <v>40</v>
      </c>
      <c r="E728" s="206">
        <v>696.18605110722967</v>
      </c>
      <c r="F728" s="206">
        <v>100.29582977294901</v>
      </c>
      <c r="G728" s="206">
        <v>4.1138880000000002</v>
      </c>
      <c r="H728" s="206" t="s">
        <v>771</v>
      </c>
      <c r="I728" s="206">
        <v>1</v>
      </c>
      <c r="J728" s="206"/>
      <c r="K728" s="206">
        <v>3</v>
      </c>
      <c r="L728" s="206" t="s">
        <v>454</v>
      </c>
      <c r="M728" s="206" t="s">
        <v>791</v>
      </c>
      <c r="N728" s="206" t="s">
        <v>773</v>
      </c>
      <c r="O728" s="206" t="s">
        <v>792</v>
      </c>
    </row>
    <row r="729" spans="3:15" x14ac:dyDescent="0.25">
      <c r="C729" s="206" t="s">
        <v>1515</v>
      </c>
      <c r="D729" s="206">
        <v>50</v>
      </c>
      <c r="E729" s="206">
        <v>170.16705521653407</v>
      </c>
      <c r="F729" s="206">
        <v>148.388475348707</v>
      </c>
      <c r="G729" s="206">
        <v>0.91694589999999998</v>
      </c>
      <c r="H729" s="206" t="s">
        <v>771</v>
      </c>
      <c r="I729" s="206">
        <v>0.65</v>
      </c>
      <c r="J729" s="206"/>
      <c r="K729" s="206">
        <v>3</v>
      </c>
      <c r="L729" s="206" t="s">
        <v>454</v>
      </c>
      <c r="M729" s="206" t="s">
        <v>772</v>
      </c>
      <c r="N729" s="206" t="s">
        <v>773</v>
      </c>
      <c r="O729" s="206" t="s">
        <v>774</v>
      </c>
    </row>
    <row r="730" spans="3:15" x14ac:dyDescent="0.25">
      <c r="C730" s="206" t="s">
        <v>1516</v>
      </c>
      <c r="D730" s="206">
        <v>40</v>
      </c>
      <c r="E730" s="206">
        <v>619.38440078314829</v>
      </c>
      <c r="F730" s="206">
        <v>100.29582977294901</v>
      </c>
      <c r="G730" s="206">
        <v>3.6600533</v>
      </c>
      <c r="H730" s="206" t="s">
        <v>771</v>
      </c>
      <c r="I730" s="206">
        <v>1</v>
      </c>
      <c r="J730" s="206"/>
      <c r="K730" s="206">
        <v>3</v>
      </c>
      <c r="L730" s="206" t="s">
        <v>454</v>
      </c>
      <c r="M730" s="206" t="s">
        <v>791</v>
      </c>
      <c r="N730" s="206" t="s">
        <v>773</v>
      </c>
      <c r="O730" s="206" t="s">
        <v>792</v>
      </c>
    </row>
    <row r="731" spans="3:15" x14ac:dyDescent="0.25">
      <c r="C731" s="206" t="s">
        <v>1517</v>
      </c>
      <c r="D731" s="206">
        <v>50</v>
      </c>
      <c r="E731" s="206">
        <v>1164.7992115199863</v>
      </c>
      <c r="F731" s="206">
        <v>148.388475348707</v>
      </c>
      <c r="G731" s="206">
        <v>6.2765255</v>
      </c>
      <c r="H731" s="206" t="s">
        <v>771</v>
      </c>
      <c r="I731" s="206">
        <v>0.65</v>
      </c>
      <c r="J731" s="206"/>
      <c r="K731" s="206">
        <v>3</v>
      </c>
      <c r="L731" s="206" t="s">
        <v>454</v>
      </c>
      <c r="M731" s="206" t="s">
        <v>772</v>
      </c>
      <c r="N731" s="206" t="s">
        <v>773</v>
      </c>
      <c r="O731" s="206" t="s">
        <v>774</v>
      </c>
    </row>
    <row r="732" spans="3:15" x14ac:dyDescent="0.25">
      <c r="C732" s="206" t="s">
        <v>1518</v>
      </c>
      <c r="D732" s="206">
        <v>80</v>
      </c>
      <c r="E732" s="206">
        <v>870.24259596475497</v>
      </c>
      <c r="F732" s="206">
        <v>722.25764163230497</v>
      </c>
      <c r="G732" s="206">
        <v>3.8342052</v>
      </c>
      <c r="H732" s="206" t="s">
        <v>771</v>
      </c>
      <c r="I732" s="206">
        <v>1</v>
      </c>
      <c r="J732" s="206"/>
      <c r="K732" s="206">
        <v>3</v>
      </c>
      <c r="L732" s="206" t="s">
        <v>454</v>
      </c>
      <c r="M732" s="206" t="s">
        <v>791</v>
      </c>
      <c r="N732" s="206" t="s">
        <v>862</v>
      </c>
      <c r="O732" s="206" t="s">
        <v>792</v>
      </c>
    </row>
    <row r="733" spans="3:15" x14ac:dyDescent="0.25">
      <c r="C733" s="206" t="s">
        <v>1519</v>
      </c>
      <c r="D733" s="206">
        <v>50</v>
      </c>
      <c r="E733" s="206">
        <v>807.83083893171761</v>
      </c>
      <c r="F733" s="206">
        <v>205.55093383789099</v>
      </c>
      <c r="G733" s="206">
        <v>4.1067270000000002</v>
      </c>
      <c r="H733" s="206" t="s">
        <v>771</v>
      </c>
      <c r="I733" s="206">
        <v>0.68000000000000105</v>
      </c>
      <c r="J733" s="206" t="s">
        <v>795</v>
      </c>
      <c r="K733" s="206"/>
      <c r="L733" s="206"/>
      <c r="M733" s="206"/>
      <c r="N733" s="206"/>
      <c r="O733" s="206"/>
    </row>
    <row r="734" spans="3:15" x14ac:dyDescent="0.25">
      <c r="C734" s="206" t="s">
        <v>1520</v>
      </c>
      <c r="D734" s="206">
        <v>40</v>
      </c>
      <c r="E734" s="206">
        <v>2568.2870604117888</v>
      </c>
      <c r="F734" s="206">
        <v>142.01289367675801</v>
      </c>
      <c r="G734" s="206">
        <v>13.998886000000001</v>
      </c>
      <c r="H734" s="206" t="s">
        <v>771</v>
      </c>
      <c r="I734" s="206">
        <v>0.84745709737159336</v>
      </c>
      <c r="J734" s="206" t="s">
        <v>795</v>
      </c>
      <c r="K734" s="206"/>
      <c r="L734" s="206"/>
      <c r="M734" s="206"/>
      <c r="N734" s="206"/>
      <c r="O734" s="206"/>
    </row>
    <row r="735" spans="3:15" x14ac:dyDescent="0.25">
      <c r="C735" s="206" t="s">
        <v>1521</v>
      </c>
      <c r="D735" s="206">
        <v>50</v>
      </c>
      <c r="E735" s="206">
        <v>584.69689447481551</v>
      </c>
      <c r="F735" s="206">
        <v>148.388475348707</v>
      </c>
      <c r="G735" s="206">
        <v>3.1506417</v>
      </c>
      <c r="H735" s="206" t="s">
        <v>771</v>
      </c>
      <c r="I735" s="206">
        <v>0.65</v>
      </c>
      <c r="J735" s="206"/>
      <c r="K735" s="206">
        <v>3</v>
      </c>
      <c r="L735" s="206" t="s">
        <v>454</v>
      </c>
      <c r="M735" s="206" t="s">
        <v>772</v>
      </c>
      <c r="N735" s="206" t="s">
        <v>773</v>
      </c>
      <c r="O735" s="206" t="s">
        <v>774</v>
      </c>
    </row>
    <row r="736" spans="3:15" x14ac:dyDescent="0.25">
      <c r="C736" s="206" t="s">
        <v>1522</v>
      </c>
      <c r="D736" s="206">
        <v>40</v>
      </c>
      <c r="E736" s="206">
        <v>809.50265768291206</v>
      </c>
      <c r="F736" s="206">
        <v>103.443859683932</v>
      </c>
      <c r="G736" s="206">
        <v>4.753323</v>
      </c>
      <c r="H736" s="206" t="s">
        <v>771</v>
      </c>
      <c r="I736" s="206">
        <v>0.66</v>
      </c>
      <c r="J736" s="206"/>
      <c r="K736" s="206">
        <v>3</v>
      </c>
      <c r="L736" s="206" t="s">
        <v>454</v>
      </c>
      <c r="M736" s="206" t="s">
        <v>772</v>
      </c>
      <c r="N736" s="206" t="s">
        <v>773</v>
      </c>
      <c r="O736" s="206" t="s">
        <v>774</v>
      </c>
    </row>
    <row r="737" spans="3:15" x14ac:dyDescent="0.25">
      <c r="C737" s="206" t="s">
        <v>1523</v>
      </c>
      <c r="D737" s="206">
        <v>65</v>
      </c>
      <c r="E737" s="206">
        <v>887.38314499241744</v>
      </c>
      <c r="F737" s="206">
        <v>491.270312494601</v>
      </c>
      <c r="G737" s="206">
        <v>3.8275709999999998</v>
      </c>
      <c r="H737" s="206" t="s">
        <v>771</v>
      </c>
      <c r="I737" s="206">
        <v>0.64</v>
      </c>
      <c r="J737" s="206"/>
      <c r="K737" s="206">
        <v>3</v>
      </c>
      <c r="L737" s="206" t="s">
        <v>454</v>
      </c>
      <c r="M737" s="206" t="s">
        <v>772</v>
      </c>
      <c r="N737" s="206" t="s">
        <v>773</v>
      </c>
      <c r="O737" s="206" t="s">
        <v>774</v>
      </c>
    </row>
    <row r="738" spans="3:15" x14ac:dyDescent="0.25">
      <c r="C738" s="206" t="s">
        <v>1524</v>
      </c>
      <c r="D738" s="206">
        <v>65</v>
      </c>
      <c r="E738" s="206">
        <v>189.3940328169067</v>
      </c>
      <c r="F738" s="206">
        <v>316.28182983398398</v>
      </c>
      <c r="G738" s="206">
        <v>0.88769379999999998</v>
      </c>
      <c r="H738" s="206" t="s">
        <v>771</v>
      </c>
      <c r="I738" s="206">
        <v>0.75000000000000089</v>
      </c>
      <c r="J738" s="206"/>
      <c r="K738" s="206">
        <v>3</v>
      </c>
      <c r="L738" s="206" t="s">
        <v>454</v>
      </c>
      <c r="M738" s="206" t="s">
        <v>782</v>
      </c>
      <c r="N738" s="206" t="s">
        <v>776</v>
      </c>
      <c r="O738" s="206" t="s">
        <v>776</v>
      </c>
    </row>
    <row r="739" spans="3:15" x14ac:dyDescent="0.25">
      <c r="C739" s="206" t="s">
        <v>1525</v>
      </c>
      <c r="D739" s="206">
        <v>40</v>
      </c>
      <c r="E739" s="206">
        <v>2189.3344348121941</v>
      </c>
      <c r="F739" s="206">
        <v>119.457427711459</v>
      </c>
      <c r="G739" s="206">
        <v>12.455897</v>
      </c>
      <c r="H739" s="206" t="s">
        <v>771</v>
      </c>
      <c r="I739" s="206">
        <v>0.81</v>
      </c>
      <c r="J739" s="206"/>
      <c r="K739" s="206">
        <v>3</v>
      </c>
      <c r="L739" s="206" t="s">
        <v>454</v>
      </c>
      <c r="M739" s="206" t="s">
        <v>413</v>
      </c>
      <c r="N739" s="206" t="s">
        <v>773</v>
      </c>
      <c r="O739" s="206" t="s">
        <v>774</v>
      </c>
    </row>
    <row r="740" spans="3:15" x14ac:dyDescent="0.25">
      <c r="C740" s="206" t="s">
        <v>1526</v>
      </c>
      <c r="D740" s="206">
        <v>20</v>
      </c>
      <c r="E740" s="206">
        <v>2474.9218662154794</v>
      </c>
      <c r="F740" s="206">
        <v>2.91598506120499</v>
      </c>
      <c r="G740" s="206">
        <v>16.664368</v>
      </c>
      <c r="H740" s="206" t="s">
        <v>771</v>
      </c>
      <c r="I740" s="206">
        <v>1</v>
      </c>
      <c r="J740" s="206"/>
      <c r="K740" s="206">
        <v>3</v>
      </c>
      <c r="L740" s="206" t="s">
        <v>454</v>
      </c>
      <c r="M740" s="206" t="s">
        <v>772</v>
      </c>
      <c r="N740" s="206" t="s">
        <v>773</v>
      </c>
      <c r="O740" s="206" t="s">
        <v>774</v>
      </c>
    </row>
    <row r="741" spans="3:15" x14ac:dyDescent="0.25">
      <c r="C741" s="206" t="s">
        <v>1527</v>
      </c>
      <c r="D741" s="206">
        <v>200</v>
      </c>
      <c r="E741" s="206">
        <v>23958.526254653771</v>
      </c>
      <c r="F741" s="206">
        <v>5509.1328814323497</v>
      </c>
      <c r="G741" s="206">
        <v>73.517560000000003</v>
      </c>
      <c r="H741" s="206" t="s">
        <v>771</v>
      </c>
      <c r="I741" s="206">
        <v>0.62</v>
      </c>
      <c r="J741" s="206"/>
      <c r="K741" s="206">
        <v>3</v>
      </c>
      <c r="L741" s="206" t="s">
        <v>454</v>
      </c>
      <c r="M741" s="206" t="s">
        <v>413</v>
      </c>
      <c r="N741" s="206" t="s">
        <v>776</v>
      </c>
      <c r="O741" s="206" t="s">
        <v>776</v>
      </c>
    </row>
    <row r="742" spans="3:15" x14ac:dyDescent="0.25">
      <c r="C742" s="206" t="s">
        <v>1528</v>
      </c>
      <c r="D742" s="206">
        <v>100</v>
      </c>
      <c r="E742" s="206">
        <v>1270.1072997056335</v>
      </c>
      <c r="F742" s="206">
        <v>1483.19997479839</v>
      </c>
      <c r="G742" s="206">
        <v>4.617807</v>
      </c>
      <c r="H742" s="206" t="s">
        <v>771</v>
      </c>
      <c r="I742" s="206">
        <v>1</v>
      </c>
      <c r="J742" s="206"/>
      <c r="K742" s="206">
        <v>3</v>
      </c>
      <c r="L742" s="206" t="s">
        <v>454</v>
      </c>
      <c r="M742" s="206" t="s">
        <v>810</v>
      </c>
      <c r="N742" s="206" t="s">
        <v>784</v>
      </c>
      <c r="O742" s="206" t="s">
        <v>800</v>
      </c>
    </row>
    <row r="743" spans="3:15" x14ac:dyDescent="0.25">
      <c r="C743" s="206" t="s">
        <v>1529</v>
      </c>
      <c r="D743" s="206">
        <v>400</v>
      </c>
      <c r="E743" s="206">
        <v>2595.6057624578748</v>
      </c>
      <c r="F743" s="206">
        <v>27007.699886683899</v>
      </c>
      <c r="G743" s="206">
        <v>6.6467029999999996</v>
      </c>
      <c r="H743" s="206" t="s">
        <v>771</v>
      </c>
      <c r="I743" s="206">
        <v>0.62</v>
      </c>
      <c r="J743" s="206"/>
      <c r="K743" s="206">
        <v>3</v>
      </c>
      <c r="L743" s="206" t="s">
        <v>454</v>
      </c>
      <c r="M743" s="206" t="s">
        <v>413</v>
      </c>
      <c r="N743" s="206" t="s">
        <v>773</v>
      </c>
      <c r="O743" s="206" t="s">
        <v>800</v>
      </c>
    </row>
    <row r="744" spans="3:15" x14ac:dyDescent="0.25">
      <c r="C744" s="206" t="s">
        <v>1530</v>
      </c>
      <c r="D744" s="206">
        <v>125</v>
      </c>
      <c r="E744" s="206">
        <v>6884.1272744108492</v>
      </c>
      <c r="F744" s="206">
        <v>1523.083984375</v>
      </c>
      <c r="G744" s="206">
        <v>24.879356000000001</v>
      </c>
      <c r="H744" s="206" t="s">
        <v>771</v>
      </c>
      <c r="I744" s="206">
        <v>0.85570416941072858</v>
      </c>
      <c r="J744" s="206"/>
      <c r="K744" s="206">
        <v>3</v>
      </c>
      <c r="L744" s="206" t="s">
        <v>454</v>
      </c>
      <c r="M744" s="206" t="s">
        <v>413</v>
      </c>
      <c r="N744" s="206" t="s">
        <v>773</v>
      </c>
      <c r="O744" s="206" t="s">
        <v>805</v>
      </c>
    </row>
    <row r="745" spans="3:15" x14ac:dyDescent="0.25">
      <c r="C745" s="206" t="s">
        <v>1531</v>
      </c>
      <c r="D745" s="206">
        <v>200</v>
      </c>
      <c r="E745" s="206">
        <v>1574.8572076221776</v>
      </c>
      <c r="F745" s="206">
        <v>5825.9935531513001</v>
      </c>
      <c r="G745" s="206">
        <v>4.8006120000000001</v>
      </c>
      <c r="H745" s="206" t="s">
        <v>771</v>
      </c>
      <c r="I745" s="206">
        <v>1</v>
      </c>
      <c r="J745" s="206"/>
      <c r="K745" s="206">
        <v>3</v>
      </c>
      <c r="L745" s="206" t="s">
        <v>454</v>
      </c>
      <c r="M745" s="206" t="s">
        <v>791</v>
      </c>
      <c r="N745" s="206" t="s">
        <v>773</v>
      </c>
      <c r="O745" s="206" t="s">
        <v>800</v>
      </c>
    </row>
    <row r="746" spans="3:15" x14ac:dyDescent="0.25">
      <c r="C746" s="206" t="s">
        <v>1532</v>
      </c>
      <c r="D746" s="206">
        <v>80</v>
      </c>
      <c r="E746" s="206">
        <v>4962.7938059883609</v>
      </c>
      <c r="F746" s="206">
        <v>807.17686956620298</v>
      </c>
      <c r="G746" s="206">
        <v>19.75085</v>
      </c>
      <c r="H746" s="206" t="s">
        <v>771</v>
      </c>
      <c r="I746" s="206">
        <v>0.66</v>
      </c>
      <c r="J746" s="206"/>
      <c r="K746" s="206">
        <v>3</v>
      </c>
      <c r="L746" s="206" t="s">
        <v>454</v>
      </c>
      <c r="M746" s="206" t="s">
        <v>791</v>
      </c>
      <c r="N746" s="206" t="s">
        <v>773</v>
      </c>
      <c r="O746" s="206" t="s">
        <v>800</v>
      </c>
    </row>
    <row r="747" spans="3:15" x14ac:dyDescent="0.25">
      <c r="C747" s="206" t="s">
        <v>1533</v>
      </c>
      <c r="D747" s="206">
        <v>50</v>
      </c>
      <c r="E747" s="206">
        <v>1114.6856606713957</v>
      </c>
      <c r="F747" s="206">
        <v>194.396395330084</v>
      </c>
      <c r="G747" s="206">
        <v>5.729927</v>
      </c>
      <c r="H747" s="206" t="s">
        <v>771</v>
      </c>
      <c r="I747" s="206">
        <v>0.7</v>
      </c>
      <c r="J747" s="206"/>
      <c r="K747" s="206">
        <v>3</v>
      </c>
      <c r="L747" s="206" t="s">
        <v>454</v>
      </c>
      <c r="M747" s="206" t="s">
        <v>772</v>
      </c>
      <c r="N747" s="206" t="s">
        <v>773</v>
      </c>
      <c r="O747" s="206" t="s">
        <v>774</v>
      </c>
    </row>
    <row r="748" spans="3:15" x14ac:dyDescent="0.25">
      <c r="C748" s="206" t="s">
        <v>1534</v>
      </c>
      <c r="D748" s="206">
        <v>40</v>
      </c>
      <c r="E748" s="206">
        <v>192.9034131716692</v>
      </c>
      <c r="F748" s="206">
        <v>100.29582977294901</v>
      </c>
      <c r="G748" s="206">
        <v>1.1399007999999999</v>
      </c>
      <c r="H748" s="206" t="s">
        <v>771</v>
      </c>
      <c r="I748" s="206">
        <v>1</v>
      </c>
      <c r="J748" s="206"/>
      <c r="K748" s="206">
        <v>3</v>
      </c>
      <c r="L748" s="206" t="s">
        <v>454</v>
      </c>
      <c r="M748" s="206" t="s">
        <v>791</v>
      </c>
      <c r="N748" s="206" t="s">
        <v>773</v>
      </c>
      <c r="O748" s="206" t="s">
        <v>792</v>
      </c>
    </row>
    <row r="749" spans="3:15" x14ac:dyDescent="0.25">
      <c r="C749" s="206" t="s">
        <v>1535</v>
      </c>
      <c r="D749" s="206">
        <v>150</v>
      </c>
      <c r="E749" s="206">
        <v>4774.2271035970753</v>
      </c>
      <c r="F749" s="206">
        <v>3530.03561769525</v>
      </c>
      <c r="G749" s="206">
        <v>15.422233</v>
      </c>
      <c r="H749" s="206" t="s">
        <v>771</v>
      </c>
      <c r="I749" s="206">
        <v>0.63</v>
      </c>
      <c r="J749" s="206"/>
      <c r="K749" s="206">
        <v>3</v>
      </c>
      <c r="L749" s="206" t="s">
        <v>454</v>
      </c>
      <c r="M749" s="206" t="s">
        <v>413</v>
      </c>
      <c r="N749" s="206" t="s">
        <v>773</v>
      </c>
      <c r="O749" s="206" t="s">
        <v>800</v>
      </c>
    </row>
    <row r="750" spans="3:15" x14ac:dyDescent="0.25">
      <c r="C750" s="206" t="s">
        <v>1536</v>
      </c>
      <c r="D750" s="206">
        <v>50</v>
      </c>
      <c r="E750" s="206">
        <v>1323.1412852994986</v>
      </c>
      <c r="F750" s="206">
        <v>194.396395330084</v>
      </c>
      <c r="G750" s="206">
        <v>6.8014716999999996</v>
      </c>
      <c r="H750" s="206" t="s">
        <v>771</v>
      </c>
      <c r="I750" s="206">
        <v>0.7</v>
      </c>
      <c r="J750" s="206"/>
      <c r="K750" s="206">
        <v>3</v>
      </c>
      <c r="L750" s="206" t="s">
        <v>454</v>
      </c>
      <c r="M750" s="206" t="s">
        <v>772</v>
      </c>
      <c r="N750" s="206" t="s">
        <v>773</v>
      </c>
      <c r="O750" s="206" t="s">
        <v>774</v>
      </c>
    </row>
    <row r="751" spans="3:15" x14ac:dyDescent="0.25">
      <c r="C751" s="206" t="s">
        <v>1537</v>
      </c>
      <c r="D751" s="206">
        <v>80</v>
      </c>
      <c r="E751" s="206">
        <v>1673.7012679474944</v>
      </c>
      <c r="F751" s="206">
        <v>562.93208777304994</v>
      </c>
      <c r="G751" s="206">
        <v>7.0684250000000004</v>
      </c>
      <c r="H751" s="206" t="s">
        <v>771</v>
      </c>
      <c r="I751" s="206">
        <v>0.65</v>
      </c>
      <c r="J751" s="206"/>
      <c r="K751" s="206">
        <v>3</v>
      </c>
      <c r="L751" s="206" t="s">
        <v>454</v>
      </c>
      <c r="M751" s="206" t="s">
        <v>772</v>
      </c>
      <c r="N751" s="206" t="s">
        <v>773</v>
      </c>
      <c r="O751" s="206" t="s">
        <v>774</v>
      </c>
    </row>
    <row r="752" spans="3:15" x14ac:dyDescent="0.25">
      <c r="C752" s="206" t="s">
        <v>1538</v>
      </c>
      <c r="D752" s="206">
        <v>80</v>
      </c>
      <c r="E752" s="206">
        <v>1549.4611176063179</v>
      </c>
      <c r="F752" s="206">
        <v>562.93208777304994</v>
      </c>
      <c r="G752" s="206">
        <v>6.5437303</v>
      </c>
      <c r="H752" s="206" t="s">
        <v>771</v>
      </c>
      <c r="I752" s="206">
        <v>0.65</v>
      </c>
      <c r="J752" s="206"/>
      <c r="K752" s="206">
        <v>3</v>
      </c>
      <c r="L752" s="206" t="s">
        <v>454</v>
      </c>
      <c r="M752" s="206" t="s">
        <v>772</v>
      </c>
      <c r="N752" s="206" t="s">
        <v>773</v>
      </c>
      <c r="O752" s="206" t="s">
        <v>774</v>
      </c>
    </row>
    <row r="753" spans="3:15" x14ac:dyDescent="0.25">
      <c r="C753" s="206" t="s">
        <v>1539</v>
      </c>
      <c r="D753" s="206">
        <v>20</v>
      </c>
      <c r="E753" s="206">
        <v>5489.7025778275902</v>
      </c>
      <c r="F753" s="206">
        <v>3.8133547391430702</v>
      </c>
      <c r="G753" s="206">
        <v>46.888286999999998</v>
      </c>
      <c r="H753" s="206" t="s">
        <v>771</v>
      </c>
      <c r="I753" s="206">
        <v>1</v>
      </c>
      <c r="J753" s="206"/>
      <c r="K753" s="206">
        <v>3</v>
      </c>
      <c r="L753" s="206" t="s">
        <v>454</v>
      </c>
      <c r="M753" s="206" t="s">
        <v>413</v>
      </c>
      <c r="N753" s="206" t="s">
        <v>776</v>
      </c>
      <c r="O753" s="206" t="s">
        <v>776</v>
      </c>
    </row>
    <row r="754" spans="3:15" x14ac:dyDescent="0.25">
      <c r="C754" s="206" t="s">
        <v>1540</v>
      </c>
      <c r="D754" s="206">
        <v>40</v>
      </c>
      <c r="E754" s="206">
        <v>1993.3520343188341</v>
      </c>
      <c r="F754" s="206">
        <v>100.29582977294901</v>
      </c>
      <c r="G754" s="206">
        <v>11.779074</v>
      </c>
      <c r="H754" s="206" t="s">
        <v>771</v>
      </c>
      <c r="I754" s="206">
        <v>1</v>
      </c>
      <c r="J754" s="206" t="s">
        <v>795</v>
      </c>
      <c r="K754" s="206"/>
      <c r="L754" s="206"/>
      <c r="M754" s="206"/>
      <c r="N754" s="206"/>
      <c r="O754" s="206"/>
    </row>
    <row r="755" spans="3:15" x14ac:dyDescent="0.25">
      <c r="C755" s="206" t="s">
        <v>1541</v>
      </c>
      <c r="D755" s="206">
        <v>65</v>
      </c>
      <c r="E755" s="206">
        <v>713.11833981903305</v>
      </c>
      <c r="F755" s="206">
        <v>316.28182983398398</v>
      </c>
      <c r="G755" s="206">
        <v>3.3424005999999999</v>
      </c>
      <c r="H755" s="206" t="s">
        <v>771</v>
      </c>
      <c r="I755" s="206">
        <v>0.75000000000000089</v>
      </c>
      <c r="J755" s="206"/>
      <c r="K755" s="206">
        <v>3</v>
      </c>
      <c r="L755" s="206" t="s">
        <v>454</v>
      </c>
      <c r="M755" s="206" t="s">
        <v>413</v>
      </c>
      <c r="N755" s="206" t="s">
        <v>776</v>
      </c>
      <c r="O755" s="206" t="s">
        <v>776</v>
      </c>
    </row>
    <row r="756" spans="3:15" x14ac:dyDescent="0.25">
      <c r="C756" s="206" t="s">
        <v>1542</v>
      </c>
      <c r="D756" s="206">
        <v>200</v>
      </c>
      <c r="E756" s="206">
        <v>1394.5450056038108</v>
      </c>
      <c r="F756" s="206">
        <v>5647.44771793778</v>
      </c>
      <c r="G756" s="206">
        <v>4.2647861999999996</v>
      </c>
      <c r="H756" s="206" t="s">
        <v>771</v>
      </c>
      <c r="I756" s="206">
        <v>1</v>
      </c>
      <c r="J756" s="206"/>
      <c r="K756" s="206">
        <v>3</v>
      </c>
      <c r="L756" s="206" t="s">
        <v>454</v>
      </c>
      <c r="M756" s="206" t="s">
        <v>413</v>
      </c>
      <c r="N756" s="206" t="s">
        <v>773</v>
      </c>
      <c r="O756" s="206" t="s">
        <v>774</v>
      </c>
    </row>
    <row r="757" spans="3:15" x14ac:dyDescent="0.25">
      <c r="C757" s="206" t="s">
        <v>1543</v>
      </c>
      <c r="D757" s="206">
        <v>25</v>
      </c>
      <c r="E757" s="206">
        <v>285.76896452624715</v>
      </c>
      <c r="F757" s="206">
        <v>31.4380187988281</v>
      </c>
      <c r="G757" s="206">
        <v>2.2862613000000001</v>
      </c>
      <c r="H757" s="206" t="s">
        <v>771</v>
      </c>
      <c r="I757" s="206">
        <v>0.81000000000030525</v>
      </c>
      <c r="J757" s="206"/>
      <c r="K757" s="206">
        <v>3</v>
      </c>
      <c r="L757" s="206" t="s">
        <v>454</v>
      </c>
      <c r="M757" s="206" t="s">
        <v>791</v>
      </c>
      <c r="N757" s="206" t="s">
        <v>773</v>
      </c>
      <c r="O757" s="206" t="s">
        <v>800</v>
      </c>
    </row>
    <row r="758" spans="3:15" x14ac:dyDescent="0.25">
      <c r="C758" s="206" t="s">
        <v>1544</v>
      </c>
      <c r="D758" s="206">
        <v>200</v>
      </c>
      <c r="E758" s="206">
        <v>2050.8630550260059</v>
      </c>
      <c r="F758" s="206">
        <v>5825.9935531513001</v>
      </c>
      <c r="G758" s="206">
        <v>6.2516129999999999</v>
      </c>
      <c r="H758" s="206" t="s">
        <v>771</v>
      </c>
      <c r="I758" s="206">
        <v>1</v>
      </c>
      <c r="J758" s="206"/>
      <c r="K758" s="206">
        <v>3</v>
      </c>
      <c r="L758" s="206" t="s">
        <v>454</v>
      </c>
      <c r="M758" s="206" t="s">
        <v>791</v>
      </c>
      <c r="N758" s="206" t="s">
        <v>773</v>
      </c>
      <c r="O758" s="206" t="s">
        <v>800</v>
      </c>
    </row>
    <row r="759" spans="3:15" x14ac:dyDescent="0.25">
      <c r="C759" s="206" t="s">
        <v>1545</v>
      </c>
      <c r="D759" s="206">
        <v>25</v>
      </c>
      <c r="E759" s="206">
        <v>584.84458162196881</v>
      </c>
      <c r="F759" s="206">
        <v>25.546085357666001</v>
      </c>
      <c r="G759" s="206">
        <v>4.9418199999999999</v>
      </c>
      <c r="H759" s="206" t="s">
        <v>771</v>
      </c>
      <c r="I759" s="206">
        <v>0.81000000000011196</v>
      </c>
      <c r="J759" s="206"/>
      <c r="K759" s="206">
        <v>3</v>
      </c>
      <c r="L759" s="206" t="s">
        <v>454</v>
      </c>
      <c r="M759" s="206" t="s">
        <v>772</v>
      </c>
      <c r="N759" s="206" t="s">
        <v>773</v>
      </c>
      <c r="O759" s="206" t="s">
        <v>774</v>
      </c>
    </row>
    <row r="760" spans="3:15" x14ac:dyDescent="0.25">
      <c r="C760" s="206" t="s">
        <v>1546</v>
      </c>
      <c r="D760" s="206">
        <v>200</v>
      </c>
      <c r="E760" s="206">
        <v>1855.9165805335854</v>
      </c>
      <c r="F760" s="206">
        <v>5647.44771793778</v>
      </c>
      <c r="G760" s="206">
        <v>5.6757489999999997</v>
      </c>
      <c r="H760" s="206" t="s">
        <v>771</v>
      </c>
      <c r="I760" s="206">
        <v>1</v>
      </c>
      <c r="J760" s="206"/>
      <c r="K760" s="206">
        <v>3</v>
      </c>
      <c r="L760" s="206" t="s">
        <v>454</v>
      </c>
      <c r="M760" s="206" t="s">
        <v>413</v>
      </c>
      <c r="N760" s="206" t="s">
        <v>773</v>
      </c>
      <c r="O760" s="206" t="s">
        <v>788</v>
      </c>
    </row>
    <row r="761" spans="3:15" x14ac:dyDescent="0.25">
      <c r="C761" s="206" t="s">
        <v>1547</v>
      </c>
      <c r="D761" s="206">
        <v>150</v>
      </c>
      <c r="E761" s="206">
        <v>9884.7221467394666</v>
      </c>
      <c r="F761" s="206">
        <v>3402.5771484375</v>
      </c>
      <c r="G761" s="206">
        <v>32.092551999999998</v>
      </c>
      <c r="H761" s="206" t="s">
        <v>771</v>
      </c>
      <c r="I761" s="206">
        <v>0.92659414797524686</v>
      </c>
      <c r="J761" s="206"/>
      <c r="K761" s="206">
        <v>3</v>
      </c>
      <c r="L761" s="206" t="s">
        <v>454</v>
      </c>
      <c r="M761" s="206" t="s">
        <v>791</v>
      </c>
      <c r="N761" s="206" t="s">
        <v>773</v>
      </c>
      <c r="O761" s="206" t="s">
        <v>800</v>
      </c>
    </row>
    <row r="762" spans="3:15" x14ac:dyDescent="0.25">
      <c r="C762" s="206" t="s">
        <v>1548</v>
      </c>
      <c r="D762" s="206">
        <v>50</v>
      </c>
      <c r="E762" s="206">
        <v>943.16926656482485</v>
      </c>
      <c r="F762" s="206">
        <v>148.388475348707</v>
      </c>
      <c r="G762" s="206">
        <v>5.0822716000000003</v>
      </c>
      <c r="H762" s="206" t="s">
        <v>771</v>
      </c>
      <c r="I762" s="206">
        <v>0.65</v>
      </c>
      <c r="J762" s="206"/>
      <c r="K762" s="206">
        <v>3</v>
      </c>
      <c r="L762" s="206" t="s">
        <v>454</v>
      </c>
      <c r="M762" s="206" t="s">
        <v>413</v>
      </c>
      <c r="N762" s="206" t="s">
        <v>773</v>
      </c>
      <c r="O762" s="206" t="s">
        <v>805</v>
      </c>
    </row>
    <row r="763" spans="3:15" x14ac:dyDescent="0.25">
      <c r="C763" s="206" t="s">
        <v>1549</v>
      </c>
      <c r="D763" s="206">
        <v>200</v>
      </c>
      <c r="E763" s="206">
        <v>398.10542821754507</v>
      </c>
      <c r="F763" s="206">
        <v>5825.9935531513001</v>
      </c>
      <c r="G763" s="206">
        <v>1.2135384</v>
      </c>
      <c r="H763" s="206" t="s">
        <v>771</v>
      </c>
      <c r="I763" s="206">
        <v>1</v>
      </c>
      <c r="J763" s="206"/>
      <c r="K763" s="206">
        <v>3</v>
      </c>
      <c r="L763" s="206" t="s">
        <v>454</v>
      </c>
      <c r="M763" s="206" t="s">
        <v>791</v>
      </c>
      <c r="N763" s="206" t="s">
        <v>773</v>
      </c>
      <c r="O763" s="206" t="s">
        <v>800</v>
      </c>
    </row>
    <row r="764" spans="3:15" x14ac:dyDescent="0.25">
      <c r="C764" s="206" t="s">
        <v>1550</v>
      </c>
      <c r="D764" s="206">
        <v>400</v>
      </c>
      <c r="E764" s="206">
        <v>5852.6480522146348</v>
      </c>
      <c r="F764" s="206">
        <v>27007.699886683899</v>
      </c>
      <c r="G764" s="206">
        <v>14.987181</v>
      </c>
      <c r="H764" s="206" t="s">
        <v>771</v>
      </c>
      <c r="I764" s="206">
        <v>0.62</v>
      </c>
      <c r="J764" s="206"/>
      <c r="K764" s="206">
        <v>3</v>
      </c>
      <c r="L764" s="206" t="s">
        <v>454</v>
      </c>
      <c r="M764" s="206" t="s">
        <v>791</v>
      </c>
      <c r="N764" s="206" t="s">
        <v>773</v>
      </c>
      <c r="O764" s="206" t="s">
        <v>800</v>
      </c>
    </row>
    <row r="765" spans="3:15" x14ac:dyDescent="0.25">
      <c r="C765" s="206" t="s">
        <v>1551</v>
      </c>
      <c r="D765" s="206">
        <v>80</v>
      </c>
      <c r="E765" s="206">
        <v>1344.1621048174661</v>
      </c>
      <c r="F765" s="206">
        <v>562.93208777304994</v>
      </c>
      <c r="G765" s="206">
        <v>5.6767054000000003</v>
      </c>
      <c r="H765" s="206" t="s">
        <v>771</v>
      </c>
      <c r="I765" s="206">
        <v>0.65</v>
      </c>
      <c r="J765" s="206"/>
      <c r="K765" s="206">
        <v>3</v>
      </c>
      <c r="L765" s="206" t="s">
        <v>454</v>
      </c>
      <c r="M765" s="206" t="s">
        <v>772</v>
      </c>
      <c r="N765" s="206" t="s">
        <v>773</v>
      </c>
      <c r="O765" s="206" t="s">
        <v>774</v>
      </c>
    </row>
    <row r="766" spans="3:15" x14ac:dyDescent="0.25">
      <c r="C766" s="206" t="s">
        <v>1552</v>
      </c>
      <c r="D766" s="206">
        <v>40</v>
      </c>
      <c r="E766" s="206">
        <v>1071.0637788838981</v>
      </c>
      <c r="F766" s="206">
        <v>83.601570015664905</v>
      </c>
      <c r="G766" s="206">
        <v>5.9806976000000001</v>
      </c>
      <c r="H766" s="206" t="s">
        <v>771</v>
      </c>
      <c r="I766" s="206">
        <v>0.81</v>
      </c>
      <c r="J766" s="206"/>
      <c r="K766" s="206">
        <v>3</v>
      </c>
      <c r="L766" s="206" t="s">
        <v>454</v>
      </c>
      <c r="M766" s="206" t="s">
        <v>791</v>
      </c>
      <c r="N766" s="206" t="s">
        <v>773</v>
      </c>
      <c r="O766" s="206" t="s">
        <v>792</v>
      </c>
    </row>
    <row r="767" spans="3:15" x14ac:dyDescent="0.25">
      <c r="C767" s="206" t="s">
        <v>1553</v>
      </c>
      <c r="D767" s="206">
        <v>65</v>
      </c>
      <c r="E767" s="206">
        <v>220.26245545560596</v>
      </c>
      <c r="F767" s="206">
        <v>491.91031249461201</v>
      </c>
      <c r="G767" s="206">
        <v>0.94978636999999999</v>
      </c>
      <c r="H767" s="206" t="s">
        <v>771</v>
      </c>
      <c r="I767" s="206">
        <v>0.64</v>
      </c>
      <c r="J767" s="206"/>
      <c r="K767" s="206">
        <v>3</v>
      </c>
      <c r="L767" s="206" t="s">
        <v>454</v>
      </c>
      <c r="M767" s="206" t="s">
        <v>772</v>
      </c>
      <c r="N767" s="206" t="s">
        <v>773</v>
      </c>
      <c r="O767" s="206" t="s">
        <v>774</v>
      </c>
    </row>
    <row r="768" spans="3:15" x14ac:dyDescent="0.25">
      <c r="C768" s="206" t="s">
        <v>1554</v>
      </c>
      <c r="D768" s="206">
        <v>400</v>
      </c>
      <c r="E768" s="206">
        <v>946.1180303532368</v>
      </c>
      <c r="F768" s="206">
        <v>27339.509060267901</v>
      </c>
      <c r="G768" s="206">
        <v>2.4201796</v>
      </c>
      <c r="H768" s="206" t="s">
        <v>771</v>
      </c>
      <c r="I768" s="206">
        <v>0.62</v>
      </c>
      <c r="J768" s="206"/>
      <c r="K768" s="206">
        <v>3</v>
      </c>
      <c r="L768" s="206" t="s">
        <v>454</v>
      </c>
      <c r="M768" s="206" t="s">
        <v>782</v>
      </c>
      <c r="N768" s="206" t="s">
        <v>776</v>
      </c>
      <c r="O768" s="206" t="s">
        <v>776</v>
      </c>
    </row>
    <row r="769" spans="3:15" x14ac:dyDescent="0.25">
      <c r="C769" s="206" t="s">
        <v>1555</v>
      </c>
      <c r="D769" s="206">
        <v>20</v>
      </c>
      <c r="E769" s="206">
        <v>1068.7045141619674</v>
      </c>
      <c r="F769" s="206">
        <v>2.91598506120499</v>
      </c>
      <c r="G769" s="206">
        <v>7.1958979999999997</v>
      </c>
      <c r="H769" s="206" t="s">
        <v>771</v>
      </c>
      <c r="I769" s="206">
        <v>1</v>
      </c>
      <c r="J769" s="206"/>
      <c r="K769" s="206">
        <v>3</v>
      </c>
      <c r="L769" s="206" t="s">
        <v>454</v>
      </c>
      <c r="M769" s="206" t="s">
        <v>772</v>
      </c>
      <c r="N769" s="206" t="s">
        <v>773</v>
      </c>
      <c r="O769" s="206" t="s">
        <v>774</v>
      </c>
    </row>
    <row r="770" spans="3:15" x14ac:dyDescent="0.25">
      <c r="C770" s="206" t="s">
        <v>1556</v>
      </c>
      <c r="D770" s="206">
        <v>80</v>
      </c>
      <c r="E770" s="206">
        <v>1458.9183524823418</v>
      </c>
      <c r="F770" s="206">
        <v>562.93208777304994</v>
      </c>
      <c r="G770" s="206">
        <v>6.1613474000000004</v>
      </c>
      <c r="H770" s="206" t="s">
        <v>771</v>
      </c>
      <c r="I770" s="206">
        <v>0.65</v>
      </c>
      <c r="J770" s="206"/>
      <c r="K770" s="206">
        <v>3</v>
      </c>
      <c r="L770" s="206" t="s">
        <v>454</v>
      </c>
      <c r="M770" s="206" t="s">
        <v>772</v>
      </c>
      <c r="N770" s="206" t="s">
        <v>773</v>
      </c>
      <c r="O770" s="206" t="s">
        <v>774</v>
      </c>
    </row>
    <row r="771" spans="3:15" x14ac:dyDescent="0.25">
      <c r="C771" s="206" t="s">
        <v>1557</v>
      </c>
      <c r="D771" s="206">
        <v>80</v>
      </c>
      <c r="E771" s="206">
        <v>1565.7880137480656</v>
      </c>
      <c r="F771" s="206">
        <v>610.56615022576898</v>
      </c>
      <c r="G771" s="206">
        <v>6.5962810000000003</v>
      </c>
      <c r="H771" s="206" t="s">
        <v>771</v>
      </c>
      <c r="I771" s="206">
        <v>0.67</v>
      </c>
      <c r="J771" s="206"/>
      <c r="K771" s="206">
        <v>3</v>
      </c>
      <c r="L771" s="206" t="s">
        <v>454</v>
      </c>
      <c r="M771" s="206" t="s">
        <v>772</v>
      </c>
      <c r="N771" s="206" t="s">
        <v>773</v>
      </c>
      <c r="O771" s="206" t="s">
        <v>774</v>
      </c>
    </row>
    <row r="772" spans="3:15" x14ac:dyDescent="0.25">
      <c r="C772" s="206" t="s">
        <v>1558</v>
      </c>
      <c r="D772" s="206">
        <v>20</v>
      </c>
      <c r="E772" s="206">
        <v>1683.3402321258652</v>
      </c>
      <c r="F772" s="206">
        <v>2.5387595042702702</v>
      </c>
      <c r="G772" s="206">
        <v>14.377635</v>
      </c>
      <c r="H772" s="206" t="s">
        <v>771</v>
      </c>
      <c r="I772" s="206">
        <v>1</v>
      </c>
      <c r="J772" s="206"/>
      <c r="K772" s="206">
        <v>3</v>
      </c>
      <c r="L772" s="206" t="s">
        <v>454</v>
      </c>
      <c r="M772" s="206" t="s">
        <v>413</v>
      </c>
      <c r="N772" s="206" t="s">
        <v>773</v>
      </c>
      <c r="O772" s="206" t="s">
        <v>805</v>
      </c>
    </row>
    <row r="773" spans="3:15" x14ac:dyDescent="0.25">
      <c r="C773" s="206" t="s">
        <v>1559</v>
      </c>
      <c r="D773" s="206">
        <v>40</v>
      </c>
      <c r="E773" s="206">
        <v>331.22692624648931</v>
      </c>
      <c r="F773" s="206">
        <v>100.29582977294901</v>
      </c>
      <c r="G773" s="206">
        <v>1.9572792000000001</v>
      </c>
      <c r="H773" s="206" t="s">
        <v>771</v>
      </c>
      <c r="I773" s="206">
        <v>1</v>
      </c>
      <c r="J773" s="206"/>
      <c r="K773" s="206">
        <v>3</v>
      </c>
      <c r="L773" s="206" t="s">
        <v>454</v>
      </c>
      <c r="M773" s="206" t="s">
        <v>791</v>
      </c>
      <c r="N773" s="206" t="s">
        <v>773</v>
      </c>
      <c r="O773" s="206" t="s">
        <v>792</v>
      </c>
    </row>
    <row r="774" spans="3:15" x14ac:dyDescent="0.25">
      <c r="C774" s="206" t="s">
        <v>1560</v>
      </c>
      <c r="D774" s="206">
        <v>20</v>
      </c>
      <c r="E774" s="206">
        <v>222.354863512874</v>
      </c>
      <c r="F774" s="206">
        <v>2.91598506120499</v>
      </c>
      <c r="G774" s="206">
        <v>1.4971798999999999</v>
      </c>
      <c r="H774" s="206" t="s">
        <v>771</v>
      </c>
      <c r="I774" s="206">
        <v>1</v>
      </c>
      <c r="J774" s="206"/>
      <c r="K774" s="206">
        <v>3</v>
      </c>
      <c r="L774" s="206" t="s">
        <v>454</v>
      </c>
      <c r="M774" s="206" t="s">
        <v>772</v>
      </c>
      <c r="N774" s="206" t="s">
        <v>773</v>
      </c>
      <c r="O774" s="206" t="s">
        <v>774</v>
      </c>
    </row>
    <row r="775" spans="3:15" x14ac:dyDescent="0.25">
      <c r="C775" s="206" t="s">
        <v>1561</v>
      </c>
      <c r="D775" s="206">
        <v>80</v>
      </c>
      <c r="E775" s="206">
        <v>917.4636955525566</v>
      </c>
      <c r="F775" s="206">
        <v>679.71806616464198</v>
      </c>
      <c r="G775" s="206">
        <v>3.7645515999999999</v>
      </c>
      <c r="H775" s="206" t="s">
        <v>771</v>
      </c>
      <c r="I775" s="206">
        <v>0.67</v>
      </c>
      <c r="J775" s="206"/>
      <c r="K775" s="206">
        <v>3</v>
      </c>
      <c r="L775" s="206" t="s">
        <v>454</v>
      </c>
      <c r="M775" s="206" t="s">
        <v>791</v>
      </c>
      <c r="N775" s="206" t="s">
        <v>773</v>
      </c>
      <c r="O775" s="206" t="s">
        <v>792</v>
      </c>
    </row>
    <row r="776" spans="3:15" x14ac:dyDescent="0.25">
      <c r="C776" s="206" t="s">
        <v>1562</v>
      </c>
      <c r="D776" s="206">
        <v>125</v>
      </c>
      <c r="E776" s="206">
        <v>1408.9173033749446</v>
      </c>
      <c r="F776" s="206">
        <v>1523.083984375</v>
      </c>
      <c r="G776" s="206">
        <v>5.0918517000000003</v>
      </c>
      <c r="H776" s="206" t="s">
        <v>771</v>
      </c>
      <c r="I776" s="206">
        <v>0.80547730167345055</v>
      </c>
      <c r="J776" s="206"/>
      <c r="K776" s="206">
        <v>3</v>
      </c>
      <c r="L776" s="206" t="s">
        <v>454</v>
      </c>
      <c r="M776" s="206" t="s">
        <v>413</v>
      </c>
      <c r="N776" s="206" t="s">
        <v>773</v>
      </c>
      <c r="O776" s="206" t="s">
        <v>774</v>
      </c>
    </row>
    <row r="777" spans="3:15" x14ac:dyDescent="0.25">
      <c r="C777" s="206" t="s">
        <v>1563</v>
      </c>
      <c r="D777" s="206">
        <v>20</v>
      </c>
      <c r="E777" s="206">
        <v>5364.0316819092131</v>
      </c>
      <c r="F777" s="206">
        <v>6.1871053006503001</v>
      </c>
      <c r="G777" s="206">
        <v>45.814914999999999</v>
      </c>
      <c r="H777" s="206" t="s">
        <v>771</v>
      </c>
      <c r="I777" s="206">
        <v>1</v>
      </c>
      <c r="J777" s="206"/>
      <c r="K777" s="206">
        <v>3</v>
      </c>
      <c r="L777" s="206" t="s">
        <v>454</v>
      </c>
      <c r="M777" s="206" t="s">
        <v>413</v>
      </c>
      <c r="N777" s="206" t="s">
        <v>776</v>
      </c>
      <c r="O777" s="206" t="s">
        <v>776</v>
      </c>
    </row>
    <row r="778" spans="3:15" x14ac:dyDescent="0.25">
      <c r="C778" s="206" t="s">
        <v>1564</v>
      </c>
      <c r="D778" s="206">
        <v>50</v>
      </c>
      <c r="E778" s="206">
        <v>441.0413108515674</v>
      </c>
      <c r="F778" s="206">
        <v>194.396395330084</v>
      </c>
      <c r="G778" s="206">
        <v>2.2671275</v>
      </c>
      <c r="H778" s="206" t="s">
        <v>771</v>
      </c>
      <c r="I778" s="206">
        <v>0.7</v>
      </c>
      <c r="J778" s="206"/>
      <c r="K778" s="206">
        <v>3</v>
      </c>
      <c r="L778" s="206" t="s">
        <v>454</v>
      </c>
      <c r="M778" s="206" t="s">
        <v>772</v>
      </c>
      <c r="N778" s="206" t="s">
        <v>773</v>
      </c>
      <c r="O778" s="206" t="s">
        <v>774</v>
      </c>
    </row>
    <row r="779" spans="3:15" x14ac:dyDescent="0.25">
      <c r="C779" s="206" t="s">
        <v>1565</v>
      </c>
      <c r="D779" s="206">
        <v>50</v>
      </c>
      <c r="E779" s="206">
        <v>2100.3637797328829</v>
      </c>
      <c r="F779" s="206">
        <v>194.396395330084</v>
      </c>
      <c r="G779" s="206">
        <v>10.796704</v>
      </c>
      <c r="H779" s="206" t="s">
        <v>771</v>
      </c>
      <c r="I779" s="206">
        <v>0.7</v>
      </c>
      <c r="J779" s="206"/>
      <c r="K779" s="206">
        <v>3</v>
      </c>
      <c r="L779" s="206" t="s">
        <v>454</v>
      </c>
      <c r="M779" s="206" t="s">
        <v>772</v>
      </c>
      <c r="N779" s="206" t="s">
        <v>773</v>
      </c>
      <c r="O779" s="206" t="s">
        <v>774</v>
      </c>
    </row>
    <row r="780" spans="3:15" x14ac:dyDescent="0.25">
      <c r="C780" s="206" t="s">
        <v>1566</v>
      </c>
      <c r="D780" s="206">
        <v>25</v>
      </c>
      <c r="E780" s="206">
        <v>1312.0915727078575</v>
      </c>
      <c r="F780" s="206">
        <v>25.532529830932599</v>
      </c>
      <c r="G780" s="206">
        <v>11.088345</v>
      </c>
      <c r="H780" s="206" t="s">
        <v>771</v>
      </c>
      <c r="I780" s="206">
        <v>1</v>
      </c>
      <c r="J780" s="206" t="s">
        <v>795</v>
      </c>
      <c r="K780" s="206"/>
      <c r="L780" s="206"/>
      <c r="M780" s="206"/>
      <c r="N780" s="206"/>
      <c r="O780" s="206"/>
    </row>
    <row r="781" spans="3:15" x14ac:dyDescent="0.25">
      <c r="C781" s="206" t="s">
        <v>1567</v>
      </c>
      <c r="D781" s="206">
        <v>100</v>
      </c>
      <c r="E781" s="206">
        <v>4450.4597353516692</v>
      </c>
      <c r="F781" s="206">
        <v>962.60109389794502</v>
      </c>
      <c r="G781" s="206">
        <v>17.265232000000001</v>
      </c>
      <c r="H781" s="206" t="s">
        <v>771</v>
      </c>
      <c r="I781" s="206">
        <v>0.64</v>
      </c>
      <c r="J781" s="206"/>
      <c r="K781" s="206">
        <v>3</v>
      </c>
      <c r="L781" s="206" t="s">
        <v>454</v>
      </c>
      <c r="M781" s="206" t="s">
        <v>782</v>
      </c>
      <c r="N781" s="206" t="s">
        <v>776</v>
      </c>
      <c r="O781" s="206" t="s">
        <v>776</v>
      </c>
    </row>
    <row r="782" spans="3:15" x14ac:dyDescent="0.25">
      <c r="C782" s="206" t="s">
        <v>1568</v>
      </c>
      <c r="D782" s="206">
        <v>200</v>
      </c>
      <c r="E782" s="206">
        <v>11845.796599705645</v>
      </c>
      <c r="F782" s="206">
        <v>6106.5859375</v>
      </c>
      <c r="G782" s="206">
        <v>35.901069999999997</v>
      </c>
      <c r="H782" s="206" t="s">
        <v>771</v>
      </c>
      <c r="I782" s="206">
        <v>0.64</v>
      </c>
      <c r="J782" s="206"/>
      <c r="K782" s="206">
        <v>3</v>
      </c>
      <c r="L782" s="206" t="s">
        <v>454</v>
      </c>
      <c r="M782" s="206" t="s">
        <v>413</v>
      </c>
      <c r="N782" s="206" t="s">
        <v>773</v>
      </c>
      <c r="O782" s="206" t="s">
        <v>805</v>
      </c>
    </row>
    <row r="783" spans="3:15" x14ac:dyDescent="0.25">
      <c r="C783" s="206" t="s">
        <v>1569</v>
      </c>
      <c r="D783" s="206">
        <v>20</v>
      </c>
      <c r="E783" s="206">
        <v>619.43722352040754</v>
      </c>
      <c r="F783" s="206">
        <v>2.91598506120499</v>
      </c>
      <c r="G783" s="206">
        <v>4.1708508000000002</v>
      </c>
      <c r="H783" s="206" t="s">
        <v>771</v>
      </c>
      <c r="I783" s="206">
        <v>1</v>
      </c>
      <c r="J783" s="206"/>
      <c r="K783" s="206">
        <v>3</v>
      </c>
      <c r="L783" s="206" t="s">
        <v>454</v>
      </c>
      <c r="M783" s="206" t="s">
        <v>772</v>
      </c>
      <c r="N783" s="206" t="s">
        <v>773</v>
      </c>
      <c r="O783" s="206" t="s">
        <v>774</v>
      </c>
    </row>
    <row r="784" spans="3:15" x14ac:dyDescent="0.25">
      <c r="C784" s="206" t="s">
        <v>1570</v>
      </c>
      <c r="D784" s="206">
        <v>25</v>
      </c>
      <c r="E784" s="206">
        <v>191.74643398839245</v>
      </c>
      <c r="F784" s="206">
        <v>30.427696228027301</v>
      </c>
      <c r="G784" s="206">
        <v>1.5481646</v>
      </c>
      <c r="H784" s="206" t="s">
        <v>771</v>
      </c>
      <c r="I784" s="206">
        <v>1</v>
      </c>
      <c r="J784" s="206"/>
      <c r="K784" s="206">
        <v>3</v>
      </c>
      <c r="L784" s="206" t="s">
        <v>454</v>
      </c>
      <c r="M784" s="206" t="s">
        <v>772</v>
      </c>
      <c r="N784" s="206" t="s">
        <v>773</v>
      </c>
      <c r="O784" s="206" t="s">
        <v>774</v>
      </c>
    </row>
    <row r="785" spans="3:15" x14ac:dyDescent="0.25">
      <c r="C785" s="206" t="s">
        <v>1571</v>
      </c>
      <c r="D785" s="206">
        <v>100</v>
      </c>
      <c r="E785" s="206">
        <v>4554.9117545407862</v>
      </c>
      <c r="F785" s="206">
        <v>1483.19997479839</v>
      </c>
      <c r="G785" s="206">
        <v>16.560572000000001</v>
      </c>
      <c r="H785" s="206" t="s">
        <v>771</v>
      </c>
      <c r="I785" s="206">
        <v>1</v>
      </c>
      <c r="J785" s="206"/>
      <c r="K785" s="206">
        <v>3</v>
      </c>
      <c r="L785" s="206" t="s">
        <v>454</v>
      </c>
      <c r="M785" s="206" t="s">
        <v>810</v>
      </c>
      <c r="N785" s="206" t="s">
        <v>784</v>
      </c>
      <c r="O785" s="206" t="s">
        <v>800</v>
      </c>
    </row>
    <row r="786" spans="3:15" x14ac:dyDescent="0.25">
      <c r="C786" s="206" t="s">
        <v>1572</v>
      </c>
      <c r="D786" s="206">
        <v>200</v>
      </c>
      <c r="E786" s="206">
        <v>2026.4767444204656</v>
      </c>
      <c r="F786" s="206">
        <v>5825.9935531513001</v>
      </c>
      <c r="G786" s="206">
        <v>6.1772765999999999</v>
      </c>
      <c r="H786" s="206" t="s">
        <v>771</v>
      </c>
      <c r="I786" s="206">
        <v>1</v>
      </c>
      <c r="J786" s="206"/>
      <c r="K786" s="206">
        <v>3</v>
      </c>
      <c r="L786" s="206" t="s">
        <v>454</v>
      </c>
      <c r="M786" s="206" t="s">
        <v>791</v>
      </c>
      <c r="N786" s="206" t="s">
        <v>773</v>
      </c>
      <c r="O786" s="206" t="s">
        <v>800</v>
      </c>
    </row>
    <row r="787" spans="3:15" x14ac:dyDescent="0.25">
      <c r="C787" s="206" t="s">
        <v>1573</v>
      </c>
      <c r="D787" s="206">
        <v>25</v>
      </c>
      <c r="E787" s="206">
        <v>200.35453719334964</v>
      </c>
      <c r="F787" s="206">
        <v>30.427696228027301</v>
      </c>
      <c r="G787" s="206">
        <v>1.6176666</v>
      </c>
      <c r="H787" s="206" t="s">
        <v>771</v>
      </c>
      <c r="I787" s="206">
        <v>1</v>
      </c>
      <c r="J787" s="206"/>
      <c r="K787" s="206">
        <v>3</v>
      </c>
      <c r="L787" s="206" t="s">
        <v>454</v>
      </c>
      <c r="M787" s="206" t="s">
        <v>772</v>
      </c>
      <c r="N787" s="206" t="s">
        <v>773</v>
      </c>
      <c r="O787" s="206" t="s">
        <v>774</v>
      </c>
    </row>
    <row r="788" spans="3:15" x14ac:dyDescent="0.25">
      <c r="C788" s="206" t="s">
        <v>1574</v>
      </c>
      <c r="D788" s="206">
        <v>400</v>
      </c>
      <c r="E788" s="206">
        <v>22360.916622383484</v>
      </c>
      <c r="F788" s="206">
        <v>27007.699886683899</v>
      </c>
      <c r="G788" s="206">
        <v>57.260764999999999</v>
      </c>
      <c r="H788" s="206" t="s">
        <v>771</v>
      </c>
      <c r="I788" s="206">
        <v>0.62</v>
      </c>
      <c r="J788" s="206"/>
      <c r="K788" s="206">
        <v>3</v>
      </c>
      <c r="L788" s="206" t="s">
        <v>454</v>
      </c>
      <c r="M788" s="206" t="s">
        <v>791</v>
      </c>
      <c r="N788" s="206" t="s">
        <v>773</v>
      </c>
      <c r="O788" s="206" t="s">
        <v>800</v>
      </c>
    </row>
    <row r="789" spans="3:15" x14ac:dyDescent="0.25">
      <c r="C789" s="206" t="s">
        <v>1575</v>
      </c>
      <c r="D789" s="206">
        <v>65</v>
      </c>
      <c r="E789" s="206">
        <v>5937.5037936525059</v>
      </c>
      <c r="F789" s="206">
        <v>454.25784301757801</v>
      </c>
      <c r="G789" s="206">
        <v>26.049679999999999</v>
      </c>
      <c r="H789" s="206" t="s">
        <v>771</v>
      </c>
      <c r="I789" s="206">
        <v>1</v>
      </c>
      <c r="J789" s="206"/>
      <c r="K789" s="206">
        <v>3</v>
      </c>
      <c r="L789" s="206" t="s">
        <v>454</v>
      </c>
      <c r="M789" s="206" t="s">
        <v>413</v>
      </c>
      <c r="N789" s="206" t="s">
        <v>776</v>
      </c>
      <c r="O789" s="206" t="s">
        <v>776</v>
      </c>
    </row>
    <row r="790" spans="3:15" x14ac:dyDescent="0.25">
      <c r="C790" s="206" t="s">
        <v>1576</v>
      </c>
      <c r="D790" s="206">
        <v>125</v>
      </c>
      <c r="E790" s="206">
        <v>577.52421918670188</v>
      </c>
      <c r="F790" s="206">
        <v>1647.9596320257999</v>
      </c>
      <c r="G790" s="206">
        <v>2.0684554999999998</v>
      </c>
      <c r="H790" s="206" t="s">
        <v>771</v>
      </c>
      <c r="I790" s="206">
        <v>0.63</v>
      </c>
      <c r="J790" s="206"/>
      <c r="K790" s="206">
        <v>3</v>
      </c>
      <c r="L790" s="206" t="s">
        <v>454</v>
      </c>
      <c r="M790" s="206" t="s">
        <v>413</v>
      </c>
      <c r="N790" s="206" t="s">
        <v>776</v>
      </c>
      <c r="O790" s="206" t="s">
        <v>776</v>
      </c>
    </row>
    <row r="791" spans="3:15" x14ac:dyDescent="0.25">
      <c r="C791" s="206" t="s">
        <v>1577</v>
      </c>
      <c r="D791" s="206">
        <v>80</v>
      </c>
      <c r="E791" s="206">
        <v>1314.3992438752932</v>
      </c>
      <c r="F791" s="206">
        <v>562.93208777304994</v>
      </c>
      <c r="G791" s="206">
        <v>5.5510099999999998</v>
      </c>
      <c r="H791" s="206" t="s">
        <v>771</v>
      </c>
      <c r="I791" s="206">
        <v>0.65</v>
      </c>
      <c r="J791" s="206"/>
      <c r="K791" s="206">
        <v>3</v>
      </c>
      <c r="L791" s="206" t="s">
        <v>454</v>
      </c>
      <c r="M791" s="206" t="s">
        <v>772</v>
      </c>
      <c r="N791" s="206" t="s">
        <v>773</v>
      </c>
      <c r="O791" s="206" t="s">
        <v>774</v>
      </c>
    </row>
    <row r="792" spans="3:15" x14ac:dyDescent="0.25">
      <c r="C792" s="206" t="s">
        <v>1578</v>
      </c>
      <c r="D792" s="206">
        <v>65</v>
      </c>
      <c r="E792" s="206">
        <v>3148.848885091043</v>
      </c>
      <c r="F792" s="206">
        <v>491.91031249461201</v>
      </c>
      <c r="G792" s="206">
        <v>13.578046000000001</v>
      </c>
      <c r="H792" s="206" t="s">
        <v>771</v>
      </c>
      <c r="I792" s="206">
        <v>0.64</v>
      </c>
      <c r="J792" s="206"/>
      <c r="K792" s="206">
        <v>3</v>
      </c>
      <c r="L792" s="206" t="s">
        <v>454</v>
      </c>
      <c r="M792" s="206" t="s">
        <v>772</v>
      </c>
      <c r="N792" s="206" t="s">
        <v>773</v>
      </c>
      <c r="O792" s="206" t="s">
        <v>774</v>
      </c>
    </row>
    <row r="793" spans="3:15" x14ac:dyDescent="0.25">
      <c r="C793" s="206" t="s">
        <v>1579</v>
      </c>
      <c r="D793" s="206">
        <v>65</v>
      </c>
      <c r="E793" s="206">
        <v>1322.8790428610082</v>
      </c>
      <c r="F793" s="206">
        <v>319.08547260653</v>
      </c>
      <c r="G793" s="206">
        <v>6.1917669999999996</v>
      </c>
      <c r="H793" s="206" t="s">
        <v>771</v>
      </c>
      <c r="I793" s="206">
        <v>0.65</v>
      </c>
      <c r="J793" s="206"/>
      <c r="K793" s="206">
        <v>3</v>
      </c>
      <c r="L793" s="206" t="s">
        <v>454</v>
      </c>
      <c r="M793" s="206" t="s">
        <v>772</v>
      </c>
      <c r="N793" s="206" t="s">
        <v>773</v>
      </c>
      <c r="O793" s="206" t="s">
        <v>774</v>
      </c>
    </row>
    <row r="794" spans="3:15" x14ac:dyDescent="0.25">
      <c r="C794" s="206" t="s">
        <v>1580</v>
      </c>
      <c r="D794" s="206">
        <v>80</v>
      </c>
      <c r="E794" s="206">
        <v>1191.6207000188233</v>
      </c>
      <c r="F794" s="206">
        <v>562.93208777304994</v>
      </c>
      <c r="G794" s="206">
        <v>5.0324879999999999</v>
      </c>
      <c r="H794" s="206" t="s">
        <v>771</v>
      </c>
      <c r="I794" s="206">
        <v>0.65</v>
      </c>
      <c r="J794" s="206"/>
      <c r="K794" s="206">
        <v>3</v>
      </c>
      <c r="L794" s="206" t="s">
        <v>454</v>
      </c>
      <c r="M794" s="206" t="s">
        <v>772</v>
      </c>
      <c r="N794" s="206" t="s">
        <v>773</v>
      </c>
      <c r="O794" s="206" t="s">
        <v>774</v>
      </c>
    </row>
    <row r="795" spans="3:15" x14ac:dyDescent="0.25">
      <c r="C795" s="206" t="s">
        <v>1581</v>
      </c>
      <c r="D795" s="206">
        <v>65</v>
      </c>
      <c r="E795" s="206">
        <v>305.90343461556125</v>
      </c>
      <c r="F795" s="206">
        <v>366.340331913667</v>
      </c>
      <c r="G795" s="206">
        <v>1.428156</v>
      </c>
      <c r="H795" s="206" t="s">
        <v>771</v>
      </c>
      <c r="I795" s="206">
        <v>0.74826912236183685</v>
      </c>
      <c r="J795" s="206"/>
      <c r="K795" s="206">
        <v>3</v>
      </c>
      <c r="L795" s="206" t="s">
        <v>454</v>
      </c>
      <c r="M795" s="206" t="s">
        <v>772</v>
      </c>
      <c r="N795" s="206" t="s">
        <v>773</v>
      </c>
      <c r="O795" s="206" t="s">
        <v>774</v>
      </c>
    </row>
    <row r="796" spans="3:15" x14ac:dyDescent="0.25">
      <c r="C796" s="206" t="s">
        <v>1582</v>
      </c>
      <c r="D796" s="206">
        <v>200</v>
      </c>
      <c r="E796" s="206">
        <v>3096.6421308958384</v>
      </c>
      <c r="F796" s="206">
        <v>5646.44771793778</v>
      </c>
      <c r="G796" s="206">
        <v>9.4703230000000005</v>
      </c>
      <c r="H796" s="206" t="s">
        <v>771</v>
      </c>
      <c r="I796" s="206">
        <v>1</v>
      </c>
      <c r="J796" s="206"/>
      <c r="K796" s="206">
        <v>3</v>
      </c>
      <c r="L796" s="206" t="s">
        <v>454</v>
      </c>
      <c r="M796" s="206" t="s">
        <v>772</v>
      </c>
      <c r="N796" s="206" t="s">
        <v>773</v>
      </c>
      <c r="O796" s="206" t="s">
        <v>788</v>
      </c>
    </row>
    <row r="797" spans="3:15" x14ac:dyDescent="0.25">
      <c r="C797" s="206" t="s">
        <v>1583</v>
      </c>
      <c r="D797" s="206">
        <v>200</v>
      </c>
      <c r="E797" s="206">
        <v>2991.8204565606152</v>
      </c>
      <c r="F797" s="206">
        <v>5647.44771793778</v>
      </c>
      <c r="G797" s="206">
        <v>9.1495610000000003</v>
      </c>
      <c r="H797" s="206" t="s">
        <v>771</v>
      </c>
      <c r="I797" s="206">
        <v>1</v>
      </c>
      <c r="J797" s="206"/>
      <c r="K797" s="206">
        <v>3</v>
      </c>
      <c r="L797" s="206" t="s">
        <v>454</v>
      </c>
      <c r="M797" s="206" t="s">
        <v>413</v>
      </c>
      <c r="N797" s="206" t="s">
        <v>773</v>
      </c>
      <c r="O797" s="206" t="s">
        <v>774</v>
      </c>
    </row>
    <row r="798" spans="3:15" x14ac:dyDescent="0.25">
      <c r="C798" s="206" t="s">
        <v>1584</v>
      </c>
      <c r="D798" s="206">
        <v>125</v>
      </c>
      <c r="E798" s="206">
        <v>4517.851803197741</v>
      </c>
      <c r="F798" s="206">
        <v>1647.9596320257999</v>
      </c>
      <c r="G798" s="206">
        <v>16.181097000000001</v>
      </c>
      <c r="H798" s="206" t="s">
        <v>771</v>
      </c>
      <c r="I798" s="206">
        <v>0.63</v>
      </c>
      <c r="J798" s="206"/>
      <c r="K798" s="206">
        <v>3</v>
      </c>
      <c r="L798" s="206" t="s">
        <v>454</v>
      </c>
      <c r="M798" s="206" t="s">
        <v>413</v>
      </c>
      <c r="N798" s="206" t="s">
        <v>776</v>
      </c>
      <c r="O798" s="206" t="s">
        <v>776</v>
      </c>
    </row>
    <row r="799" spans="3:15" x14ac:dyDescent="0.25">
      <c r="C799" s="206" t="s">
        <v>1585</v>
      </c>
      <c r="D799" s="206">
        <v>65</v>
      </c>
      <c r="E799" s="206">
        <v>1387.0582683704183</v>
      </c>
      <c r="F799" s="206">
        <v>319.08547260653</v>
      </c>
      <c r="G799" s="206">
        <v>6.4921594000000002</v>
      </c>
      <c r="H799" s="206" t="s">
        <v>771</v>
      </c>
      <c r="I799" s="206">
        <v>0.65</v>
      </c>
      <c r="J799" s="206"/>
      <c r="K799" s="206">
        <v>3</v>
      </c>
      <c r="L799" s="206" t="s">
        <v>454</v>
      </c>
      <c r="M799" s="206" t="s">
        <v>772</v>
      </c>
      <c r="N799" s="206" t="s">
        <v>773</v>
      </c>
      <c r="O799" s="206" t="s">
        <v>774</v>
      </c>
    </row>
    <row r="800" spans="3:15" x14ac:dyDescent="0.25">
      <c r="C800" s="206" t="s">
        <v>1586</v>
      </c>
      <c r="D800" s="206">
        <v>200</v>
      </c>
      <c r="E800" s="206">
        <v>2261.5955468983825</v>
      </c>
      <c r="F800" s="206">
        <v>7368.8380004882902</v>
      </c>
      <c r="G800" s="206">
        <v>6.6802105999999997</v>
      </c>
      <c r="H800" s="206" t="s">
        <v>771</v>
      </c>
      <c r="I800" s="206">
        <v>0.63</v>
      </c>
      <c r="J800" s="206"/>
      <c r="K800" s="206">
        <v>3</v>
      </c>
      <c r="L800" s="206" t="s">
        <v>454</v>
      </c>
      <c r="M800" s="206" t="s">
        <v>772</v>
      </c>
      <c r="N800" s="206" t="s">
        <v>773</v>
      </c>
      <c r="O800" s="206" t="s">
        <v>774</v>
      </c>
    </row>
    <row r="801" spans="3:15" x14ac:dyDescent="0.25">
      <c r="C801" s="206" t="s">
        <v>1587</v>
      </c>
      <c r="D801" s="206">
        <v>25</v>
      </c>
      <c r="E801" s="206">
        <v>1191.6839893488086</v>
      </c>
      <c r="F801" s="206">
        <v>32.196647644042997</v>
      </c>
      <c r="G801" s="206">
        <v>9.4690829999999995</v>
      </c>
      <c r="H801" s="206" t="s">
        <v>771</v>
      </c>
      <c r="I801" s="206">
        <v>0.67000000000000048</v>
      </c>
      <c r="J801" s="206" t="s">
        <v>795</v>
      </c>
      <c r="K801" s="206"/>
      <c r="L801" s="206"/>
      <c r="M801" s="206"/>
      <c r="N801" s="206"/>
      <c r="O801" s="206"/>
    </row>
    <row r="802" spans="3:15" x14ac:dyDescent="0.25">
      <c r="C802" s="206" t="s">
        <v>1588</v>
      </c>
      <c r="D802" s="206">
        <v>65</v>
      </c>
      <c r="E802" s="206">
        <v>735.00463240416059</v>
      </c>
      <c r="F802" s="206">
        <v>475.78259277343801</v>
      </c>
      <c r="G802" s="206">
        <v>3.192844</v>
      </c>
      <c r="H802" s="206" t="s">
        <v>771</v>
      </c>
      <c r="I802" s="206">
        <v>1</v>
      </c>
      <c r="J802" s="206" t="s">
        <v>795</v>
      </c>
      <c r="K802" s="206"/>
      <c r="L802" s="206"/>
      <c r="M802" s="206"/>
      <c r="N802" s="206"/>
      <c r="O802" s="206"/>
    </row>
    <row r="803" spans="3:15" x14ac:dyDescent="0.25">
      <c r="C803" s="206" t="s">
        <v>1589</v>
      </c>
      <c r="D803" s="206">
        <v>20</v>
      </c>
      <c r="E803" s="206">
        <v>749.05054447572456</v>
      </c>
      <c r="F803" s="206">
        <v>24.415409088134801</v>
      </c>
      <c r="G803" s="206">
        <v>6.3977412999999999</v>
      </c>
      <c r="H803" s="206" t="s">
        <v>771</v>
      </c>
      <c r="I803" s="206">
        <v>1</v>
      </c>
      <c r="J803" s="206" t="s">
        <v>795</v>
      </c>
      <c r="K803" s="206"/>
      <c r="L803" s="206"/>
      <c r="M803" s="206"/>
      <c r="N803" s="206"/>
      <c r="O803" s="206"/>
    </row>
    <row r="804" spans="3:15" x14ac:dyDescent="0.25">
      <c r="C804" s="206" t="s">
        <v>1590</v>
      </c>
      <c r="D804" s="206">
        <v>250</v>
      </c>
      <c r="E804" s="206">
        <v>5780.9726158165086</v>
      </c>
      <c r="F804" s="206">
        <v>8542.2397978336794</v>
      </c>
      <c r="G804" s="206">
        <v>16.734214999999999</v>
      </c>
      <c r="H804" s="206" t="s">
        <v>771</v>
      </c>
      <c r="I804" s="206">
        <v>1</v>
      </c>
      <c r="J804" s="206"/>
      <c r="K804" s="206">
        <v>3</v>
      </c>
      <c r="L804" s="206" t="s">
        <v>454</v>
      </c>
      <c r="M804" s="206" t="s">
        <v>413</v>
      </c>
      <c r="N804" s="206" t="s">
        <v>773</v>
      </c>
      <c r="O804" s="206" t="s">
        <v>788</v>
      </c>
    </row>
    <row r="805" spans="3:15" x14ac:dyDescent="0.25">
      <c r="C805" s="206" t="s">
        <v>1591</v>
      </c>
      <c r="D805" s="206">
        <v>80</v>
      </c>
      <c r="E805" s="206">
        <v>2397.3168833556233</v>
      </c>
      <c r="F805" s="206">
        <v>562.93208777304994</v>
      </c>
      <c r="G805" s="206">
        <v>10.124420000000001</v>
      </c>
      <c r="H805" s="206" t="s">
        <v>771</v>
      </c>
      <c r="I805" s="206">
        <v>0.65</v>
      </c>
      <c r="J805" s="206"/>
      <c r="K805" s="206">
        <v>3</v>
      </c>
      <c r="L805" s="206" t="s">
        <v>454</v>
      </c>
      <c r="M805" s="206" t="s">
        <v>772</v>
      </c>
      <c r="N805" s="206" t="s">
        <v>773</v>
      </c>
      <c r="O805" s="206" t="s">
        <v>774</v>
      </c>
    </row>
    <row r="806" spans="3:15" x14ac:dyDescent="0.25">
      <c r="C806" s="206" t="s">
        <v>1592</v>
      </c>
      <c r="D806" s="206">
        <v>20</v>
      </c>
      <c r="E806" s="206">
        <v>2321.531695544571</v>
      </c>
      <c r="F806" s="206">
        <v>2.2925089137279402</v>
      </c>
      <c r="G806" s="206">
        <v>19.828513999999998</v>
      </c>
      <c r="H806" s="206" t="s">
        <v>771</v>
      </c>
      <c r="I806" s="206">
        <v>1</v>
      </c>
      <c r="J806" s="206"/>
      <c r="K806" s="206">
        <v>3</v>
      </c>
      <c r="L806" s="206" t="s">
        <v>454</v>
      </c>
      <c r="M806" s="206" t="s">
        <v>413</v>
      </c>
      <c r="N806" s="206" t="s">
        <v>776</v>
      </c>
      <c r="O806" s="206" t="s">
        <v>776</v>
      </c>
    </row>
    <row r="807" spans="3:15" x14ac:dyDescent="0.25">
      <c r="C807" s="206" t="s">
        <v>1593</v>
      </c>
      <c r="D807" s="206">
        <v>40</v>
      </c>
      <c r="E807" s="206">
        <v>1998.641028884678</v>
      </c>
      <c r="F807" s="206">
        <v>116.80722045898401</v>
      </c>
      <c r="G807" s="206">
        <v>11.429783</v>
      </c>
      <c r="H807" s="206" t="s">
        <v>771</v>
      </c>
      <c r="I807" s="206">
        <v>0.72000000000000142</v>
      </c>
      <c r="J807" s="206" t="s">
        <v>795</v>
      </c>
      <c r="K807" s="206"/>
      <c r="L807" s="206"/>
      <c r="M807" s="206"/>
      <c r="N807" s="206"/>
      <c r="O807" s="206"/>
    </row>
    <row r="808" spans="3:15" x14ac:dyDescent="0.25">
      <c r="C808" s="206" t="s">
        <v>1594</v>
      </c>
      <c r="D808" s="206">
        <v>65</v>
      </c>
      <c r="E808" s="206">
        <v>3884.8026391362973</v>
      </c>
      <c r="F808" s="206">
        <v>303.99337188720699</v>
      </c>
      <c r="G808" s="206">
        <v>18.323895</v>
      </c>
      <c r="H808" s="206" t="s">
        <v>771</v>
      </c>
      <c r="I808" s="206">
        <v>0.72</v>
      </c>
      <c r="J808" s="206"/>
      <c r="K808" s="206">
        <v>3</v>
      </c>
      <c r="L808" s="206" t="s">
        <v>454</v>
      </c>
      <c r="M808" s="206" t="s">
        <v>413</v>
      </c>
      <c r="N808" s="206" t="s">
        <v>776</v>
      </c>
      <c r="O808" s="206" t="s">
        <v>776</v>
      </c>
    </row>
    <row r="809" spans="3:15" x14ac:dyDescent="0.25">
      <c r="C809" s="206" t="s">
        <v>1595</v>
      </c>
      <c r="D809" s="206">
        <v>65</v>
      </c>
      <c r="E809" s="206">
        <v>1204.5693600633449</v>
      </c>
      <c r="F809" s="206">
        <v>319.08547260653</v>
      </c>
      <c r="G809" s="206">
        <v>5.6380157000000004</v>
      </c>
      <c r="H809" s="206" t="s">
        <v>771</v>
      </c>
      <c r="I809" s="206">
        <v>0.65</v>
      </c>
      <c r="J809" s="206"/>
      <c r="K809" s="206">
        <v>3</v>
      </c>
      <c r="L809" s="206" t="s">
        <v>454</v>
      </c>
      <c r="M809" s="206" t="s">
        <v>772</v>
      </c>
      <c r="N809" s="206" t="s">
        <v>773</v>
      </c>
      <c r="O809" s="206" t="s">
        <v>774</v>
      </c>
    </row>
    <row r="810" spans="3:15" x14ac:dyDescent="0.25">
      <c r="C810" s="206" t="s">
        <v>1596</v>
      </c>
      <c r="D810" s="206">
        <v>50</v>
      </c>
      <c r="E810" s="206">
        <v>780.93377502445298</v>
      </c>
      <c r="F810" s="206">
        <v>169.07102966308599</v>
      </c>
      <c r="G810" s="206">
        <v>4.1186986000000001</v>
      </c>
      <c r="H810" s="206" t="s">
        <v>771</v>
      </c>
      <c r="I810" s="206">
        <v>0.75000000000000089</v>
      </c>
      <c r="J810" s="206" t="s">
        <v>795</v>
      </c>
      <c r="K810" s="206"/>
      <c r="L810" s="206"/>
      <c r="M810" s="206"/>
      <c r="N810" s="206"/>
      <c r="O810" s="206"/>
    </row>
    <row r="811" spans="3:15" x14ac:dyDescent="0.25">
      <c r="C811" s="206" t="s">
        <v>1597</v>
      </c>
      <c r="D811" s="206">
        <v>25</v>
      </c>
      <c r="E811" s="206">
        <v>391.15144421531227</v>
      </c>
      <c r="F811" s="206">
        <v>30.427696228027301</v>
      </c>
      <c r="G811" s="206">
        <v>3.1581646999999999</v>
      </c>
      <c r="H811" s="206" t="s">
        <v>771</v>
      </c>
      <c r="I811" s="206">
        <v>1</v>
      </c>
      <c r="J811" s="206"/>
      <c r="K811" s="206">
        <v>3</v>
      </c>
      <c r="L811" s="206" t="s">
        <v>454</v>
      </c>
      <c r="M811" s="206" t="s">
        <v>772</v>
      </c>
      <c r="N811" s="206" t="s">
        <v>773</v>
      </c>
      <c r="O811" s="206" t="s">
        <v>774</v>
      </c>
    </row>
    <row r="812" spans="3:15" x14ac:dyDescent="0.25">
      <c r="C812" s="206" t="s">
        <v>1598</v>
      </c>
      <c r="D812" s="206">
        <v>150</v>
      </c>
      <c r="E812" s="206">
        <v>6242.9481530428366</v>
      </c>
      <c r="F812" s="206">
        <v>3727.3558740168301</v>
      </c>
      <c r="G812" s="206">
        <v>20.010439000000002</v>
      </c>
      <c r="H812" s="206" t="s">
        <v>771</v>
      </c>
      <c r="I812" s="206">
        <v>0.64</v>
      </c>
      <c r="J812" s="206"/>
      <c r="K812" s="206">
        <v>3</v>
      </c>
      <c r="L812" s="206" t="s">
        <v>454</v>
      </c>
      <c r="M812" s="206" t="s">
        <v>791</v>
      </c>
      <c r="N812" s="206" t="s">
        <v>934</v>
      </c>
      <c r="O812" s="206" t="s">
        <v>800</v>
      </c>
    </row>
    <row r="813" spans="3:15" x14ac:dyDescent="0.25">
      <c r="C813" s="206" t="s">
        <v>1599</v>
      </c>
      <c r="D813" s="206">
        <v>20</v>
      </c>
      <c r="E813" s="206">
        <v>688.22068493050836</v>
      </c>
      <c r="F813" s="206">
        <v>1</v>
      </c>
      <c r="G813" s="206">
        <v>5.8781853000000002</v>
      </c>
      <c r="H813" s="206" t="s">
        <v>771</v>
      </c>
      <c r="I813" s="206">
        <v>1</v>
      </c>
      <c r="J813" s="206"/>
      <c r="K813" s="206">
        <v>3</v>
      </c>
      <c r="L813" s="206" t="s">
        <v>454</v>
      </c>
      <c r="M813" s="206" t="s">
        <v>772</v>
      </c>
      <c r="N813" s="206" t="s">
        <v>784</v>
      </c>
      <c r="O813" s="206" t="s">
        <v>774</v>
      </c>
    </row>
    <row r="814" spans="3:15" x14ac:dyDescent="0.25">
      <c r="C814" s="206" t="s">
        <v>1600</v>
      </c>
      <c r="D814" s="206">
        <v>100</v>
      </c>
      <c r="E814" s="206">
        <v>48375.989041975023</v>
      </c>
      <c r="F814" s="206">
        <v>962.60109389794502</v>
      </c>
      <c r="G814" s="206">
        <v>187.6711</v>
      </c>
      <c r="H814" s="206" t="s">
        <v>771</v>
      </c>
      <c r="I814" s="206">
        <v>0.64</v>
      </c>
      <c r="J814" s="206"/>
      <c r="K814" s="206">
        <v>3</v>
      </c>
      <c r="L814" s="206" t="s">
        <v>454</v>
      </c>
      <c r="M814" s="206" t="s">
        <v>413</v>
      </c>
      <c r="N814" s="206" t="s">
        <v>776</v>
      </c>
      <c r="O814" s="206" t="s">
        <v>776</v>
      </c>
    </row>
    <row r="815" spans="3:15" x14ac:dyDescent="0.25">
      <c r="C815" s="206" t="s">
        <v>1601</v>
      </c>
      <c r="D815" s="206">
        <v>80</v>
      </c>
      <c r="E815" s="206">
        <v>630.04479184591992</v>
      </c>
      <c r="F815" s="206">
        <v>617.18597412109398</v>
      </c>
      <c r="G815" s="206">
        <v>2.6251540000000002</v>
      </c>
      <c r="H815" s="206" t="s">
        <v>771</v>
      </c>
      <c r="I815" s="206">
        <v>0.7294998052048729</v>
      </c>
      <c r="J815" s="206"/>
      <c r="K815" s="206">
        <v>3</v>
      </c>
      <c r="L815" s="206" t="s">
        <v>454</v>
      </c>
      <c r="M815" s="206" t="s">
        <v>772</v>
      </c>
      <c r="N815" s="206" t="s">
        <v>773</v>
      </c>
      <c r="O815" s="206" t="s">
        <v>774</v>
      </c>
    </row>
    <row r="816" spans="3:15" x14ac:dyDescent="0.25">
      <c r="C816" s="206" t="s">
        <v>1602</v>
      </c>
      <c r="D816" s="206">
        <v>65</v>
      </c>
      <c r="E816" s="206">
        <v>6870.4665190191781</v>
      </c>
      <c r="F816" s="206">
        <v>491.270312494601</v>
      </c>
      <c r="G816" s="206">
        <v>29.634547999999999</v>
      </c>
      <c r="H816" s="206" t="s">
        <v>771</v>
      </c>
      <c r="I816" s="206">
        <v>0.64</v>
      </c>
      <c r="J816" s="206"/>
      <c r="K816" s="206">
        <v>3</v>
      </c>
      <c r="L816" s="206" t="s">
        <v>454</v>
      </c>
      <c r="M816" s="206" t="s">
        <v>772</v>
      </c>
      <c r="N816" s="206" t="s">
        <v>773</v>
      </c>
      <c r="O816" s="206" t="s">
        <v>774</v>
      </c>
    </row>
    <row r="817" spans="3:15" x14ac:dyDescent="0.25">
      <c r="C817" s="206" t="s">
        <v>1603</v>
      </c>
      <c r="D817" s="206">
        <v>80</v>
      </c>
      <c r="E817" s="206">
        <v>218.47998403505147</v>
      </c>
      <c r="F817" s="206">
        <v>562.93208777304994</v>
      </c>
      <c r="G817" s="206">
        <v>0.92269117</v>
      </c>
      <c r="H817" s="206" t="s">
        <v>771</v>
      </c>
      <c r="I817" s="206">
        <v>0.65</v>
      </c>
      <c r="J817" s="206"/>
      <c r="K817" s="206">
        <v>3</v>
      </c>
      <c r="L817" s="206" t="s">
        <v>454</v>
      </c>
      <c r="M817" s="206" t="s">
        <v>782</v>
      </c>
      <c r="N817" s="206" t="s">
        <v>773</v>
      </c>
      <c r="O817" s="206" t="s">
        <v>859</v>
      </c>
    </row>
    <row r="818" spans="3:15" x14ac:dyDescent="0.25">
      <c r="C818" s="206" t="s">
        <v>1604</v>
      </c>
      <c r="D818" s="206">
        <v>50</v>
      </c>
      <c r="E818" s="206">
        <v>1056.6605754309019</v>
      </c>
      <c r="F818" s="206">
        <v>148.388475348707</v>
      </c>
      <c r="G818" s="206">
        <v>5.6938199999999997</v>
      </c>
      <c r="H818" s="206" t="s">
        <v>771</v>
      </c>
      <c r="I818" s="206">
        <v>0.65</v>
      </c>
      <c r="J818" s="206"/>
      <c r="K818" s="206">
        <v>3</v>
      </c>
      <c r="L818" s="206" t="s">
        <v>454</v>
      </c>
      <c r="M818" s="206" t="s">
        <v>772</v>
      </c>
      <c r="N818" s="206" t="s">
        <v>773</v>
      </c>
      <c r="O818" s="206" t="s">
        <v>774</v>
      </c>
    </row>
    <row r="819" spans="3:15" x14ac:dyDescent="0.25">
      <c r="C819" s="206" t="s">
        <v>1605</v>
      </c>
      <c r="D819" s="206">
        <v>65</v>
      </c>
      <c r="E819" s="206">
        <v>667.21285850418258</v>
      </c>
      <c r="F819" s="206">
        <v>479.31744384765602</v>
      </c>
      <c r="G819" s="206">
        <v>2.8936644</v>
      </c>
      <c r="H819" s="206" t="s">
        <v>771</v>
      </c>
      <c r="I819" s="206">
        <v>0.7</v>
      </c>
      <c r="J819" s="206"/>
      <c r="K819" s="206">
        <v>3</v>
      </c>
      <c r="L819" s="206" t="s">
        <v>454</v>
      </c>
      <c r="M819" s="206" t="s">
        <v>782</v>
      </c>
      <c r="N819" s="206" t="s">
        <v>776</v>
      </c>
      <c r="O819" s="206" t="s">
        <v>776</v>
      </c>
    </row>
    <row r="820" spans="3:15" x14ac:dyDescent="0.25">
      <c r="C820" s="206" t="s">
        <v>1606</v>
      </c>
      <c r="D820" s="206">
        <v>32</v>
      </c>
      <c r="E820" s="206">
        <v>8869.2568521658359</v>
      </c>
      <c r="F820" s="206">
        <v>52.273773193359403</v>
      </c>
      <c r="G820" s="206">
        <v>61.487057</v>
      </c>
      <c r="H820" s="206" t="s">
        <v>771</v>
      </c>
      <c r="I820" s="206">
        <v>1</v>
      </c>
      <c r="J820" s="206" t="s">
        <v>795</v>
      </c>
      <c r="K820" s="206"/>
      <c r="L820" s="206"/>
      <c r="M820" s="206"/>
      <c r="N820" s="206"/>
      <c r="O820" s="206"/>
    </row>
    <row r="821" spans="3:15" x14ac:dyDescent="0.25">
      <c r="C821" s="206" t="s">
        <v>1607</v>
      </c>
      <c r="D821" s="206">
        <v>20</v>
      </c>
      <c r="E821" s="206">
        <v>1995.8819748666526</v>
      </c>
      <c r="F821" s="206">
        <v>1.6231137227732699</v>
      </c>
      <c r="G821" s="206">
        <v>17.047096</v>
      </c>
      <c r="H821" s="206" t="s">
        <v>771</v>
      </c>
      <c r="I821" s="206">
        <v>1</v>
      </c>
      <c r="J821" s="206"/>
      <c r="K821" s="206">
        <v>3</v>
      </c>
      <c r="L821" s="206" t="s">
        <v>454</v>
      </c>
      <c r="M821" s="206" t="s">
        <v>413</v>
      </c>
      <c r="N821" s="206" t="s">
        <v>773</v>
      </c>
      <c r="O821" s="206" t="s">
        <v>774</v>
      </c>
    </row>
    <row r="822" spans="3:15" x14ac:dyDescent="0.25">
      <c r="C822" s="206" t="s">
        <v>1608</v>
      </c>
      <c r="D822" s="206">
        <v>40</v>
      </c>
      <c r="E822" s="206">
        <v>837.87147318612153</v>
      </c>
      <c r="F822" s="206">
        <v>103.443859683932</v>
      </c>
      <c r="G822" s="206">
        <v>4.9199020000000004</v>
      </c>
      <c r="H822" s="206" t="s">
        <v>771</v>
      </c>
      <c r="I822" s="206">
        <v>0.66</v>
      </c>
      <c r="J822" s="206"/>
      <c r="K822" s="206">
        <v>3</v>
      </c>
      <c r="L822" s="206" t="s">
        <v>454</v>
      </c>
      <c r="M822" s="206" t="s">
        <v>772</v>
      </c>
      <c r="N822" s="206" t="s">
        <v>773</v>
      </c>
      <c r="O822" s="206" t="s">
        <v>774</v>
      </c>
    </row>
    <row r="823" spans="3:15" x14ac:dyDescent="0.25">
      <c r="C823" s="206" t="s">
        <v>1609</v>
      </c>
      <c r="D823" s="206">
        <v>200</v>
      </c>
      <c r="E823" s="206">
        <v>2622.0840863607345</v>
      </c>
      <c r="F823" s="206">
        <v>5175.2299023437699</v>
      </c>
      <c r="G823" s="206">
        <v>8.1024829999999994</v>
      </c>
      <c r="H823" s="206" t="s">
        <v>771</v>
      </c>
      <c r="I823" s="206">
        <v>0.64</v>
      </c>
      <c r="J823" s="206"/>
      <c r="K823" s="206">
        <v>3</v>
      </c>
      <c r="L823" s="206" t="s">
        <v>454</v>
      </c>
      <c r="M823" s="206" t="s">
        <v>782</v>
      </c>
      <c r="N823" s="206" t="s">
        <v>776</v>
      </c>
      <c r="O823" s="206" t="s">
        <v>776</v>
      </c>
    </row>
    <row r="824" spans="3:15" x14ac:dyDescent="0.25">
      <c r="C824" s="206" t="s">
        <v>1610</v>
      </c>
      <c r="D824" s="206">
        <v>80</v>
      </c>
      <c r="E824" s="206">
        <v>1509.9090899899074</v>
      </c>
      <c r="F824" s="206">
        <v>562.93208777304994</v>
      </c>
      <c r="G824" s="206">
        <v>6.3766930000000004</v>
      </c>
      <c r="H824" s="206" t="s">
        <v>771</v>
      </c>
      <c r="I824" s="206">
        <v>0.65</v>
      </c>
      <c r="J824" s="206"/>
      <c r="K824" s="206">
        <v>3</v>
      </c>
      <c r="L824" s="206" t="s">
        <v>454</v>
      </c>
      <c r="M824" s="206" t="s">
        <v>772</v>
      </c>
      <c r="N824" s="206" t="s">
        <v>773</v>
      </c>
      <c r="O824" s="206" t="s">
        <v>774</v>
      </c>
    </row>
    <row r="825" spans="3:15" x14ac:dyDescent="0.25">
      <c r="C825" s="206" t="s">
        <v>1611</v>
      </c>
      <c r="D825" s="206">
        <v>50</v>
      </c>
      <c r="E825" s="206">
        <v>800.33220743008508</v>
      </c>
      <c r="F825" s="206">
        <v>148.388475348707</v>
      </c>
      <c r="G825" s="206">
        <v>4.3125935000000002</v>
      </c>
      <c r="H825" s="206" t="s">
        <v>771</v>
      </c>
      <c r="I825" s="206">
        <v>0.65</v>
      </c>
      <c r="J825" s="206"/>
      <c r="K825" s="206">
        <v>3</v>
      </c>
      <c r="L825" s="206" t="s">
        <v>454</v>
      </c>
      <c r="M825" s="206" t="s">
        <v>772</v>
      </c>
      <c r="N825" s="206" t="s">
        <v>773</v>
      </c>
      <c r="O825" s="206" t="s">
        <v>774</v>
      </c>
    </row>
    <row r="826" spans="3:15" x14ac:dyDescent="0.25">
      <c r="C826" s="206" t="s">
        <v>1612</v>
      </c>
      <c r="D826" s="206">
        <v>20</v>
      </c>
      <c r="E826" s="206">
        <v>830.55373542386803</v>
      </c>
      <c r="F826" s="206">
        <v>1</v>
      </c>
      <c r="G826" s="206">
        <v>7.093871</v>
      </c>
      <c r="H826" s="206" t="s">
        <v>771</v>
      </c>
      <c r="I826" s="206">
        <v>1</v>
      </c>
      <c r="J826" s="206"/>
      <c r="K826" s="206">
        <v>3</v>
      </c>
      <c r="L826" s="206" t="s">
        <v>454</v>
      </c>
      <c r="M826" s="206" t="s">
        <v>413</v>
      </c>
      <c r="N826" s="206" t="s">
        <v>773</v>
      </c>
      <c r="O826" s="206" t="s">
        <v>805</v>
      </c>
    </row>
    <row r="827" spans="3:15" x14ac:dyDescent="0.25">
      <c r="C827" s="206" t="s">
        <v>1613</v>
      </c>
      <c r="D827" s="206">
        <v>50</v>
      </c>
      <c r="E827" s="206">
        <v>31.45230887498149</v>
      </c>
      <c r="F827" s="206">
        <v>148.388475348707</v>
      </c>
      <c r="G827" s="206">
        <v>0.16948089999999999</v>
      </c>
      <c r="H827" s="206" t="s">
        <v>771</v>
      </c>
      <c r="I827" s="206">
        <v>0.65</v>
      </c>
      <c r="J827" s="206"/>
      <c r="K827" s="206">
        <v>3</v>
      </c>
      <c r="L827" s="206" t="s">
        <v>454</v>
      </c>
      <c r="M827" s="206" t="s">
        <v>772</v>
      </c>
      <c r="N827" s="206" t="s">
        <v>773</v>
      </c>
      <c r="O827" s="206" t="s">
        <v>774</v>
      </c>
    </row>
    <row r="828" spans="3:15" x14ac:dyDescent="0.25">
      <c r="C828" s="206" t="s">
        <v>1614</v>
      </c>
      <c r="D828" s="206">
        <v>50</v>
      </c>
      <c r="E828" s="206">
        <v>911.59954106162593</v>
      </c>
      <c r="F828" s="206">
        <v>148.388475348707</v>
      </c>
      <c r="G828" s="206">
        <v>4.9121579999999998</v>
      </c>
      <c r="H828" s="206" t="s">
        <v>771</v>
      </c>
      <c r="I828" s="206">
        <v>0.65</v>
      </c>
      <c r="J828" s="206"/>
      <c r="K828" s="206">
        <v>3</v>
      </c>
      <c r="L828" s="206" t="s">
        <v>454</v>
      </c>
      <c r="M828" s="206" t="s">
        <v>772</v>
      </c>
      <c r="N828" s="206" t="s">
        <v>773</v>
      </c>
      <c r="O828" s="206" t="s">
        <v>774</v>
      </c>
    </row>
    <row r="829" spans="3:15" x14ac:dyDescent="0.25">
      <c r="C829" s="206" t="s">
        <v>1615</v>
      </c>
      <c r="D829" s="206">
        <v>250</v>
      </c>
      <c r="E829" s="206">
        <v>16234.725011749682</v>
      </c>
      <c r="F829" s="206">
        <v>9286.45086270516</v>
      </c>
      <c r="G829" s="206">
        <v>46.624885999999996</v>
      </c>
      <c r="H829" s="206" t="s">
        <v>771</v>
      </c>
      <c r="I829" s="206">
        <v>1</v>
      </c>
      <c r="J829" s="206"/>
      <c r="K829" s="206">
        <v>3</v>
      </c>
      <c r="L829" s="206" t="s">
        <v>454</v>
      </c>
      <c r="M829" s="206" t="s">
        <v>413</v>
      </c>
      <c r="N829" s="206" t="s">
        <v>773</v>
      </c>
      <c r="O829" s="206" t="s">
        <v>788</v>
      </c>
    </row>
    <row r="830" spans="3:15" x14ac:dyDescent="0.25">
      <c r="C830" s="206" t="s">
        <v>1616</v>
      </c>
      <c r="D830" s="206">
        <v>80</v>
      </c>
      <c r="E830" s="206">
        <v>2969.3562709325174</v>
      </c>
      <c r="F830" s="206">
        <v>617.18597412109398</v>
      </c>
      <c r="G830" s="206">
        <v>12.372164</v>
      </c>
      <c r="H830" s="206" t="s">
        <v>771</v>
      </c>
      <c r="I830" s="206">
        <v>0.7294998052048729</v>
      </c>
      <c r="J830" s="206"/>
      <c r="K830" s="206">
        <v>3</v>
      </c>
      <c r="L830" s="206" t="s">
        <v>454</v>
      </c>
      <c r="M830" s="206" t="s">
        <v>791</v>
      </c>
      <c r="N830" s="206" t="s">
        <v>773</v>
      </c>
      <c r="O830" s="206" t="s">
        <v>800</v>
      </c>
    </row>
    <row r="831" spans="3:15" x14ac:dyDescent="0.25">
      <c r="C831" s="206" t="s">
        <v>1617</v>
      </c>
      <c r="D831" s="206">
        <v>250</v>
      </c>
      <c r="E831" s="206">
        <v>1485.4744789219769</v>
      </c>
      <c r="F831" s="206">
        <v>8542.2397978336794</v>
      </c>
      <c r="G831" s="206">
        <v>4.3000116000000004</v>
      </c>
      <c r="H831" s="206" t="s">
        <v>771</v>
      </c>
      <c r="I831" s="206">
        <v>1</v>
      </c>
      <c r="J831" s="206"/>
      <c r="K831" s="206">
        <v>3</v>
      </c>
      <c r="L831" s="206" t="s">
        <v>454</v>
      </c>
      <c r="M831" s="206" t="s">
        <v>772</v>
      </c>
      <c r="N831" s="206" t="s">
        <v>773</v>
      </c>
      <c r="O831" s="206" t="s">
        <v>788</v>
      </c>
    </row>
    <row r="832" spans="3:15" x14ac:dyDescent="0.25">
      <c r="C832" s="206" t="s">
        <v>1618</v>
      </c>
      <c r="D832" s="206">
        <v>200</v>
      </c>
      <c r="E832" s="206">
        <v>1782.7007688910846</v>
      </c>
      <c r="F832" s="206">
        <v>5647.44771793778</v>
      </c>
      <c r="G832" s="206">
        <v>5.4518409999999999</v>
      </c>
      <c r="H832" s="206" t="s">
        <v>771</v>
      </c>
      <c r="I832" s="206">
        <v>1</v>
      </c>
      <c r="J832" s="206"/>
      <c r="K832" s="206">
        <v>3</v>
      </c>
      <c r="L832" s="206" t="s">
        <v>454</v>
      </c>
      <c r="M832" s="206" t="s">
        <v>413</v>
      </c>
      <c r="N832" s="206" t="s">
        <v>773</v>
      </c>
      <c r="O832" s="206" t="s">
        <v>788</v>
      </c>
    </row>
    <row r="833" spans="3:15" x14ac:dyDescent="0.25">
      <c r="C833" s="206" t="s">
        <v>1619</v>
      </c>
      <c r="D833" s="206">
        <v>65</v>
      </c>
      <c r="E833" s="206">
        <v>1445.932406377553</v>
      </c>
      <c r="F833" s="206">
        <v>479.31744384765602</v>
      </c>
      <c r="G833" s="206">
        <v>6.2709270000000004</v>
      </c>
      <c r="H833" s="206" t="s">
        <v>771</v>
      </c>
      <c r="I833" s="206">
        <v>0.7</v>
      </c>
      <c r="J833" s="206"/>
      <c r="K833" s="206">
        <v>3</v>
      </c>
      <c r="L833" s="206" t="s">
        <v>454</v>
      </c>
      <c r="M833" s="206" t="s">
        <v>782</v>
      </c>
      <c r="N833" s="206" t="s">
        <v>776</v>
      </c>
      <c r="O833" s="206" t="s">
        <v>776</v>
      </c>
    </row>
    <row r="834" spans="3:15" x14ac:dyDescent="0.25">
      <c r="C834" s="206" t="s">
        <v>1620</v>
      </c>
      <c r="D834" s="206">
        <v>80</v>
      </c>
      <c r="E834" s="206">
        <v>828.22648736680526</v>
      </c>
      <c r="F834" s="206">
        <v>617.18597412109398</v>
      </c>
      <c r="G834" s="206">
        <v>3.4509007999999999</v>
      </c>
      <c r="H834" s="206" t="s">
        <v>771</v>
      </c>
      <c r="I834" s="206">
        <v>0.7294998052048729</v>
      </c>
      <c r="J834" s="206"/>
      <c r="K834" s="206">
        <v>3</v>
      </c>
      <c r="L834" s="206" t="s">
        <v>454</v>
      </c>
      <c r="M834" s="206" t="s">
        <v>772</v>
      </c>
      <c r="N834" s="206" t="s">
        <v>773</v>
      </c>
      <c r="O834" s="206" t="s">
        <v>774</v>
      </c>
    </row>
    <row r="835" spans="3:15" x14ac:dyDescent="0.25">
      <c r="C835" s="206" t="s">
        <v>1621</v>
      </c>
      <c r="D835" s="206">
        <v>20</v>
      </c>
      <c r="E835" s="206">
        <v>613.64367005012309</v>
      </c>
      <c r="F835" s="206">
        <v>1.6231137227732699</v>
      </c>
      <c r="G835" s="206">
        <v>5.2412130000000001</v>
      </c>
      <c r="H835" s="206" t="s">
        <v>771</v>
      </c>
      <c r="I835" s="206">
        <v>1</v>
      </c>
      <c r="J835" s="206"/>
      <c r="K835" s="206">
        <v>3</v>
      </c>
      <c r="L835" s="206" t="s">
        <v>454</v>
      </c>
      <c r="M835" s="206" t="s">
        <v>413</v>
      </c>
      <c r="N835" s="206" t="s">
        <v>773</v>
      </c>
      <c r="O835" s="206" t="s">
        <v>774</v>
      </c>
    </row>
    <row r="836" spans="3:15" x14ac:dyDescent="0.25">
      <c r="C836" s="206" t="s">
        <v>1622</v>
      </c>
      <c r="D836" s="206">
        <v>50</v>
      </c>
      <c r="E836" s="206">
        <v>2081.9066455621478</v>
      </c>
      <c r="F836" s="206">
        <v>194.396395330084</v>
      </c>
      <c r="G836" s="206">
        <v>10.701827</v>
      </c>
      <c r="H836" s="206" t="s">
        <v>771</v>
      </c>
      <c r="I836" s="206">
        <v>0.7</v>
      </c>
      <c r="J836" s="206"/>
      <c r="K836" s="206">
        <v>3</v>
      </c>
      <c r="L836" s="206" t="s">
        <v>454</v>
      </c>
      <c r="M836" s="206" t="s">
        <v>772</v>
      </c>
      <c r="N836" s="206" t="s">
        <v>773</v>
      </c>
      <c r="O836" s="206" t="s">
        <v>774</v>
      </c>
    </row>
    <row r="837" spans="3:15" x14ac:dyDescent="0.25">
      <c r="C837" s="206" t="s">
        <v>1623</v>
      </c>
      <c r="D837" s="206">
        <v>50</v>
      </c>
      <c r="E837" s="206">
        <v>2751.9145046513481</v>
      </c>
      <c r="F837" s="206">
        <v>148.388475348707</v>
      </c>
      <c r="G837" s="206">
        <v>14.828703000000001</v>
      </c>
      <c r="H837" s="206" t="s">
        <v>771</v>
      </c>
      <c r="I837" s="206">
        <v>0.65</v>
      </c>
      <c r="J837" s="206"/>
      <c r="K837" s="206">
        <v>3</v>
      </c>
      <c r="L837" s="206" t="s">
        <v>454</v>
      </c>
      <c r="M837" s="206" t="s">
        <v>772</v>
      </c>
      <c r="N837" s="206" t="s">
        <v>773</v>
      </c>
      <c r="O837" s="206" t="s">
        <v>774</v>
      </c>
    </row>
    <row r="838" spans="3:15" x14ac:dyDescent="0.25">
      <c r="C838" s="206" t="s">
        <v>1624</v>
      </c>
      <c r="D838" s="206">
        <v>50</v>
      </c>
      <c r="E838" s="206">
        <v>1554.3942462755535</v>
      </c>
      <c r="F838" s="206">
        <v>148.388475348707</v>
      </c>
      <c r="G838" s="206">
        <v>8.3758599999999994</v>
      </c>
      <c r="H838" s="206" t="s">
        <v>771</v>
      </c>
      <c r="I838" s="206">
        <v>0.65</v>
      </c>
      <c r="J838" s="206"/>
      <c r="K838" s="206">
        <v>3</v>
      </c>
      <c r="L838" s="206" t="s">
        <v>454</v>
      </c>
      <c r="M838" s="206" t="s">
        <v>782</v>
      </c>
      <c r="N838" s="206" t="s">
        <v>776</v>
      </c>
      <c r="O838" s="206" t="s">
        <v>776</v>
      </c>
    </row>
    <row r="839" spans="3:15" x14ac:dyDescent="0.25">
      <c r="C839" s="206" t="s">
        <v>1625</v>
      </c>
      <c r="D839" s="206">
        <v>20</v>
      </c>
      <c r="E839" s="206">
        <v>1764.5971047280759</v>
      </c>
      <c r="F839" s="206">
        <v>2.91598506120499</v>
      </c>
      <c r="G839" s="206">
        <v>11.881544999999999</v>
      </c>
      <c r="H839" s="206" t="s">
        <v>771</v>
      </c>
      <c r="I839" s="206">
        <v>1</v>
      </c>
      <c r="J839" s="206"/>
      <c r="K839" s="206">
        <v>3</v>
      </c>
      <c r="L839" s="206" t="s">
        <v>454</v>
      </c>
      <c r="M839" s="206" t="s">
        <v>772</v>
      </c>
      <c r="N839" s="206" t="s">
        <v>773</v>
      </c>
      <c r="O839" s="206" t="s">
        <v>774</v>
      </c>
    </row>
    <row r="840" spans="3:15" x14ac:dyDescent="0.25">
      <c r="C840" s="206" t="s">
        <v>1626</v>
      </c>
      <c r="D840" s="206">
        <v>65</v>
      </c>
      <c r="E840" s="206">
        <v>2490.9648915264193</v>
      </c>
      <c r="F840" s="206">
        <v>374.62326049804699</v>
      </c>
      <c r="G840" s="206">
        <v>11.347432</v>
      </c>
      <c r="H840" s="206" t="s">
        <v>771</v>
      </c>
      <c r="I840" s="206">
        <v>0.70000000000000029</v>
      </c>
      <c r="J840" s="206"/>
      <c r="K840" s="206">
        <v>3</v>
      </c>
      <c r="L840" s="206" t="s">
        <v>454</v>
      </c>
      <c r="M840" s="206" t="s">
        <v>791</v>
      </c>
      <c r="N840" s="206" t="s">
        <v>773</v>
      </c>
      <c r="O840" s="206" t="s">
        <v>800</v>
      </c>
    </row>
    <row r="841" spans="3:15" x14ac:dyDescent="0.25">
      <c r="C841" s="206" t="s">
        <v>1627</v>
      </c>
      <c r="D841" s="206">
        <v>125</v>
      </c>
      <c r="E841" s="206">
        <v>1178.5622719484609</v>
      </c>
      <c r="F841" s="206">
        <v>1523.083984375</v>
      </c>
      <c r="G841" s="206">
        <v>4.2593446000000004</v>
      </c>
      <c r="H841" s="206" t="s">
        <v>771</v>
      </c>
      <c r="I841" s="206">
        <v>0.80547730167345055</v>
      </c>
      <c r="J841" s="206"/>
      <c r="K841" s="206">
        <v>3</v>
      </c>
      <c r="L841" s="206" t="s">
        <v>454</v>
      </c>
      <c r="M841" s="206" t="s">
        <v>413</v>
      </c>
      <c r="N841" s="206" t="s">
        <v>773</v>
      </c>
      <c r="O841" s="206" t="s">
        <v>774</v>
      </c>
    </row>
    <row r="842" spans="3:15" x14ac:dyDescent="0.25">
      <c r="C842" s="206" t="s">
        <v>1628</v>
      </c>
      <c r="D842" s="206">
        <v>80</v>
      </c>
      <c r="E842" s="206">
        <v>6.7576415773168845</v>
      </c>
      <c r="F842" s="206">
        <v>562.93208777304994</v>
      </c>
      <c r="G842" s="206">
        <v>2.8539073000000002E-2</v>
      </c>
      <c r="H842" s="206" t="s">
        <v>771</v>
      </c>
      <c r="I842" s="206">
        <v>0.65</v>
      </c>
      <c r="J842" s="206"/>
      <c r="K842" s="206">
        <v>3</v>
      </c>
      <c r="L842" s="206" t="s">
        <v>454</v>
      </c>
      <c r="M842" s="206" t="s">
        <v>772</v>
      </c>
      <c r="N842" s="206" t="s">
        <v>773</v>
      </c>
      <c r="O842" s="206" t="s">
        <v>774</v>
      </c>
    </row>
    <row r="843" spans="3:15" x14ac:dyDescent="0.25">
      <c r="C843" s="206" t="s">
        <v>1629</v>
      </c>
      <c r="D843" s="206">
        <v>200</v>
      </c>
      <c r="E843" s="206">
        <v>36988.153320833473</v>
      </c>
      <c r="F843" s="206">
        <v>7368.8380004882902</v>
      </c>
      <c r="G843" s="206">
        <v>109.25413</v>
      </c>
      <c r="H843" s="206" t="s">
        <v>771</v>
      </c>
      <c r="I843" s="206">
        <v>0.63</v>
      </c>
      <c r="J843" s="206"/>
      <c r="K843" s="206">
        <v>3</v>
      </c>
      <c r="L843" s="206" t="s">
        <v>454</v>
      </c>
      <c r="M843" s="206" t="s">
        <v>413</v>
      </c>
      <c r="N843" s="206" t="s">
        <v>773</v>
      </c>
      <c r="O843" s="206" t="s">
        <v>805</v>
      </c>
    </row>
    <row r="844" spans="3:15" x14ac:dyDescent="0.25">
      <c r="C844" s="206" t="s">
        <v>1630</v>
      </c>
      <c r="D844" s="206">
        <v>65</v>
      </c>
      <c r="E844" s="206">
        <v>904.96817243510077</v>
      </c>
      <c r="F844" s="206">
        <v>491.91031249461201</v>
      </c>
      <c r="G844" s="206">
        <v>3.9022830000000002</v>
      </c>
      <c r="H844" s="206" t="s">
        <v>771</v>
      </c>
      <c r="I844" s="206">
        <v>0.64</v>
      </c>
      <c r="J844" s="206"/>
      <c r="K844" s="206">
        <v>3</v>
      </c>
      <c r="L844" s="206" t="s">
        <v>454</v>
      </c>
      <c r="M844" s="206" t="s">
        <v>772</v>
      </c>
      <c r="N844" s="206" t="s">
        <v>773</v>
      </c>
      <c r="O844" s="206" t="s">
        <v>774</v>
      </c>
    </row>
    <row r="845" spans="3:15" x14ac:dyDescent="0.25">
      <c r="C845" s="206" t="s">
        <v>1631</v>
      </c>
      <c r="D845" s="206">
        <v>250</v>
      </c>
      <c r="E845" s="206">
        <v>8217.8046402156342</v>
      </c>
      <c r="F845" s="206">
        <v>8864.2378461951503</v>
      </c>
      <c r="G845" s="206">
        <v>23.706593999999999</v>
      </c>
      <c r="H845" s="206" t="s">
        <v>771</v>
      </c>
      <c r="I845" s="206">
        <v>1</v>
      </c>
      <c r="J845" s="206"/>
      <c r="K845" s="206">
        <v>3</v>
      </c>
      <c r="L845" s="206" t="s">
        <v>454</v>
      </c>
      <c r="M845" s="206" t="s">
        <v>413</v>
      </c>
      <c r="N845" s="206" t="s">
        <v>773</v>
      </c>
      <c r="O845" s="206" t="s">
        <v>788</v>
      </c>
    </row>
    <row r="846" spans="3:15" x14ac:dyDescent="0.25">
      <c r="C846" s="206" t="s">
        <v>1632</v>
      </c>
      <c r="D846" s="206">
        <v>65</v>
      </c>
      <c r="E846" s="206">
        <v>2181.2479073003637</v>
      </c>
      <c r="F846" s="206">
        <v>319.08547260653</v>
      </c>
      <c r="G846" s="206">
        <v>10.209383000000001</v>
      </c>
      <c r="H846" s="206" t="s">
        <v>771</v>
      </c>
      <c r="I846" s="206">
        <v>0.65</v>
      </c>
      <c r="J846" s="206"/>
      <c r="K846" s="206">
        <v>3</v>
      </c>
      <c r="L846" s="206" t="s">
        <v>454</v>
      </c>
      <c r="M846" s="206" t="s">
        <v>413</v>
      </c>
      <c r="N846" s="206" t="s">
        <v>773</v>
      </c>
      <c r="O846" s="206" t="s">
        <v>774</v>
      </c>
    </row>
    <row r="847" spans="3:15" x14ac:dyDescent="0.25">
      <c r="C847" s="206" t="s">
        <v>1633</v>
      </c>
      <c r="D847" s="206">
        <v>40</v>
      </c>
      <c r="E847" s="206">
        <v>1211.5999857003353</v>
      </c>
      <c r="F847" s="206">
        <v>83.601570015664905</v>
      </c>
      <c r="G847" s="206">
        <v>6.7654357000000003</v>
      </c>
      <c r="H847" s="206" t="s">
        <v>771</v>
      </c>
      <c r="I847" s="206">
        <v>0.81</v>
      </c>
      <c r="J847" s="206"/>
      <c r="K847" s="206">
        <v>3</v>
      </c>
      <c r="L847" s="206" t="s">
        <v>454</v>
      </c>
      <c r="M847" s="206" t="s">
        <v>791</v>
      </c>
      <c r="N847" s="206" t="s">
        <v>773</v>
      </c>
      <c r="O847" s="206" t="s">
        <v>792</v>
      </c>
    </row>
    <row r="848" spans="3:15" x14ac:dyDescent="0.25">
      <c r="C848" s="206" t="s">
        <v>1634</v>
      </c>
      <c r="D848" s="206">
        <v>80</v>
      </c>
      <c r="E848" s="206">
        <v>1101.2408604212676</v>
      </c>
      <c r="F848" s="206">
        <v>667.92590213301196</v>
      </c>
      <c r="G848" s="206">
        <v>4.5316320000000001</v>
      </c>
      <c r="H848" s="206" t="s">
        <v>771</v>
      </c>
      <c r="I848" s="206">
        <v>0.63</v>
      </c>
      <c r="J848" s="206"/>
      <c r="K848" s="206">
        <v>3</v>
      </c>
      <c r="L848" s="206" t="s">
        <v>454</v>
      </c>
      <c r="M848" s="206" t="s">
        <v>772</v>
      </c>
      <c r="N848" s="206" t="s">
        <v>773</v>
      </c>
      <c r="O848" s="206" t="s">
        <v>774</v>
      </c>
    </row>
    <row r="849" spans="3:15" x14ac:dyDescent="0.25">
      <c r="C849" s="206" t="s">
        <v>1635</v>
      </c>
      <c r="D849" s="206">
        <v>125</v>
      </c>
      <c r="E849" s="206">
        <v>11865.899890216215</v>
      </c>
      <c r="F849" s="206">
        <v>1784.5899527449401</v>
      </c>
      <c r="G849" s="206">
        <v>42.085644000000002</v>
      </c>
      <c r="H849" s="206" t="s">
        <v>771</v>
      </c>
      <c r="I849" s="206">
        <v>1</v>
      </c>
      <c r="J849" s="206"/>
      <c r="K849" s="206">
        <v>3</v>
      </c>
      <c r="L849" s="206" t="s">
        <v>454</v>
      </c>
      <c r="M849" s="206" t="s">
        <v>413</v>
      </c>
      <c r="N849" s="206" t="s">
        <v>776</v>
      </c>
      <c r="O849" s="206" t="s">
        <v>776</v>
      </c>
    </row>
    <row r="850" spans="3:15" x14ac:dyDescent="0.25">
      <c r="C850" s="206" t="s">
        <v>1636</v>
      </c>
      <c r="D850" s="206">
        <v>40</v>
      </c>
      <c r="E850" s="206">
        <v>415.43782918056087</v>
      </c>
      <c r="F850" s="206">
        <v>100.29582977294901</v>
      </c>
      <c r="G850" s="206">
        <v>2.4548964999999998</v>
      </c>
      <c r="H850" s="206" t="s">
        <v>771</v>
      </c>
      <c r="I850" s="206">
        <v>1</v>
      </c>
      <c r="J850" s="206"/>
      <c r="K850" s="206">
        <v>3</v>
      </c>
      <c r="L850" s="206" t="s">
        <v>454</v>
      </c>
      <c r="M850" s="206" t="s">
        <v>791</v>
      </c>
      <c r="N850" s="206" t="s">
        <v>773</v>
      </c>
      <c r="O850" s="206" t="s">
        <v>792</v>
      </c>
    </row>
    <row r="851" spans="3:15" x14ac:dyDescent="0.25">
      <c r="C851" s="206" t="s">
        <v>1637</v>
      </c>
      <c r="D851" s="206">
        <v>200</v>
      </c>
      <c r="E851" s="206">
        <v>1585.8161588233074</v>
      </c>
      <c r="F851" s="206">
        <v>5175.2299023437699</v>
      </c>
      <c r="G851" s="206">
        <v>4.9003189999999996</v>
      </c>
      <c r="H851" s="206" t="s">
        <v>771</v>
      </c>
      <c r="I851" s="206">
        <v>0.64</v>
      </c>
      <c r="J851" s="206"/>
      <c r="K851" s="206">
        <v>3</v>
      </c>
      <c r="L851" s="206" t="s">
        <v>454</v>
      </c>
      <c r="M851" s="206" t="s">
        <v>782</v>
      </c>
      <c r="N851" s="206" t="s">
        <v>776</v>
      </c>
      <c r="O851" s="206" t="s">
        <v>776</v>
      </c>
    </row>
    <row r="852" spans="3:15" x14ac:dyDescent="0.25">
      <c r="C852" s="206" t="s">
        <v>1638</v>
      </c>
      <c r="D852" s="206">
        <v>65</v>
      </c>
      <c r="E852" s="206">
        <v>796.32625680146111</v>
      </c>
      <c r="F852" s="206">
        <v>479.31744384765602</v>
      </c>
      <c r="G852" s="206">
        <v>3.4536218999999999</v>
      </c>
      <c r="H852" s="206" t="s">
        <v>771</v>
      </c>
      <c r="I852" s="206">
        <v>0.7</v>
      </c>
      <c r="J852" s="206"/>
      <c r="K852" s="206">
        <v>3</v>
      </c>
      <c r="L852" s="206" t="s">
        <v>454</v>
      </c>
      <c r="M852" s="206" t="s">
        <v>413</v>
      </c>
      <c r="N852" s="206" t="s">
        <v>776</v>
      </c>
      <c r="O852" s="206" t="s">
        <v>776</v>
      </c>
    </row>
    <row r="853" spans="3:15" x14ac:dyDescent="0.25">
      <c r="C853" s="206" t="s">
        <v>1639</v>
      </c>
      <c r="D853" s="206">
        <v>80</v>
      </c>
      <c r="E853" s="206">
        <v>2485.2197847375942</v>
      </c>
      <c r="F853" s="206">
        <v>513.56514997209899</v>
      </c>
      <c r="G853" s="206">
        <v>10.627045000000001</v>
      </c>
      <c r="H853" s="206" t="s">
        <v>771</v>
      </c>
      <c r="I853" s="206">
        <v>0.68</v>
      </c>
      <c r="J853" s="206"/>
      <c r="K853" s="206">
        <v>3</v>
      </c>
      <c r="L853" s="206" t="s">
        <v>454</v>
      </c>
      <c r="M853" s="206" t="s">
        <v>782</v>
      </c>
      <c r="N853" s="206" t="s">
        <v>776</v>
      </c>
      <c r="O853" s="206" t="s">
        <v>776</v>
      </c>
    </row>
    <row r="854" spans="3:15" x14ac:dyDescent="0.25">
      <c r="C854" s="206" t="s">
        <v>1640</v>
      </c>
      <c r="D854" s="206">
        <v>25</v>
      </c>
      <c r="E854" s="206">
        <v>993.2466979876101</v>
      </c>
      <c r="F854" s="206">
        <v>30.427696228027301</v>
      </c>
      <c r="G854" s="206">
        <v>8.0194939999999999</v>
      </c>
      <c r="H854" s="206" t="s">
        <v>771</v>
      </c>
      <c r="I854" s="206">
        <v>1</v>
      </c>
      <c r="J854" s="206" t="s">
        <v>795</v>
      </c>
      <c r="K854" s="206"/>
      <c r="L854" s="206"/>
      <c r="M854" s="206"/>
      <c r="N854" s="206"/>
      <c r="O854" s="206"/>
    </row>
    <row r="855" spans="3:15" x14ac:dyDescent="0.25">
      <c r="C855" s="206" t="s">
        <v>1641</v>
      </c>
      <c r="D855" s="206">
        <v>250</v>
      </c>
      <c r="E855" s="206">
        <v>7791.2882110667379</v>
      </c>
      <c r="F855" s="206">
        <v>13386.7484804549</v>
      </c>
      <c r="G855" s="206">
        <v>21.444133999999998</v>
      </c>
      <c r="H855" s="206" t="s">
        <v>771</v>
      </c>
      <c r="I855" s="206">
        <v>0.63</v>
      </c>
      <c r="J855" s="206"/>
      <c r="K855" s="206">
        <v>3</v>
      </c>
      <c r="L855" s="206" t="s">
        <v>454</v>
      </c>
      <c r="M855" s="206" t="s">
        <v>413</v>
      </c>
      <c r="N855" s="206" t="s">
        <v>773</v>
      </c>
      <c r="O855" s="206" t="s">
        <v>774</v>
      </c>
    </row>
    <row r="856" spans="3:15" x14ac:dyDescent="0.25">
      <c r="C856" s="206" t="s">
        <v>1642</v>
      </c>
      <c r="D856" s="206">
        <v>80</v>
      </c>
      <c r="E856" s="206">
        <v>5426.3382485234397</v>
      </c>
      <c r="F856" s="206">
        <v>807.17686956620298</v>
      </c>
      <c r="G856" s="206">
        <v>21.595656999999999</v>
      </c>
      <c r="H856" s="206" t="s">
        <v>771</v>
      </c>
      <c r="I856" s="206">
        <v>0.66</v>
      </c>
      <c r="J856" s="206"/>
      <c r="K856" s="206">
        <v>3</v>
      </c>
      <c r="L856" s="206" t="s">
        <v>454</v>
      </c>
      <c r="M856" s="206" t="s">
        <v>791</v>
      </c>
      <c r="N856" s="206" t="s">
        <v>773</v>
      </c>
      <c r="O856" s="206" t="s">
        <v>800</v>
      </c>
    </row>
    <row r="857" spans="3:15" x14ac:dyDescent="0.25">
      <c r="C857" s="206" t="s">
        <v>1643</v>
      </c>
      <c r="D857" s="206">
        <v>20</v>
      </c>
      <c r="E857" s="206">
        <v>325.97167544100324</v>
      </c>
      <c r="F857" s="206">
        <v>2.91598506120499</v>
      </c>
      <c r="G857" s="206">
        <v>2.1948620000000001</v>
      </c>
      <c r="H857" s="206" t="s">
        <v>771</v>
      </c>
      <c r="I857" s="206">
        <v>1</v>
      </c>
      <c r="J857" s="206"/>
      <c r="K857" s="206">
        <v>3</v>
      </c>
      <c r="L857" s="206" t="s">
        <v>454</v>
      </c>
      <c r="M857" s="206" t="s">
        <v>772</v>
      </c>
      <c r="N857" s="206" t="s">
        <v>773</v>
      </c>
      <c r="O857" s="206" t="s">
        <v>774</v>
      </c>
    </row>
    <row r="858" spans="3:15" x14ac:dyDescent="0.25">
      <c r="C858" s="206" t="s">
        <v>1644</v>
      </c>
      <c r="D858" s="206">
        <v>80</v>
      </c>
      <c r="E858" s="206">
        <v>1364.1278182369858</v>
      </c>
      <c r="F858" s="206">
        <v>705.64816627708501</v>
      </c>
      <c r="G858" s="206">
        <v>6.0102159999999998</v>
      </c>
      <c r="H858" s="206" t="s">
        <v>771</v>
      </c>
      <c r="I858" s="206">
        <v>1</v>
      </c>
      <c r="J858" s="206"/>
      <c r="K858" s="206">
        <v>3</v>
      </c>
      <c r="L858" s="206" t="s">
        <v>454</v>
      </c>
      <c r="M858" s="206" t="s">
        <v>772</v>
      </c>
      <c r="N858" s="206" t="s">
        <v>784</v>
      </c>
      <c r="O858" s="206" t="s">
        <v>774</v>
      </c>
    </row>
    <row r="859" spans="3:15" x14ac:dyDescent="0.25">
      <c r="C859" s="206" t="s">
        <v>1645</v>
      </c>
      <c r="D859" s="206">
        <v>80</v>
      </c>
      <c r="E859" s="206">
        <v>5552.7195837341515</v>
      </c>
      <c r="F859" s="206">
        <v>617.18597412109398</v>
      </c>
      <c r="G859" s="206">
        <v>23.136043999999998</v>
      </c>
      <c r="H859" s="206" t="s">
        <v>771</v>
      </c>
      <c r="I859" s="206">
        <v>0.7294998052048729</v>
      </c>
      <c r="J859" s="206"/>
      <c r="K859" s="206">
        <v>3</v>
      </c>
      <c r="L859" s="206" t="s">
        <v>454</v>
      </c>
      <c r="M859" s="206" t="s">
        <v>791</v>
      </c>
      <c r="N859" s="206" t="s">
        <v>773</v>
      </c>
      <c r="O859" s="206" t="s">
        <v>800</v>
      </c>
    </row>
    <row r="860" spans="3:15" x14ac:dyDescent="0.25">
      <c r="C860" s="206" t="s">
        <v>1646</v>
      </c>
      <c r="D860" s="206">
        <v>100</v>
      </c>
      <c r="E860" s="206">
        <v>7222.183506330025</v>
      </c>
      <c r="F860" s="206">
        <v>962.60109389794502</v>
      </c>
      <c r="G860" s="206">
        <v>28.017931000000001</v>
      </c>
      <c r="H860" s="206" t="s">
        <v>771</v>
      </c>
      <c r="I860" s="206">
        <v>0.64</v>
      </c>
      <c r="J860" s="206"/>
      <c r="K860" s="206">
        <v>3</v>
      </c>
      <c r="L860" s="206" t="s">
        <v>454</v>
      </c>
      <c r="M860" s="206" t="s">
        <v>413</v>
      </c>
      <c r="N860" s="206" t="s">
        <v>773</v>
      </c>
      <c r="O860" s="206" t="s">
        <v>800</v>
      </c>
    </row>
    <row r="861" spans="3:15" x14ac:dyDescent="0.25">
      <c r="C861" s="206" t="s">
        <v>1647</v>
      </c>
      <c r="D861" s="206">
        <v>80</v>
      </c>
      <c r="E861" s="206">
        <v>5377.8089198856305</v>
      </c>
      <c r="F861" s="206">
        <v>704.425133970552</v>
      </c>
      <c r="G861" s="206">
        <v>23.694109000000001</v>
      </c>
      <c r="H861" s="206" t="s">
        <v>771</v>
      </c>
      <c r="I861" s="206">
        <v>1</v>
      </c>
      <c r="J861" s="206"/>
      <c r="K861" s="206">
        <v>3</v>
      </c>
      <c r="L861" s="206" t="s">
        <v>454</v>
      </c>
      <c r="M861" s="206" t="s">
        <v>772</v>
      </c>
      <c r="N861" s="206" t="s">
        <v>784</v>
      </c>
      <c r="O861" s="206" t="s">
        <v>774</v>
      </c>
    </row>
    <row r="862" spans="3:15" x14ac:dyDescent="0.25">
      <c r="C862" s="206" t="s">
        <v>1648</v>
      </c>
      <c r="D862" s="206">
        <v>65</v>
      </c>
      <c r="E862" s="206">
        <v>2193.8733101489051</v>
      </c>
      <c r="F862" s="206">
        <v>319.08547260653</v>
      </c>
      <c r="G862" s="206">
        <v>10.2684765</v>
      </c>
      <c r="H862" s="206" t="s">
        <v>771</v>
      </c>
      <c r="I862" s="206">
        <v>0.65</v>
      </c>
      <c r="J862" s="206"/>
      <c r="K862" s="206">
        <v>3</v>
      </c>
      <c r="L862" s="206" t="s">
        <v>454</v>
      </c>
      <c r="M862" s="206" t="s">
        <v>413</v>
      </c>
      <c r="N862" s="206" t="s">
        <v>773</v>
      </c>
      <c r="O862" s="206" t="s">
        <v>774</v>
      </c>
    </row>
    <row r="863" spans="3:15" x14ac:dyDescent="0.25">
      <c r="C863" s="206" t="s">
        <v>1649</v>
      </c>
      <c r="D863" s="206">
        <v>65</v>
      </c>
      <c r="E863" s="206">
        <v>1051.8599133080374</v>
      </c>
      <c r="F863" s="206">
        <v>449.750732421875</v>
      </c>
      <c r="G863" s="206">
        <v>4.6244969999999999</v>
      </c>
      <c r="H863" s="206" t="s">
        <v>771</v>
      </c>
      <c r="I863" s="206">
        <v>0.66</v>
      </c>
      <c r="J863" s="206" t="s">
        <v>795</v>
      </c>
      <c r="K863" s="206"/>
      <c r="L863" s="206"/>
      <c r="M863" s="206"/>
      <c r="N863" s="206"/>
      <c r="O863" s="206"/>
    </row>
    <row r="864" spans="3:15" x14ac:dyDescent="0.25">
      <c r="C864" s="206" t="s">
        <v>1650</v>
      </c>
      <c r="D864" s="206">
        <v>150</v>
      </c>
      <c r="E864" s="206">
        <v>2878.0914863978142</v>
      </c>
      <c r="F864" s="206">
        <v>3529.0715643295898</v>
      </c>
      <c r="G864" s="206">
        <v>9.2974820000000005</v>
      </c>
      <c r="H864" s="206" t="s">
        <v>771</v>
      </c>
      <c r="I864" s="206">
        <v>0.63</v>
      </c>
      <c r="J864" s="206"/>
      <c r="K864" s="206">
        <v>3</v>
      </c>
      <c r="L864" s="206" t="s">
        <v>454</v>
      </c>
      <c r="M864" s="206" t="s">
        <v>782</v>
      </c>
      <c r="N864" s="206" t="s">
        <v>776</v>
      </c>
      <c r="O864" s="206" t="s">
        <v>776</v>
      </c>
    </row>
    <row r="865" spans="3:15" x14ac:dyDescent="0.25">
      <c r="C865" s="206" t="s">
        <v>1651</v>
      </c>
      <c r="D865" s="206">
        <v>400</v>
      </c>
      <c r="E865" s="206">
        <v>4037.262277486423</v>
      </c>
      <c r="F865" s="206">
        <v>27007.699886683899</v>
      </c>
      <c r="G865" s="206">
        <v>10.338428</v>
      </c>
      <c r="H865" s="206" t="s">
        <v>771</v>
      </c>
      <c r="I865" s="206">
        <v>0.62</v>
      </c>
      <c r="J865" s="206"/>
      <c r="K865" s="206">
        <v>3</v>
      </c>
      <c r="L865" s="206" t="s">
        <v>454</v>
      </c>
      <c r="M865" s="206" t="s">
        <v>791</v>
      </c>
      <c r="N865" s="206" t="s">
        <v>773</v>
      </c>
      <c r="O865" s="206" t="s">
        <v>800</v>
      </c>
    </row>
    <row r="866" spans="3:15" x14ac:dyDescent="0.25">
      <c r="C866" s="206" t="s">
        <v>1652</v>
      </c>
      <c r="D866" s="206">
        <v>200</v>
      </c>
      <c r="E866" s="206">
        <v>5355.5226811414723</v>
      </c>
      <c r="F866" s="206">
        <v>7368.8380004882902</v>
      </c>
      <c r="G866" s="206">
        <v>15.818929000000001</v>
      </c>
      <c r="H866" s="206" t="s">
        <v>771</v>
      </c>
      <c r="I866" s="206">
        <v>0.63</v>
      </c>
      <c r="J866" s="206"/>
      <c r="K866" s="206">
        <v>3</v>
      </c>
      <c r="L866" s="206" t="s">
        <v>454</v>
      </c>
      <c r="M866" s="206" t="s">
        <v>772</v>
      </c>
      <c r="N866" s="206" t="s">
        <v>773</v>
      </c>
      <c r="O866" s="206" t="s">
        <v>774</v>
      </c>
    </row>
    <row r="867" spans="3:15" x14ac:dyDescent="0.25">
      <c r="C867" s="206" t="s">
        <v>1653</v>
      </c>
      <c r="D867" s="206">
        <v>50</v>
      </c>
      <c r="E867" s="206">
        <v>1146.3027985262408</v>
      </c>
      <c r="F867" s="206">
        <v>148.388475348707</v>
      </c>
      <c r="G867" s="206">
        <v>6.1768574999999997</v>
      </c>
      <c r="H867" s="206" t="s">
        <v>771</v>
      </c>
      <c r="I867" s="206">
        <v>0.65</v>
      </c>
      <c r="J867" s="206"/>
      <c r="K867" s="206">
        <v>3</v>
      </c>
      <c r="L867" s="206" t="s">
        <v>454</v>
      </c>
      <c r="M867" s="206" t="s">
        <v>772</v>
      </c>
      <c r="N867" s="206" t="s">
        <v>773</v>
      </c>
      <c r="O867" s="206" t="s">
        <v>774</v>
      </c>
    </row>
    <row r="868" spans="3:15" x14ac:dyDescent="0.25">
      <c r="C868" s="206" t="s">
        <v>1654</v>
      </c>
      <c r="D868" s="206">
        <v>40</v>
      </c>
      <c r="E868" s="206">
        <v>909.45286836665809</v>
      </c>
      <c r="F868" s="206">
        <v>100.29582977294901</v>
      </c>
      <c r="G868" s="206">
        <v>5.3741197999999999</v>
      </c>
      <c r="H868" s="206" t="s">
        <v>771</v>
      </c>
      <c r="I868" s="206">
        <v>1</v>
      </c>
      <c r="J868" s="206"/>
      <c r="K868" s="206">
        <v>3</v>
      </c>
      <c r="L868" s="206" t="s">
        <v>454</v>
      </c>
      <c r="M868" s="206" t="s">
        <v>791</v>
      </c>
      <c r="N868" s="206" t="s">
        <v>773</v>
      </c>
      <c r="O868" s="206" t="s">
        <v>792</v>
      </c>
    </row>
    <row r="869" spans="3:15" x14ac:dyDescent="0.25">
      <c r="C869" s="206" t="s">
        <v>1655</v>
      </c>
      <c r="D869" s="206">
        <v>80</v>
      </c>
      <c r="E869" s="206">
        <v>162.18132001398166</v>
      </c>
      <c r="F869" s="206">
        <v>617.18597412109398</v>
      </c>
      <c r="G869" s="206">
        <v>0.67574710000000004</v>
      </c>
      <c r="H869" s="206" t="s">
        <v>771</v>
      </c>
      <c r="I869" s="206">
        <v>0.7294998052048729</v>
      </c>
      <c r="J869" s="206"/>
      <c r="K869" s="206">
        <v>3</v>
      </c>
      <c r="L869" s="206" t="s">
        <v>454</v>
      </c>
      <c r="M869" s="206" t="s">
        <v>772</v>
      </c>
      <c r="N869" s="206" t="s">
        <v>773</v>
      </c>
      <c r="O869" s="206" t="s">
        <v>774</v>
      </c>
    </row>
    <row r="870" spans="3:15" x14ac:dyDescent="0.25">
      <c r="C870" s="206" t="s">
        <v>1656</v>
      </c>
      <c r="D870" s="206">
        <v>80</v>
      </c>
      <c r="E870" s="206">
        <v>1438.8458712613067</v>
      </c>
      <c r="F870" s="206">
        <v>562.93208777304994</v>
      </c>
      <c r="G870" s="206">
        <v>6.0765767000000004</v>
      </c>
      <c r="H870" s="206" t="s">
        <v>771</v>
      </c>
      <c r="I870" s="206">
        <v>0.65</v>
      </c>
      <c r="J870" s="206"/>
      <c r="K870" s="206">
        <v>3</v>
      </c>
      <c r="L870" s="206" t="s">
        <v>454</v>
      </c>
      <c r="M870" s="206" t="s">
        <v>772</v>
      </c>
      <c r="N870" s="206" t="s">
        <v>773</v>
      </c>
      <c r="O870" s="206" t="s">
        <v>774</v>
      </c>
    </row>
    <row r="871" spans="3:15" x14ac:dyDescent="0.25">
      <c r="C871" s="206" t="s">
        <v>1657</v>
      </c>
      <c r="D871" s="206">
        <v>150</v>
      </c>
      <c r="E871" s="206">
        <v>5271.9067311924246</v>
      </c>
      <c r="F871" s="206">
        <v>3529.0715643295898</v>
      </c>
      <c r="G871" s="206">
        <v>17.030542000000001</v>
      </c>
      <c r="H871" s="206" t="s">
        <v>771</v>
      </c>
      <c r="I871" s="206">
        <v>0.63</v>
      </c>
      <c r="J871" s="206"/>
      <c r="K871" s="206">
        <v>3</v>
      </c>
      <c r="L871" s="206" t="s">
        <v>454</v>
      </c>
      <c r="M871" s="206" t="s">
        <v>782</v>
      </c>
      <c r="N871" s="206" t="s">
        <v>773</v>
      </c>
      <c r="O871" s="206" t="s">
        <v>805</v>
      </c>
    </row>
    <row r="872" spans="3:15" x14ac:dyDescent="0.25">
      <c r="C872" s="206" t="s">
        <v>1658</v>
      </c>
      <c r="D872" s="206">
        <v>80</v>
      </c>
      <c r="E872" s="206">
        <v>1262.7679066004096</v>
      </c>
      <c r="F872" s="206">
        <v>562.93208777304994</v>
      </c>
      <c r="G872" s="206">
        <v>5.3329589999999998</v>
      </c>
      <c r="H872" s="206" t="s">
        <v>771</v>
      </c>
      <c r="I872" s="206">
        <v>0.65</v>
      </c>
      <c r="J872" s="206"/>
      <c r="K872" s="206">
        <v>3</v>
      </c>
      <c r="L872" s="206" t="s">
        <v>454</v>
      </c>
      <c r="M872" s="206" t="s">
        <v>772</v>
      </c>
      <c r="N872" s="206" t="s">
        <v>773</v>
      </c>
      <c r="O872" s="206" t="s">
        <v>774</v>
      </c>
    </row>
    <row r="873" spans="3:15" x14ac:dyDescent="0.25">
      <c r="C873" s="206" t="s">
        <v>1659</v>
      </c>
      <c r="D873" s="206">
        <v>200</v>
      </c>
      <c r="E873" s="206">
        <v>1657.1167594283406</v>
      </c>
      <c r="F873" s="206">
        <v>7368.8380004882902</v>
      </c>
      <c r="G873" s="206">
        <v>4.8947253000000002</v>
      </c>
      <c r="H873" s="206" t="s">
        <v>771</v>
      </c>
      <c r="I873" s="206">
        <v>0.63</v>
      </c>
      <c r="J873" s="206"/>
      <c r="K873" s="206">
        <v>3</v>
      </c>
      <c r="L873" s="206" t="s">
        <v>454</v>
      </c>
      <c r="M873" s="206" t="s">
        <v>772</v>
      </c>
      <c r="N873" s="206" t="s">
        <v>773</v>
      </c>
      <c r="O873" s="206" t="s">
        <v>774</v>
      </c>
    </row>
    <row r="874" spans="3:15" x14ac:dyDescent="0.25">
      <c r="C874" s="206" t="s">
        <v>1660</v>
      </c>
      <c r="D874" s="206">
        <v>400</v>
      </c>
      <c r="E874" s="206">
        <v>2305.6010221860529</v>
      </c>
      <c r="F874" s="206">
        <v>27339.509060267901</v>
      </c>
      <c r="G874" s="206">
        <v>5.8977510000000004</v>
      </c>
      <c r="H874" s="206" t="s">
        <v>771</v>
      </c>
      <c r="I874" s="206">
        <v>0.62</v>
      </c>
      <c r="J874" s="206"/>
      <c r="K874" s="206">
        <v>3</v>
      </c>
      <c r="L874" s="206" t="s">
        <v>454</v>
      </c>
      <c r="M874" s="206" t="s">
        <v>782</v>
      </c>
      <c r="N874" s="206" t="s">
        <v>776</v>
      </c>
      <c r="O874" s="206" t="s">
        <v>776</v>
      </c>
    </row>
    <row r="875" spans="3:15" x14ac:dyDescent="0.25">
      <c r="C875" s="206" t="s">
        <v>1661</v>
      </c>
      <c r="D875" s="206">
        <v>65</v>
      </c>
      <c r="E875" s="206">
        <v>676.25467913999148</v>
      </c>
      <c r="F875" s="206">
        <v>319.08547260653</v>
      </c>
      <c r="G875" s="206">
        <v>3.1652262000000002</v>
      </c>
      <c r="H875" s="206" t="s">
        <v>771</v>
      </c>
      <c r="I875" s="206">
        <v>0.65</v>
      </c>
      <c r="J875" s="206"/>
      <c r="K875" s="206">
        <v>3</v>
      </c>
      <c r="L875" s="206" t="s">
        <v>454</v>
      </c>
      <c r="M875" s="206" t="s">
        <v>772</v>
      </c>
      <c r="N875" s="206" t="s">
        <v>773</v>
      </c>
      <c r="O875" s="206" t="s">
        <v>774</v>
      </c>
    </row>
    <row r="876" spans="3:15" x14ac:dyDescent="0.25">
      <c r="C876" s="206" t="s">
        <v>1662</v>
      </c>
      <c r="D876" s="206">
        <v>200</v>
      </c>
      <c r="E876" s="206">
        <v>3232.7087252463939</v>
      </c>
      <c r="F876" s="206">
        <v>7536.2844369506902</v>
      </c>
      <c r="G876" s="206">
        <v>9.5165959999999998</v>
      </c>
      <c r="H876" s="206" t="s">
        <v>771</v>
      </c>
      <c r="I876" s="206">
        <v>0.63</v>
      </c>
      <c r="J876" s="206"/>
      <c r="K876" s="206">
        <v>3</v>
      </c>
      <c r="L876" s="206" t="s">
        <v>454</v>
      </c>
      <c r="M876" s="206" t="s">
        <v>772</v>
      </c>
      <c r="N876" s="206" t="s">
        <v>773</v>
      </c>
      <c r="O876" s="206" t="s">
        <v>774</v>
      </c>
    </row>
    <row r="877" spans="3:15" x14ac:dyDescent="0.25">
      <c r="C877" s="206" t="s">
        <v>1663</v>
      </c>
      <c r="D877" s="206">
        <v>65</v>
      </c>
      <c r="E877" s="206">
        <v>651.3011019869723</v>
      </c>
      <c r="F877" s="206">
        <v>475.78259277343801</v>
      </c>
      <c r="G877" s="206">
        <v>2.8292377000000002</v>
      </c>
      <c r="H877" s="206" t="s">
        <v>771</v>
      </c>
      <c r="I877" s="206">
        <v>0.7457233913710184</v>
      </c>
      <c r="J877" s="206"/>
      <c r="K877" s="206">
        <v>3</v>
      </c>
      <c r="L877" s="206" t="s">
        <v>454</v>
      </c>
      <c r="M877" s="206" t="s">
        <v>772</v>
      </c>
      <c r="N877" s="206" t="s">
        <v>773</v>
      </c>
      <c r="O877" s="206" t="s">
        <v>774</v>
      </c>
    </row>
    <row r="878" spans="3:15" x14ac:dyDescent="0.25">
      <c r="C878" s="206" t="s">
        <v>1664</v>
      </c>
      <c r="D878" s="206">
        <v>200</v>
      </c>
      <c r="E878" s="206">
        <v>1554.3660065503761</v>
      </c>
      <c r="F878" s="206">
        <v>5825.9935531513001</v>
      </c>
      <c r="G878" s="206">
        <v>4.7381489999999999</v>
      </c>
      <c r="H878" s="206" t="s">
        <v>771</v>
      </c>
      <c r="I878" s="206">
        <v>1</v>
      </c>
      <c r="J878" s="206"/>
      <c r="K878" s="206">
        <v>3</v>
      </c>
      <c r="L878" s="206" t="s">
        <v>454</v>
      </c>
      <c r="M878" s="206" t="s">
        <v>791</v>
      </c>
      <c r="N878" s="206" t="s">
        <v>773</v>
      </c>
      <c r="O878" s="206" t="s">
        <v>800</v>
      </c>
    </row>
    <row r="879" spans="3:15" x14ac:dyDescent="0.25">
      <c r="C879" s="206" t="s">
        <v>1665</v>
      </c>
      <c r="D879" s="206">
        <v>400</v>
      </c>
      <c r="E879" s="206">
        <v>5575.37997122866</v>
      </c>
      <c r="F879" s="206">
        <v>27339.509060267901</v>
      </c>
      <c r="G879" s="206">
        <v>14.261879</v>
      </c>
      <c r="H879" s="206" t="s">
        <v>771</v>
      </c>
      <c r="I879" s="206">
        <v>0.62</v>
      </c>
      <c r="J879" s="206"/>
      <c r="K879" s="206">
        <v>3</v>
      </c>
      <c r="L879" s="206" t="s">
        <v>454</v>
      </c>
      <c r="M879" s="206" t="s">
        <v>782</v>
      </c>
      <c r="N879" s="206" t="s">
        <v>776</v>
      </c>
      <c r="O879" s="206" t="s">
        <v>776</v>
      </c>
    </row>
    <row r="880" spans="3:15" x14ac:dyDescent="0.25">
      <c r="C880" s="206" t="s">
        <v>1666</v>
      </c>
      <c r="D880" s="206">
        <v>200</v>
      </c>
      <c r="E880" s="206">
        <v>1977.0138532925853</v>
      </c>
      <c r="F880" s="206">
        <v>5646.44771793778</v>
      </c>
      <c r="G880" s="206">
        <v>6.0462135999999997</v>
      </c>
      <c r="H880" s="206" t="s">
        <v>771</v>
      </c>
      <c r="I880" s="206">
        <v>1</v>
      </c>
      <c r="J880" s="206"/>
      <c r="K880" s="206">
        <v>3</v>
      </c>
      <c r="L880" s="206" t="s">
        <v>454</v>
      </c>
      <c r="M880" s="206" t="s">
        <v>772</v>
      </c>
      <c r="N880" s="206" t="s">
        <v>773</v>
      </c>
      <c r="O880" s="206" t="s">
        <v>788</v>
      </c>
    </row>
    <row r="881" spans="3:15" x14ac:dyDescent="0.25">
      <c r="C881" s="206" t="s">
        <v>1667</v>
      </c>
      <c r="D881" s="206">
        <v>65</v>
      </c>
      <c r="E881" s="206">
        <v>1282.637441997502</v>
      </c>
      <c r="F881" s="206">
        <v>366.340331913667</v>
      </c>
      <c r="G881" s="206">
        <v>5.9881849999999996</v>
      </c>
      <c r="H881" s="206" t="s">
        <v>771</v>
      </c>
      <c r="I881" s="206">
        <v>0.74826912236183685</v>
      </c>
      <c r="J881" s="206"/>
      <c r="K881" s="206">
        <v>3</v>
      </c>
      <c r="L881" s="206" t="s">
        <v>454</v>
      </c>
      <c r="M881" s="206" t="s">
        <v>772</v>
      </c>
      <c r="N881" s="206" t="s">
        <v>773</v>
      </c>
      <c r="O881" s="206" t="s">
        <v>774</v>
      </c>
    </row>
    <row r="882" spans="3:15" x14ac:dyDescent="0.25">
      <c r="C882" s="206" t="s">
        <v>1668</v>
      </c>
      <c r="D882" s="206">
        <v>65</v>
      </c>
      <c r="E882" s="206">
        <v>162.58308117248487</v>
      </c>
      <c r="F882" s="206">
        <v>319.08547260653</v>
      </c>
      <c r="G882" s="206">
        <v>0.76097400000000004</v>
      </c>
      <c r="H882" s="206" t="s">
        <v>771</v>
      </c>
      <c r="I882" s="206">
        <v>0.65</v>
      </c>
      <c r="J882" s="206"/>
      <c r="K882" s="206">
        <v>3</v>
      </c>
      <c r="L882" s="206" t="s">
        <v>454</v>
      </c>
      <c r="M882" s="206" t="s">
        <v>772</v>
      </c>
      <c r="N882" s="206" t="s">
        <v>773</v>
      </c>
      <c r="O882" s="206" t="s">
        <v>774</v>
      </c>
    </row>
    <row r="883" spans="3:15" x14ac:dyDescent="0.25">
      <c r="C883" s="206" t="s">
        <v>1669</v>
      </c>
      <c r="D883" s="206">
        <v>200</v>
      </c>
      <c r="E883" s="206">
        <v>2018.0035837332889</v>
      </c>
      <c r="F883" s="206">
        <v>5825.9935531513001</v>
      </c>
      <c r="G883" s="206">
        <v>6.1514480000000002</v>
      </c>
      <c r="H883" s="206" t="s">
        <v>771</v>
      </c>
      <c r="I883" s="206">
        <v>1</v>
      </c>
      <c r="J883" s="206"/>
      <c r="K883" s="206">
        <v>3</v>
      </c>
      <c r="L883" s="206" t="s">
        <v>454</v>
      </c>
      <c r="M883" s="206" t="s">
        <v>791</v>
      </c>
      <c r="N883" s="206" t="s">
        <v>773</v>
      </c>
      <c r="O883" s="206" t="s">
        <v>800</v>
      </c>
    </row>
    <row r="884" spans="3:15" x14ac:dyDescent="0.25">
      <c r="C884" s="206" t="s">
        <v>1670</v>
      </c>
      <c r="D884" s="206">
        <v>50</v>
      </c>
      <c r="E884" s="206">
        <v>1113.6781606136267</v>
      </c>
      <c r="F884" s="206">
        <v>148.388475348707</v>
      </c>
      <c r="G884" s="206">
        <v>6.0010595000000002</v>
      </c>
      <c r="H884" s="206" t="s">
        <v>771</v>
      </c>
      <c r="I884" s="206">
        <v>0.65</v>
      </c>
      <c r="J884" s="206"/>
      <c r="K884" s="206">
        <v>3</v>
      </c>
      <c r="L884" s="206" t="s">
        <v>454</v>
      </c>
      <c r="M884" s="206" t="s">
        <v>772</v>
      </c>
      <c r="N884" s="206" t="s">
        <v>773</v>
      </c>
      <c r="O884" s="206" t="s">
        <v>774</v>
      </c>
    </row>
    <row r="885" spans="3:15" x14ac:dyDescent="0.25">
      <c r="C885" s="206" t="s">
        <v>1671</v>
      </c>
      <c r="D885" s="206">
        <v>20</v>
      </c>
      <c r="E885" s="206">
        <v>627.72946893045093</v>
      </c>
      <c r="F885" s="206">
        <v>2.2925089137279402</v>
      </c>
      <c r="G885" s="206">
        <v>5.3615216999999999</v>
      </c>
      <c r="H885" s="206" t="s">
        <v>771</v>
      </c>
      <c r="I885" s="206">
        <v>1</v>
      </c>
      <c r="J885" s="206"/>
      <c r="K885" s="206">
        <v>3</v>
      </c>
      <c r="L885" s="206" t="s">
        <v>454</v>
      </c>
      <c r="M885" s="206" t="s">
        <v>782</v>
      </c>
      <c r="N885" s="206" t="s">
        <v>776</v>
      </c>
      <c r="O885" s="206" t="s">
        <v>776</v>
      </c>
    </row>
    <row r="886" spans="3:15" x14ac:dyDescent="0.25">
      <c r="C886" s="206" t="s">
        <v>1672</v>
      </c>
      <c r="D886" s="206">
        <v>200</v>
      </c>
      <c r="E886" s="206">
        <v>1443.6008223491369</v>
      </c>
      <c r="F886" s="206">
        <v>5647.44771793778</v>
      </c>
      <c r="G886" s="206">
        <v>4.4148082999999998</v>
      </c>
      <c r="H886" s="206" t="s">
        <v>771</v>
      </c>
      <c r="I886" s="206">
        <v>1</v>
      </c>
      <c r="J886" s="206"/>
      <c r="K886" s="206">
        <v>3</v>
      </c>
      <c r="L886" s="206" t="s">
        <v>454</v>
      </c>
      <c r="M886" s="206" t="s">
        <v>772</v>
      </c>
      <c r="N886" s="206" t="s">
        <v>773</v>
      </c>
      <c r="O886" s="206" t="s">
        <v>774</v>
      </c>
    </row>
    <row r="887" spans="3:15" x14ac:dyDescent="0.25">
      <c r="C887" s="206" t="s">
        <v>1673</v>
      </c>
      <c r="D887" s="206">
        <v>25</v>
      </c>
      <c r="E887" s="206">
        <v>401.89801241562373</v>
      </c>
      <c r="F887" s="206">
        <v>25.546085357666001</v>
      </c>
      <c r="G887" s="206">
        <v>3.3959579999999998</v>
      </c>
      <c r="H887" s="206" t="s">
        <v>771</v>
      </c>
      <c r="I887" s="206">
        <v>0.81000000000011196</v>
      </c>
      <c r="J887" s="206"/>
      <c r="K887" s="206">
        <v>3</v>
      </c>
      <c r="L887" s="206" t="s">
        <v>454</v>
      </c>
      <c r="M887" s="206" t="s">
        <v>772</v>
      </c>
      <c r="N887" s="206" t="s">
        <v>773</v>
      </c>
      <c r="O887" s="206" t="s">
        <v>774</v>
      </c>
    </row>
    <row r="888" spans="3:15" x14ac:dyDescent="0.25">
      <c r="C888" s="206" t="s">
        <v>1674</v>
      </c>
      <c r="D888" s="206">
        <v>80</v>
      </c>
      <c r="E888" s="206">
        <v>2643.0813351335369</v>
      </c>
      <c r="F888" s="206">
        <v>617.18597412109398</v>
      </c>
      <c r="G888" s="206">
        <v>11.012702000000001</v>
      </c>
      <c r="H888" s="206" t="s">
        <v>771</v>
      </c>
      <c r="I888" s="206">
        <v>0.78646332241778494</v>
      </c>
      <c r="J888" s="206" t="s">
        <v>795</v>
      </c>
      <c r="K888" s="206"/>
      <c r="L888" s="206"/>
      <c r="M888" s="206"/>
      <c r="N888" s="206"/>
      <c r="O888" s="206"/>
    </row>
    <row r="889" spans="3:15" x14ac:dyDescent="0.25">
      <c r="C889" s="206" t="s">
        <v>1675</v>
      </c>
      <c r="D889" s="206">
        <v>50</v>
      </c>
      <c r="E889" s="206">
        <v>998.66841553175175</v>
      </c>
      <c r="F889" s="206">
        <v>148.388475348707</v>
      </c>
      <c r="G889" s="206">
        <v>5.381329</v>
      </c>
      <c r="H889" s="206" t="s">
        <v>771</v>
      </c>
      <c r="I889" s="206">
        <v>0.65</v>
      </c>
      <c r="J889" s="206"/>
      <c r="K889" s="206">
        <v>3</v>
      </c>
      <c r="L889" s="206" t="s">
        <v>454</v>
      </c>
      <c r="M889" s="206" t="s">
        <v>772</v>
      </c>
      <c r="N889" s="206" t="s">
        <v>773</v>
      </c>
      <c r="O889" s="206" t="s">
        <v>774</v>
      </c>
    </row>
    <row r="890" spans="3:15" x14ac:dyDescent="0.25">
      <c r="C890" s="206" t="s">
        <v>1676</v>
      </c>
      <c r="D890" s="206">
        <v>20</v>
      </c>
      <c r="E890" s="206">
        <v>908.03433472133793</v>
      </c>
      <c r="F890" s="206">
        <v>2.91598506120499</v>
      </c>
      <c r="G890" s="206">
        <v>6.1140590000000001</v>
      </c>
      <c r="H890" s="206" t="s">
        <v>771</v>
      </c>
      <c r="I890" s="206">
        <v>1</v>
      </c>
      <c r="J890" s="206"/>
      <c r="K890" s="206">
        <v>3</v>
      </c>
      <c r="L890" s="206" t="s">
        <v>454</v>
      </c>
      <c r="M890" s="206" t="s">
        <v>772</v>
      </c>
      <c r="N890" s="206" t="s">
        <v>773</v>
      </c>
      <c r="O890" s="206" t="s">
        <v>774</v>
      </c>
    </row>
    <row r="891" spans="3:15" x14ac:dyDescent="0.25">
      <c r="C891" s="206" t="s">
        <v>1677</v>
      </c>
      <c r="D891" s="206">
        <v>80</v>
      </c>
      <c r="E891" s="206">
        <v>1319.044564538666</v>
      </c>
      <c r="F891" s="206">
        <v>617.18597412109398</v>
      </c>
      <c r="G891" s="206">
        <v>5.4959506999999999</v>
      </c>
      <c r="H891" s="206" t="s">
        <v>771</v>
      </c>
      <c r="I891" s="206">
        <v>0.7294998052048729</v>
      </c>
      <c r="J891" s="206"/>
      <c r="K891" s="206">
        <v>3</v>
      </c>
      <c r="L891" s="206" t="s">
        <v>454</v>
      </c>
      <c r="M891" s="206" t="s">
        <v>791</v>
      </c>
      <c r="N891" s="206" t="s">
        <v>773</v>
      </c>
      <c r="O891" s="206" t="s">
        <v>800</v>
      </c>
    </row>
    <row r="892" spans="3:15" x14ac:dyDescent="0.25">
      <c r="C892" s="206" t="s">
        <v>1678</v>
      </c>
      <c r="D892" s="206">
        <v>65</v>
      </c>
      <c r="E892" s="206">
        <v>854.54510310175283</v>
      </c>
      <c r="F892" s="206">
        <v>366.340331913667</v>
      </c>
      <c r="G892" s="206">
        <v>3.9895717999999998</v>
      </c>
      <c r="H892" s="206" t="s">
        <v>771</v>
      </c>
      <c r="I892" s="206">
        <v>0.74826912236183685</v>
      </c>
      <c r="J892" s="206"/>
      <c r="K892" s="206">
        <v>3</v>
      </c>
      <c r="L892" s="206" t="s">
        <v>454</v>
      </c>
      <c r="M892" s="206" t="s">
        <v>772</v>
      </c>
      <c r="N892" s="206" t="s">
        <v>773</v>
      </c>
      <c r="O892" s="206" t="s">
        <v>774</v>
      </c>
    </row>
    <row r="893" spans="3:15" x14ac:dyDescent="0.25">
      <c r="C893" s="206" t="s">
        <v>1679</v>
      </c>
      <c r="D893" s="206">
        <v>200</v>
      </c>
      <c r="E893" s="206">
        <v>1490.2612040436857</v>
      </c>
      <c r="F893" s="206">
        <v>5647.44771793778</v>
      </c>
      <c r="G893" s="206">
        <v>4.5575047</v>
      </c>
      <c r="H893" s="206" t="s">
        <v>771</v>
      </c>
      <c r="I893" s="206">
        <v>1</v>
      </c>
      <c r="J893" s="206"/>
      <c r="K893" s="206">
        <v>3</v>
      </c>
      <c r="L893" s="206" t="s">
        <v>454</v>
      </c>
      <c r="M893" s="206" t="s">
        <v>413</v>
      </c>
      <c r="N893" s="206" t="s">
        <v>773</v>
      </c>
      <c r="O893" s="206" t="s">
        <v>774</v>
      </c>
    </row>
    <row r="894" spans="3:15" x14ac:dyDescent="0.25">
      <c r="C894" s="206" t="s">
        <v>1680</v>
      </c>
      <c r="D894" s="206">
        <v>80</v>
      </c>
      <c r="E894" s="206">
        <v>2710.0700689952655</v>
      </c>
      <c r="F894" s="206">
        <v>513.56514997209899</v>
      </c>
      <c r="G894" s="206">
        <v>11.588526999999999</v>
      </c>
      <c r="H894" s="206" t="s">
        <v>771</v>
      </c>
      <c r="I894" s="206">
        <v>0.68</v>
      </c>
      <c r="J894" s="206"/>
      <c r="K894" s="206">
        <v>3</v>
      </c>
      <c r="L894" s="206" t="s">
        <v>454</v>
      </c>
      <c r="M894" s="206" t="s">
        <v>782</v>
      </c>
      <c r="N894" s="206" t="s">
        <v>776</v>
      </c>
      <c r="O894" s="206" t="s">
        <v>776</v>
      </c>
    </row>
    <row r="895" spans="3:15" x14ac:dyDescent="0.25">
      <c r="C895" s="206" t="s">
        <v>1681</v>
      </c>
      <c r="D895" s="206">
        <v>65</v>
      </c>
      <c r="E895" s="206">
        <v>2867.7827231147835</v>
      </c>
      <c r="F895" s="206">
        <v>491.91031249461201</v>
      </c>
      <c r="G895" s="206">
        <v>12.366070000000001</v>
      </c>
      <c r="H895" s="206" t="s">
        <v>771</v>
      </c>
      <c r="I895" s="206">
        <v>0.64</v>
      </c>
      <c r="J895" s="206"/>
      <c r="K895" s="206">
        <v>3</v>
      </c>
      <c r="L895" s="206" t="s">
        <v>454</v>
      </c>
      <c r="M895" s="206" t="s">
        <v>772</v>
      </c>
      <c r="N895" s="206" t="s">
        <v>773</v>
      </c>
      <c r="O895" s="206" t="s">
        <v>774</v>
      </c>
    </row>
    <row r="896" spans="3:15" x14ac:dyDescent="0.25">
      <c r="C896" s="206" t="s">
        <v>1682</v>
      </c>
      <c r="D896" s="206">
        <v>25</v>
      </c>
      <c r="E896" s="206">
        <v>412.9887845517099</v>
      </c>
      <c r="F896" s="206">
        <v>35.746120452880902</v>
      </c>
      <c r="G896" s="206">
        <v>3.1803854</v>
      </c>
      <c r="H896" s="206" t="s">
        <v>771</v>
      </c>
      <c r="I896" s="206">
        <v>1</v>
      </c>
      <c r="J896" s="206" t="s">
        <v>795</v>
      </c>
      <c r="K896" s="206"/>
      <c r="L896" s="206"/>
      <c r="M896" s="206"/>
      <c r="N896" s="206"/>
      <c r="O896" s="206"/>
    </row>
    <row r="897" spans="3:15" x14ac:dyDescent="0.25">
      <c r="C897" s="206" t="s">
        <v>1683</v>
      </c>
      <c r="D897" s="206">
        <v>150</v>
      </c>
      <c r="E897" s="206">
        <v>1233.6344014705498</v>
      </c>
      <c r="F897" s="206">
        <v>3530.03561769525</v>
      </c>
      <c r="G897" s="206">
        <v>3.9850213999999999</v>
      </c>
      <c r="H897" s="206" t="s">
        <v>771</v>
      </c>
      <c r="I897" s="206">
        <v>0.63</v>
      </c>
      <c r="J897" s="206"/>
      <c r="K897" s="206">
        <v>3</v>
      </c>
      <c r="L897" s="206" t="s">
        <v>454</v>
      </c>
      <c r="M897" s="206" t="s">
        <v>413</v>
      </c>
      <c r="N897" s="206" t="s">
        <v>773</v>
      </c>
      <c r="O897" s="206" t="s">
        <v>800</v>
      </c>
    </row>
    <row r="898" spans="3:15" x14ac:dyDescent="0.25">
      <c r="C898" s="206" t="s">
        <v>1684</v>
      </c>
      <c r="D898" s="206">
        <v>200</v>
      </c>
      <c r="E898" s="206">
        <v>418.17382472145732</v>
      </c>
      <c r="F898" s="206">
        <v>5175.2299023437699</v>
      </c>
      <c r="G898" s="206">
        <v>1.2921959000000001</v>
      </c>
      <c r="H898" s="206" t="s">
        <v>771</v>
      </c>
      <c r="I898" s="206">
        <v>0.64</v>
      </c>
      <c r="J898" s="206"/>
      <c r="K898" s="206">
        <v>3</v>
      </c>
      <c r="L898" s="206" t="s">
        <v>454</v>
      </c>
      <c r="M898" s="206" t="s">
        <v>782</v>
      </c>
      <c r="N898" s="206" t="s">
        <v>776</v>
      </c>
      <c r="O898" s="206" t="s">
        <v>776</v>
      </c>
    </row>
    <row r="899" spans="3:15" x14ac:dyDescent="0.25">
      <c r="C899" s="206" t="s">
        <v>1685</v>
      </c>
      <c r="D899" s="206">
        <v>200</v>
      </c>
      <c r="E899" s="206">
        <v>5385.3433159216775</v>
      </c>
      <c r="F899" s="206">
        <v>7368.8380004882902</v>
      </c>
      <c r="G899" s="206">
        <v>15.907012</v>
      </c>
      <c r="H899" s="206" t="s">
        <v>771</v>
      </c>
      <c r="I899" s="206">
        <v>0.63</v>
      </c>
      <c r="J899" s="206"/>
      <c r="K899" s="206">
        <v>3</v>
      </c>
      <c r="L899" s="206" t="s">
        <v>454</v>
      </c>
      <c r="M899" s="206" t="s">
        <v>772</v>
      </c>
      <c r="N899" s="206" t="s">
        <v>773</v>
      </c>
      <c r="O899" s="206" t="s">
        <v>774</v>
      </c>
    </row>
    <row r="900" spans="3:15" x14ac:dyDescent="0.25">
      <c r="C900" s="206" t="s">
        <v>1686</v>
      </c>
      <c r="D900" s="206">
        <v>50</v>
      </c>
      <c r="E900" s="206">
        <v>1122.9719270634425</v>
      </c>
      <c r="F900" s="206">
        <v>148.388475348707</v>
      </c>
      <c r="G900" s="206">
        <v>6.051139</v>
      </c>
      <c r="H900" s="206" t="s">
        <v>771</v>
      </c>
      <c r="I900" s="206">
        <v>0.65</v>
      </c>
      <c r="J900" s="206"/>
      <c r="K900" s="206">
        <v>3</v>
      </c>
      <c r="L900" s="206" t="s">
        <v>454</v>
      </c>
      <c r="M900" s="206" t="s">
        <v>772</v>
      </c>
      <c r="N900" s="206" t="s">
        <v>773</v>
      </c>
      <c r="O900" s="206" t="s">
        <v>774</v>
      </c>
    </row>
    <row r="901" spans="3:15" x14ac:dyDescent="0.25">
      <c r="C901" s="206" t="s">
        <v>1687</v>
      </c>
      <c r="D901" s="206">
        <v>65</v>
      </c>
      <c r="E901" s="206">
        <v>2615.7124377098971</v>
      </c>
      <c r="F901" s="206">
        <v>316.28182983398398</v>
      </c>
      <c r="G901" s="206">
        <v>12.259899000000001</v>
      </c>
      <c r="H901" s="206" t="s">
        <v>771</v>
      </c>
      <c r="I901" s="206">
        <v>0.75000000000000089</v>
      </c>
      <c r="J901" s="206" t="s">
        <v>795</v>
      </c>
      <c r="K901" s="206"/>
      <c r="L901" s="206"/>
      <c r="M901" s="206"/>
      <c r="N901" s="206"/>
      <c r="O901" s="206"/>
    </row>
    <row r="902" spans="3:15" x14ac:dyDescent="0.25">
      <c r="C902" s="206" t="s">
        <v>1688</v>
      </c>
      <c r="D902" s="206">
        <v>200</v>
      </c>
      <c r="E902" s="206">
        <v>18301.183300228993</v>
      </c>
      <c r="F902" s="206">
        <v>5647.44771793778</v>
      </c>
      <c r="G902" s="206">
        <v>55.968530000000001</v>
      </c>
      <c r="H902" s="206" t="s">
        <v>771</v>
      </c>
      <c r="I902" s="206">
        <v>1</v>
      </c>
      <c r="J902" s="206"/>
      <c r="K902" s="206">
        <v>3</v>
      </c>
      <c r="L902" s="206" t="s">
        <v>454</v>
      </c>
      <c r="M902" s="206" t="s">
        <v>413</v>
      </c>
      <c r="N902" s="206" t="s">
        <v>776</v>
      </c>
      <c r="O902" s="206" t="s">
        <v>776</v>
      </c>
    </row>
    <row r="903" spans="3:15" x14ac:dyDescent="0.25">
      <c r="C903" s="206" t="s">
        <v>1689</v>
      </c>
      <c r="D903" s="206">
        <v>65</v>
      </c>
      <c r="E903" s="206">
        <v>1131.342066476891</v>
      </c>
      <c r="F903" s="206">
        <v>491.91031249461201</v>
      </c>
      <c r="G903" s="206">
        <v>4.8784223000000004</v>
      </c>
      <c r="H903" s="206" t="s">
        <v>771</v>
      </c>
      <c r="I903" s="206">
        <v>0.64</v>
      </c>
      <c r="J903" s="206"/>
      <c r="K903" s="206">
        <v>3</v>
      </c>
      <c r="L903" s="206" t="s">
        <v>454</v>
      </c>
      <c r="M903" s="206" t="s">
        <v>772</v>
      </c>
      <c r="N903" s="206" t="s">
        <v>773</v>
      </c>
      <c r="O903" s="206" t="s">
        <v>774</v>
      </c>
    </row>
    <row r="904" spans="3:15" x14ac:dyDescent="0.25">
      <c r="C904" s="206" t="s">
        <v>1690</v>
      </c>
      <c r="D904" s="206">
        <v>25</v>
      </c>
      <c r="E904" s="206">
        <v>237.59469623682281</v>
      </c>
      <c r="F904" s="206">
        <v>30.427696228027301</v>
      </c>
      <c r="G904" s="206">
        <v>1.9183444000000001</v>
      </c>
      <c r="H904" s="206" t="s">
        <v>771</v>
      </c>
      <c r="I904" s="206">
        <v>1</v>
      </c>
      <c r="J904" s="206"/>
      <c r="K904" s="206">
        <v>3</v>
      </c>
      <c r="L904" s="206" t="s">
        <v>454</v>
      </c>
      <c r="M904" s="206" t="s">
        <v>772</v>
      </c>
      <c r="N904" s="206" t="s">
        <v>773</v>
      </c>
      <c r="O904" s="206" t="s">
        <v>774</v>
      </c>
    </row>
    <row r="905" spans="3:15" x14ac:dyDescent="0.25">
      <c r="C905" s="206" t="s">
        <v>1691</v>
      </c>
      <c r="D905" s="206">
        <v>65</v>
      </c>
      <c r="E905" s="206">
        <v>2982.5138947849077</v>
      </c>
      <c r="F905" s="206">
        <v>303.99337188720699</v>
      </c>
      <c r="G905" s="206">
        <v>14.067966</v>
      </c>
      <c r="H905" s="206" t="s">
        <v>771</v>
      </c>
      <c r="I905" s="206">
        <v>0.72</v>
      </c>
      <c r="J905" s="206"/>
      <c r="K905" s="206">
        <v>3</v>
      </c>
      <c r="L905" s="206" t="s">
        <v>454</v>
      </c>
      <c r="M905" s="206" t="s">
        <v>413</v>
      </c>
      <c r="N905" s="206" t="s">
        <v>776</v>
      </c>
      <c r="O905" s="206" t="s">
        <v>776</v>
      </c>
    </row>
    <row r="906" spans="3:15" x14ac:dyDescent="0.25">
      <c r="C906" s="206" t="s">
        <v>1692</v>
      </c>
      <c r="D906" s="206">
        <v>32</v>
      </c>
      <c r="E906" s="206">
        <v>703.27521424680299</v>
      </c>
      <c r="F906" s="206">
        <v>70.503662109375</v>
      </c>
      <c r="G906" s="206">
        <v>4.522818</v>
      </c>
      <c r="H906" s="206" t="s">
        <v>771</v>
      </c>
      <c r="I906" s="206">
        <v>1</v>
      </c>
      <c r="J906" s="206" t="s">
        <v>795</v>
      </c>
      <c r="K906" s="206"/>
      <c r="L906" s="206"/>
      <c r="M906" s="206"/>
      <c r="N906" s="206"/>
      <c r="O906" s="206"/>
    </row>
    <row r="907" spans="3:15" x14ac:dyDescent="0.25">
      <c r="C907" s="206" t="s">
        <v>1693</v>
      </c>
      <c r="D907" s="206">
        <v>20</v>
      </c>
      <c r="E907" s="206">
        <v>1794.6942942767398</v>
      </c>
      <c r="F907" s="206">
        <v>1</v>
      </c>
      <c r="G907" s="206">
        <v>15.328725</v>
      </c>
      <c r="H907" s="206" t="s">
        <v>771</v>
      </c>
      <c r="I907" s="206">
        <v>1</v>
      </c>
      <c r="J907" s="206"/>
      <c r="K907" s="206">
        <v>3</v>
      </c>
      <c r="L907" s="206" t="s">
        <v>454</v>
      </c>
      <c r="M907" s="206" t="s">
        <v>413</v>
      </c>
      <c r="N907" s="206" t="s">
        <v>776</v>
      </c>
      <c r="O907" s="206" t="s">
        <v>776</v>
      </c>
    </row>
    <row r="908" spans="3:15" x14ac:dyDescent="0.25">
      <c r="C908" s="206" t="s">
        <v>1694</v>
      </c>
      <c r="D908" s="206">
        <v>20</v>
      </c>
      <c r="E908" s="206">
        <v>205.00325819761096</v>
      </c>
      <c r="F908" s="206">
        <v>2.91598506120499</v>
      </c>
      <c r="G908" s="206">
        <v>1.3803464999999999</v>
      </c>
      <c r="H908" s="206" t="s">
        <v>771</v>
      </c>
      <c r="I908" s="206">
        <v>1</v>
      </c>
      <c r="J908" s="206"/>
      <c r="K908" s="206">
        <v>3</v>
      </c>
      <c r="L908" s="206" t="s">
        <v>454</v>
      </c>
      <c r="M908" s="206" t="s">
        <v>772</v>
      </c>
      <c r="N908" s="206" t="s">
        <v>773</v>
      </c>
      <c r="O908" s="206" t="s">
        <v>774</v>
      </c>
    </row>
    <row r="909" spans="3:15" x14ac:dyDescent="0.25">
      <c r="C909" s="206" t="s">
        <v>1695</v>
      </c>
      <c r="D909" s="206">
        <v>50</v>
      </c>
      <c r="E909" s="206">
        <v>2012.8878539727186</v>
      </c>
      <c r="F909" s="206">
        <v>194.396395330084</v>
      </c>
      <c r="G909" s="206">
        <v>10.347042999999999</v>
      </c>
      <c r="H909" s="206" t="s">
        <v>771</v>
      </c>
      <c r="I909" s="206">
        <v>0.7</v>
      </c>
      <c r="J909" s="206"/>
      <c r="K909" s="206">
        <v>3</v>
      </c>
      <c r="L909" s="206" t="s">
        <v>454</v>
      </c>
      <c r="M909" s="206" t="s">
        <v>772</v>
      </c>
      <c r="N909" s="206" t="s">
        <v>773</v>
      </c>
      <c r="O909" s="206" t="s">
        <v>774</v>
      </c>
    </row>
    <row r="910" spans="3:15" x14ac:dyDescent="0.25">
      <c r="C910" s="206" t="s">
        <v>1696</v>
      </c>
      <c r="D910" s="206">
        <v>40</v>
      </c>
      <c r="E910" s="206">
        <v>770.15446521140359</v>
      </c>
      <c r="F910" s="206">
        <v>100.29582977294901</v>
      </c>
      <c r="G910" s="206">
        <v>4.5509805999999999</v>
      </c>
      <c r="H910" s="206" t="s">
        <v>771</v>
      </c>
      <c r="I910" s="206">
        <v>1</v>
      </c>
      <c r="J910" s="206"/>
      <c r="K910" s="206">
        <v>3</v>
      </c>
      <c r="L910" s="206" t="s">
        <v>454</v>
      </c>
      <c r="M910" s="206" t="s">
        <v>791</v>
      </c>
      <c r="N910" s="206" t="s">
        <v>773</v>
      </c>
      <c r="O910" s="206" t="s">
        <v>792</v>
      </c>
    </row>
    <row r="911" spans="3:15" x14ac:dyDescent="0.25">
      <c r="C911" s="206" t="s">
        <v>1697</v>
      </c>
      <c r="D911" s="206">
        <v>40</v>
      </c>
      <c r="E911" s="206">
        <v>1439.0550937458136</v>
      </c>
      <c r="F911" s="206">
        <v>83.601570015664905</v>
      </c>
      <c r="G911" s="206">
        <v>8.0355190000000007</v>
      </c>
      <c r="H911" s="206" t="s">
        <v>771</v>
      </c>
      <c r="I911" s="206">
        <v>0.81</v>
      </c>
      <c r="J911" s="206"/>
      <c r="K911" s="206">
        <v>3</v>
      </c>
      <c r="L911" s="206" t="s">
        <v>454</v>
      </c>
      <c r="M911" s="206" t="s">
        <v>791</v>
      </c>
      <c r="N911" s="206" t="s">
        <v>773</v>
      </c>
      <c r="O911" s="206" t="s">
        <v>792</v>
      </c>
    </row>
    <row r="912" spans="3:15" x14ac:dyDescent="0.25">
      <c r="C912" s="206" t="s">
        <v>1698</v>
      </c>
      <c r="D912" s="206">
        <v>20</v>
      </c>
      <c r="E912" s="206">
        <v>2216.2052871191199</v>
      </c>
      <c r="F912" s="206">
        <v>4.1599516861024304</v>
      </c>
      <c r="G912" s="206">
        <v>18.928906999999999</v>
      </c>
      <c r="H912" s="206" t="s">
        <v>771</v>
      </c>
      <c r="I912" s="206">
        <v>1</v>
      </c>
      <c r="J912" s="206"/>
      <c r="K912" s="206">
        <v>3</v>
      </c>
      <c r="L912" s="206" t="s">
        <v>454</v>
      </c>
      <c r="M912" s="206" t="s">
        <v>413</v>
      </c>
      <c r="N912" s="206" t="s">
        <v>776</v>
      </c>
      <c r="O912" s="206" t="s">
        <v>776</v>
      </c>
    </row>
    <row r="913" spans="3:15" x14ac:dyDescent="0.25">
      <c r="C913" s="206" t="s">
        <v>1699</v>
      </c>
      <c r="D913" s="206">
        <v>20</v>
      </c>
      <c r="E913" s="206">
        <v>852.36137752329728</v>
      </c>
      <c r="F913" s="206">
        <v>3.90713337820489</v>
      </c>
      <c r="G913" s="206">
        <v>7.2801330000000002</v>
      </c>
      <c r="H913" s="206" t="s">
        <v>771</v>
      </c>
      <c r="I913" s="206">
        <v>1</v>
      </c>
      <c r="J913" s="206"/>
      <c r="K913" s="206">
        <v>3</v>
      </c>
      <c r="L913" s="206" t="s">
        <v>454</v>
      </c>
      <c r="M913" s="206" t="s">
        <v>413</v>
      </c>
      <c r="N913" s="206" t="s">
        <v>776</v>
      </c>
      <c r="O913" s="206" t="s">
        <v>776</v>
      </c>
    </row>
    <row r="914" spans="3:15" x14ac:dyDescent="0.25">
      <c r="C914" s="206" t="s">
        <v>1700</v>
      </c>
      <c r="D914" s="206">
        <v>125</v>
      </c>
      <c r="E914" s="206">
        <v>3191.3459757398659</v>
      </c>
      <c r="F914" s="206">
        <v>1523.083984375</v>
      </c>
      <c r="G914" s="206">
        <v>11.533580000000001</v>
      </c>
      <c r="H914" s="206" t="s">
        <v>771</v>
      </c>
      <c r="I914" s="206">
        <v>0.81852807263232763</v>
      </c>
      <c r="J914" s="206"/>
      <c r="K914" s="206">
        <v>3</v>
      </c>
      <c r="L914" s="206" t="s">
        <v>454</v>
      </c>
      <c r="M914" s="206" t="s">
        <v>413</v>
      </c>
      <c r="N914" s="206" t="s">
        <v>773</v>
      </c>
      <c r="O914" s="206" t="s">
        <v>805</v>
      </c>
    </row>
    <row r="915" spans="3:15" x14ac:dyDescent="0.25">
      <c r="C915" s="206" t="s">
        <v>1701</v>
      </c>
      <c r="D915" s="206">
        <v>80</v>
      </c>
      <c r="E915" s="206">
        <v>1055.9201739039197</v>
      </c>
      <c r="F915" s="206">
        <v>562.93208777304994</v>
      </c>
      <c r="G915" s="206">
        <v>4.4593935</v>
      </c>
      <c r="H915" s="206" t="s">
        <v>771</v>
      </c>
      <c r="I915" s="206">
        <v>0.65</v>
      </c>
      <c r="J915" s="206"/>
      <c r="K915" s="206">
        <v>3</v>
      </c>
      <c r="L915" s="206" t="s">
        <v>454</v>
      </c>
      <c r="M915" s="206" t="s">
        <v>772</v>
      </c>
      <c r="N915" s="206" t="s">
        <v>773</v>
      </c>
      <c r="O915" s="206" t="s">
        <v>774</v>
      </c>
    </row>
    <row r="916" spans="3:15" x14ac:dyDescent="0.25">
      <c r="C916" s="206" t="s">
        <v>1702</v>
      </c>
      <c r="D916" s="206">
        <v>200</v>
      </c>
      <c r="E916" s="206">
        <v>2320.422752769251</v>
      </c>
      <c r="F916" s="206">
        <v>5647.44771793778</v>
      </c>
      <c r="G916" s="206">
        <v>7.096298</v>
      </c>
      <c r="H916" s="206" t="s">
        <v>771</v>
      </c>
      <c r="I916" s="206">
        <v>1</v>
      </c>
      <c r="J916" s="206"/>
      <c r="K916" s="206">
        <v>3</v>
      </c>
      <c r="L916" s="206" t="s">
        <v>454</v>
      </c>
      <c r="M916" s="206" t="s">
        <v>413</v>
      </c>
      <c r="N916" s="206" t="s">
        <v>773</v>
      </c>
      <c r="O916" s="206" t="s">
        <v>774</v>
      </c>
    </row>
    <row r="917" spans="3:15" x14ac:dyDescent="0.25">
      <c r="C917" s="206" t="s">
        <v>1703</v>
      </c>
      <c r="D917" s="206">
        <v>40</v>
      </c>
      <c r="E917" s="206">
        <v>506.73901798491107</v>
      </c>
      <c r="F917" s="206">
        <v>83.601570015664905</v>
      </c>
      <c r="G917" s="206">
        <v>2.8295726999999999</v>
      </c>
      <c r="H917" s="206" t="s">
        <v>771</v>
      </c>
      <c r="I917" s="206">
        <v>0.81</v>
      </c>
      <c r="J917" s="206"/>
      <c r="K917" s="206">
        <v>3</v>
      </c>
      <c r="L917" s="206" t="s">
        <v>454</v>
      </c>
      <c r="M917" s="206" t="s">
        <v>791</v>
      </c>
      <c r="N917" s="206" t="s">
        <v>773</v>
      </c>
      <c r="O917" s="206" t="s">
        <v>792</v>
      </c>
    </row>
    <row r="918" spans="3:15" x14ac:dyDescent="0.25">
      <c r="C918" s="206" t="s">
        <v>1704</v>
      </c>
      <c r="D918" s="206">
        <v>20</v>
      </c>
      <c r="E918" s="206">
        <v>1183.2798363341485</v>
      </c>
      <c r="F918" s="206">
        <v>1</v>
      </c>
      <c r="G918" s="206">
        <v>10.106552000000001</v>
      </c>
      <c r="H918" s="206" t="s">
        <v>771</v>
      </c>
      <c r="I918" s="206">
        <v>1</v>
      </c>
      <c r="J918" s="206"/>
      <c r="K918" s="206">
        <v>3</v>
      </c>
      <c r="L918" s="206" t="s">
        <v>454</v>
      </c>
      <c r="M918" s="206" t="s">
        <v>782</v>
      </c>
      <c r="N918" s="206" t="s">
        <v>773</v>
      </c>
      <c r="O918" s="206" t="s">
        <v>805</v>
      </c>
    </row>
    <row r="919" spans="3:15" x14ac:dyDescent="0.25">
      <c r="C919" s="206" t="s">
        <v>1705</v>
      </c>
      <c r="D919" s="206">
        <v>20</v>
      </c>
      <c r="E919" s="206">
        <v>694.23835169202619</v>
      </c>
      <c r="F919" s="206">
        <v>1</v>
      </c>
      <c r="G919" s="206">
        <v>5.929583</v>
      </c>
      <c r="H919" s="206" t="s">
        <v>771</v>
      </c>
      <c r="I919" s="206">
        <v>1</v>
      </c>
      <c r="J919" s="206"/>
      <c r="K919" s="206">
        <v>3</v>
      </c>
      <c r="L919" s="206" t="s">
        <v>454</v>
      </c>
      <c r="M919" s="206" t="s">
        <v>413</v>
      </c>
      <c r="N919" s="206" t="s">
        <v>773</v>
      </c>
      <c r="O919" s="206" t="s">
        <v>805</v>
      </c>
    </row>
    <row r="920" spans="3:15" x14ac:dyDescent="0.25">
      <c r="C920" s="206" t="s">
        <v>1706</v>
      </c>
      <c r="D920" s="206">
        <v>40</v>
      </c>
      <c r="E920" s="206">
        <v>633.42853260170455</v>
      </c>
      <c r="F920" s="206">
        <v>103.443859683932</v>
      </c>
      <c r="G920" s="206">
        <v>3.7194324000000001</v>
      </c>
      <c r="H920" s="206" t="s">
        <v>771</v>
      </c>
      <c r="I920" s="206">
        <v>0.66</v>
      </c>
      <c r="J920" s="206"/>
      <c r="K920" s="206">
        <v>3</v>
      </c>
      <c r="L920" s="206" t="s">
        <v>454</v>
      </c>
      <c r="M920" s="206" t="s">
        <v>772</v>
      </c>
      <c r="N920" s="206" t="s">
        <v>773</v>
      </c>
      <c r="O920" s="206" t="s">
        <v>774</v>
      </c>
    </row>
    <row r="921" spans="3:15" x14ac:dyDescent="0.25">
      <c r="C921" s="206" t="s">
        <v>1707</v>
      </c>
      <c r="D921" s="206">
        <v>80</v>
      </c>
      <c r="E921" s="206">
        <v>1646.0434310060093</v>
      </c>
      <c r="F921" s="206">
        <v>562.93208777304994</v>
      </c>
      <c r="G921" s="206">
        <v>6.9516195999999999</v>
      </c>
      <c r="H921" s="206" t="s">
        <v>771</v>
      </c>
      <c r="I921" s="206">
        <v>0.65</v>
      </c>
      <c r="J921" s="206"/>
      <c r="K921" s="206">
        <v>3</v>
      </c>
      <c r="L921" s="206" t="s">
        <v>454</v>
      </c>
      <c r="M921" s="206" t="s">
        <v>772</v>
      </c>
      <c r="N921" s="206" t="s">
        <v>773</v>
      </c>
      <c r="O921" s="206" t="s">
        <v>774</v>
      </c>
    </row>
    <row r="922" spans="3:15" x14ac:dyDescent="0.25">
      <c r="C922" s="206" t="s">
        <v>1708</v>
      </c>
      <c r="D922" s="206">
        <v>150</v>
      </c>
      <c r="E922" s="206">
        <v>460.19810854572569</v>
      </c>
      <c r="F922" s="206">
        <v>3727.3558740168301</v>
      </c>
      <c r="G922" s="206">
        <v>1.4750669000000001</v>
      </c>
      <c r="H922" s="206" t="s">
        <v>771</v>
      </c>
      <c r="I922" s="206">
        <v>0.64</v>
      </c>
      <c r="J922" s="206"/>
      <c r="K922" s="206">
        <v>3</v>
      </c>
      <c r="L922" s="206" t="s">
        <v>454</v>
      </c>
      <c r="M922" s="206" t="s">
        <v>791</v>
      </c>
      <c r="N922" s="206" t="s">
        <v>934</v>
      </c>
      <c r="O922" s="206" t="s">
        <v>800</v>
      </c>
    </row>
    <row r="923" spans="3:15" x14ac:dyDescent="0.25">
      <c r="C923" s="206" t="s">
        <v>1709</v>
      </c>
      <c r="D923" s="206">
        <v>50</v>
      </c>
      <c r="E923" s="206">
        <v>1437.896611488083</v>
      </c>
      <c r="F923" s="206">
        <v>148.388475348707</v>
      </c>
      <c r="G923" s="206">
        <v>7.7481119999999999</v>
      </c>
      <c r="H923" s="206" t="s">
        <v>771</v>
      </c>
      <c r="I923" s="206">
        <v>0.65</v>
      </c>
      <c r="J923" s="206"/>
      <c r="K923" s="206">
        <v>3</v>
      </c>
      <c r="L923" s="206" t="s">
        <v>454</v>
      </c>
      <c r="M923" s="206" t="s">
        <v>772</v>
      </c>
      <c r="N923" s="206" t="s">
        <v>773</v>
      </c>
      <c r="O923" s="206" t="s">
        <v>774</v>
      </c>
    </row>
    <row r="924" spans="3:15" x14ac:dyDescent="0.25">
      <c r="C924" s="206" t="s">
        <v>1710</v>
      </c>
      <c r="D924" s="206">
        <v>20</v>
      </c>
      <c r="E924" s="206">
        <v>383.14357132904087</v>
      </c>
      <c r="F924" s="206">
        <v>2.2925089137279402</v>
      </c>
      <c r="G924" s="206">
        <v>3.2724807</v>
      </c>
      <c r="H924" s="206" t="s">
        <v>771</v>
      </c>
      <c r="I924" s="206">
        <v>1</v>
      </c>
      <c r="J924" s="206"/>
      <c r="K924" s="206">
        <v>3</v>
      </c>
      <c r="L924" s="206" t="s">
        <v>454</v>
      </c>
      <c r="M924" s="206" t="s">
        <v>413</v>
      </c>
      <c r="N924" s="206" t="s">
        <v>776</v>
      </c>
      <c r="O924" s="206" t="s">
        <v>776</v>
      </c>
    </row>
    <row r="925" spans="3:15" x14ac:dyDescent="0.25">
      <c r="C925" s="206" t="s">
        <v>1711</v>
      </c>
      <c r="D925" s="206">
        <v>40</v>
      </c>
      <c r="E925" s="206">
        <v>25.849194464876113</v>
      </c>
      <c r="F925" s="206">
        <v>123.981330871582</v>
      </c>
      <c r="G925" s="206">
        <v>0.14578479999999999</v>
      </c>
      <c r="H925" s="206" t="s">
        <v>771</v>
      </c>
      <c r="I925" s="206">
        <v>1</v>
      </c>
      <c r="J925" s="206"/>
      <c r="K925" s="206">
        <v>3</v>
      </c>
      <c r="L925" s="206" t="s">
        <v>454</v>
      </c>
      <c r="M925" s="206" t="s">
        <v>772</v>
      </c>
      <c r="N925" s="206" t="s">
        <v>773</v>
      </c>
      <c r="O925" s="206" t="s">
        <v>774</v>
      </c>
    </row>
    <row r="926" spans="3:15" x14ac:dyDescent="0.25">
      <c r="C926" s="206" t="s">
        <v>1712</v>
      </c>
      <c r="D926" s="206">
        <v>50</v>
      </c>
      <c r="E926" s="206">
        <v>1005.5822636575884</v>
      </c>
      <c r="F926" s="206">
        <v>148.388475348707</v>
      </c>
      <c r="G926" s="206">
        <v>5.4185843</v>
      </c>
      <c r="H926" s="206" t="s">
        <v>771</v>
      </c>
      <c r="I926" s="206">
        <v>0.65</v>
      </c>
      <c r="J926" s="206"/>
      <c r="K926" s="206">
        <v>3</v>
      </c>
      <c r="L926" s="206" t="s">
        <v>454</v>
      </c>
      <c r="M926" s="206" t="s">
        <v>772</v>
      </c>
      <c r="N926" s="206" t="s">
        <v>773</v>
      </c>
      <c r="O926" s="206" t="s">
        <v>774</v>
      </c>
    </row>
    <row r="927" spans="3:15" x14ac:dyDescent="0.25">
      <c r="C927" s="206" t="s">
        <v>1713</v>
      </c>
      <c r="D927" s="206">
        <v>80</v>
      </c>
      <c r="E927" s="206">
        <v>1302.302748427551</v>
      </c>
      <c r="F927" s="206">
        <v>617.18597412109398</v>
      </c>
      <c r="G927" s="206">
        <v>5.4261939999999997</v>
      </c>
      <c r="H927" s="206" t="s">
        <v>771</v>
      </c>
      <c r="I927" s="206">
        <v>0.7294998052048729</v>
      </c>
      <c r="J927" s="206"/>
      <c r="K927" s="206">
        <v>3</v>
      </c>
      <c r="L927" s="206" t="s">
        <v>454</v>
      </c>
      <c r="M927" s="206" t="s">
        <v>772</v>
      </c>
      <c r="N927" s="206" t="s">
        <v>773</v>
      </c>
      <c r="O927" s="206" t="s">
        <v>774</v>
      </c>
    </row>
    <row r="928" spans="3:15" x14ac:dyDescent="0.25">
      <c r="C928" s="206" t="s">
        <v>1714</v>
      </c>
      <c r="D928" s="206">
        <v>400</v>
      </c>
      <c r="E928" s="206">
        <v>3635.6605976733431</v>
      </c>
      <c r="F928" s="206">
        <v>27339.509060267901</v>
      </c>
      <c r="G928" s="206">
        <v>9.3000570000000007</v>
      </c>
      <c r="H928" s="206" t="s">
        <v>771</v>
      </c>
      <c r="I928" s="206">
        <v>0.62</v>
      </c>
      <c r="J928" s="206"/>
      <c r="K928" s="206">
        <v>3</v>
      </c>
      <c r="L928" s="206" t="s">
        <v>454</v>
      </c>
      <c r="M928" s="206" t="s">
        <v>413</v>
      </c>
      <c r="N928" s="206" t="s">
        <v>776</v>
      </c>
      <c r="O928" s="206" t="s">
        <v>776</v>
      </c>
    </row>
    <row r="929" spans="3:15" x14ac:dyDescent="0.25">
      <c r="C929" s="206" t="s">
        <v>1715</v>
      </c>
      <c r="D929" s="206">
        <v>100</v>
      </c>
      <c r="E929" s="206">
        <v>2442.6792696351149</v>
      </c>
      <c r="F929" s="206">
        <v>962.60109389794502</v>
      </c>
      <c r="G929" s="206">
        <v>9.4761950000000006</v>
      </c>
      <c r="H929" s="206" t="s">
        <v>771</v>
      </c>
      <c r="I929" s="206">
        <v>0.64</v>
      </c>
      <c r="J929" s="206"/>
      <c r="K929" s="206">
        <v>3</v>
      </c>
      <c r="L929" s="206" t="s">
        <v>454</v>
      </c>
      <c r="M929" s="206" t="s">
        <v>413</v>
      </c>
      <c r="N929" s="206" t="s">
        <v>773</v>
      </c>
      <c r="O929" s="206" t="s">
        <v>800</v>
      </c>
    </row>
    <row r="930" spans="3:15" x14ac:dyDescent="0.25">
      <c r="C930" s="206" t="s">
        <v>1716</v>
      </c>
      <c r="D930" s="206">
        <v>150</v>
      </c>
      <c r="E930" s="206">
        <v>1888.200972037326</v>
      </c>
      <c r="F930" s="206">
        <v>3727.9958740168299</v>
      </c>
      <c r="G930" s="206">
        <v>6.0520734999999997</v>
      </c>
      <c r="H930" s="206" t="s">
        <v>771</v>
      </c>
      <c r="I930" s="206">
        <v>0.64</v>
      </c>
      <c r="J930" s="206"/>
      <c r="K930" s="206">
        <v>3</v>
      </c>
      <c r="L930" s="206" t="s">
        <v>454</v>
      </c>
      <c r="M930" s="206" t="s">
        <v>791</v>
      </c>
      <c r="N930" s="206" t="s">
        <v>773</v>
      </c>
      <c r="O930" s="206" t="s">
        <v>800</v>
      </c>
    </row>
    <row r="931" spans="3:15" x14ac:dyDescent="0.25">
      <c r="C931" s="206" t="s">
        <v>1717</v>
      </c>
      <c r="D931" s="206">
        <v>100</v>
      </c>
      <c r="E931" s="206">
        <v>1491.305302603002</v>
      </c>
      <c r="F931" s="206">
        <v>962.60109389794502</v>
      </c>
      <c r="G931" s="206">
        <v>5.7854095000000001</v>
      </c>
      <c r="H931" s="206" t="s">
        <v>771</v>
      </c>
      <c r="I931" s="206">
        <v>0.64</v>
      </c>
      <c r="J931" s="206"/>
      <c r="K931" s="206">
        <v>3</v>
      </c>
      <c r="L931" s="206" t="s">
        <v>454</v>
      </c>
      <c r="M931" s="206" t="s">
        <v>413</v>
      </c>
      <c r="N931" s="206" t="s">
        <v>773</v>
      </c>
      <c r="O931" s="206" t="s">
        <v>800</v>
      </c>
    </row>
    <row r="932" spans="3:15" x14ac:dyDescent="0.25">
      <c r="C932" s="206" t="s">
        <v>1718</v>
      </c>
      <c r="D932" s="206">
        <v>80</v>
      </c>
      <c r="E932" s="206">
        <v>2410.022325181139</v>
      </c>
      <c r="F932" s="206">
        <v>562.93208777304994</v>
      </c>
      <c r="G932" s="206">
        <v>10.178077999999999</v>
      </c>
      <c r="H932" s="206" t="s">
        <v>771</v>
      </c>
      <c r="I932" s="206">
        <v>0.65</v>
      </c>
      <c r="J932" s="206"/>
      <c r="K932" s="206">
        <v>3</v>
      </c>
      <c r="L932" s="206" t="s">
        <v>454</v>
      </c>
      <c r="M932" s="206" t="s">
        <v>772</v>
      </c>
      <c r="N932" s="206" t="s">
        <v>773</v>
      </c>
      <c r="O932" s="206" t="s">
        <v>774</v>
      </c>
    </row>
    <row r="933" spans="3:15" x14ac:dyDescent="0.25">
      <c r="C933" s="206" t="s">
        <v>1719</v>
      </c>
      <c r="D933" s="206">
        <v>65</v>
      </c>
      <c r="E933" s="206">
        <v>3815.5400112099319</v>
      </c>
      <c r="F933" s="206">
        <v>366.340331913667</v>
      </c>
      <c r="G933" s="206">
        <v>17.813420000000001</v>
      </c>
      <c r="H933" s="206" t="s">
        <v>771</v>
      </c>
      <c r="I933" s="206">
        <v>0.74826912236183685</v>
      </c>
      <c r="J933" s="206"/>
      <c r="K933" s="206">
        <v>3</v>
      </c>
      <c r="L933" s="206" t="s">
        <v>454</v>
      </c>
      <c r="M933" s="206" t="s">
        <v>772</v>
      </c>
      <c r="N933" s="206" t="s">
        <v>773</v>
      </c>
      <c r="O933" s="206" t="s">
        <v>774</v>
      </c>
    </row>
    <row r="934" spans="3:15" x14ac:dyDescent="0.25">
      <c r="C934" s="206" t="s">
        <v>1720</v>
      </c>
      <c r="D934" s="206">
        <v>80</v>
      </c>
      <c r="E934" s="206">
        <v>2184.8408752953178</v>
      </c>
      <c r="F934" s="206">
        <v>562.93208777304994</v>
      </c>
      <c r="G934" s="206">
        <v>9.2270850000000006</v>
      </c>
      <c r="H934" s="206" t="s">
        <v>771</v>
      </c>
      <c r="I934" s="206">
        <v>0.65</v>
      </c>
      <c r="J934" s="206"/>
      <c r="K934" s="206">
        <v>3</v>
      </c>
      <c r="L934" s="206" t="s">
        <v>454</v>
      </c>
      <c r="M934" s="206" t="s">
        <v>413</v>
      </c>
      <c r="N934" s="206" t="s">
        <v>773</v>
      </c>
      <c r="O934" s="206" t="s">
        <v>774</v>
      </c>
    </row>
    <row r="935" spans="3:15" x14ac:dyDescent="0.25">
      <c r="C935" s="206" t="s">
        <v>1721</v>
      </c>
      <c r="D935" s="206">
        <v>40</v>
      </c>
      <c r="E935" s="206">
        <v>275.85642562926563</v>
      </c>
      <c r="F935" s="206">
        <v>100.29582977294901</v>
      </c>
      <c r="G935" s="206">
        <v>1.630085</v>
      </c>
      <c r="H935" s="206" t="s">
        <v>771</v>
      </c>
      <c r="I935" s="206">
        <v>1</v>
      </c>
      <c r="J935" s="206"/>
      <c r="K935" s="206">
        <v>3</v>
      </c>
      <c r="L935" s="206" t="s">
        <v>454</v>
      </c>
      <c r="M935" s="206" t="s">
        <v>791</v>
      </c>
      <c r="N935" s="206" t="s">
        <v>773</v>
      </c>
      <c r="O935" s="206" t="s">
        <v>792</v>
      </c>
    </row>
    <row r="936" spans="3:15" x14ac:dyDescent="0.25">
      <c r="C936" s="206" t="s">
        <v>1722</v>
      </c>
      <c r="D936" s="206">
        <v>150</v>
      </c>
      <c r="E936" s="206">
        <v>2705.3186421517148</v>
      </c>
      <c r="F936" s="206">
        <v>3727.3558740168301</v>
      </c>
      <c r="G936" s="206">
        <v>8.671322</v>
      </c>
      <c r="H936" s="206" t="s">
        <v>771</v>
      </c>
      <c r="I936" s="206">
        <v>0.64</v>
      </c>
      <c r="J936" s="206"/>
      <c r="K936" s="206">
        <v>3</v>
      </c>
      <c r="L936" s="206" t="s">
        <v>454</v>
      </c>
      <c r="M936" s="206" t="s">
        <v>791</v>
      </c>
      <c r="N936" s="206" t="s">
        <v>934</v>
      </c>
      <c r="O936" s="206" t="s">
        <v>800</v>
      </c>
    </row>
    <row r="937" spans="3:15" x14ac:dyDescent="0.25">
      <c r="C937" s="206" t="s">
        <v>1723</v>
      </c>
      <c r="D937" s="206">
        <v>50</v>
      </c>
      <c r="E937" s="206">
        <v>601.81442760556752</v>
      </c>
      <c r="F937" s="206">
        <v>148.388475348707</v>
      </c>
      <c r="G937" s="206">
        <v>3.2428796000000002</v>
      </c>
      <c r="H937" s="206" t="s">
        <v>771</v>
      </c>
      <c r="I937" s="206">
        <v>0.65</v>
      </c>
      <c r="J937" s="206"/>
      <c r="K937" s="206">
        <v>3</v>
      </c>
      <c r="L937" s="206" t="s">
        <v>454</v>
      </c>
      <c r="M937" s="206" t="s">
        <v>772</v>
      </c>
      <c r="N937" s="206" t="s">
        <v>773</v>
      </c>
      <c r="O937" s="206" t="s">
        <v>774</v>
      </c>
    </row>
    <row r="938" spans="3:15" x14ac:dyDescent="0.25">
      <c r="C938" s="206" t="s">
        <v>1724</v>
      </c>
      <c r="D938" s="206">
        <v>65</v>
      </c>
      <c r="E938" s="206">
        <v>1120.9852648155741</v>
      </c>
      <c r="F938" s="206">
        <v>366.340331913667</v>
      </c>
      <c r="G938" s="206">
        <v>5.2334876000000001</v>
      </c>
      <c r="H938" s="206" t="s">
        <v>771</v>
      </c>
      <c r="I938" s="206">
        <v>0.74826912236183685</v>
      </c>
      <c r="J938" s="206"/>
      <c r="K938" s="206">
        <v>3</v>
      </c>
      <c r="L938" s="206" t="s">
        <v>454</v>
      </c>
      <c r="M938" s="206" t="s">
        <v>772</v>
      </c>
      <c r="N938" s="206" t="s">
        <v>773</v>
      </c>
      <c r="O938" s="206" t="s">
        <v>774</v>
      </c>
    </row>
    <row r="939" spans="3:15" x14ac:dyDescent="0.25">
      <c r="C939" s="206" t="s">
        <v>1725</v>
      </c>
      <c r="D939" s="206">
        <v>80</v>
      </c>
      <c r="E939" s="206">
        <v>3742.3422250080048</v>
      </c>
      <c r="F939" s="206">
        <v>723.15135773100906</v>
      </c>
      <c r="G939" s="206">
        <v>16.488399999999999</v>
      </c>
      <c r="H939" s="206" t="s">
        <v>771</v>
      </c>
      <c r="I939" s="206">
        <v>1</v>
      </c>
      <c r="J939" s="206"/>
      <c r="K939" s="206">
        <v>3</v>
      </c>
      <c r="L939" s="206" t="s">
        <v>454</v>
      </c>
      <c r="M939" s="206" t="s">
        <v>791</v>
      </c>
      <c r="N939" s="206" t="s">
        <v>934</v>
      </c>
      <c r="O939" s="206" t="s">
        <v>792</v>
      </c>
    </row>
    <row r="940" spans="3:15" x14ac:dyDescent="0.25">
      <c r="C940" s="206" t="s">
        <v>1726</v>
      </c>
      <c r="D940" s="206">
        <v>200</v>
      </c>
      <c r="E940" s="206">
        <v>1840.4817376101191</v>
      </c>
      <c r="F940" s="206">
        <v>5825.9935531513001</v>
      </c>
      <c r="G940" s="206">
        <v>5.6103110000000003</v>
      </c>
      <c r="H940" s="206" t="s">
        <v>771</v>
      </c>
      <c r="I940" s="206">
        <v>1</v>
      </c>
      <c r="J940" s="206"/>
      <c r="K940" s="206">
        <v>3</v>
      </c>
      <c r="L940" s="206" t="s">
        <v>454</v>
      </c>
      <c r="M940" s="206" t="s">
        <v>791</v>
      </c>
      <c r="N940" s="206" t="s">
        <v>773</v>
      </c>
      <c r="O940" s="206" t="s">
        <v>800</v>
      </c>
    </row>
    <row r="941" spans="3:15" x14ac:dyDescent="0.25">
      <c r="C941" s="206" t="s">
        <v>1727</v>
      </c>
      <c r="D941" s="206">
        <v>400</v>
      </c>
      <c r="E941" s="206">
        <v>3123.0548197480316</v>
      </c>
      <c r="F941" s="206">
        <v>27007.699886683899</v>
      </c>
      <c r="G941" s="206">
        <v>7.9973692999999999</v>
      </c>
      <c r="H941" s="206" t="s">
        <v>771</v>
      </c>
      <c r="I941" s="206">
        <v>0.62</v>
      </c>
      <c r="J941" s="206"/>
      <c r="K941" s="206">
        <v>3</v>
      </c>
      <c r="L941" s="206" t="s">
        <v>454</v>
      </c>
      <c r="M941" s="206" t="s">
        <v>791</v>
      </c>
      <c r="N941" s="206" t="s">
        <v>773</v>
      </c>
      <c r="O941" s="206" t="s">
        <v>800</v>
      </c>
    </row>
    <row r="942" spans="3:15" x14ac:dyDescent="0.25">
      <c r="C942" s="206" t="s">
        <v>1728</v>
      </c>
      <c r="D942" s="206">
        <v>125</v>
      </c>
      <c r="E942" s="206">
        <v>15629.134678798582</v>
      </c>
      <c r="F942" s="206">
        <v>2448.1711902533598</v>
      </c>
      <c r="G942" s="206">
        <v>52.933694883411682</v>
      </c>
      <c r="H942" s="206" t="s">
        <v>771</v>
      </c>
      <c r="I942" s="206">
        <v>0.63</v>
      </c>
      <c r="J942" s="206"/>
      <c r="K942" s="206">
        <v>3</v>
      </c>
      <c r="L942" s="206" t="s">
        <v>454</v>
      </c>
      <c r="M942" s="206" t="s">
        <v>772</v>
      </c>
      <c r="N942" s="206" t="s">
        <v>773</v>
      </c>
      <c r="O942" s="206" t="s">
        <v>774</v>
      </c>
    </row>
    <row r="943" spans="3:15" x14ac:dyDescent="0.25">
      <c r="C943" s="206" t="s">
        <v>1729</v>
      </c>
      <c r="D943" s="206">
        <v>80</v>
      </c>
      <c r="E943" s="206">
        <v>1693.3256560955379</v>
      </c>
      <c r="F943" s="206">
        <v>562.93208777304994</v>
      </c>
      <c r="G943" s="206">
        <v>7.1513033000000004</v>
      </c>
      <c r="H943" s="206" t="s">
        <v>771</v>
      </c>
      <c r="I943" s="206">
        <v>0.65</v>
      </c>
      <c r="J943" s="206"/>
      <c r="K943" s="206">
        <v>3</v>
      </c>
      <c r="L943" s="206" t="s">
        <v>454</v>
      </c>
      <c r="M943" s="206" t="s">
        <v>772</v>
      </c>
      <c r="N943" s="206" t="s">
        <v>773</v>
      </c>
      <c r="O943" s="206" t="s">
        <v>774</v>
      </c>
    </row>
    <row r="944" spans="3:15" x14ac:dyDescent="0.25">
      <c r="C944" s="206" t="s">
        <v>1730</v>
      </c>
      <c r="D944" s="206">
        <v>300</v>
      </c>
      <c r="E944" s="206">
        <v>1996.2351659295948</v>
      </c>
      <c r="F944" s="206">
        <v>14313.356977737199</v>
      </c>
      <c r="G944" s="206">
        <v>5.44414</v>
      </c>
      <c r="H944" s="206" t="s">
        <v>771</v>
      </c>
      <c r="I944" s="206">
        <v>0.63217717375457105</v>
      </c>
      <c r="J944" s="206"/>
      <c r="K944" s="206">
        <v>3</v>
      </c>
      <c r="L944" s="206" t="s">
        <v>454</v>
      </c>
      <c r="M944" s="206" t="s">
        <v>772</v>
      </c>
      <c r="N944" s="206" t="s">
        <v>773</v>
      </c>
      <c r="O944" s="206" t="s">
        <v>774</v>
      </c>
    </row>
    <row r="945" spans="3:15" x14ac:dyDescent="0.25">
      <c r="C945" s="206" t="s">
        <v>1731</v>
      </c>
      <c r="D945" s="206">
        <v>65</v>
      </c>
      <c r="E945" s="206">
        <v>762.98441190467508</v>
      </c>
      <c r="F945" s="206">
        <v>366.340331913667</v>
      </c>
      <c r="G945" s="206">
        <v>3.5621070000000001</v>
      </c>
      <c r="H945" s="206" t="s">
        <v>771</v>
      </c>
      <c r="I945" s="206">
        <v>0.74826912236183685</v>
      </c>
      <c r="J945" s="206"/>
      <c r="K945" s="206">
        <v>3</v>
      </c>
      <c r="L945" s="206" t="s">
        <v>454</v>
      </c>
      <c r="M945" s="206" t="s">
        <v>413</v>
      </c>
      <c r="N945" s="206" t="s">
        <v>773</v>
      </c>
      <c r="O945" s="206" t="s">
        <v>774</v>
      </c>
    </row>
    <row r="946" spans="3:15" x14ac:dyDescent="0.25">
      <c r="C946" s="206" t="s">
        <v>1732</v>
      </c>
      <c r="D946" s="206">
        <v>80</v>
      </c>
      <c r="E946" s="206">
        <v>969.04507568165752</v>
      </c>
      <c r="F946" s="206">
        <v>562.93208777304994</v>
      </c>
      <c r="G946" s="206">
        <v>4.0925000000000002</v>
      </c>
      <c r="H946" s="206" t="s">
        <v>771</v>
      </c>
      <c r="I946" s="206">
        <v>0.65</v>
      </c>
      <c r="J946" s="206"/>
      <c r="K946" s="206">
        <v>3</v>
      </c>
      <c r="L946" s="206" t="s">
        <v>454</v>
      </c>
      <c r="M946" s="206" t="s">
        <v>772</v>
      </c>
      <c r="N946" s="206" t="s">
        <v>773</v>
      </c>
      <c r="O946" s="206" t="s">
        <v>774</v>
      </c>
    </row>
    <row r="947" spans="3:15" x14ac:dyDescent="0.25">
      <c r="C947" s="206" t="s">
        <v>1733</v>
      </c>
      <c r="D947" s="206">
        <v>200</v>
      </c>
      <c r="E947" s="206">
        <v>12875.92441618422</v>
      </c>
      <c r="F947" s="206">
        <v>7536.2844369506902</v>
      </c>
      <c r="G947" s="206">
        <v>37.904736</v>
      </c>
      <c r="H947" s="206" t="s">
        <v>771</v>
      </c>
      <c r="I947" s="206">
        <v>0.63</v>
      </c>
      <c r="J947" s="206"/>
      <c r="K947" s="206">
        <v>3</v>
      </c>
      <c r="L947" s="206" t="s">
        <v>454</v>
      </c>
      <c r="M947" s="206" t="s">
        <v>413</v>
      </c>
      <c r="N947" s="206" t="s">
        <v>773</v>
      </c>
      <c r="O947" s="206" t="s">
        <v>774</v>
      </c>
    </row>
    <row r="948" spans="3:15" x14ac:dyDescent="0.25">
      <c r="C948" s="206" t="s">
        <v>1734</v>
      </c>
      <c r="D948" s="206">
        <v>200</v>
      </c>
      <c r="E948" s="206">
        <v>11694.5077288134</v>
      </c>
      <c r="F948" s="206">
        <v>7538.3563521235801</v>
      </c>
      <c r="G948" s="206">
        <v>34.40916</v>
      </c>
      <c r="H948" s="206" t="s">
        <v>771</v>
      </c>
      <c r="I948" s="206">
        <v>1</v>
      </c>
      <c r="J948" s="206" t="s">
        <v>795</v>
      </c>
      <c r="K948" s="206"/>
      <c r="L948" s="206"/>
      <c r="M948" s="206"/>
      <c r="N948" s="206"/>
      <c r="O948" s="206"/>
    </row>
    <row r="949" spans="3:15" x14ac:dyDescent="0.25">
      <c r="C949" s="206" t="s">
        <v>1735</v>
      </c>
      <c r="D949" s="206">
        <v>125</v>
      </c>
      <c r="E949" s="206">
        <v>342.17538292690074</v>
      </c>
      <c r="F949" s="206">
        <v>1523.083984375</v>
      </c>
      <c r="G949" s="206">
        <v>1.2366277999999999</v>
      </c>
      <c r="H949" s="206" t="s">
        <v>771</v>
      </c>
      <c r="I949" s="206">
        <v>0.80547730167345055</v>
      </c>
      <c r="J949" s="206"/>
      <c r="K949" s="206">
        <v>3</v>
      </c>
      <c r="L949" s="206" t="s">
        <v>454</v>
      </c>
      <c r="M949" s="206" t="s">
        <v>413</v>
      </c>
      <c r="N949" s="206" t="s">
        <v>773</v>
      </c>
      <c r="O949" s="206" t="s">
        <v>805</v>
      </c>
    </row>
    <row r="950" spans="3:15" x14ac:dyDescent="0.25">
      <c r="C950" s="206" t="s">
        <v>1736</v>
      </c>
      <c r="D950" s="206">
        <v>20</v>
      </c>
      <c r="E950" s="206">
        <v>1003.6292248825038</v>
      </c>
      <c r="F950" s="206">
        <v>2.5387595042702702</v>
      </c>
      <c r="G950" s="206">
        <v>8.5721319999999999</v>
      </c>
      <c r="H950" s="206" t="s">
        <v>771</v>
      </c>
      <c r="I950" s="206">
        <v>1</v>
      </c>
      <c r="J950" s="206"/>
      <c r="K950" s="206">
        <v>3</v>
      </c>
      <c r="L950" s="206" t="s">
        <v>454</v>
      </c>
      <c r="M950" s="206" t="s">
        <v>413</v>
      </c>
      <c r="N950" s="206" t="s">
        <v>776</v>
      </c>
      <c r="O950" s="206" t="s">
        <v>776</v>
      </c>
    </row>
    <row r="951" spans="3:15" x14ac:dyDescent="0.25">
      <c r="C951" s="206" t="s">
        <v>1737</v>
      </c>
      <c r="D951" s="206">
        <v>100</v>
      </c>
      <c r="E951" s="206">
        <v>13077.696911512179</v>
      </c>
      <c r="F951" s="206">
        <v>863.24011230468795</v>
      </c>
      <c r="G951" s="206">
        <v>51.422879999999999</v>
      </c>
      <c r="H951" s="206" t="s">
        <v>771</v>
      </c>
      <c r="I951" s="206">
        <v>0.81000000000000061</v>
      </c>
      <c r="J951" s="206"/>
      <c r="K951" s="206">
        <v>3</v>
      </c>
      <c r="L951" s="206" t="s">
        <v>454</v>
      </c>
      <c r="M951" s="206" t="s">
        <v>782</v>
      </c>
      <c r="N951" s="206" t="s">
        <v>932</v>
      </c>
      <c r="O951" s="206" t="s">
        <v>805</v>
      </c>
    </row>
    <row r="952" spans="3:15" x14ac:dyDescent="0.25">
      <c r="C952" s="206" t="s">
        <v>1738</v>
      </c>
      <c r="D952" s="206">
        <v>80</v>
      </c>
      <c r="E952" s="206">
        <v>951.42907933017489</v>
      </c>
      <c r="F952" s="206">
        <v>562.93208777304994</v>
      </c>
      <c r="G952" s="206">
        <v>4.0181035999999999</v>
      </c>
      <c r="H952" s="206" t="s">
        <v>771</v>
      </c>
      <c r="I952" s="206">
        <v>0.65</v>
      </c>
      <c r="J952" s="206"/>
      <c r="K952" s="206">
        <v>3</v>
      </c>
      <c r="L952" s="206" t="s">
        <v>454</v>
      </c>
      <c r="M952" s="206" t="s">
        <v>772</v>
      </c>
      <c r="N952" s="206" t="s">
        <v>773</v>
      </c>
      <c r="O952" s="206" t="s">
        <v>774</v>
      </c>
    </row>
    <row r="953" spans="3:15" x14ac:dyDescent="0.25">
      <c r="C953" s="206" t="s">
        <v>1739</v>
      </c>
      <c r="D953" s="206">
        <v>50</v>
      </c>
      <c r="E953" s="206">
        <v>1183.1396999823139</v>
      </c>
      <c r="F953" s="206">
        <v>148.388475348707</v>
      </c>
      <c r="G953" s="206">
        <v>6.3753532999999996</v>
      </c>
      <c r="H953" s="206" t="s">
        <v>771</v>
      </c>
      <c r="I953" s="206">
        <v>0.65</v>
      </c>
      <c r="J953" s="206"/>
      <c r="K953" s="206">
        <v>3</v>
      </c>
      <c r="L953" s="206" t="s">
        <v>454</v>
      </c>
      <c r="M953" s="206" t="s">
        <v>413</v>
      </c>
      <c r="N953" s="206" t="s">
        <v>776</v>
      </c>
      <c r="O953" s="206" t="s">
        <v>776</v>
      </c>
    </row>
    <row r="954" spans="3:15" x14ac:dyDescent="0.25">
      <c r="C954" s="206" t="s">
        <v>1740</v>
      </c>
      <c r="D954" s="206">
        <v>250</v>
      </c>
      <c r="E954" s="206">
        <v>17267.176126310067</v>
      </c>
      <c r="F954" s="206">
        <v>8542.2397978336794</v>
      </c>
      <c r="G954" s="206">
        <v>49.983395000000002</v>
      </c>
      <c r="H954" s="206" t="s">
        <v>771</v>
      </c>
      <c r="I954" s="206">
        <v>1</v>
      </c>
      <c r="J954" s="206"/>
      <c r="K954" s="206">
        <v>3</v>
      </c>
      <c r="L954" s="206" t="s">
        <v>454</v>
      </c>
      <c r="M954" s="206" t="s">
        <v>413</v>
      </c>
      <c r="N954" s="206" t="s">
        <v>773</v>
      </c>
      <c r="O954" s="206" t="s">
        <v>788</v>
      </c>
    </row>
    <row r="955" spans="3:15" x14ac:dyDescent="0.25">
      <c r="C955" s="206" t="s">
        <v>1741</v>
      </c>
      <c r="D955" s="206">
        <v>20</v>
      </c>
      <c r="E955" s="206">
        <v>764.34348981159326</v>
      </c>
      <c r="F955" s="206">
        <v>1</v>
      </c>
      <c r="G955" s="206">
        <v>6.5283604000000004</v>
      </c>
      <c r="H955" s="206" t="s">
        <v>771</v>
      </c>
      <c r="I955" s="206">
        <v>1</v>
      </c>
      <c r="J955" s="206"/>
      <c r="K955" s="206">
        <v>3</v>
      </c>
      <c r="L955" s="206" t="s">
        <v>454</v>
      </c>
      <c r="M955" s="206" t="s">
        <v>413</v>
      </c>
      <c r="N955" s="206" t="s">
        <v>776</v>
      </c>
      <c r="O955" s="206" t="s">
        <v>776</v>
      </c>
    </row>
    <row r="956" spans="3:15" x14ac:dyDescent="0.25">
      <c r="C956" s="206" t="s">
        <v>1742</v>
      </c>
      <c r="D956" s="206">
        <v>20</v>
      </c>
      <c r="E956" s="206">
        <v>1750.6808194067828</v>
      </c>
      <c r="F956" s="206">
        <v>1.6231137227732699</v>
      </c>
      <c r="G956" s="206">
        <v>14.9528</v>
      </c>
      <c r="H956" s="206" t="s">
        <v>771</v>
      </c>
      <c r="I956" s="206">
        <v>1</v>
      </c>
      <c r="J956" s="206"/>
      <c r="K956" s="206">
        <v>3</v>
      </c>
      <c r="L956" s="206" t="s">
        <v>454</v>
      </c>
      <c r="M956" s="206" t="s">
        <v>413</v>
      </c>
      <c r="N956" s="206" t="s">
        <v>773</v>
      </c>
      <c r="O956" s="206" t="s">
        <v>774</v>
      </c>
    </row>
    <row r="957" spans="3:15" x14ac:dyDescent="0.25">
      <c r="C957" s="206" t="s">
        <v>1743</v>
      </c>
      <c r="D957" s="206">
        <v>65</v>
      </c>
      <c r="E957" s="206">
        <v>1746.8951013198669</v>
      </c>
      <c r="F957" s="206">
        <v>475.78259277343801</v>
      </c>
      <c r="G957" s="206">
        <v>7.5884739999999997</v>
      </c>
      <c r="H957" s="206" t="s">
        <v>771</v>
      </c>
      <c r="I957" s="206">
        <v>0.7457233913710184</v>
      </c>
      <c r="J957" s="206"/>
      <c r="K957" s="206">
        <v>3</v>
      </c>
      <c r="L957" s="206" t="s">
        <v>454</v>
      </c>
      <c r="M957" s="206" t="s">
        <v>772</v>
      </c>
      <c r="N957" s="206" t="s">
        <v>773</v>
      </c>
      <c r="O957" s="206" t="s">
        <v>774</v>
      </c>
    </row>
    <row r="958" spans="3:15" x14ac:dyDescent="0.25">
      <c r="C958" s="206" t="s">
        <v>1744</v>
      </c>
      <c r="D958" s="206">
        <v>200</v>
      </c>
      <c r="E958" s="206">
        <v>2010.0482881824639</v>
      </c>
      <c r="F958" s="206">
        <v>5825.9935531513001</v>
      </c>
      <c r="G958" s="206">
        <v>6.1271979999999999</v>
      </c>
      <c r="H958" s="206" t="s">
        <v>771</v>
      </c>
      <c r="I958" s="206">
        <v>1</v>
      </c>
      <c r="J958" s="206"/>
      <c r="K958" s="206">
        <v>3</v>
      </c>
      <c r="L958" s="206" t="s">
        <v>454</v>
      </c>
      <c r="M958" s="206" t="s">
        <v>791</v>
      </c>
      <c r="N958" s="206" t="s">
        <v>773</v>
      </c>
      <c r="O958" s="206" t="s">
        <v>800</v>
      </c>
    </row>
    <row r="959" spans="3:15" x14ac:dyDescent="0.25">
      <c r="C959" s="206" t="s">
        <v>1745</v>
      </c>
      <c r="D959" s="206">
        <v>100</v>
      </c>
      <c r="E959" s="206">
        <v>1524.1123414350052</v>
      </c>
      <c r="F959" s="206">
        <v>962.60109389794502</v>
      </c>
      <c r="G959" s="206">
        <v>5.9126820000000002</v>
      </c>
      <c r="H959" s="206" t="s">
        <v>771</v>
      </c>
      <c r="I959" s="206">
        <v>0.64</v>
      </c>
      <c r="J959" s="206"/>
      <c r="K959" s="206">
        <v>3</v>
      </c>
      <c r="L959" s="206" t="s">
        <v>454</v>
      </c>
      <c r="M959" s="206" t="s">
        <v>413</v>
      </c>
      <c r="N959" s="206" t="s">
        <v>773</v>
      </c>
      <c r="O959" s="206" t="s">
        <v>800</v>
      </c>
    </row>
    <row r="960" spans="3:15" x14ac:dyDescent="0.25">
      <c r="C960" s="206" t="s">
        <v>1746</v>
      </c>
      <c r="D960" s="206">
        <v>50</v>
      </c>
      <c r="E960" s="206">
        <v>5240.2079867567027</v>
      </c>
      <c r="F960" s="206">
        <v>148.388475348707</v>
      </c>
      <c r="G960" s="206">
        <v>28.236882999999999</v>
      </c>
      <c r="H960" s="206" t="s">
        <v>771</v>
      </c>
      <c r="I960" s="206">
        <v>0.65</v>
      </c>
      <c r="J960" s="206"/>
      <c r="K960" s="206">
        <v>3</v>
      </c>
      <c r="L960" s="206" t="s">
        <v>454</v>
      </c>
      <c r="M960" s="206" t="s">
        <v>413</v>
      </c>
      <c r="N960" s="206" t="s">
        <v>773</v>
      </c>
      <c r="O960" s="206" t="s">
        <v>805</v>
      </c>
    </row>
    <row r="961" spans="3:15" x14ac:dyDescent="0.25">
      <c r="C961" s="206" t="s">
        <v>1747</v>
      </c>
      <c r="D961" s="206">
        <v>200</v>
      </c>
      <c r="E961" s="206">
        <v>1721.2053794820258</v>
      </c>
      <c r="F961" s="206">
        <v>5647.44771793778</v>
      </c>
      <c r="G961" s="206">
        <v>5.2637763</v>
      </c>
      <c r="H961" s="206" t="s">
        <v>771</v>
      </c>
      <c r="I961" s="206">
        <v>1</v>
      </c>
      <c r="J961" s="206"/>
      <c r="K961" s="206">
        <v>3</v>
      </c>
      <c r="L961" s="206" t="s">
        <v>454</v>
      </c>
      <c r="M961" s="206" t="s">
        <v>413</v>
      </c>
      <c r="N961" s="206" t="s">
        <v>773</v>
      </c>
      <c r="O961" s="206" t="s">
        <v>774</v>
      </c>
    </row>
    <row r="962" spans="3:15" x14ac:dyDescent="0.25">
      <c r="C962" s="206" t="s">
        <v>1748</v>
      </c>
      <c r="D962" s="206">
        <v>200</v>
      </c>
      <c r="E962" s="206">
        <v>451.249689367195</v>
      </c>
      <c r="F962" s="206">
        <v>5825.9935531513001</v>
      </c>
      <c r="G962" s="206">
        <v>1.3755371999999999</v>
      </c>
      <c r="H962" s="206" t="s">
        <v>771</v>
      </c>
      <c r="I962" s="206">
        <v>1</v>
      </c>
      <c r="J962" s="206"/>
      <c r="K962" s="206">
        <v>3</v>
      </c>
      <c r="L962" s="206" t="s">
        <v>454</v>
      </c>
      <c r="M962" s="206" t="s">
        <v>791</v>
      </c>
      <c r="N962" s="206" t="s">
        <v>773</v>
      </c>
      <c r="O962" s="206" t="s">
        <v>800</v>
      </c>
    </row>
    <row r="963" spans="3:15" x14ac:dyDescent="0.25">
      <c r="C963" s="206" t="s">
        <v>1749</v>
      </c>
      <c r="D963" s="206">
        <v>65</v>
      </c>
      <c r="E963" s="206">
        <v>731.52594888731528</v>
      </c>
      <c r="F963" s="206">
        <v>319.08547260653</v>
      </c>
      <c r="G963" s="206">
        <v>3.4239247000000002</v>
      </c>
      <c r="H963" s="206" t="s">
        <v>771</v>
      </c>
      <c r="I963" s="206">
        <v>0.65</v>
      </c>
      <c r="J963" s="206"/>
      <c r="K963" s="206">
        <v>3</v>
      </c>
      <c r="L963" s="206" t="s">
        <v>454</v>
      </c>
      <c r="M963" s="206" t="s">
        <v>772</v>
      </c>
      <c r="N963" s="206" t="s">
        <v>773</v>
      </c>
      <c r="O963" s="206" t="s">
        <v>774</v>
      </c>
    </row>
    <row r="964" spans="3:15" x14ac:dyDescent="0.25">
      <c r="C964" s="206" t="s">
        <v>1750</v>
      </c>
      <c r="D964" s="206">
        <v>80</v>
      </c>
      <c r="E964" s="206">
        <v>1291.3983640801644</v>
      </c>
      <c r="F964" s="206">
        <v>562.93208777304994</v>
      </c>
      <c r="G964" s="206">
        <v>5.4538719999999996</v>
      </c>
      <c r="H964" s="206" t="s">
        <v>771</v>
      </c>
      <c r="I964" s="206">
        <v>0.65</v>
      </c>
      <c r="J964" s="206"/>
      <c r="K964" s="206">
        <v>3</v>
      </c>
      <c r="L964" s="206" t="s">
        <v>454</v>
      </c>
      <c r="M964" s="206" t="s">
        <v>772</v>
      </c>
      <c r="N964" s="206" t="s">
        <v>773</v>
      </c>
      <c r="O964" s="206" t="s">
        <v>774</v>
      </c>
    </row>
    <row r="965" spans="3:15" x14ac:dyDescent="0.25">
      <c r="C965" s="206" t="s">
        <v>1751</v>
      </c>
      <c r="D965" s="206">
        <v>80</v>
      </c>
      <c r="E965" s="206">
        <v>143.61311176474513</v>
      </c>
      <c r="F965" s="206">
        <v>679.71806616464198</v>
      </c>
      <c r="G965" s="206">
        <v>0.58927560000000001</v>
      </c>
      <c r="H965" s="206" t="s">
        <v>771</v>
      </c>
      <c r="I965" s="206">
        <v>0.67</v>
      </c>
      <c r="J965" s="206"/>
      <c r="K965" s="206">
        <v>3</v>
      </c>
      <c r="L965" s="206" t="s">
        <v>454</v>
      </c>
      <c r="M965" s="206" t="s">
        <v>791</v>
      </c>
      <c r="N965" s="206" t="s">
        <v>773</v>
      </c>
      <c r="O965" s="206" t="s">
        <v>792</v>
      </c>
    </row>
    <row r="966" spans="3:15" x14ac:dyDescent="0.25">
      <c r="C966" s="206" t="s">
        <v>1752</v>
      </c>
      <c r="D966" s="206">
        <v>65</v>
      </c>
      <c r="E966" s="206">
        <v>2095.9726246525761</v>
      </c>
      <c r="F966" s="206">
        <v>319.08547260653</v>
      </c>
      <c r="G966" s="206">
        <v>9.8102499999999999</v>
      </c>
      <c r="H966" s="206" t="s">
        <v>771</v>
      </c>
      <c r="I966" s="206">
        <v>0.65</v>
      </c>
      <c r="J966" s="206"/>
      <c r="K966" s="206">
        <v>3</v>
      </c>
      <c r="L966" s="206" t="s">
        <v>454</v>
      </c>
      <c r="M966" s="206" t="s">
        <v>772</v>
      </c>
      <c r="N966" s="206" t="s">
        <v>773</v>
      </c>
      <c r="O966" s="206" t="s">
        <v>774</v>
      </c>
    </row>
    <row r="967" spans="3:15" x14ac:dyDescent="0.25">
      <c r="C967" s="206" t="s">
        <v>1753</v>
      </c>
      <c r="D967" s="206">
        <v>300</v>
      </c>
      <c r="E967" s="206">
        <v>954.58046159529113</v>
      </c>
      <c r="F967" s="206">
        <v>14313.356977737199</v>
      </c>
      <c r="G967" s="206">
        <v>2.6033354000000002</v>
      </c>
      <c r="H967" s="206" t="s">
        <v>771</v>
      </c>
      <c r="I967" s="206">
        <v>0.63217717375457105</v>
      </c>
      <c r="J967" s="206"/>
      <c r="K967" s="206">
        <v>3</v>
      </c>
      <c r="L967" s="206" t="s">
        <v>454</v>
      </c>
      <c r="M967" s="206" t="s">
        <v>772</v>
      </c>
      <c r="N967" s="206" t="s">
        <v>773</v>
      </c>
      <c r="O967" s="206" t="s">
        <v>774</v>
      </c>
    </row>
    <row r="968" spans="3:15" x14ac:dyDescent="0.25">
      <c r="C968" s="206" t="s">
        <v>1754</v>
      </c>
      <c r="D968" s="206">
        <v>125</v>
      </c>
      <c r="E968" s="206">
        <v>61.593477052666771</v>
      </c>
      <c r="F968" s="206">
        <v>1523.083984375</v>
      </c>
      <c r="G968" s="206">
        <v>0.22259989999999999</v>
      </c>
      <c r="H968" s="206" t="s">
        <v>771</v>
      </c>
      <c r="I968" s="206">
        <v>0.84360287860306438</v>
      </c>
      <c r="J968" s="206"/>
      <c r="K968" s="206">
        <v>3</v>
      </c>
      <c r="L968" s="206" t="s">
        <v>454</v>
      </c>
      <c r="M968" s="206" t="s">
        <v>413</v>
      </c>
      <c r="N968" s="206" t="s">
        <v>773</v>
      </c>
      <c r="O968" s="206" t="s">
        <v>805</v>
      </c>
    </row>
    <row r="969" spans="3:15" x14ac:dyDescent="0.25">
      <c r="C969" s="206" t="s">
        <v>1755</v>
      </c>
      <c r="D969" s="206">
        <v>50</v>
      </c>
      <c r="E969" s="206">
        <v>1090.5446166374466</v>
      </c>
      <c r="F969" s="206">
        <v>148.388475348707</v>
      </c>
      <c r="G969" s="206">
        <v>5.8764042999999999</v>
      </c>
      <c r="H969" s="206" t="s">
        <v>771</v>
      </c>
      <c r="I969" s="206">
        <v>0.65</v>
      </c>
      <c r="J969" s="206"/>
      <c r="K969" s="206">
        <v>3</v>
      </c>
      <c r="L969" s="206" t="s">
        <v>454</v>
      </c>
      <c r="M969" s="206" t="s">
        <v>772</v>
      </c>
      <c r="N969" s="206" t="s">
        <v>773</v>
      </c>
      <c r="O969" s="206" t="s">
        <v>774</v>
      </c>
    </row>
    <row r="970" spans="3:15" x14ac:dyDescent="0.25">
      <c r="C970" s="206" t="s">
        <v>1756</v>
      </c>
      <c r="D970" s="206">
        <v>40</v>
      </c>
      <c r="E970" s="206">
        <v>67.755650879714864</v>
      </c>
      <c r="F970" s="206">
        <v>116.80722045898401</v>
      </c>
      <c r="G970" s="206">
        <v>0.38747947999999999</v>
      </c>
      <c r="H970" s="206" t="s">
        <v>771</v>
      </c>
      <c r="I970" s="206">
        <v>0.72000000000000142</v>
      </c>
      <c r="J970" s="206"/>
      <c r="K970" s="206">
        <v>3</v>
      </c>
      <c r="L970" s="206" t="s">
        <v>454</v>
      </c>
      <c r="M970" s="206" t="s">
        <v>772</v>
      </c>
      <c r="N970" s="206" t="s">
        <v>773</v>
      </c>
      <c r="O970" s="206" t="s">
        <v>774</v>
      </c>
    </row>
    <row r="971" spans="3:15" x14ac:dyDescent="0.25">
      <c r="C971" s="206" t="s">
        <v>1757</v>
      </c>
      <c r="D971" s="206">
        <v>100</v>
      </c>
      <c r="E971" s="206">
        <v>676.120120870802</v>
      </c>
      <c r="F971" s="206">
        <v>962.60109389794502</v>
      </c>
      <c r="G971" s="206">
        <v>2.6229583999999999</v>
      </c>
      <c r="H971" s="206" t="s">
        <v>771</v>
      </c>
      <c r="I971" s="206">
        <v>0.64</v>
      </c>
      <c r="J971" s="206"/>
      <c r="K971" s="206">
        <v>3</v>
      </c>
      <c r="L971" s="206" t="s">
        <v>454</v>
      </c>
      <c r="M971" s="206" t="s">
        <v>413</v>
      </c>
      <c r="N971" s="206" t="s">
        <v>822</v>
      </c>
      <c r="O971" s="206" t="s">
        <v>785</v>
      </c>
    </row>
    <row r="972" spans="3:15" x14ac:dyDescent="0.25">
      <c r="C972" s="206" t="s">
        <v>1758</v>
      </c>
      <c r="D972" s="206">
        <v>250</v>
      </c>
      <c r="E972" s="206">
        <v>1721.4425562004712</v>
      </c>
      <c r="F972" s="206">
        <v>8864.2378461951503</v>
      </c>
      <c r="G972" s="206">
        <v>4.9659905000000002</v>
      </c>
      <c r="H972" s="206" t="s">
        <v>771</v>
      </c>
      <c r="I972" s="206">
        <v>1</v>
      </c>
      <c r="J972" s="206"/>
      <c r="K972" s="206">
        <v>3</v>
      </c>
      <c r="L972" s="206" t="s">
        <v>454</v>
      </c>
      <c r="M972" s="206" t="s">
        <v>413</v>
      </c>
      <c r="N972" s="206" t="s">
        <v>773</v>
      </c>
      <c r="O972" s="206" t="s">
        <v>788</v>
      </c>
    </row>
    <row r="973" spans="3:15" x14ac:dyDescent="0.25">
      <c r="C973" s="206" t="s">
        <v>1759</v>
      </c>
      <c r="D973" s="206">
        <v>400</v>
      </c>
      <c r="E973" s="206">
        <v>647.90769046110199</v>
      </c>
      <c r="F973" s="206">
        <v>27339.509060267901</v>
      </c>
      <c r="G973" s="206">
        <v>1.6573545000000001</v>
      </c>
      <c r="H973" s="206" t="s">
        <v>771</v>
      </c>
      <c r="I973" s="206">
        <v>0.62</v>
      </c>
      <c r="J973" s="206"/>
      <c r="K973" s="206">
        <v>3</v>
      </c>
      <c r="L973" s="206" t="s">
        <v>454</v>
      </c>
      <c r="M973" s="206" t="s">
        <v>413</v>
      </c>
      <c r="N973" s="206" t="s">
        <v>776</v>
      </c>
      <c r="O973" s="206" t="s">
        <v>776</v>
      </c>
    </row>
    <row r="974" spans="3:15" x14ac:dyDescent="0.25">
      <c r="C974" s="206" t="s">
        <v>1760</v>
      </c>
      <c r="D974" s="206">
        <v>25</v>
      </c>
      <c r="E974" s="206">
        <v>560.74599635013408</v>
      </c>
      <c r="F974" s="206">
        <v>31.4380187988281</v>
      </c>
      <c r="G974" s="206">
        <v>4.4861829999999996</v>
      </c>
      <c r="H974" s="206" t="s">
        <v>771</v>
      </c>
      <c r="I974" s="206">
        <v>0.81000000000030525</v>
      </c>
      <c r="J974" s="206"/>
      <c r="K974" s="206">
        <v>3</v>
      </c>
      <c r="L974" s="206" t="s">
        <v>454</v>
      </c>
      <c r="M974" s="206" t="s">
        <v>791</v>
      </c>
      <c r="N974" s="206" t="s">
        <v>773</v>
      </c>
      <c r="O974" s="206" t="s">
        <v>800</v>
      </c>
    </row>
    <row r="975" spans="3:15" x14ac:dyDescent="0.25">
      <c r="C975" s="206" t="s">
        <v>1761</v>
      </c>
      <c r="D975" s="206">
        <v>200</v>
      </c>
      <c r="E975" s="206">
        <v>4854.6228051845228</v>
      </c>
      <c r="F975" s="206">
        <v>5647.44771793778</v>
      </c>
      <c r="G975" s="206">
        <v>14.846368</v>
      </c>
      <c r="H975" s="206" t="s">
        <v>771</v>
      </c>
      <c r="I975" s="206">
        <v>1</v>
      </c>
      <c r="J975" s="206"/>
      <c r="K975" s="206">
        <v>3</v>
      </c>
      <c r="L975" s="206" t="s">
        <v>454</v>
      </c>
      <c r="M975" s="206" t="s">
        <v>413</v>
      </c>
      <c r="N975" s="206" t="s">
        <v>773</v>
      </c>
      <c r="O975" s="206" t="s">
        <v>788</v>
      </c>
    </row>
    <row r="976" spans="3:15" x14ac:dyDescent="0.25">
      <c r="C976" s="206" t="s">
        <v>1762</v>
      </c>
      <c r="D976" s="206">
        <v>65</v>
      </c>
      <c r="E976" s="206">
        <v>2198.1655092922665</v>
      </c>
      <c r="F976" s="206">
        <v>491.91031249461201</v>
      </c>
      <c r="G976" s="206">
        <v>9.4786359999999998</v>
      </c>
      <c r="H976" s="206" t="s">
        <v>771</v>
      </c>
      <c r="I976" s="206">
        <v>0.64</v>
      </c>
      <c r="J976" s="206"/>
      <c r="K976" s="206">
        <v>3</v>
      </c>
      <c r="L976" s="206" t="s">
        <v>454</v>
      </c>
      <c r="M976" s="206" t="s">
        <v>772</v>
      </c>
      <c r="N976" s="206" t="s">
        <v>773</v>
      </c>
      <c r="O976" s="206" t="s">
        <v>774</v>
      </c>
    </row>
    <row r="977" spans="3:15" x14ac:dyDescent="0.25">
      <c r="C977" s="206" t="s">
        <v>1763</v>
      </c>
      <c r="D977" s="206">
        <v>150</v>
      </c>
      <c r="E977" s="206">
        <v>3136.1099131729948</v>
      </c>
      <c r="F977" s="206">
        <v>3727.9958740168299</v>
      </c>
      <c r="G977" s="206">
        <v>10.051879</v>
      </c>
      <c r="H977" s="206" t="s">
        <v>771</v>
      </c>
      <c r="I977" s="206">
        <v>0.64</v>
      </c>
      <c r="J977" s="206"/>
      <c r="K977" s="206">
        <v>3</v>
      </c>
      <c r="L977" s="206" t="s">
        <v>454</v>
      </c>
      <c r="M977" s="206" t="s">
        <v>791</v>
      </c>
      <c r="N977" s="206" t="s">
        <v>773</v>
      </c>
      <c r="O977" s="206" t="s">
        <v>800</v>
      </c>
    </row>
    <row r="978" spans="3:15" x14ac:dyDescent="0.25">
      <c r="C978" s="206" t="s">
        <v>1764</v>
      </c>
      <c r="D978" s="206">
        <v>20</v>
      </c>
      <c r="E978" s="206">
        <v>1421.9750643574989</v>
      </c>
      <c r="F978" s="206">
        <v>1</v>
      </c>
      <c r="G978" s="206">
        <v>12.14528</v>
      </c>
      <c r="H978" s="206" t="s">
        <v>771</v>
      </c>
      <c r="I978" s="206">
        <v>1</v>
      </c>
      <c r="J978" s="206"/>
      <c r="K978" s="206">
        <v>3</v>
      </c>
      <c r="L978" s="206" t="s">
        <v>454</v>
      </c>
      <c r="M978" s="206" t="s">
        <v>791</v>
      </c>
      <c r="N978" s="206" t="s">
        <v>822</v>
      </c>
      <c r="O978" s="206" t="s">
        <v>800</v>
      </c>
    </row>
    <row r="979" spans="3:15" x14ac:dyDescent="0.25">
      <c r="C979" s="206" t="s">
        <v>1765</v>
      </c>
      <c r="D979" s="206">
        <v>250</v>
      </c>
      <c r="E979" s="206">
        <v>6162.0203193192147</v>
      </c>
      <c r="F979" s="206">
        <v>8542.2397978336794</v>
      </c>
      <c r="G979" s="206">
        <v>17.837236000000001</v>
      </c>
      <c r="H979" s="206" t="s">
        <v>771</v>
      </c>
      <c r="I979" s="206">
        <v>1</v>
      </c>
      <c r="J979" s="206"/>
      <c r="K979" s="206">
        <v>3</v>
      </c>
      <c r="L979" s="206" t="s">
        <v>454</v>
      </c>
      <c r="M979" s="206" t="s">
        <v>413</v>
      </c>
      <c r="N979" s="206" t="s">
        <v>773</v>
      </c>
      <c r="O979" s="206" t="s">
        <v>788</v>
      </c>
    </row>
    <row r="980" spans="3:15" x14ac:dyDescent="0.25">
      <c r="C980" s="206" t="s">
        <v>1766</v>
      </c>
      <c r="D980" s="206">
        <v>50</v>
      </c>
      <c r="E980" s="206">
        <v>426.95788921627138</v>
      </c>
      <c r="F980" s="206">
        <v>148.388475348707</v>
      </c>
      <c r="G980" s="206">
        <v>2.3006644000000001</v>
      </c>
      <c r="H980" s="206" t="s">
        <v>771</v>
      </c>
      <c r="I980" s="206">
        <v>0.65</v>
      </c>
      <c r="J980" s="206"/>
      <c r="K980" s="206">
        <v>3</v>
      </c>
      <c r="L980" s="206" t="s">
        <v>454</v>
      </c>
      <c r="M980" s="206" t="s">
        <v>772</v>
      </c>
      <c r="N980" s="206" t="s">
        <v>773</v>
      </c>
      <c r="O980" s="206" t="s">
        <v>774</v>
      </c>
    </row>
    <row r="981" spans="3:15" x14ac:dyDescent="0.25">
      <c r="C981" s="206" t="s">
        <v>1767</v>
      </c>
      <c r="D981" s="206">
        <v>80</v>
      </c>
      <c r="E981" s="206">
        <v>1441.2760679517517</v>
      </c>
      <c r="F981" s="206">
        <v>617.18597412109398</v>
      </c>
      <c r="G981" s="206">
        <v>6.0052422999999999</v>
      </c>
      <c r="H981" s="206" t="s">
        <v>771</v>
      </c>
      <c r="I981" s="206">
        <v>0.7294998052048729</v>
      </c>
      <c r="J981" s="206"/>
      <c r="K981" s="206">
        <v>3</v>
      </c>
      <c r="L981" s="206" t="s">
        <v>454</v>
      </c>
      <c r="M981" s="206" t="s">
        <v>791</v>
      </c>
      <c r="N981" s="206" t="s">
        <v>773</v>
      </c>
      <c r="O981" s="206" t="s">
        <v>800</v>
      </c>
    </row>
    <row r="982" spans="3:15" x14ac:dyDescent="0.25">
      <c r="C982" s="206" t="s">
        <v>1768</v>
      </c>
      <c r="D982" s="206">
        <v>20</v>
      </c>
      <c r="E982" s="206">
        <v>431.57386001579431</v>
      </c>
      <c r="F982" s="206">
        <v>1</v>
      </c>
      <c r="G982" s="206">
        <v>3.6861302999999999</v>
      </c>
      <c r="H982" s="206" t="s">
        <v>771</v>
      </c>
      <c r="I982" s="206">
        <v>1</v>
      </c>
      <c r="J982" s="206"/>
      <c r="K982" s="206">
        <v>3</v>
      </c>
      <c r="L982" s="206" t="s">
        <v>454</v>
      </c>
      <c r="M982" s="206" t="s">
        <v>413</v>
      </c>
      <c r="N982" s="206" t="s">
        <v>773</v>
      </c>
      <c r="O982" s="206" t="s">
        <v>805</v>
      </c>
    </row>
    <row r="983" spans="3:15" x14ac:dyDescent="0.25">
      <c r="C983" s="206" t="s">
        <v>1769</v>
      </c>
      <c r="D983" s="206">
        <v>65</v>
      </c>
      <c r="E983" s="206">
        <v>1156.1083962907824</v>
      </c>
      <c r="F983" s="206">
        <v>319.08547260653</v>
      </c>
      <c r="G983" s="206">
        <v>5.4111929999999999</v>
      </c>
      <c r="H983" s="206" t="s">
        <v>771</v>
      </c>
      <c r="I983" s="206">
        <v>0.65</v>
      </c>
      <c r="J983" s="206"/>
      <c r="K983" s="206">
        <v>3</v>
      </c>
      <c r="L983" s="206" t="s">
        <v>454</v>
      </c>
      <c r="M983" s="206" t="s">
        <v>772</v>
      </c>
      <c r="N983" s="206" t="s">
        <v>773</v>
      </c>
      <c r="O983" s="206" t="s">
        <v>774</v>
      </c>
    </row>
    <row r="984" spans="3:15" x14ac:dyDescent="0.25">
      <c r="C984" s="206" t="s">
        <v>1770</v>
      </c>
      <c r="D984" s="206">
        <v>200</v>
      </c>
      <c r="E984" s="206">
        <v>1016.0169900973045</v>
      </c>
      <c r="F984" s="206">
        <v>5647.44771793778</v>
      </c>
      <c r="G984" s="206">
        <v>3.1071749</v>
      </c>
      <c r="H984" s="206" t="s">
        <v>771</v>
      </c>
      <c r="I984" s="206">
        <v>1</v>
      </c>
      <c r="J984" s="206"/>
      <c r="K984" s="206">
        <v>3</v>
      </c>
      <c r="L984" s="206" t="s">
        <v>454</v>
      </c>
      <c r="M984" s="206" t="s">
        <v>413</v>
      </c>
      <c r="N984" s="206" t="s">
        <v>773</v>
      </c>
      <c r="O984" s="206" t="s">
        <v>788</v>
      </c>
    </row>
    <row r="985" spans="3:15" x14ac:dyDescent="0.25">
      <c r="C985" s="206" t="s">
        <v>1771</v>
      </c>
      <c r="D985" s="206">
        <v>20</v>
      </c>
      <c r="E985" s="206">
        <v>3109.8305047253266</v>
      </c>
      <c r="F985" s="206">
        <v>3.02719687647186</v>
      </c>
      <c r="G985" s="206">
        <v>26.56148</v>
      </c>
      <c r="H985" s="206" t="s">
        <v>771</v>
      </c>
      <c r="I985" s="206">
        <v>1</v>
      </c>
      <c r="J985" s="206"/>
      <c r="K985" s="206">
        <v>3</v>
      </c>
      <c r="L985" s="206" t="s">
        <v>454</v>
      </c>
      <c r="M985" s="206" t="s">
        <v>413</v>
      </c>
      <c r="N985" s="206" t="s">
        <v>773</v>
      </c>
      <c r="O985" s="206" t="s">
        <v>805</v>
      </c>
    </row>
    <row r="986" spans="3:15" x14ac:dyDescent="0.25">
      <c r="C986" s="206" t="s">
        <v>1772</v>
      </c>
      <c r="D986" s="206">
        <v>40</v>
      </c>
      <c r="E986" s="206">
        <v>406.52928211845619</v>
      </c>
      <c r="F986" s="206">
        <v>83.601570015664905</v>
      </c>
      <c r="G986" s="206">
        <v>2.2700130000000001</v>
      </c>
      <c r="H986" s="206" t="s">
        <v>771</v>
      </c>
      <c r="I986" s="206">
        <v>0.81</v>
      </c>
      <c r="J986" s="206"/>
      <c r="K986" s="206">
        <v>3</v>
      </c>
      <c r="L986" s="206" t="s">
        <v>454</v>
      </c>
      <c r="M986" s="206" t="s">
        <v>791</v>
      </c>
      <c r="N986" s="206" t="s">
        <v>773</v>
      </c>
      <c r="O986" s="206" t="s">
        <v>792</v>
      </c>
    </row>
    <row r="987" spans="3:15" x14ac:dyDescent="0.25">
      <c r="C987" s="206" t="s">
        <v>1773</v>
      </c>
      <c r="D987" s="206">
        <v>25</v>
      </c>
      <c r="E987" s="206">
        <v>425.34739490975028</v>
      </c>
      <c r="F987" s="206">
        <v>30.427696228027301</v>
      </c>
      <c r="G987" s="206">
        <v>3.4342635000000001</v>
      </c>
      <c r="H987" s="206" t="s">
        <v>771</v>
      </c>
      <c r="I987" s="206">
        <v>1</v>
      </c>
      <c r="J987" s="206"/>
      <c r="K987" s="206">
        <v>3</v>
      </c>
      <c r="L987" s="206" t="s">
        <v>454</v>
      </c>
      <c r="M987" s="206" t="s">
        <v>772</v>
      </c>
      <c r="N987" s="206" t="s">
        <v>773</v>
      </c>
      <c r="O987" s="206" t="s">
        <v>774</v>
      </c>
    </row>
    <row r="988" spans="3:15" x14ac:dyDescent="0.25">
      <c r="C988" s="206" t="s">
        <v>1774</v>
      </c>
      <c r="D988" s="206">
        <v>50</v>
      </c>
      <c r="E988" s="206">
        <v>179.14876846523265</v>
      </c>
      <c r="F988" s="206">
        <v>148.388475348707</v>
      </c>
      <c r="G988" s="206">
        <v>0.96534390000000003</v>
      </c>
      <c r="H988" s="206" t="s">
        <v>771</v>
      </c>
      <c r="I988" s="206">
        <v>0.65</v>
      </c>
      <c r="J988" s="206"/>
      <c r="K988" s="206">
        <v>3</v>
      </c>
      <c r="L988" s="206" t="s">
        <v>454</v>
      </c>
      <c r="M988" s="206" t="s">
        <v>772</v>
      </c>
      <c r="N988" s="206" t="s">
        <v>773</v>
      </c>
      <c r="O988" s="206" t="s">
        <v>774</v>
      </c>
    </row>
    <row r="989" spans="3:15" x14ac:dyDescent="0.25">
      <c r="C989" s="206" t="s">
        <v>1775</v>
      </c>
      <c r="D989" s="206">
        <v>150</v>
      </c>
      <c r="E989" s="206">
        <v>2763.7088456807119</v>
      </c>
      <c r="F989" s="206">
        <v>3530.03561769525</v>
      </c>
      <c r="G989" s="206">
        <v>8.9276359999999997</v>
      </c>
      <c r="H989" s="206" t="s">
        <v>771</v>
      </c>
      <c r="I989" s="206">
        <v>0.63</v>
      </c>
      <c r="J989" s="206"/>
      <c r="K989" s="206">
        <v>3</v>
      </c>
      <c r="L989" s="206" t="s">
        <v>454</v>
      </c>
      <c r="M989" s="206" t="s">
        <v>413</v>
      </c>
      <c r="N989" s="206" t="s">
        <v>773</v>
      </c>
      <c r="O989" s="206" t="s">
        <v>800</v>
      </c>
    </row>
    <row r="990" spans="3:15" x14ac:dyDescent="0.25">
      <c r="C990" s="206" t="s">
        <v>1776</v>
      </c>
      <c r="D990" s="206">
        <v>80</v>
      </c>
      <c r="E990" s="206">
        <v>181.73160303607514</v>
      </c>
      <c r="F990" s="206">
        <v>617.18597412109398</v>
      </c>
      <c r="G990" s="206">
        <v>0.75720560000000003</v>
      </c>
      <c r="H990" s="206" t="s">
        <v>771</v>
      </c>
      <c r="I990" s="206">
        <v>0.7294998052048729</v>
      </c>
      <c r="J990" s="206"/>
      <c r="K990" s="206">
        <v>3</v>
      </c>
      <c r="L990" s="206" t="s">
        <v>454</v>
      </c>
      <c r="M990" s="206" t="s">
        <v>772</v>
      </c>
      <c r="N990" s="206" t="s">
        <v>773</v>
      </c>
      <c r="O990" s="206" t="s">
        <v>774</v>
      </c>
    </row>
    <row r="991" spans="3:15" x14ac:dyDescent="0.25">
      <c r="C991" s="206" t="s">
        <v>1777</v>
      </c>
      <c r="D991" s="206">
        <v>20</v>
      </c>
      <c r="E991" s="206">
        <v>387.80730785249614</v>
      </c>
      <c r="F991" s="206">
        <v>3.02719687647186</v>
      </c>
      <c r="G991" s="206">
        <v>3.3123143000000002</v>
      </c>
      <c r="H991" s="206" t="s">
        <v>771</v>
      </c>
      <c r="I991" s="206">
        <v>1</v>
      </c>
      <c r="J991" s="206"/>
      <c r="K991" s="206">
        <v>3</v>
      </c>
      <c r="L991" s="206" t="s">
        <v>454</v>
      </c>
      <c r="M991" s="206" t="s">
        <v>413</v>
      </c>
      <c r="N991" s="206" t="s">
        <v>773</v>
      </c>
      <c r="O991" s="206" t="s">
        <v>805</v>
      </c>
    </row>
    <row r="992" spans="3:15" x14ac:dyDescent="0.25">
      <c r="C992" s="206" t="s">
        <v>1778</v>
      </c>
      <c r="D992" s="206">
        <v>65</v>
      </c>
      <c r="E992" s="206">
        <v>1434.4700333595508</v>
      </c>
      <c r="F992" s="206">
        <v>319.08547260653</v>
      </c>
      <c r="G992" s="206">
        <v>6.7140712999999996</v>
      </c>
      <c r="H992" s="206" t="s">
        <v>771</v>
      </c>
      <c r="I992" s="206">
        <v>0.65</v>
      </c>
      <c r="J992" s="206"/>
      <c r="K992" s="206">
        <v>3</v>
      </c>
      <c r="L992" s="206" t="s">
        <v>454</v>
      </c>
      <c r="M992" s="206" t="s">
        <v>772</v>
      </c>
      <c r="N992" s="206" t="s">
        <v>773</v>
      </c>
      <c r="O992" s="206" t="s">
        <v>774</v>
      </c>
    </row>
    <row r="993" spans="3:15" x14ac:dyDescent="0.25">
      <c r="C993" s="206" t="s">
        <v>1779</v>
      </c>
      <c r="D993" s="206">
        <v>32</v>
      </c>
      <c r="E993" s="206">
        <v>1485.5733301283583</v>
      </c>
      <c r="F993" s="206">
        <v>49.635706729895901</v>
      </c>
      <c r="G993" s="206">
        <v>10.416446000000001</v>
      </c>
      <c r="H993" s="206" t="s">
        <v>771</v>
      </c>
      <c r="I993" s="206">
        <v>0.81</v>
      </c>
      <c r="J993" s="206"/>
      <c r="K993" s="206">
        <v>3</v>
      </c>
      <c r="L993" s="206" t="s">
        <v>454</v>
      </c>
      <c r="M993" s="206" t="s">
        <v>413</v>
      </c>
      <c r="N993" s="206" t="s">
        <v>773</v>
      </c>
      <c r="O993" s="206" t="s">
        <v>774</v>
      </c>
    </row>
    <row r="994" spans="3:15" x14ac:dyDescent="0.25">
      <c r="C994" s="206" t="s">
        <v>1780</v>
      </c>
      <c r="D994" s="206">
        <v>80</v>
      </c>
      <c r="E994" s="206">
        <v>1359.0539301764727</v>
      </c>
      <c r="F994" s="206">
        <v>562.93208777304994</v>
      </c>
      <c r="G994" s="206">
        <v>5.7395969999999998</v>
      </c>
      <c r="H994" s="206" t="s">
        <v>771</v>
      </c>
      <c r="I994" s="206">
        <v>0.65</v>
      </c>
      <c r="J994" s="206"/>
      <c r="K994" s="206">
        <v>3</v>
      </c>
      <c r="L994" s="206" t="s">
        <v>454</v>
      </c>
      <c r="M994" s="206" t="s">
        <v>772</v>
      </c>
      <c r="N994" s="206" t="s">
        <v>773</v>
      </c>
      <c r="O994" s="206" t="s">
        <v>774</v>
      </c>
    </row>
    <row r="995" spans="3:15" x14ac:dyDescent="0.25">
      <c r="C995" s="206" t="s">
        <v>1781</v>
      </c>
      <c r="D995" s="206">
        <v>200</v>
      </c>
      <c r="E995" s="206">
        <v>4028.1273242034508</v>
      </c>
      <c r="F995" s="206">
        <v>5825.9935531513001</v>
      </c>
      <c r="G995" s="206">
        <v>12.278876</v>
      </c>
      <c r="H995" s="206" t="s">
        <v>771</v>
      </c>
      <c r="I995" s="206">
        <v>1</v>
      </c>
      <c r="J995" s="206"/>
      <c r="K995" s="206">
        <v>3</v>
      </c>
      <c r="L995" s="206" t="s">
        <v>454</v>
      </c>
      <c r="M995" s="206" t="s">
        <v>791</v>
      </c>
      <c r="N995" s="206" t="s">
        <v>773</v>
      </c>
      <c r="O995" s="206" t="s">
        <v>800</v>
      </c>
    </row>
    <row r="996" spans="3:15" x14ac:dyDescent="0.25">
      <c r="C996" s="206" t="s">
        <v>1782</v>
      </c>
      <c r="D996" s="206">
        <v>20</v>
      </c>
      <c r="E996" s="206">
        <v>6210.2075812364492</v>
      </c>
      <c r="F996" s="206">
        <v>0.99999999999873002</v>
      </c>
      <c r="G996" s="206">
        <v>53.042217000000001</v>
      </c>
      <c r="H996" s="206" t="s">
        <v>771</v>
      </c>
      <c r="I996" s="206">
        <v>1</v>
      </c>
      <c r="J996" s="206"/>
      <c r="K996" s="206">
        <v>3</v>
      </c>
      <c r="L996" s="206" t="s">
        <v>454</v>
      </c>
      <c r="M996" s="206" t="s">
        <v>782</v>
      </c>
      <c r="N996" s="206" t="s">
        <v>776</v>
      </c>
      <c r="O996" s="206" t="s">
        <v>776</v>
      </c>
    </row>
    <row r="997" spans="3:15" x14ac:dyDescent="0.25">
      <c r="C997" s="206" t="s">
        <v>1783</v>
      </c>
      <c r="D997" s="206">
        <v>125</v>
      </c>
      <c r="E997" s="206">
        <v>2111.366947284906</v>
      </c>
      <c r="F997" s="206">
        <v>1648.58963202582</v>
      </c>
      <c r="G997" s="206">
        <v>7.5617103999999999</v>
      </c>
      <c r="H997" s="206" t="s">
        <v>771</v>
      </c>
      <c r="I997" s="206">
        <v>0.63</v>
      </c>
      <c r="J997" s="206"/>
      <c r="K997" s="206">
        <v>3</v>
      </c>
      <c r="L997" s="206" t="s">
        <v>454</v>
      </c>
      <c r="M997" s="206" t="s">
        <v>772</v>
      </c>
      <c r="N997" s="206" t="s">
        <v>773</v>
      </c>
      <c r="O997" s="206" t="s">
        <v>774</v>
      </c>
    </row>
    <row r="998" spans="3:15" x14ac:dyDescent="0.25">
      <c r="C998" s="206" t="s">
        <v>1784</v>
      </c>
      <c r="D998" s="206">
        <v>40</v>
      </c>
      <c r="E998" s="206">
        <v>757.35754369713459</v>
      </c>
      <c r="F998" s="206">
        <v>100.29582977294901</v>
      </c>
      <c r="G998" s="206">
        <v>4.4753613000000003</v>
      </c>
      <c r="H998" s="206" t="s">
        <v>771</v>
      </c>
      <c r="I998" s="206">
        <v>1</v>
      </c>
      <c r="J998" s="206"/>
      <c r="K998" s="206">
        <v>3</v>
      </c>
      <c r="L998" s="206" t="s">
        <v>454</v>
      </c>
      <c r="M998" s="206" t="s">
        <v>791</v>
      </c>
      <c r="N998" s="206" t="s">
        <v>773</v>
      </c>
      <c r="O998" s="206" t="s">
        <v>792</v>
      </c>
    </row>
    <row r="999" spans="3:15" x14ac:dyDescent="0.25">
      <c r="C999" s="206" t="s">
        <v>1785</v>
      </c>
      <c r="D999" s="206">
        <v>65</v>
      </c>
      <c r="E999" s="206">
        <v>1334.2347367385751</v>
      </c>
      <c r="F999" s="206">
        <v>491.91031249461201</v>
      </c>
      <c r="G999" s="206">
        <v>5.7533089999999998</v>
      </c>
      <c r="H999" s="206" t="s">
        <v>771</v>
      </c>
      <c r="I999" s="206">
        <v>0.64</v>
      </c>
      <c r="J999" s="206"/>
      <c r="K999" s="206">
        <v>3</v>
      </c>
      <c r="L999" s="206" t="s">
        <v>454</v>
      </c>
      <c r="M999" s="206" t="s">
        <v>772</v>
      </c>
      <c r="N999" s="206" t="s">
        <v>773</v>
      </c>
      <c r="O999" s="206" t="s">
        <v>774</v>
      </c>
    </row>
    <row r="1000" spans="3:15" x14ac:dyDescent="0.25">
      <c r="C1000" s="206" t="s">
        <v>1786</v>
      </c>
      <c r="D1000" s="206">
        <v>40</v>
      </c>
      <c r="E1000" s="206">
        <v>830.79623954520241</v>
      </c>
      <c r="F1000" s="206">
        <v>100.29582977294901</v>
      </c>
      <c r="G1000" s="206">
        <v>4.9093236999999998</v>
      </c>
      <c r="H1000" s="206" t="s">
        <v>771</v>
      </c>
      <c r="I1000" s="206">
        <v>1</v>
      </c>
      <c r="J1000" s="206"/>
      <c r="K1000" s="206">
        <v>3</v>
      </c>
      <c r="L1000" s="206" t="s">
        <v>454</v>
      </c>
      <c r="M1000" s="206" t="s">
        <v>791</v>
      </c>
      <c r="N1000" s="206" t="s">
        <v>773</v>
      </c>
      <c r="O1000" s="206" t="s">
        <v>792</v>
      </c>
    </row>
    <row r="1001" spans="3:15" x14ac:dyDescent="0.25">
      <c r="C1001" s="206" t="s">
        <v>1787</v>
      </c>
      <c r="D1001" s="206">
        <v>50</v>
      </c>
      <c r="E1001" s="206">
        <v>2060.3556177871969</v>
      </c>
      <c r="F1001" s="206">
        <v>148.388475348707</v>
      </c>
      <c r="G1001" s="206">
        <v>11.102235</v>
      </c>
      <c r="H1001" s="206" t="s">
        <v>771</v>
      </c>
      <c r="I1001" s="206">
        <v>0.65</v>
      </c>
      <c r="J1001" s="206"/>
      <c r="K1001" s="206">
        <v>3</v>
      </c>
      <c r="L1001" s="206" t="s">
        <v>454</v>
      </c>
      <c r="M1001" s="206" t="s">
        <v>772</v>
      </c>
      <c r="N1001" s="206" t="s">
        <v>773</v>
      </c>
      <c r="O1001" s="206" t="s">
        <v>774</v>
      </c>
    </row>
    <row r="1002" spans="3:15" x14ac:dyDescent="0.25">
      <c r="C1002" s="206" t="s">
        <v>1788</v>
      </c>
      <c r="D1002" s="206">
        <v>65</v>
      </c>
      <c r="E1002" s="206">
        <v>1293.4524349599119</v>
      </c>
      <c r="F1002" s="206">
        <v>491.91031249461201</v>
      </c>
      <c r="G1002" s="206">
        <v>5.5774530000000002</v>
      </c>
      <c r="H1002" s="206" t="s">
        <v>771</v>
      </c>
      <c r="I1002" s="206">
        <v>0.64</v>
      </c>
      <c r="J1002" s="206"/>
      <c r="K1002" s="206">
        <v>3</v>
      </c>
      <c r="L1002" s="206" t="s">
        <v>454</v>
      </c>
      <c r="M1002" s="206" t="s">
        <v>772</v>
      </c>
      <c r="N1002" s="206" t="s">
        <v>773</v>
      </c>
      <c r="O1002" s="206" t="s">
        <v>774</v>
      </c>
    </row>
    <row r="1003" spans="3:15" x14ac:dyDescent="0.25">
      <c r="C1003" s="206" t="s">
        <v>1789</v>
      </c>
      <c r="D1003" s="206">
        <v>80</v>
      </c>
      <c r="E1003" s="206">
        <v>28.661052547373263</v>
      </c>
      <c r="F1003" s="206">
        <v>562.93208777304994</v>
      </c>
      <c r="G1003" s="206">
        <v>0.12104221</v>
      </c>
      <c r="H1003" s="206" t="s">
        <v>771</v>
      </c>
      <c r="I1003" s="206">
        <v>0.65</v>
      </c>
      <c r="J1003" s="206"/>
      <c r="K1003" s="206">
        <v>3</v>
      </c>
      <c r="L1003" s="206" t="s">
        <v>454</v>
      </c>
      <c r="M1003" s="206" t="s">
        <v>772</v>
      </c>
      <c r="N1003" s="206" t="s">
        <v>773</v>
      </c>
      <c r="O1003" s="206" t="s">
        <v>774</v>
      </c>
    </row>
    <row r="1004" spans="3:15" x14ac:dyDescent="0.25">
      <c r="C1004" s="206" t="s">
        <v>1790</v>
      </c>
      <c r="D1004" s="206">
        <v>200</v>
      </c>
      <c r="E1004" s="206">
        <v>1281.3611318512601</v>
      </c>
      <c r="F1004" s="206">
        <v>5646.44771793778</v>
      </c>
      <c r="G1004" s="206">
        <v>3.9187297999999999</v>
      </c>
      <c r="H1004" s="206" t="s">
        <v>771</v>
      </c>
      <c r="I1004" s="206">
        <v>1</v>
      </c>
      <c r="J1004" s="206"/>
      <c r="K1004" s="206">
        <v>3</v>
      </c>
      <c r="L1004" s="206" t="s">
        <v>454</v>
      </c>
      <c r="M1004" s="206" t="s">
        <v>413</v>
      </c>
      <c r="N1004" s="206" t="s">
        <v>773</v>
      </c>
      <c r="O1004" s="206" t="s">
        <v>774</v>
      </c>
    </row>
    <row r="1005" spans="3:15" x14ac:dyDescent="0.25">
      <c r="C1005" s="206" t="s">
        <v>1791</v>
      </c>
      <c r="D1005" s="206">
        <v>65</v>
      </c>
      <c r="E1005" s="206">
        <v>4714.6670133720081</v>
      </c>
      <c r="F1005" s="206">
        <v>491.91031249461201</v>
      </c>
      <c r="G1005" s="206">
        <v>20.329958000000001</v>
      </c>
      <c r="H1005" s="206" t="s">
        <v>771</v>
      </c>
      <c r="I1005" s="206">
        <v>0.64</v>
      </c>
      <c r="J1005" s="206"/>
      <c r="K1005" s="206">
        <v>3</v>
      </c>
      <c r="L1005" s="206" t="s">
        <v>454</v>
      </c>
      <c r="M1005" s="206" t="s">
        <v>772</v>
      </c>
      <c r="N1005" s="206" t="s">
        <v>773</v>
      </c>
      <c r="O1005" s="206" t="s">
        <v>774</v>
      </c>
    </row>
    <row r="1006" spans="3:15" x14ac:dyDescent="0.25">
      <c r="C1006" s="206" t="s">
        <v>1792</v>
      </c>
      <c r="D1006" s="206">
        <v>65</v>
      </c>
      <c r="E1006" s="206">
        <v>2669.1568469103681</v>
      </c>
      <c r="F1006" s="206">
        <v>491.91031249461201</v>
      </c>
      <c r="G1006" s="206">
        <v>11.509582</v>
      </c>
      <c r="H1006" s="206" t="s">
        <v>771</v>
      </c>
      <c r="I1006" s="206">
        <v>0.64</v>
      </c>
      <c r="J1006" s="206"/>
      <c r="K1006" s="206">
        <v>3</v>
      </c>
      <c r="L1006" s="206" t="s">
        <v>454</v>
      </c>
      <c r="M1006" s="206" t="s">
        <v>772</v>
      </c>
      <c r="N1006" s="206" t="s">
        <v>773</v>
      </c>
      <c r="O1006" s="206" t="s">
        <v>774</v>
      </c>
    </row>
    <row r="1007" spans="3:15" x14ac:dyDescent="0.25">
      <c r="C1007" s="206" t="s">
        <v>1793</v>
      </c>
      <c r="D1007" s="206">
        <v>80</v>
      </c>
      <c r="E1007" s="206">
        <v>1346.4956742810828</v>
      </c>
      <c r="F1007" s="206">
        <v>562.93208777304994</v>
      </c>
      <c r="G1007" s="206">
        <v>5.6865606</v>
      </c>
      <c r="H1007" s="206" t="s">
        <v>771</v>
      </c>
      <c r="I1007" s="206">
        <v>0.65</v>
      </c>
      <c r="J1007" s="206"/>
      <c r="K1007" s="206">
        <v>3</v>
      </c>
      <c r="L1007" s="206" t="s">
        <v>454</v>
      </c>
      <c r="M1007" s="206" t="s">
        <v>772</v>
      </c>
      <c r="N1007" s="206" t="s">
        <v>773</v>
      </c>
      <c r="O1007" s="206" t="s">
        <v>774</v>
      </c>
    </row>
    <row r="1008" spans="3:15" x14ac:dyDescent="0.25">
      <c r="C1008" s="206" t="s">
        <v>1794</v>
      </c>
      <c r="D1008" s="206">
        <v>150</v>
      </c>
      <c r="E1008" s="206">
        <v>1829.5820292581261</v>
      </c>
      <c r="F1008" s="206">
        <v>3727.9958740168299</v>
      </c>
      <c r="G1008" s="206">
        <v>5.8641876999999996</v>
      </c>
      <c r="H1008" s="206" t="s">
        <v>771</v>
      </c>
      <c r="I1008" s="206">
        <v>0.64</v>
      </c>
      <c r="J1008" s="206"/>
      <c r="K1008" s="206">
        <v>3</v>
      </c>
      <c r="L1008" s="206" t="s">
        <v>454</v>
      </c>
      <c r="M1008" s="206" t="s">
        <v>791</v>
      </c>
      <c r="N1008" s="206" t="s">
        <v>773</v>
      </c>
      <c r="O1008" s="206" t="s">
        <v>800</v>
      </c>
    </row>
    <row r="1009" spans="3:15" x14ac:dyDescent="0.25">
      <c r="C1009" s="206" t="s">
        <v>1795</v>
      </c>
      <c r="D1009" s="206">
        <v>65</v>
      </c>
      <c r="E1009" s="206">
        <v>2330.6447331581953</v>
      </c>
      <c r="F1009" s="206">
        <v>366.340331913667</v>
      </c>
      <c r="G1009" s="206">
        <v>10.880964000000001</v>
      </c>
      <c r="H1009" s="206" t="s">
        <v>771</v>
      </c>
      <c r="I1009" s="206">
        <v>0.74826912236183685</v>
      </c>
      <c r="J1009" s="206"/>
      <c r="K1009" s="206">
        <v>3</v>
      </c>
      <c r="L1009" s="206" t="s">
        <v>454</v>
      </c>
      <c r="M1009" s="206" t="s">
        <v>772</v>
      </c>
      <c r="N1009" s="206" t="s">
        <v>773</v>
      </c>
      <c r="O1009" s="206" t="s">
        <v>774</v>
      </c>
    </row>
    <row r="1010" spans="3:15" x14ac:dyDescent="0.25">
      <c r="C1010" s="206" t="s">
        <v>1796</v>
      </c>
      <c r="D1010" s="206">
        <v>80</v>
      </c>
      <c r="E1010" s="206">
        <v>686.58229464200087</v>
      </c>
      <c r="F1010" s="206">
        <v>617.18597412109398</v>
      </c>
      <c r="G1010" s="206">
        <v>2.8607239999999998</v>
      </c>
      <c r="H1010" s="206" t="s">
        <v>771</v>
      </c>
      <c r="I1010" s="206">
        <v>0.7294998052048729</v>
      </c>
      <c r="J1010" s="206"/>
      <c r="K1010" s="206">
        <v>3</v>
      </c>
      <c r="L1010" s="206" t="s">
        <v>454</v>
      </c>
      <c r="M1010" s="206" t="s">
        <v>791</v>
      </c>
      <c r="N1010" s="206" t="s">
        <v>773</v>
      </c>
      <c r="O1010" s="206" t="s">
        <v>800</v>
      </c>
    </row>
    <row r="1011" spans="3:15" x14ac:dyDescent="0.25">
      <c r="C1011" s="206" t="s">
        <v>1797</v>
      </c>
      <c r="D1011" s="206">
        <v>50</v>
      </c>
      <c r="E1011" s="206">
        <v>2733.2247170304458</v>
      </c>
      <c r="F1011" s="206">
        <v>148.388475348707</v>
      </c>
      <c r="G1011" s="206">
        <v>14.727993</v>
      </c>
      <c r="H1011" s="206" t="s">
        <v>771</v>
      </c>
      <c r="I1011" s="206">
        <v>0.65</v>
      </c>
      <c r="J1011" s="206"/>
      <c r="K1011" s="206">
        <v>3</v>
      </c>
      <c r="L1011" s="206" t="s">
        <v>454</v>
      </c>
      <c r="M1011" s="206" t="s">
        <v>772</v>
      </c>
      <c r="N1011" s="206" t="s">
        <v>773</v>
      </c>
      <c r="O1011" s="206" t="s">
        <v>774</v>
      </c>
    </row>
    <row r="1012" spans="3:15" x14ac:dyDescent="0.25">
      <c r="C1012" s="206" t="s">
        <v>1798</v>
      </c>
      <c r="D1012" s="206">
        <v>50</v>
      </c>
      <c r="E1012" s="206">
        <v>1025.5961107337469</v>
      </c>
      <c r="F1012" s="206">
        <v>148.388475348707</v>
      </c>
      <c r="G1012" s="206">
        <v>5.5264290000000003</v>
      </c>
      <c r="H1012" s="206" t="s">
        <v>771</v>
      </c>
      <c r="I1012" s="206">
        <v>0.65</v>
      </c>
      <c r="J1012" s="206"/>
      <c r="K1012" s="206">
        <v>3</v>
      </c>
      <c r="L1012" s="206" t="s">
        <v>454</v>
      </c>
      <c r="M1012" s="206" t="s">
        <v>772</v>
      </c>
      <c r="N1012" s="206" t="s">
        <v>773</v>
      </c>
      <c r="O1012" s="206" t="s">
        <v>774</v>
      </c>
    </row>
    <row r="1013" spans="3:15" x14ac:dyDescent="0.25">
      <c r="C1013" s="206" t="s">
        <v>1799</v>
      </c>
      <c r="D1013" s="206">
        <v>40</v>
      </c>
      <c r="E1013" s="206">
        <v>364.41197609528041</v>
      </c>
      <c r="F1013" s="206">
        <v>100.29582977294901</v>
      </c>
      <c r="G1013" s="206">
        <v>2.1533755999999999</v>
      </c>
      <c r="H1013" s="206" t="s">
        <v>771</v>
      </c>
      <c r="I1013" s="206">
        <v>1</v>
      </c>
      <c r="J1013" s="206"/>
      <c r="K1013" s="206">
        <v>3</v>
      </c>
      <c r="L1013" s="206" t="s">
        <v>454</v>
      </c>
      <c r="M1013" s="206" t="s">
        <v>791</v>
      </c>
      <c r="N1013" s="206" t="s">
        <v>773</v>
      </c>
      <c r="O1013" s="206" t="s">
        <v>792</v>
      </c>
    </row>
    <row r="1014" spans="3:15" x14ac:dyDescent="0.25">
      <c r="C1014" s="206" t="s">
        <v>1800</v>
      </c>
      <c r="D1014" s="206">
        <v>80</v>
      </c>
      <c r="E1014" s="206">
        <v>4618.4740399820221</v>
      </c>
      <c r="F1014" s="206">
        <v>562.93208777304994</v>
      </c>
      <c r="G1014" s="206">
        <v>19.504877</v>
      </c>
      <c r="H1014" s="206" t="s">
        <v>771</v>
      </c>
      <c r="I1014" s="206">
        <v>0.65</v>
      </c>
      <c r="J1014" s="206"/>
      <c r="K1014" s="206">
        <v>3</v>
      </c>
      <c r="L1014" s="206" t="s">
        <v>454</v>
      </c>
      <c r="M1014" s="206" t="s">
        <v>772</v>
      </c>
      <c r="N1014" s="206" t="s">
        <v>773</v>
      </c>
      <c r="O1014" s="206" t="s">
        <v>774</v>
      </c>
    </row>
    <row r="1015" spans="3:15" x14ac:dyDescent="0.25">
      <c r="C1015" s="206" t="s">
        <v>1801</v>
      </c>
      <c r="D1015" s="206">
        <v>65</v>
      </c>
      <c r="E1015" s="206">
        <v>814.4911669172227</v>
      </c>
      <c r="F1015" s="206">
        <v>366.340331913667</v>
      </c>
      <c r="G1015" s="206">
        <v>3.8025739999999999</v>
      </c>
      <c r="H1015" s="206" t="s">
        <v>771</v>
      </c>
      <c r="I1015" s="206">
        <v>0.74826912236183685</v>
      </c>
      <c r="J1015" s="206"/>
      <c r="K1015" s="206">
        <v>3</v>
      </c>
      <c r="L1015" s="206" t="s">
        <v>454</v>
      </c>
      <c r="M1015" s="206" t="s">
        <v>772</v>
      </c>
      <c r="N1015" s="206" t="s">
        <v>773</v>
      </c>
      <c r="O1015" s="206" t="s">
        <v>774</v>
      </c>
    </row>
    <row r="1016" spans="3:15" x14ac:dyDescent="0.25">
      <c r="C1016" s="206" t="s">
        <v>1802</v>
      </c>
      <c r="D1016" s="206">
        <v>80</v>
      </c>
      <c r="E1016" s="206">
        <v>9356.9733808321707</v>
      </c>
      <c r="F1016" s="206">
        <v>705.64816627708501</v>
      </c>
      <c r="G1016" s="206">
        <v>41.225924999999997</v>
      </c>
      <c r="H1016" s="206" t="s">
        <v>771</v>
      </c>
      <c r="I1016" s="206">
        <v>1</v>
      </c>
      <c r="J1016" s="206"/>
      <c r="K1016" s="206">
        <v>3</v>
      </c>
      <c r="L1016" s="206" t="s">
        <v>454</v>
      </c>
      <c r="M1016" s="206" t="s">
        <v>772</v>
      </c>
      <c r="N1016" s="206" t="s">
        <v>784</v>
      </c>
      <c r="O1016" s="206" t="s">
        <v>774</v>
      </c>
    </row>
    <row r="1017" spans="3:15" x14ac:dyDescent="0.25">
      <c r="C1017" s="206" t="s">
        <v>1803</v>
      </c>
      <c r="D1017" s="206">
        <v>65</v>
      </c>
      <c r="E1017" s="206">
        <v>597.93143873660074</v>
      </c>
      <c r="F1017" s="206">
        <v>319.08547260653</v>
      </c>
      <c r="G1017" s="206">
        <v>2.7986323999999998</v>
      </c>
      <c r="H1017" s="206" t="s">
        <v>771</v>
      </c>
      <c r="I1017" s="206">
        <v>0.65</v>
      </c>
      <c r="J1017" s="206"/>
      <c r="K1017" s="206">
        <v>3</v>
      </c>
      <c r="L1017" s="206" t="s">
        <v>454</v>
      </c>
      <c r="M1017" s="206" t="s">
        <v>772</v>
      </c>
      <c r="N1017" s="206" t="s">
        <v>773</v>
      </c>
      <c r="O1017" s="206" t="s">
        <v>774</v>
      </c>
    </row>
    <row r="1018" spans="3:15" x14ac:dyDescent="0.25">
      <c r="C1018" s="206" t="s">
        <v>1804</v>
      </c>
      <c r="D1018" s="206">
        <v>65</v>
      </c>
      <c r="E1018" s="206">
        <v>8079.4141452645317</v>
      </c>
      <c r="F1018" s="206">
        <v>366.340331913667</v>
      </c>
      <c r="G1018" s="206">
        <v>37.719954999999999</v>
      </c>
      <c r="H1018" s="206" t="s">
        <v>771</v>
      </c>
      <c r="I1018" s="206">
        <v>0.74826912236183685</v>
      </c>
      <c r="J1018" s="206"/>
      <c r="K1018" s="206">
        <v>3</v>
      </c>
      <c r="L1018" s="206" t="s">
        <v>454</v>
      </c>
      <c r="M1018" s="206" t="s">
        <v>413</v>
      </c>
      <c r="N1018" s="206" t="s">
        <v>776</v>
      </c>
      <c r="O1018" s="206" t="s">
        <v>776</v>
      </c>
    </row>
    <row r="1019" spans="3:15" x14ac:dyDescent="0.25">
      <c r="C1019" s="206" t="s">
        <v>1805</v>
      </c>
      <c r="D1019" s="206">
        <v>80</v>
      </c>
      <c r="E1019" s="206">
        <v>1241.1625227499428</v>
      </c>
      <c r="F1019" s="206">
        <v>562.93208777304994</v>
      </c>
      <c r="G1019" s="206">
        <v>5.2417144999999996</v>
      </c>
      <c r="H1019" s="206" t="s">
        <v>771</v>
      </c>
      <c r="I1019" s="206">
        <v>0.65</v>
      </c>
      <c r="J1019" s="206"/>
      <c r="K1019" s="206">
        <v>3</v>
      </c>
      <c r="L1019" s="206" t="s">
        <v>454</v>
      </c>
      <c r="M1019" s="206" t="s">
        <v>772</v>
      </c>
      <c r="N1019" s="206" t="s">
        <v>773</v>
      </c>
      <c r="O1019" s="206" t="s">
        <v>774</v>
      </c>
    </row>
    <row r="1020" spans="3:15" x14ac:dyDescent="0.25">
      <c r="C1020" s="206" t="s">
        <v>1806</v>
      </c>
      <c r="D1020" s="206">
        <v>250</v>
      </c>
      <c r="E1020" s="206">
        <v>2188.1376077017535</v>
      </c>
      <c r="F1020" s="206">
        <v>8545.7785573379497</v>
      </c>
      <c r="G1020" s="206">
        <v>6.3337317000000004</v>
      </c>
      <c r="H1020" s="206" t="s">
        <v>771</v>
      </c>
      <c r="I1020" s="206">
        <v>1</v>
      </c>
      <c r="J1020" s="206"/>
      <c r="K1020" s="206">
        <v>3</v>
      </c>
      <c r="L1020" s="206" t="s">
        <v>454</v>
      </c>
      <c r="M1020" s="206" t="s">
        <v>413</v>
      </c>
      <c r="N1020" s="206" t="s">
        <v>932</v>
      </c>
      <c r="O1020" s="206" t="s">
        <v>788</v>
      </c>
    </row>
    <row r="1021" spans="3:15" x14ac:dyDescent="0.25">
      <c r="C1021" s="206" t="s">
        <v>1807</v>
      </c>
      <c r="D1021" s="206">
        <v>250</v>
      </c>
      <c r="E1021" s="206">
        <v>11751.931235680757</v>
      </c>
      <c r="F1021" s="206">
        <v>8864.2378461951503</v>
      </c>
      <c r="G1021" s="206">
        <v>33.901786999999999</v>
      </c>
      <c r="H1021" s="206" t="s">
        <v>771</v>
      </c>
      <c r="I1021" s="206">
        <v>1</v>
      </c>
      <c r="J1021" s="206"/>
      <c r="K1021" s="206">
        <v>3</v>
      </c>
      <c r="L1021" s="206" t="s">
        <v>454</v>
      </c>
      <c r="M1021" s="206" t="s">
        <v>413</v>
      </c>
      <c r="N1021" s="206" t="s">
        <v>773</v>
      </c>
      <c r="O1021" s="206" t="s">
        <v>788</v>
      </c>
    </row>
    <row r="1022" spans="3:15" x14ac:dyDescent="0.25">
      <c r="C1022" s="206" t="s">
        <v>1808</v>
      </c>
      <c r="D1022" s="206">
        <v>50</v>
      </c>
      <c r="E1022" s="206">
        <v>830.97197171049436</v>
      </c>
      <c r="F1022" s="206">
        <v>148.388475348707</v>
      </c>
      <c r="G1022" s="206">
        <v>4.4776959999999999</v>
      </c>
      <c r="H1022" s="206" t="s">
        <v>771</v>
      </c>
      <c r="I1022" s="206">
        <v>0.65</v>
      </c>
      <c r="J1022" s="206"/>
      <c r="K1022" s="206">
        <v>3</v>
      </c>
      <c r="L1022" s="206" t="s">
        <v>454</v>
      </c>
      <c r="M1022" s="206" t="s">
        <v>772</v>
      </c>
      <c r="N1022" s="206" t="s">
        <v>773</v>
      </c>
      <c r="O1022" s="206" t="s">
        <v>774</v>
      </c>
    </row>
    <row r="1023" spans="3:15" x14ac:dyDescent="0.25">
      <c r="C1023" s="206" t="s">
        <v>1809</v>
      </c>
      <c r="D1023" s="206">
        <v>65</v>
      </c>
      <c r="E1023" s="206">
        <v>1765.4969646692055</v>
      </c>
      <c r="F1023" s="206">
        <v>366.340331913667</v>
      </c>
      <c r="G1023" s="206">
        <v>8.2424870000000006</v>
      </c>
      <c r="H1023" s="206" t="s">
        <v>771</v>
      </c>
      <c r="I1023" s="206">
        <v>0.74826912236183685</v>
      </c>
      <c r="J1023" s="206"/>
      <c r="K1023" s="206">
        <v>3</v>
      </c>
      <c r="L1023" s="206" t="s">
        <v>454</v>
      </c>
      <c r="M1023" s="206" t="s">
        <v>772</v>
      </c>
      <c r="N1023" s="206" t="s">
        <v>773</v>
      </c>
      <c r="O1023" s="206" t="s">
        <v>774</v>
      </c>
    </row>
    <row r="1024" spans="3:15" x14ac:dyDescent="0.25">
      <c r="C1024" s="206" t="s">
        <v>1810</v>
      </c>
      <c r="D1024" s="206">
        <v>65</v>
      </c>
      <c r="E1024" s="206">
        <v>758.91162242745236</v>
      </c>
      <c r="F1024" s="206">
        <v>319.08547260653</v>
      </c>
      <c r="G1024" s="206">
        <v>3.5521039999999999</v>
      </c>
      <c r="H1024" s="206" t="s">
        <v>771</v>
      </c>
      <c r="I1024" s="206">
        <v>0.65</v>
      </c>
      <c r="J1024" s="206"/>
      <c r="K1024" s="206">
        <v>3</v>
      </c>
      <c r="L1024" s="206" t="s">
        <v>454</v>
      </c>
      <c r="M1024" s="206" t="s">
        <v>772</v>
      </c>
      <c r="N1024" s="206" t="s">
        <v>773</v>
      </c>
      <c r="O1024" s="206" t="s">
        <v>774</v>
      </c>
    </row>
    <row r="1025" spans="3:15" x14ac:dyDescent="0.25">
      <c r="C1025" s="206" t="s">
        <v>1811</v>
      </c>
      <c r="D1025" s="206">
        <v>80</v>
      </c>
      <c r="E1025" s="206">
        <v>1326.2689663424426</v>
      </c>
      <c r="F1025" s="206">
        <v>617.18597412109398</v>
      </c>
      <c r="G1025" s="206">
        <v>5.526052</v>
      </c>
      <c r="H1025" s="206" t="s">
        <v>771</v>
      </c>
      <c r="I1025" s="206">
        <v>0.7294998052048729</v>
      </c>
      <c r="J1025" s="206"/>
      <c r="K1025" s="206">
        <v>3</v>
      </c>
      <c r="L1025" s="206" t="s">
        <v>454</v>
      </c>
      <c r="M1025" s="206" t="s">
        <v>772</v>
      </c>
      <c r="N1025" s="206" t="s">
        <v>773</v>
      </c>
      <c r="O1025" s="206" t="s">
        <v>774</v>
      </c>
    </row>
    <row r="1026" spans="3:15" x14ac:dyDescent="0.25">
      <c r="C1026" s="206" t="s">
        <v>1812</v>
      </c>
      <c r="D1026" s="206">
        <v>200</v>
      </c>
      <c r="E1026" s="206">
        <v>1629.0538842133058</v>
      </c>
      <c r="F1026" s="206">
        <v>7368.8380004882902</v>
      </c>
      <c r="G1026" s="206">
        <v>4.8118343000000001</v>
      </c>
      <c r="H1026" s="206" t="s">
        <v>771</v>
      </c>
      <c r="I1026" s="206">
        <v>0.63</v>
      </c>
      <c r="J1026" s="206"/>
      <c r="K1026" s="206">
        <v>3</v>
      </c>
      <c r="L1026" s="206" t="s">
        <v>454</v>
      </c>
      <c r="M1026" s="206" t="s">
        <v>413</v>
      </c>
      <c r="N1026" s="206" t="s">
        <v>773</v>
      </c>
      <c r="O1026" s="206" t="s">
        <v>774</v>
      </c>
    </row>
    <row r="1027" spans="3:15" x14ac:dyDescent="0.25">
      <c r="C1027" s="206" t="s">
        <v>1813</v>
      </c>
      <c r="D1027" s="206">
        <v>150</v>
      </c>
      <c r="E1027" s="206">
        <v>4163.817266149551</v>
      </c>
      <c r="F1027" s="206">
        <v>3727.9958740168299</v>
      </c>
      <c r="G1027" s="206">
        <v>13.345893</v>
      </c>
      <c r="H1027" s="206" t="s">
        <v>771</v>
      </c>
      <c r="I1027" s="206">
        <v>0.64</v>
      </c>
      <c r="J1027" s="206"/>
      <c r="K1027" s="206">
        <v>3</v>
      </c>
      <c r="L1027" s="206" t="s">
        <v>454</v>
      </c>
      <c r="M1027" s="206" t="s">
        <v>791</v>
      </c>
      <c r="N1027" s="206" t="s">
        <v>773</v>
      </c>
      <c r="O1027" s="206" t="s">
        <v>800</v>
      </c>
    </row>
    <row r="1028" spans="3:15" x14ac:dyDescent="0.25">
      <c r="C1028" s="206" t="s">
        <v>1814</v>
      </c>
      <c r="D1028" s="206">
        <v>200</v>
      </c>
      <c r="E1028" s="206">
        <v>3057.7796927704812</v>
      </c>
      <c r="F1028" s="206">
        <v>5647.44771793778</v>
      </c>
      <c r="G1028" s="206">
        <v>9.3512769999999996</v>
      </c>
      <c r="H1028" s="206" t="s">
        <v>771</v>
      </c>
      <c r="I1028" s="206">
        <v>1</v>
      </c>
      <c r="J1028" s="206"/>
      <c r="K1028" s="206">
        <v>3</v>
      </c>
      <c r="L1028" s="206" t="s">
        <v>454</v>
      </c>
      <c r="M1028" s="206" t="s">
        <v>413</v>
      </c>
      <c r="N1028" s="206" t="s">
        <v>773</v>
      </c>
      <c r="O1028" s="206" t="s">
        <v>774</v>
      </c>
    </row>
    <row r="1029" spans="3:15" x14ac:dyDescent="0.25">
      <c r="C1029" s="206" t="s">
        <v>1815</v>
      </c>
      <c r="D1029" s="206">
        <v>400</v>
      </c>
      <c r="E1029" s="206">
        <v>3130.1012388800405</v>
      </c>
      <c r="F1029" s="206">
        <v>26893.983908885599</v>
      </c>
      <c r="G1029" s="206">
        <v>8.0183590000000002</v>
      </c>
      <c r="H1029" s="206" t="s">
        <v>771</v>
      </c>
      <c r="I1029" s="206">
        <v>0.62</v>
      </c>
      <c r="J1029" s="206"/>
      <c r="K1029" s="206">
        <v>3</v>
      </c>
      <c r="L1029" s="206" t="s">
        <v>454</v>
      </c>
      <c r="M1029" s="206" t="s">
        <v>791</v>
      </c>
      <c r="N1029" s="206" t="s">
        <v>773</v>
      </c>
      <c r="O1029" s="206" t="s">
        <v>800</v>
      </c>
    </row>
    <row r="1030" spans="3:15" x14ac:dyDescent="0.25">
      <c r="C1030" s="206" t="s">
        <v>1816</v>
      </c>
      <c r="D1030" s="206">
        <v>65</v>
      </c>
      <c r="E1030" s="206">
        <v>1369.6928192383177</v>
      </c>
      <c r="F1030" s="206">
        <v>319.08547260653</v>
      </c>
      <c r="G1030" s="206">
        <v>6.4108799999999997</v>
      </c>
      <c r="H1030" s="206" t="s">
        <v>771</v>
      </c>
      <c r="I1030" s="206">
        <v>0.65</v>
      </c>
      <c r="J1030" s="206"/>
      <c r="K1030" s="206">
        <v>3</v>
      </c>
      <c r="L1030" s="206" t="s">
        <v>454</v>
      </c>
      <c r="M1030" s="206" t="s">
        <v>772</v>
      </c>
      <c r="N1030" s="206" t="s">
        <v>773</v>
      </c>
      <c r="O1030" s="206" t="s">
        <v>774</v>
      </c>
    </row>
    <row r="1031" spans="3:15" x14ac:dyDescent="0.25">
      <c r="C1031" s="206" t="s">
        <v>1817</v>
      </c>
      <c r="D1031" s="206">
        <v>20</v>
      </c>
      <c r="E1031" s="206">
        <v>3833.8666550440153</v>
      </c>
      <c r="F1031" s="206">
        <v>1.7780065925326201</v>
      </c>
      <c r="G1031" s="206">
        <v>32.745570000000001</v>
      </c>
      <c r="H1031" s="206" t="s">
        <v>771</v>
      </c>
      <c r="I1031" s="206">
        <v>1</v>
      </c>
      <c r="J1031" s="206"/>
      <c r="K1031" s="206">
        <v>3</v>
      </c>
      <c r="L1031" s="206" t="s">
        <v>454</v>
      </c>
      <c r="M1031" s="206" t="s">
        <v>413</v>
      </c>
      <c r="N1031" s="206" t="s">
        <v>776</v>
      </c>
      <c r="O1031" s="206" t="s">
        <v>776</v>
      </c>
    </row>
    <row r="1032" spans="3:15" x14ac:dyDescent="0.25">
      <c r="C1032" s="206" t="s">
        <v>1818</v>
      </c>
      <c r="D1032" s="206">
        <v>80</v>
      </c>
      <c r="E1032" s="206">
        <v>330.38216722983213</v>
      </c>
      <c r="F1032" s="206">
        <v>562.93208777304994</v>
      </c>
      <c r="G1032" s="206">
        <v>1.3952798</v>
      </c>
      <c r="H1032" s="206" t="s">
        <v>771</v>
      </c>
      <c r="I1032" s="206">
        <v>0.65</v>
      </c>
      <c r="J1032" s="206"/>
      <c r="K1032" s="206">
        <v>3</v>
      </c>
      <c r="L1032" s="206" t="s">
        <v>454</v>
      </c>
      <c r="M1032" s="206" t="s">
        <v>772</v>
      </c>
      <c r="N1032" s="206" t="s">
        <v>773</v>
      </c>
      <c r="O1032" s="206" t="s">
        <v>774</v>
      </c>
    </row>
    <row r="1033" spans="3:15" x14ac:dyDescent="0.25">
      <c r="C1033" s="206" t="s">
        <v>1819</v>
      </c>
      <c r="D1033" s="206">
        <v>80</v>
      </c>
      <c r="E1033" s="206">
        <v>408.73885606744858</v>
      </c>
      <c r="F1033" s="206">
        <v>562.93208777304994</v>
      </c>
      <c r="G1033" s="206">
        <v>1.7261981</v>
      </c>
      <c r="H1033" s="206" t="s">
        <v>771</v>
      </c>
      <c r="I1033" s="206">
        <v>0.65</v>
      </c>
      <c r="J1033" s="206"/>
      <c r="K1033" s="206">
        <v>3</v>
      </c>
      <c r="L1033" s="206" t="s">
        <v>454</v>
      </c>
      <c r="M1033" s="206" t="s">
        <v>772</v>
      </c>
      <c r="N1033" s="206" t="s">
        <v>773</v>
      </c>
      <c r="O1033" s="206" t="s">
        <v>774</v>
      </c>
    </row>
    <row r="1034" spans="3:15" x14ac:dyDescent="0.25">
      <c r="C1034" s="206" t="s">
        <v>1820</v>
      </c>
      <c r="D1034" s="206">
        <v>20</v>
      </c>
      <c r="E1034" s="206">
        <v>1049.0112533409558</v>
      </c>
      <c r="F1034" s="206">
        <v>1.6231137227732699</v>
      </c>
      <c r="G1034" s="206">
        <v>8.9597460000000009</v>
      </c>
      <c r="H1034" s="206" t="s">
        <v>771</v>
      </c>
      <c r="I1034" s="206">
        <v>1</v>
      </c>
      <c r="J1034" s="206"/>
      <c r="K1034" s="206">
        <v>3</v>
      </c>
      <c r="L1034" s="206" t="s">
        <v>454</v>
      </c>
      <c r="M1034" s="206" t="s">
        <v>413</v>
      </c>
      <c r="N1034" s="206" t="s">
        <v>773</v>
      </c>
      <c r="O1034" s="206" t="s">
        <v>774</v>
      </c>
    </row>
    <row r="1035" spans="3:15" x14ac:dyDescent="0.25">
      <c r="C1035" s="206" t="s">
        <v>1821</v>
      </c>
      <c r="D1035" s="206">
        <v>20</v>
      </c>
      <c r="E1035" s="206">
        <v>7621.5134538017692</v>
      </c>
      <c r="F1035" s="206">
        <v>1.5302434375044001</v>
      </c>
      <c r="G1035" s="206">
        <v>65.096369999999993</v>
      </c>
      <c r="H1035" s="206" t="s">
        <v>771</v>
      </c>
      <c r="I1035" s="206">
        <v>1</v>
      </c>
      <c r="J1035" s="206"/>
      <c r="K1035" s="206">
        <v>3</v>
      </c>
      <c r="L1035" s="206" t="s">
        <v>454</v>
      </c>
      <c r="M1035" s="206" t="s">
        <v>413</v>
      </c>
      <c r="N1035" s="206" t="s">
        <v>773</v>
      </c>
      <c r="O1035" s="206" t="s">
        <v>800</v>
      </c>
    </row>
    <row r="1036" spans="3:15" x14ac:dyDescent="0.25">
      <c r="C1036" s="206" t="s">
        <v>1822</v>
      </c>
      <c r="D1036" s="206">
        <v>25</v>
      </c>
      <c r="E1036" s="206">
        <v>1117.9229219535555</v>
      </c>
      <c r="F1036" s="206">
        <v>25.539108276367202</v>
      </c>
      <c r="G1036" s="206">
        <v>9.4468540000000001</v>
      </c>
      <c r="H1036" s="206" t="s">
        <v>771</v>
      </c>
      <c r="I1036" s="206">
        <v>1</v>
      </c>
      <c r="J1036" s="206" t="s">
        <v>795</v>
      </c>
      <c r="K1036" s="206"/>
      <c r="L1036" s="206"/>
      <c r="M1036" s="206"/>
      <c r="N1036" s="206"/>
      <c r="O1036" s="206"/>
    </row>
    <row r="1037" spans="3:15" x14ac:dyDescent="0.25">
      <c r="C1037" s="206" t="s">
        <v>1823</v>
      </c>
      <c r="D1037" s="206">
        <v>65</v>
      </c>
      <c r="E1037" s="206">
        <v>224.55360674353989</v>
      </c>
      <c r="F1037" s="206">
        <v>491.91031249461201</v>
      </c>
      <c r="G1037" s="206">
        <v>0.96829010000000004</v>
      </c>
      <c r="H1037" s="206" t="s">
        <v>771</v>
      </c>
      <c r="I1037" s="206">
        <v>0.64</v>
      </c>
      <c r="J1037" s="206"/>
      <c r="K1037" s="206">
        <v>3</v>
      </c>
      <c r="L1037" s="206" t="s">
        <v>454</v>
      </c>
      <c r="M1037" s="206" t="s">
        <v>772</v>
      </c>
      <c r="N1037" s="206" t="s">
        <v>773</v>
      </c>
      <c r="O1037" s="206" t="s">
        <v>774</v>
      </c>
    </row>
    <row r="1038" spans="3:15" x14ac:dyDescent="0.25">
      <c r="C1038" s="206" t="s">
        <v>1824</v>
      </c>
      <c r="D1038" s="206">
        <v>40</v>
      </c>
      <c r="E1038" s="206">
        <v>4557.962788249617</v>
      </c>
      <c r="F1038" s="206">
        <v>123.981330871582</v>
      </c>
      <c r="G1038" s="206">
        <v>25.706088999999999</v>
      </c>
      <c r="H1038" s="206" t="s">
        <v>771</v>
      </c>
      <c r="I1038" s="206">
        <v>1</v>
      </c>
      <c r="J1038" s="206" t="s">
        <v>795</v>
      </c>
      <c r="K1038" s="206"/>
      <c r="L1038" s="206"/>
      <c r="M1038" s="206"/>
      <c r="N1038" s="206"/>
      <c r="O1038" s="206"/>
    </row>
    <row r="1039" spans="3:15" x14ac:dyDescent="0.25">
      <c r="C1039" s="206" t="s">
        <v>1825</v>
      </c>
      <c r="D1039" s="206">
        <v>65</v>
      </c>
      <c r="E1039" s="206">
        <v>899.28031961037937</v>
      </c>
      <c r="F1039" s="206">
        <v>491.91031249461201</v>
      </c>
      <c r="G1039" s="206">
        <v>3.8777566000000001</v>
      </c>
      <c r="H1039" s="206" t="s">
        <v>771</v>
      </c>
      <c r="I1039" s="206">
        <v>0.64</v>
      </c>
      <c r="J1039" s="206"/>
      <c r="K1039" s="206">
        <v>3</v>
      </c>
      <c r="L1039" s="206" t="s">
        <v>454</v>
      </c>
      <c r="M1039" s="206" t="s">
        <v>772</v>
      </c>
      <c r="N1039" s="206" t="s">
        <v>773</v>
      </c>
      <c r="O1039" s="206" t="s">
        <v>774</v>
      </c>
    </row>
    <row r="1040" spans="3:15" x14ac:dyDescent="0.25">
      <c r="C1040" s="206" t="s">
        <v>1826</v>
      </c>
      <c r="D1040" s="206">
        <v>80</v>
      </c>
      <c r="E1040" s="206">
        <v>1322.1745487877229</v>
      </c>
      <c r="F1040" s="206">
        <v>706.65309072907598</v>
      </c>
      <c r="G1040" s="206">
        <v>5.8226639999999996</v>
      </c>
      <c r="H1040" s="206" t="s">
        <v>771</v>
      </c>
      <c r="I1040" s="206">
        <v>1</v>
      </c>
      <c r="J1040" s="206"/>
      <c r="K1040" s="206">
        <v>3</v>
      </c>
      <c r="L1040" s="206" t="s">
        <v>454</v>
      </c>
      <c r="M1040" s="206" t="s">
        <v>772</v>
      </c>
      <c r="N1040" s="206" t="s">
        <v>784</v>
      </c>
      <c r="O1040" s="206" t="s">
        <v>774</v>
      </c>
    </row>
    <row r="1041" spans="3:15" x14ac:dyDescent="0.25">
      <c r="C1041" s="206" t="s">
        <v>1827</v>
      </c>
      <c r="D1041" s="206">
        <v>65</v>
      </c>
      <c r="E1041" s="206">
        <v>359.60152984456857</v>
      </c>
      <c r="F1041" s="206">
        <v>366.340331913667</v>
      </c>
      <c r="G1041" s="206">
        <v>1.6788536000000001</v>
      </c>
      <c r="H1041" s="206" t="s">
        <v>771</v>
      </c>
      <c r="I1041" s="206">
        <v>0.74826912236183685</v>
      </c>
      <c r="J1041" s="206"/>
      <c r="K1041" s="206">
        <v>3</v>
      </c>
      <c r="L1041" s="206" t="s">
        <v>454</v>
      </c>
      <c r="M1041" s="206" t="s">
        <v>772</v>
      </c>
      <c r="N1041" s="206" t="s">
        <v>773</v>
      </c>
      <c r="O1041" s="206" t="s">
        <v>774</v>
      </c>
    </row>
    <row r="1042" spans="3:15" x14ac:dyDescent="0.25">
      <c r="C1042" s="206" t="s">
        <v>1828</v>
      </c>
      <c r="D1042" s="206">
        <v>80</v>
      </c>
      <c r="E1042" s="206">
        <v>626.23824699301451</v>
      </c>
      <c r="F1042" s="206">
        <v>562.93208777304994</v>
      </c>
      <c r="G1042" s="206">
        <v>2.6447479999999999</v>
      </c>
      <c r="H1042" s="206" t="s">
        <v>771</v>
      </c>
      <c r="I1042" s="206">
        <v>0.65</v>
      </c>
      <c r="J1042" s="206"/>
      <c r="K1042" s="206">
        <v>3</v>
      </c>
      <c r="L1042" s="206" t="s">
        <v>454</v>
      </c>
      <c r="M1042" s="206" t="s">
        <v>772</v>
      </c>
      <c r="N1042" s="206" t="s">
        <v>773</v>
      </c>
      <c r="O1042" s="206" t="s">
        <v>774</v>
      </c>
    </row>
    <row r="1043" spans="3:15" x14ac:dyDescent="0.25">
      <c r="C1043" s="206" t="s">
        <v>1829</v>
      </c>
      <c r="D1043" s="206">
        <v>150</v>
      </c>
      <c r="E1043" s="206">
        <v>1410.5806142397944</v>
      </c>
      <c r="F1043" s="206">
        <v>3530.03561769525</v>
      </c>
      <c r="G1043" s="206">
        <v>4.5566125</v>
      </c>
      <c r="H1043" s="206" t="s">
        <v>771</v>
      </c>
      <c r="I1043" s="206">
        <v>0.63</v>
      </c>
      <c r="J1043" s="206"/>
      <c r="K1043" s="206">
        <v>3</v>
      </c>
      <c r="L1043" s="206" t="s">
        <v>454</v>
      </c>
      <c r="M1043" s="206" t="s">
        <v>413</v>
      </c>
      <c r="N1043" s="206" t="s">
        <v>773</v>
      </c>
      <c r="O1043" s="206" t="s">
        <v>800</v>
      </c>
    </row>
    <row r="1044" spans="3:15" x14ac:dyDescent="0.25">
      <c r="C1044" s="206" t="s">
        <v>1830</v>
      </c>
      <c r="D1044" s="206">
        <v>65</v>
      </c>
      <c r="E1044" s="206">
        <v>2711.5066916238006</v>
      </c>
      <c r="F1044" s="206">
        <v>449.750732421875</v>
      </c>
      <c r="G1044" s="206">
        <v>11.921125999999999</v>
      </c>
      <c r="H1044" s="206" t="s">
        <v>771</v>
      </c>
      <c r="I1044" s="206">
        <v>0.66</v>
      </c>
      <c r="J1044" s="206"/>
      <c r="K1044" s="206">
        <v>3</v>
      </c>
      <c r="L1044" s="206" t="s">
        <v>454</v>
      </c>
      <c r="M1044" s="206" t="s">
        <v>782</v>
      </c>
      <c r="N1044" s="206" t="s">
        <v>773</v>
      </c>
      <c r="O1044" s="206" t="s">
        <v>859</v>
      </c>
    </row>
    <row r="1045" spans="3:15" x14ac:dyDescent="0.25">
      <c r="C1045" s="206" t="s">
        <v>1831</v>
      </c>
      <c r="D1045" s="206">
        <v>250</v>
      </c>
      <c r="E1045" s="206">
        <v>8052.3588947302032</v>
      </c>
      <c r="F1045" s="206">
        <v>9393.3191221109992</v>
      </c>
      <c r="G1045" s="206">
        <v>23.094073999999999</v>
      </c>
      <c r="H1045" s="206" t="s">
        <v>771</v>
      </c>
      <c r="I1045" s="206">
        <v>0.63</v>
      </c>
      <c r="J1045" s="206"/>
      <c r="K1045" s="206">
        <v>3</v>
      </c>
      <c r="L1045" s="206" t="s">
        <v>454</v>
      </c>
      <c r="M1045" s="206" t="s">
        <v>413</v>
      </c>
      <c r="N1045" s="206" t="s">
        <v>776</v>
      </c>
      <c r="O1045" s="206" t="s">
        <v>776</v>
      </c>
    </row>
    <row r="1046" spans="3:15" x14ac:dyDescent="0.25">
      <c r="C1046" s="206" t="s">
        <v>1832</v>
      </c>
      <c r="D1046" s="206">
        <v>100</v>
      </c>
      <c r="E1046" s="206">
        <v>7442.5333322588613</v>
      </c>
      <c r="F1046" s="206">
        <v>863.24011230468795</v>
      </c>
      <c r="G1046" s="206">
        <v>29.264824000000001</v>
      </c>
      <c r="H1046" s="206" t="s">
        <v>771</v>
      </c>
      <c r="I1046" s="206">
        <v>0.81000000000000061</v>
      </c>
      <c r="J1046" s="206"/>
      <c r="K1046" s="206">
        <v>3</v>
      </c>
      <c r="L1046" s="206" t="s">
        <v>454</v>
      </c>
      <c r="M1046" s="206" t="s">
        <v>782</v>
      </c>
      <c r="N1046" s="206" t="s">
        <v>773</v>
      </c>
      <c r="O1046" s="206" t="s">
        <v>805</v>
      </c>
    </row>
    <row r="1047" spans="3:15" x14ac:dyDescent="0.25">
      <c r="C1047" s="206" t="s">
        <v>1833</v>
      </c>
      <c r="D1047" s="206">
        <v>20</v>
      </c>
      <c r="E1047" s="206">
        <v>590.94039749591502</v>
      </c>
      <c r="F1047" s="206">
        <v>2.5387595042702702</v>
      </c>
      <c r="G1047" s="206">
        <v>5.0473013</v>
      </c>
      <c r="H1047" s="206" t="s">
        <v>771</v>
      </c>
      <c r="I1047" s="206">
        <v>1</v>
      </c>
      <c r="J1047" s="206"/>
      <c r="K1047" s="206">
        <v>3</v>
      </c>
      <c r="L1047" s="206" t="s">
        <v>454</v>
      </c>
      <c r="M1047" s="206" t="s">
        <v>413</v>
      </c>
      <c r="N1047" s="206" t="s">
        <v>773</v>
      </c>
      <c r="O1047" s="206" t="s">
        <v>805</v>
      </c>
    </row>
    <row r="1048" spans="3:15" x14ac:dyDescent="0.25">
      <c r="C1048" s="206" t="s">
        <v>1834</v>
      </c>
      <c r="D1048" s="206">
        <v>125</v>
      </c>
      <c r="E1048" s="206">
        <v>12397.434931040638</v>
      </c>
      <c r="F1048" s="206">
        <v>1523.9643803030599</v>
      </c>
      <c r="G1048" s="206">
        <v>44.804546000000002</v>
      </c>
      <c r="H1048" s="206" t="s">
        <v>771</v>
      </c>
      <c r="I1048" s="206">
        <v>0.80663529349950736</v>
      </c>
      <c r="J1048" s="206"/>
      <c r="K1048" s="206">
        <v>3</v>
      </c>
      <c r="L1048" s="206" t="s">
        <v>454</v>
      </c>
      <c r="M1048" s="206" t="s">
        <v>413</v>
      </c>
      <c r="N1048" s="206" t="s">
        <v>776</v>
      </c>
      <c r="O1048" s="206" t="s">
        <v>776</v>
      </c>
    </row>
    <row r="1049" spans="3:15" x14ac:dyDescent="0.25">
      <c r="C1049" s="206" t="s">
        <v>1835</v>
      </c>
      <c r="D1049" s="206">
        <v>20</v>
      </c>
      <c r="E1049" s="206">
        <v>586.08758584798511</v>
      </c>
      <c r="F1049" s="206">
        <v>2.91598506120499</v>
      </c>
      <c r="G1049" s="206">
        <v>3.9462980000000001</v>
      </c>
      <c r="H1049" s="206" t="s">
        <v>771</v>
      </c>
      <c r="I1049" s="206">
        <v>1</v>
      </c>
      <c r="J1049" s="206"/>
      <c r="K1049" s="206">
        <v>3</v>
      </c>
      <c r="L1049" s="206" t="s">
        <v>454</v>
      </c>
      <c r="M1049" s="206" t="s">
        <v>772</v>
      </c>
      <c r="N1049" s="206" t="s">
        <v>773</v>
      </c>
      <c r="O1049" s="206" t="s">
        <v>774</v>
      </c>
    </row>
    <row r="1050" spans="3:15" x14ac:dyDescent="0.25">
      <c r="C1050" s="206" t="s">
        <v>1836</v>
      </c>
      <c r="D1050" s="206">
        <v>65</v>
      </c>
      <c r="E1050" s="206">
        <v>1477.923839239028</v>
      </c>
      <c r="F1050" s="206">
        <v>316.28182983398398</v>
      </c>
      <c r="G1050" s="206">
        <v>6.92706</v>
      </c>
      <c r="H1050" s="206" t="s">
        <v>771</v>
      </c>
      <c r="I1050" s="206">
        <v>0.75000000000000089</v>
      </c>
      <c r="J1050" s="206"/>
      <c r="K1050" s="206">
        <v>3</v>
      </c>
      <c r="L1050" s="206" t="s">
        <v>454</v>
      </c>
      <c r="M1050" s="206" t="s">
        <v>413</v>
      </c>
      <c r="N1050" s="206" t="s">
        <v>776</v>
      </c>
      <c r="O1050" s="206" t="s">
        <v>776</v>
      </c>
    </row>
    <row r="1051" spans="3:15" x14ac:dyDescent="0.25">
      <c r="C1051" s="206" t="s">
        <v>1837</v>
      </c>
      <c r="D1051" s="206">
        <v>80</v>
      </c>
      <c r="E1051" s="206">
        <v>4091.9730962320978</v>
      </c>
      <c r="F1051" s="206">
        <v>723.15135773100906</v>
      </c>
      <c r="G1051" s="206">
        <v>18.028839999999999</v>
      </c>
      <c r="H1051" s="206" t="s">
        <v>771</v>
      </c>
      <c r="I1051" s="206">
        <v>1</v>
      </c>
      <c r="J1051" s="206"/>
      <c r="K1051" s="206">
        <v>3</v>
      </c>
      <c r="L1051" s="206" t="s">
        <v>454</v>
      </c>
      <c r="M1051" s="206" t="s">
        <v>413</v>
      </c>
      <c r="N1051" s="206" t="s">
        <v>934</v>
      </c>
      <c r="O1051" s="206" t="s">
        <v>792</v>
      </c>
    </row>
    <row r="1052" spans="3:15" x14ac:dyDescent="0.25">
      <c r="C1052" s="206" t="s">
        <v>1838</v>
      </c>
      <c r="D1052" s="206">
        <v>50</v>
      </c>
      <c r="E1052" s="206">
        <v>843.97038441650921</v>
      </c>
      <c r="F1052" s="206">
        <v>205.55093383789099</v>
      </c>
      <c r="G1052" s="206">
        <v>4.2904476999999996</v>
      </c>
      <c r="H1052" s="206" t="s">
        <v>771</v>
      </c>
      <c r="I1052" s="206">
        <v>0.68000000000000105</v>
      </c>
      <c r="J1052" s="206"/>
      <c r="K1052" s="206">
        <v>3</v>
      </c>
      <c r="L1052" s="206" t="s">
        <v>454</v>
      </c>
      <c r="M1052" s="206" t="s">
        <v>782</v>
      </c>
      <c r="N1052" s="206" t="s">
        <v>773</v>
      </c>
      <c r="O1052" s="206" t="s">
        <v>805</v>
      </c>
    </row>
    <row r="1053" spans="3:15" x14ac:dyDescent="0.25">
      <c r="C1053" s="206" t="s">
        <v>1839</v>
      </c>
      <c r="D1053" s="206">
        <v>80</v>
      </c>
      <c r="E1053" s="206">
        <v>1138.3710278693511</v>
      </c>
      <c r="F1053" s="206">
        <v>562.93208777304994</v>
      </c>
      <c r="G1053" s="206">
        <v>4.8076024000000004</v>
      </c>
      <c r="H1053" s="206" t="s">
        <v>771</v>
      </c>
      <c r="I1053" s="206">
        <v>0.65</v>
      </c>
      <c r="J1053" s="206"/>
      <c r="K1053" s="206">
        <v>3</v>
      </c>
      <c r="L1053" s="206" t="s">
        <v>454</v>
      </c>
      <c r="M1053" s="206" t="s">
        <v>772</v>
      </c>
      <c r="N1053" s="206" t="s">
        <v>773</v>
      </c>
      <c r="O1053" s="206" t="s">
        <v>774</v>
      </c>
    </row>
    <row r="1054" spans="3:15" x14ac:dyDescent="0.25">
      <c r="C1054" s="206" t="s">
        <v>1840</v>
      </c>
      <c r="D1054" s="206">
        <v>80</v>
      </c>
      <c r="E1054" s="206">
        <v>2235.4080646388443</v>
      </c>
      <c r="F1054" s="206">
        <v>620.9996038237</v>
      </c>
      <c r="G1054" s="206">
        <v>9.3053159999999995</v>
      </c>
      <c r="H1054" s="206" t="s">
        <v>771</v>
      </c>
      <c r="I1054" s="206">
        <v>0.67</v>
      </c>
      <c r="J1054" s="206"/>
      <c r="K1054" s="206">
        <v>3</v>
      </c>
      <c r="L1054" s="206" t="s">
        <v>454</v>
      </c>
      <c r="M1054" s="206" t="s">
        <v>782</v>
      </c>
      <c r="N1054" s="206" t="s">
        <v>776</v>
      </c>
      <c r="O1054" s="206" t="s">
        <v>776</v>
      </c>
    </row>
    <row r="1055" spans="3:15" x14ac:dyDescent="0.25">
      <c r="C1055" s="206" t="s">
        <v>1841</v>
      </c>
      <c r="D1055" s="206">
        <v>20</v>
      </c>
      <c r="E1055" s="206">
        <v>604.57848066725114</v>
      </c>
      <c r="F1055" s="206">
        <v>1.6231137227732699</v>
      </c>
      <c r="G1055" s="206">
        <v>5.163786</v>
      </c>
      <c r="H1055" s="206" t="s">
        <v>771</v>
      </c>
      <c r="I1055" s="206">
        <v>1</v>
      </c>
      <c r="J1055" s="206"/>
      <c r="K1055" s="206">
        <v>3</v>
      </c>
      <c r="L1055" s="206" t="s">
        <v>454</v>
      </c>
      <c r="M1055" s="206" t="s">
        <v>413</v>
      </c>
      <c r="N1055" s="206" t="s">
        <v>773</v>
      </c>
      <c r="O1055" s="206" t="s">
        <v>774</v>
      </c>
    </row>
    <row r="1056" spans="3:15" x14ac:dyDescent="0.25">
      <c r="C1056" s="206" t="s">
        <v>1842</v>
      </c>
      <c r="D1056" s="206">
        <v>80</v>
      </c>
      <c r="E1056" s="206">
        <v>1249.3106704889351</v>
      </c>
      <c r="F1056" s="206">
        <v>562.93208777304994</v>
      </c>
      <c r="G1056" s="206">
        <v>5.2761259999999996</v>
      </c>
      <c r="H1056" s="206" t="s">
        <v>771</v>
      </c>
      <c r="I1056" s="206">
        <v>0.65</v>
      </c>
      <c r="J1056" s="206"/>
      <c r="K1056" s="206">
        <v>3</v>
      </c>
      <c r="L1056" s="206" t="s">
        <v>454</v>
      </c>
      <c r="M1056" s="206" t="s">
        <v>772</v>
      </c>
      <c r="N1056" s="206" t="s">
        <v>773</v>
      </c>
      <c r="O1056" s="206" t="s">
        <v>774</v>
      </c>
    </row>
    <row r="1057" spans="3:15" x14ac:dyDescent="0.25">
      <c r="C1057" s="206" t="s">
        <v>1843</v>
      </c>
      <c r="D1057" s="206">
        <v>200</v>
      </c>
      <c r="E1057" s="206">
        <v>19613.81265991283</v>
      </c>
      <c r="F1057" s="206">
        <v>7536.2844369506902</v>
      </c>
      <c r="G1057" s="206">
        <v>57.74004</v>
      </c>
      <c r="H1057" s="206" t="s">
        <v>771</v>
      </c>
      <c r="I1057" s="206">
        <v>0.63</v>
      </c>
      <c r="J1057" s="206"/>
      <c r="K1057" s="206">
        <v>3</v>
      </c>
      <c r="L1057" s="206" t="s">
        <v>454</v>
      </c>
      <c r="M1057" s="206" t="s">
        <v>772</v>
      </c>
      <c r="N1057" s="206" t="s">
        <v>773</v>
      </c>
      <c r="O1057" s="206" t="s">
        <v>774</v>
      </c>
    </row>
    <row r="1058" spans="3:15" x14ac:dyDescent="0.25">
      <c r="C1058" s="206" t="s">
        <v>1844</v>
      </c>
      <c r="D1058" s="206">
        <v>125</v>
      </c>
      <c r="E1058" s="206">
        <v>1415.2563154043416</v>
      </c>
      <c r="F1058" s="206">
        <v>1523.083984375</v>
      </c>
      <c r="G1058" s="206">
        <v>5.1147609999999997</v>
      </c>
      <c r="H1058" s="206" t="s">
        <v>771</v>
      </c>
      <c r="I1058" s="206">
        <v>0.80547730167345055</v>
      </c>
      <c r="J1058" s="206"/>
      <c r="K1058" s="206">
        <v>3</v>
      </c>
      <c r="L1058" s="206" t="s">
        <v>454</v>
      </c>
      <c r="M1058" s="206" t="s">
        <v>413</v>
      </c>
      <c r="N1058" s="206" t="s">
        <v>773</v>
      </c>
      <c r="O1058" s="206" t="s">
        <v>774</v>
      </c>
    </row>
    <row r="1059" spans="3:15" x14ac:dyDescent="0.25">
      <c r="C1059" s="206" t="s">
        <v>1845</v>
      </c>
      <c r="D1059" s="206">
        <v>65</v>
      </c>
      <c r="E1059" s="206">
        <v>1199.6624879975113</v>
      </c>
      <c r="F1059" s="206">
        <v>366.340331913667</v>
      </c>
      <c r="G1059" s="206">
        <v>5.6008040000000001</v>
      </c>
      <c r="H1059" s="206" t="s">
        <v>771</v>
      </c>
      <c r="I1059" s="206">
        <v>0.74826912236183685</v>
      </c>
      <c r="J1059" s="206"/>
      <c r="K1059" s="206">
        <v>3</v>
      </c>
      <c r="L1059" s="206" t="s">
        <v>454</v>
      </c>
      <c r="M1059" s="206" t="s">
        <v>772</v>
      </c>
      <c r="N1059" s="206" t="s">
        <v>773</v>
      </c>
      <c r="O1059" s="206" t="s">
        <v>774</v>
      </c>
    </row>
    <row r="1060" spans="3:15" x14ac:dyDescent="0.25">
      <c r="C1060" s="206" t="s">
        <v>1846</v>
      </c>
      <c r="D1060" s="206">
        <v>50</v>
      </c>
      <c r="E1060" s="206">
        <v>752.93436041752295</v>
      </c>
      <c r="F1060" s="206">
        <v>148.388475348707</v>
      </c>
      <c r="G1060" s="206">
        <v>4.0571900000000003</v>
      </c>
      <c r="H1060" s="206" t="s">
        <v>771</v>
      </c>
      <c r="I1060" s="206">
        <v>0.65</v>
      </c>
      <c r="J1060" s="206"/>
      <c r="K1060" s="206">
        <v>3</v>
      </c>
      <c r="L1060" s="206" t="s">
        <v>454</v>
      </c>
      <c r="M1060" s="206" t="s">
        <v>413</v>
      </c>
      <c r="N1060" s="206" t="s">
        <v>773</v>
      </c>
      <c r="O1060" s="206" t="s">
        <v>805</v>
      </c>
    </row>
    <row r="1061" spans="3:15" x14ac:dyDescent="0.25">
      <c r="C1061" s="206" t="s">
        <v>1847</v>
      </c>
      <c r="D1061" s="206">
        <v>200</v>
      </c>
      <c r="E1061" s="206">
        <v>1433.3844878120478</v>
      </c>
      <c r="F1061" s="206">
        <v>5175.2299023437699</v>
      </c>
      <c r="G1061" s="206">
        <v>4.4292910000000001</v>
      </c>
      <c r="H1061" s="206" t="s">
        <v>771</v>
      </c>
      <c r="I1061" s="206">
        <v>0.64</v>
      </c>
      <c r="J1061" s="206"/>
      <c r="K1061" s="206">
        <v>3</v>
      </c>
      <c r="L1061" s="206" t="s">
        <v>454</v>
      </c>
      <c r="M1061" s="206" t="s">
        <v>413</v>
      </c>
      <c r="N1061" s="206" t="s">
        <v>776</v>
      </c>
      <c r="O1061" s="206" t="s">
        <v>776</v>
      </c>
    </row>
    <row r="1062" spans="3:15" x14ac:dyDescent="0.25">
      <c r="C1062" s="206" t="s">
        <v>1848</v>
      </c>
      <c r="D1062" s="206">
        <v>65</v>
      </c>
      <c r="E1062" s="206">
        <v>475.35803900575968</v>
      </c>
      <c r="F1062" s="206">
        <v>366.340331913667</v>
      </c>
      <c r="G1062" s="206">
        <v>2.2192802</v>
      </c>
      <c r="H1062" s="206" t="s">
        <v>771</v>
      </c>
      <c r="I1062" s="206">
        <v>0.74826912236183685</v>
      </c>
      <c r="J1062" s="206"/>
      <c r="K1062" s="206">
        <v>3</v>
      </c>
      <c r="L1062" s="206" t="s">
        <v>454</v>
      </c>
      <c r="M1062" s="206" t="s">
        <v>772</v>
      </c>
      <c r="N1062" s="206" t="s">
        <v>773</v>
      </c>
      <c r="O1062" s="206" t="s">
        <v>774</v>
      </c>
    </row>
    <row r="1063" spans="3:15" x14ac:dyDescent="0.25">
      <c r="C1063" s="206" t="s">
        <v>1849</v>
      </c>
      <c r="D1063" s="206">
        <v>50</v>
      </c>
      <c r="E1063" s="206">
        <v>174.81555670127784</v>
      </c>
      <c r="F1063" s="206">
        <v>148.388475348707</v>
      </c>
      <c r="G1063" s="206">
        <v>0.94199436999999997</v>
      </c>
      <c r="H1063" s="206" t="s">
        <v>771</v>
      </c>
      <c r="I1063" s="206">
        <v>0.65</v>
      </c>
      <c r="J1063" s="206"/>
      <c r="K1063" s="206">
        <v>3</v>
      </c>
      <c r="L1063" s="206" t="s">
        <v>454</v>
      </c>
      <c r="M1063" s="206" t="s">
        <v>772</v>
      </c>
      <c r="N1063" s="206" t="s">
        <v>773</v>
      </c>
      <c r="O1063" s="206" t="s">
        <v>774</v>
      </c>
    </row>
    <row r="1064" spans="3:15" x14ac:dyDescent="0.25">
      <c r="C1064" s="206" t="s">
        <v>1850</v>
      </c>
      <c r="D1064" s="206">
        <v>25</v>
      </c>
      <c r="E1064" s="206">
        <v>1160.4478753993189</v>
      </c>
      <c r="F1064" s="206">
        <v>31.4380187988281</v>
      </c>
      <c r="G1064" s="206">
        <v>9.2840279999999993</v>
      </c>
      <c r="H1064" s="206" t="s">
        <v>771</v>
      </c>
      <c r="I1064" s="206">
        <v>0.81000000000000072</v>
      </c>
      <c r="J1064" s="206" t="s">
        <v>795</v>
      </c>
      <c r="K1064" s="206"/>
      <c r="L1064" s="206"/>
      <c r="M1064" s="206"/>
      <c r="N1064" s="206"/>
      <c r="O1064" s="206"/>
    </row>
    <row r="1065" spans="3:15" x14ac:dyDescent="0.25">
      <c r="C1065" s="206" t="s">
        <v>1851</v>
      </c>
      <c r="D1065" s="206">
        <v>40</v>
      </c>
      <c r="E1065" s="206">
        <v>525.57175792758585</v>
      </c>
      <c r="F1065" s="206">
        <v>100.29582977294901</v>
      </c>
      <c r="G1065" s="206">
        <v>3.1056976000000001</v>
      </c>
      <c r="H1065" s="206" t="s">
        <v>771</v>
      </c>
      <c r="I1065" s="206">
        <v>1</v>
      </c>
      <c r="J1065" s="206"/>
      <c r="K1065" s="206">
        <v>3</v>
      </c>
      <c r="L1065" s="206" t="s">
        <v>454</v>
      </c>
      <c r="M1065" s="206" t="s">
        <v>791</v>
      </c>
      <c r="N1065" s="206" t="s">
        <v>773</v>
      </c>
      <c r="O1065" s="206" t="s">
        <v>792</v>
      </c>
    </row>
    <row r="1066" spans="3:15" x14ac:dyDescent="0.25">
      <c r="C1066" s="206" t="s">
        <v>1852</v>
      </c>
      <c r="D1066" s="206">
        <v>100</v>
      </c>
      <c r="E1066" s="206">
        <v>4650.0483625290335</v>
      </c>
      <c r="F1066" s="206">
        <v>1483.19997479839</v>
      </c>
      <c r="G1066" s="206">
        <v>16.906466000000002</v>
      </c>
      <c r="H1066" s="206" t="s">
        <v>771</v>
      </c>
      <c r="I1066" s="206">
        <v>1</v>
      </c>
      <c r="J1066" s="206" t="s">
        <v>795</v>
      </c>
      <c r="K1066" s="206"/>
      <c r="L1066" s="206"/>
      <c r="M1066" s="206"/>
      <c r="N1066" s="206"/>
      <c r="O1066" s="206"/>
    </row>
    <row r="1067" spans="3:15" x14ac:dyDescent="0.25">
      <c r="C1067" s="206" t="s">
        <v>1853</v>
      </c>
      <c r="D1067" s="206">
        <v>40</v>
      </c>
      <c r="E1067" s="206">
        <v>875.87403464694523</v>
      </c>
      <c r="F1067" s="206">
        <v>83.601570015664905</v>
      </c>
      <c r="G1067" s="206">
        <v>4.8907803999999997</v>
      </c>
      <c r="H1067" s="206" t="s">
        <v>771</v>
      </c>
      <c r="I1067" s="206">
        <v>0.81</v>
      </c>
      <c r="J1067" s="206"/>
      <c r="K1067" s="206">
        <v>3</v>
      </c>
      <c r="L1067" s="206" t="s">
        <v>454</v>
      </c>
      <c r="M1067" s="206" t="s">
        <v>791</v>
      </c>
      <c r="N1067" s="206" t="s">
        <v>773</v>
      </c>
      <c r="O1067" s="206" t="s">
        <v>792</v>
      </c>
    </row>
    <row r="1068" spans="3:15" x14ac:dyDescent="0.25">
      <c r="C1068" s="206" t="s">
        <v>1854</v>
      </c>
      <c r="D1068" s="206">
        <v>40</v>
      </c>
      <c r="E1068" s="206">
        <v>66.573097440254372</v>
      </c>
      <c r="F1068" s="206">
        <v>100.29582977294901</v>
      </c>
      <c r="G1068" s="206">
        <v>0.39339235</v>
      </c>
      <c r="H1068" s="206" t="s">
        <v>771</v>
      </c>
      <c r="I1068" s="206">
        <v>1</v>
      </c>
      <c r="J1068" s="206"/>
      <c r="K1068" s="206">
        <v>3</v>
      </c>
      <c r="L1068" s="206" t="s">
        <v>454</v>
      </c>
      <c r="M1068" s="206" t="s">
        <v>791</v>
      </c>
      <c r="N1068" s="206" t="s">
        <v>773</v>
      </c>
      <c r="O1068" s="206" t="s">
        <v>792</v>
      </c>
    </row>
    <row r="1069" spans="3:15" x14ac:dyDescent="0.25">
      <c r="C1069" s="206" t="s">
        <v>1855</v>
      </c>
      <c r="D1069" s="206">
        <v>50</v>
      </c>
      <c r="E1069" s="206">
        <v>983.77040370938266</v>
      </c>
      <c r="F1069" s="206">
        <v>148.388475348707</v>
      </c>
      <c r="G1069" s="206">
        <v>5.3010510000000002</v>
      </c>
      <c r="H1069" s="206" t="s">
        <v>771</v>
      </c>
      <c r="I1069" s="206">
        <v>0.65</v>
      </c>
      <c r="J1069" s="206"/>
      <c r="K1069" s="206">
        <v>3</v>
      </c>
      <c r="L1069" s="206" t="s">
        <v>454</v>
      </c>
      <c r="M1069" s="206" t="s">
        <v>772</v>
      </c>
      <c r="N1069" s="206" t="s">
        <v>773</v>
      </c>
      <c r="O1069" s="206" t="s">
        <v>774</v>
      </c>
    </row>
    <row r="1070" spans="3:15" x14ac:dyDescent="0.25">
      <c r="C1070" s="206" t="s">
        <v>1856</v>
      </c>
      <c r="D1070" s="206">
        <v>150</v>
      </c>
      <c r="E1070" s="206">
        <v>2275.4368452845497</v>
      </c>
      <c r="F1070" s="206">
        <v>3529.0715643295898</v>
      </c>
      <c r="G1070" s="206">
        <v>7.3506464999999999</v>
      </c>
      <c r="H1070" s="206" t="s">
        <v>771</v>
      </c>
      <c r="I1070" s="206">
        <v>0.63</v>
      </c>
      <c r="J1070" s="206"/>
      <c r="K1070" s="206">
        <v>3</v>
      </c>
      <c r="L1070" s="206" t="s">
        <v>454</v>
      </c>
      <c r="M1070" s="206" t="s">
        <v>782</v>
      </c>
      <c r="N1070" s="206" t="s">
        <v>773</v>
      </c>
      <c r="O1070" s="206" t="s">
        <v>805</v>
      </c>
    </row>
    <row r="1071" spans="3:15" x14ac:dyDescent="0.25">
      <c r="C1071" s="206" t="s">
        <v>1857</v>
      </c>
      <c r="D1071" s="206">
        <v>250</v>
      </c>
      <c r="E1071" s="206">
        <v>3035.456996228962</v>
      </c>
      <c r="F1071" s="206">
        <v>9650.7138671875</v>
      </c>
      <c r="G1071" s="206">
        <v>8.6819930000000003</v>
      </c>
      <c r="H1071" s="206" t="s">
        <v>771</v>
      </c>
      <c r="I1071" s="206">
        <v>0.68000000000000171</v>
      </c>
      <c r="J1071" s="206" t="s">
        <v>795</v>
      </c>
      <c r="K1071" s="206"/>
      <c r="L1071" s="206"/>
      <c r="M1071" s="206"/>
      <c r="N1071" s="206"/>
      <c r="O1071" s="206"/>
    </row>
    <row r="1072" spans="3:15" x14ac:dyDescent="0.25">
      <c r="C1072" s="206" t="s">
        <v>1858</v>
      </c>
      <c r="D1072" s="206">
        <v>25</v>
      </c>
      <c r="E1072" s="206">
        <v>2198.6041146153348</v>
      </c>
      <c r="F1072" s="206">
        <v>40.315670013427699</v>
      </c>
      <c r="G1072" s="206">
        <v>16.284642999999999</v>
      </c>
      <c r="H1072" s="206" t="s">
        <v>771</v>
      </c>
      <c r="I1072" s="206">
        <v>1</v>
      </c>
      <c r="J1072" s="206"/>
      <c r="K1072" s="206">
        <v>3</v>
      </c>
      <c r="L1072" s="206" t="s">
        <v>454</v>
      </c>
      <c r="M1072" s="206" t="s">
        <v>413</v>
      </c>
      <c r="N1072" s="206" t="s">
        <v>776</v>
      </c>
      <c r="O1072" s="206" t="s">
        <v>776</v>
      </c>
    </row>
    <row r="1073" spans="3:15" x14ac:dyDescent="0.25">
      <c r="C1073" s="206" t="s">
        <v>1859</v>
      </c>
      <c r="D1073" s="206">
        <v>80</v>
      </c>
      <c r="E1073" s="206">
        <v>190.27224331533537</v>
      </c>
      <c r="F1073" s="206">
        <v>562.93208777304994</v>
      </c>
      <c r="G1073" s="206">
        <v>0.80356340000000004</v>
      </c>
      <c r="H1073" s="206" t="s">
        <v>771</v>
      </c>
      <c r="I1073" s="206">
        <v>0.65</v>
      </c>
      <c r="J1073" s="206"/>
      <c r="K1073" s="206">
        <v>3</v>
      </c>
      <c r="L1073" s="206" t="s">
        <v>454</v>
      </c>
      <c r="M1073" s="206" t="s">
        <v>413</v>
      </c>
      <c r="N1073" s="206" t="s">
        <v>773</v>
      </c>
      <c r="O1073" s="206" t="s">
        <v>774</v>
      </c>
    </row>
    <row r="1074" spans="3:15" x14ac:dyDescent="0.25">
      <c r="C1074" s="206" t="s">
        <v>1860</v>
      </c>
      <c r="D1074" s="206">
        <v>40</v>
      </c>
      <c r="E1074" s="206">
        <v>1172.0737451974114</v>
      </c>
      <c r="F1074" s="206">
        <v>101.661087036133</v>
      </c>
      <c r="G1074" s="206">
        <v>6.9069789999999998</v>
      </c>
      <c r="H1074" s="206" t="s">
        <v>771</v>
      </c>
      <c r="I1074" s="206">
        <v>1</v>
      </c>
      <c r="J1074" s="206" t="s">
        <v>795</v>
      </c>
      <c r="K1074" s="206"/>
      <c r="L1074" s="206"/>
      <c r="M1074" s="206"/>
      <c r="N1074" s="206"/>
      <c r="O1074" s="206"/>
    </row>
    <row r="1075" spans="3:15" x14ac:dyDescent="0.25">
      <c r="C1075" s="206" t="s">
        <v>1861</v>
      </c>
      <c r="D1075" s="206">
        <v>65</v>
      </c>
      <c r="E1075" s="206">
        <v>5946.9717373815647</v>
      </c>
      <c r="F1075" s="206">
        <v>491.91031249461201</v>
      </c>
      <c r="G1075" s="206">
        <v>25.643737999999999</v>
      </c>
      <c r="H1075" s="206" t="s">
        <v>771</v>
      </c>
      <c r="I1075" s="206">
        <v>0.64</v>
      </c>
      <c r="J1075" s="206"/>
      <c r="K1075" s="206">
        <v>3</v>
      </c>
      <c r="L1075" s="206" t="s">
        <v>454</v>
      </c>
      <c r="M1075" s="206" t="s">
        <v>772</v>
      </c>
      <c r="N1075" s="206" t="s">
        <v>773</v>
      </c>
      <c r="O1075" s="206" t="s">
        <v>774</v>
      </c>
    </row>
    <row r="1076" spans="3:15" x14ac:dyDescent="0.25">
      <c r="C1076" s="206" t="s">
        <v>1862</v>
      </c>
      <c r="D1076" s="206">
        <v>20</v>
      </c>
      <c r="E1076" s="206">
        <v>1177.7226119284758</v>
      </c>
      <c r="F1076" s="206">
        <v>2.2925089137279402</v>
      </c>
      <c r="G1076" s="206">
        <v>10.059087</v>
      </c>
      <c r="H1076" s="206" t="s">
        <v>771</v>
      </c>
      <c r="I1076" s="206">
        <v>1</v>
      </c>
      <c r="J1076" s="206"/>
      <c r="K1076" s="206">
        <v>3</v>
      </c>
      <c r="L1076" s="206" t="s">
        <v>454</v>
      </c>
      <c r="M1076" s="206" t="s">
        <v>413</v>
      </c>
      <c r="N1076" s="206" t="s">
        <v>776</v>
      </c>
      <c r="O1076" s="206" t="s">
        <v>776</v>
      </c>
    </row>
    <row r="1077" spans="3:15" x14ac:dyDescent="0.25">
      <c r="C1077" s="206" t="s">
        <v>1863</v>
      </c>
      <c r="D1077" s="206">
        <v>50</v>
      </c>
      <c r="E1077" s="206">
        <v>3586.2366786317798</v>
      </c>
      <c r="F1077" s="206">
        <v>152.56820678710901</v>
      </c>
      <c r="G1077" s="206">
        <v>19.240086000000002</v>
      </c>
      <c r="H1077" s="206" t="s">
        <v>771</v>
      </c>
      <c r="I1077" s="206">
        <v>1</v>
      </c>
      <c r="J1077" s="206" t="s">
        <v>795</v>
      </c>
      <c r="K1077" s="206"/>
      <c r="L1077" s="206"/>
      <c r="M1077" s="206"/>
      <c r="N1077" s="206"/>
      <c r="O1077" s="206"/>
    </row>
    <row r="1078" spans="3:15" x14ac:dyDescent="0.25">
      <c r="C1078" s="206" t="s">
        <v>1864</v>
      </c>
      <c r="D1078" s="206">
        <v>250</v>
      </c>
      <c r="E1078" s="206">
        <v>7833.2398914853875</v>
      </c>
      <c r="F1078" s="206">
        <v>8542.2397978336794</v>
      </c>
      <c r="G1078" s="206">
        <v>22.674925000000002</v>
      </c>
      <c r="H1078" s="206" t="s">
        <v>771</v>
      </c>
      <c r="I1078" s="206">
        <v>1</v>
      </c>
      <c r="J1078" s="206"/>
      <c r="K1078" s="206">
        <v>3</v>
      </c>
      <c r="L1078" s="206" t="s">
        <v>454</v>
      </c>
      <c r="M1078" s="206" t="s">
        <v>772</v>
      </c>
      <c r="N1078" s="206" t="s">
        <v>773</v>
      </c>
      <c r="O1078" s="206" t="s">
        <v>788</v>
      </c>
    </row>
    <row r="1079" spans="3:15" x14ac:dyDescent="0.25">
      <c r="C1079" s="206" t="s">
        <v>1865</v>
      </c>
      <c r="D1079" s="206">
        <v>80</v>
      </c>
      <c r="E1079" s="206">
        <v>2779.0024622777282</v>
      </c>
      <c r="F1079" s="206">
        <v>807.17686956620298</v>
      </c>
      <c r="G1079" s="206">
        <v>11.059831000000001</v>
      </c>
      <c r="H1079" s="206" t="s">
        <v>771</v>
      </c>
      <c r="I1079" s="206">
        <v>0.66</v>
      </c>
      <c r="J1079" s="206"/>
      <c r="K1079" s="206">
        <v>3</v>
      </c>
      <c r="L1079" s="206" t="s">
        <v>454</v>
      </c>
      <c r="M1079" s="206" t="s">
        <v>791</v>
      </c>
      <c r="N1079" s="206" t="s">
        <v>773</v>
      </c>
      <c r="O1079" s="206" t="s">
        <v>800</v>
      </c>
    </row>
    <row r="1080" spans="3:15" x14ac:dyDescent="0.25">
      <c r="C1080" s="206" t="s">
        <v>1866</v>
      </c>
      <c r="D1080" s="206">
        <v>80</v>
      </c>
      <c r="E1080" s="206">
        <v>2214.3716727529595</v>
      </c>
      <c r="F1080" s="206">
        <v>679.71806616464198</v>
      </c>
      <c r="G1080" s="206">
        <v>9.0860450000000004</v>
      </c>
      <c r="H1080" s="206" t="s">
        <v>771</v>
      </c>
      <c r="I1080" s="206">
        <v>0.67</v>
      </c>
      <c r="J1080" s="206"/>
      <c r="K1080" s="206">
        <v>3</v>
      </c>
      <c r="L1080" s="206" t="s">
        <v>454</v>
      </c>
      <c r="M1080" s="206" t="s">
        <v>791</v>
      </c>
      <c r="N1080" s="206" t="s">
        <v>773</v>
      </c>
      <c r="O1080" s="206" t="s">
        <v>792</v>
      </c>
    </row>
    <row r="1081" spans="3:15" x14ac:dyDescent="0.25">
      <c r="C1081" s="206" t="s">
        <v>1867</v>
      </c>
      <c r="D1081" s="206">
        <v>20</v>
      </c>
      <c r="E1081" s="206">
        <v>241.97406652500121</v>
      </c>
      <c r="F1081" s="206">
        <v>1.7780065925326201</v>
      </c>
      <c r="G1081" s="206">
        <v>2.0667330000000002</v>
      </c>
      <c r="H1081" s="206" t="s">
        <v>771</v>
      </c>
      <c r="I1081" s="206">
        <v>1</v>
      </c>
      <c r="J1081" s="206"/>
      <c r="K1081" s="206">
        <v>3</v>
      </c>
      <c r="L1081" s="206" t="s">
        <v>454</v>
      </c>
      <c r="M1081" s="206" t="s">
        <v>782</v>
      </c>
      <c r="N1081" s="206" t="s">
        <v>776</v>
      </c>
      <c r="O1081" s="206" t="s">
        <v>776</v>
      </c>
    </row>
    <row r="1082" spans="3:15" x14ac:dyDescent="0.25">
      <c r="C1082" s="206" t="s">
        <v>1868</v>
      </c>
      <c r="D1082" s="206">
        <v>20</v>
      </c>
      <c r="E1082" s="206">
        <v>7090.295486829983</v>
      </c>
      <c r="F1082" s="206">
        <v>2.5387595042702702</v>
      </c>
      <c r="G1082" s="206">
        <v>60.559165999999998</v>
      </c>
      <c r="H1082" s="206" t="s">
        <v>771</v>
      </c>
      <c r="I1082" s="206">
        <v>1</v>
      </c>
      <c r="J1082" s="206"/>
      <c r="K1082" s="206">
        <v>3</v>
      </c>
      <c r="L1082" s="206" t="s">
        <v>454</v>
      </c>
      <c r="M1082" s="206" t="s">
        <v>413</v>
      </c>
      <c r="N1082" s="206" t="s">
        <v>773</v>
      </c>
      <c r="O1082" s="206" t="s">
        <v>805</v>
      </c>
    </row>
    <row r="1083" spans="3:15" x14ac:dyDescent="0.25">
      <c r="C1083" s="206" t="s">
        <v>1869</v>
      </c>
      <c r="D1083" s="206">
        <v>200</v>
      </c>
      <c r="E1083" s="206">
        <v>2691.2367903797494</v>
      </c>
      <c r="F1083" s="206">
        <v>5825.9935531513001</v>
      </c>
      <c r="G1083" s="206">
        <v>8.2036540000000002</v>
      </c>
      <c r="H1083" s="206" t="s">
        <v>771</v>
      </c>
      <c r="I1083" s="206">
        <v>1</v>
      </c>
      <c r="J1083" s="206"/>
      <c r="K1083" s="206">
        <v>3</v>
      </c>
      <c r="L1083" s="206" t="s">
        <v>454</v>
      </c>
      <c r="M1083" s="206" t="s">
        <v>791</v>
      </c>
      <c r="N1083" s="206" t="s">
        <v>773</v>
      </c>
      <c r="O1083" s="206" t="s">
        <v>800</v>
      </c>
    </row>
    <row r="1084" spans="3:15" x14ac:dyDescent="0.25">
      <c r="C1084" s="206" t="s">
        <v>1870</v>
      </c>
      <c r="D1084" s="206">
        <v>125</v>
      </c>
      <c r="E1084" s="206">
        <v>14439.106315879309</v>
      </c>
      <c r="F1084" s="206">
        <v>1778.40284744429</v>
      </c>
      <c r="G1084" s="206">
        <v>51.234775999999997</v>
      </c>
      <c r="H1084" s="206" t="s">
        <v>771</v>
      </c>
      <c r="I1084" s="206">
        <v>1</v>
      </c>
      <c r="J1084" s="206"/>
      <c r="K1084" s="206">
        <v>3</v>
      </c>
      <c r="L1084" s="206" t="s">
        <v>454</v>
      </c>
      <c r="M1084" s="206" t="s">
        <v>413</v>
      </c>
      <c r="N1084" s="206" t="s">
        <v>776</v>
      </c>
      <c r="O1084" s="206" t="s">
        <v>776</v>
      </c>
    </row>
    <row r="1085" spans="3:15" x14ac:dyDescent="0.25">
      <c r="C1085" s="206" t="s">
        <v>1871</v>
      </c>
      <c r="D1085" s="206">
        <v>20</v>
      </c>
      <c r="E1085" s="206">
        <v>363.82616847349573</v>
      </c>
      <c r="F1085" s="206">
        <v>2.91598506120499</v>
      </c>
      <c r="G1085" s="206">
        <v>2.4497472999999998</v>
      </c>
      <c r="H1085" s="206" t="s">
        <v>771</v>
      </c>
      <c r="I1085" s="206">
        <v>1</v>
      </c>
      <c r="J1085" s="206"/>
      <c r="K1085" s="206">
        <v>3</v>
      </c>
      <c r="L1085" s="206" t="s">
        <v>454</v>
      </c>
      <c r="M1085" s="206" t="s">
        <v>772</v>
      </c>
      <c r="N1085" s="206" t="s">
        <v>773</v>
      </c>
      <c r="O1085" s="206" t="s">
        <v>774</v>
      </c>
    </row>
    <row r="1086" spans="3:15" x14ac:dyDescent="0.25">
      <c r="C1086" s="206" t="s">
        <v>1872</v>
      </c>
      <c r="D1086" s="206">
        <v>150</v>
      </c>
      <c r="E1086" s="206">
        <v>104.09292981205168</v>
      </c>
      <c r="F1086" s="206">
        <v>3530.03561769525</v>
      </c>
      <c r="G1086" s="206">
        <v>0.33625242</v>
      </c>
      <c r="H1086" s="206" t="s">
        <v>771</v>
      </c>
      <c r="I1086" s="206">
        <v>0.63</v>
      </c>
      <c r="J1086" s="206"/>
      <c r="K1086" s="206">
        <v>3</v>
      </c>
      <c r="L1086" s="206" t="s">
        <v>454</v>
      </c>
      <c r="M1086" s="206" t="s">
        <v>782</v>
      </c>
      <c r="N1086" s="206" t="s">
        <v>776</v>
      </c>
      <c r="O1086" s="206" t="s">
        <v>776</v>
      </c>
    </row>
    <row r="1087" spans="3:15" x14ac:dyDescent="0.25">
      <c r="C1087" s="206" t="s">
        <v>1873</v>
      </c>
      <c r="D1087" s="206">
        <v>200</v>
      </c>
      <c r="E1087" s="206">
        <v>1268.3325333649072</v>
      </c>
      <c r="F1087" s="206">
        <v>7536.2844369506902</v>
      </c>
      <c r="G1087" s="206">
        <v>3.7337753999999999</v>
      </c>
      <c r="H1087" s="206" t="s">
        <v>771</v>
      </c>
      <c r="I1087" s="206">
        <v>0.63</v>
      </c>
      <c r="J1087" s="206"/>
      <c r="K1087" s="206">
        <v>3</v>
      </c>
      <c r="L1087" s="206" t="s">
        <v>454</v>
      </c>
      <c r="M1087" s="206" t="s">
        <v>772</v>
      </c>
      <c r="N1087" s="206" t="s">
        <v>773</v>
      </c>
      <c r="O1087" s="206" t="s">
        <v>774</v>
      </c>
    </row>
    <row r="1088" spans="3:15" x14ac:dyDescent="0.25">
      <c r="C1088" s="206" t="s">
        <v>1874</v>
      </c>
      <c r="D1088" s="206">
        <v>200</v>
      </c>
      <c r="E1088" s="206">
        <v>2845.1053324239501</v>
      </c>
      <c r="F1088" s="206">
        <v>5647.44771793778</v>
      </c>
      <c r="G1088" s="206">
        <v>8.7008779999999994</v>
      </c>
      <c r="H1088" s="206" t="s">
        <v>771</v>
      </c>
      <c r="I1088" s="206">
        <v>1</v>
      </c>
      <c r="J1088" s="206"/>
      <c r="K1088" s="206">
        <v>3</v>
      </c>
      <c r="L1088" s="206" t="s">
        <v>454</v>
      </c>
      <c r="M1088" s="206" t="s">
        <v>413</v>
      </c>
      <c r="N1088" s="206" t="s">
        <v>773</v>
      </c>
      <c r="O1088" s="206" t="s">
        <v>774</v>
      </c>
    </row>
    <row r="1089" spans="3:15" x14ac:dyDescent="0.25">
      <c r="C1089" s="206" t="s">
        <v>1875</v>
      </c>
      <c r="D1089" s="206">
        <v>40</v>
      </c>
      <c r="E1089" s="206">
        <v>271.0592730305824</v>
      </c>
      <c r="F1089" s="206">
        <v>103.443859683932</v>
      </c>
      <c r="G1089" s="206">
        <v>1.5916344</v>
      </c>
      <c r="H1089" s="206" t="s">
        <v>771</v>
      </c>
      <c r="I1089" s="206">
        <v>0.66</v>
      </c>
      <c r="J1089" s="206"/>
      <c r="K1089" s="206">
        <v>3</v>
      </c>
      <c r="L1089" s="206" t="s">
        <v>454</v>
      </c>
      <c r="M1089" s="206" t="s">
        <v>772</v>
      </c>
      <c r="N1089" s="206" t="s">
        <v>773</v>
      </c>
      <c r="O1089" s="206" t="s">
        <v>774</v>
      </c>
    </row>
    <row r="1090" spans="3:15" x14ac:dyDescent="0.25">
      <c r="C1090" s="206" t="s">
        <v>1876</v>
      </c>
      <c r="D1090" s="206">
        <v>80</v>
      </c>
      <c r="E1090" s="206">
        <v>67.889481856690537</v>
      </c>
      <c r="F1090" s="206">
        <v>562.93208777304994</v>
      </c>
      <c r="G1090" s="206">
        <v>0.28671288</v>
      </c>
      <c r="H1090" s="206" t="s">
        <v>771</v>
      </c>
      <c r="I1090" s="206">
        <v>0.65</v>
      </c>
      <c r="J1090" s="206"/>
      <c r="K1090" s="206">
        <v>3</v>
      </c>
      <c r="L1090" s="206" t="s">
        <v>454</v>
      </c>
      <c r="M1090" s="206" t="s">
        <v>772</v>
      </c>
      <c r="N1090" s="206" t="s">
        <v>773</v>
      </c>
      <c r="O1090" s="206" t="s">
        <v>774</v>
      </c>
    </row>
    <row r="1091" spans="3:15" x14ac:dyDescent="0.25">
      <c r="C1091" s="206" t="s">
        <v>1877</v>
      </c>
      <c r="D1091" s="206">
        <v>50</v>
      </c>
      <c r="E1091" s="206">
        <v>1150.8652334554793</v>
      </c>
      <c r="F1091" s="206">
        <v>148.388475348707</v>
      </c>
      <c r="G1091" s="206">
        <v>6.2014421999999998</v>
      </c>
      <c r="H1091" s="206" t="s">
        <v>771</v>
      </c>
      <c r="I1091" s="206">
        <v>0.65</v>
      </c>
      <c r="J1091" s="206"/>
      <c r="K1091" s="206">
        <v>3</v>
      </c>
      <c r="L1091" s="206" t="s">
        <v>454</v>
      </c>
      <c r="M1091" s="206" t="s">
        <v>772</v>
      </c>
      <c r="N1091" s="206" t="s">
        <v>773</v>
      </c>
      <c r="O1091" s="206" t="s">
        <v>774</v>
      </c>
    </row>
    <row r="1092" spans="3:15" x14ac:dyDescent="0.25">
      <c r="C1092" s="206" t="s">
        <v>1878</v>
      </c>
      <c r="D1092" s="206">
        <v>80</v>
      </c>
      <c r="E1092" s="206">
        <v>384.06479816266494</v>
      </c>
      <c r="F1092" s="206">
        <v>617.18597412109398</v>
      </c>
      <c r="G1092" s="206">
        <v>1.6002501</v>
      </c>
      <c r="H1092" s="206" t="s">
        <v>771</v>
      </c>
      <c r="I1092" s="206">
        <v>0.7294998052048729</v>
      </c>
      <c r="J1092" s="206"/>
      <c r="K1092" s="206">
        <v>3</v>
      </c>
      <c r="L1092" s="206" t="s">
        <v>454</v>
      </c>
      <c r="M1092" s="206" t="s">
        <v>772</v>
      </c>
      <c r="N1092" s="206" t="s">
        <v>773</v>
      </c>
      <c r="O1092" s="206" t="s">
        <v>774</v>
      </c>
    </row>
    <row r="1093" spans="3:15" x14ac:dyDescent="0.25">
      <c r="C1093" s="206" t="s">
        <v>1879</v>
      </c>
      <c r="D1093" s="206">
        <v>80</v>
      </c>
      <c r="E1093" s="206">
        <v>4302.7196382764723</v>
      </c>
      <c r="F1093" s="206">
        <v>718.89637102074403</v>
      </c>
      <c r="G1093" s="206">
        <v>18.957369</v>
      </c>
      <c r="H1093" s="206" t="s">
        <v>771</v>
      </c>
      <c r="I1093" s="206">
        <v>1</v>
      </c>
      <c r="J1093" s="206"/>
      <c r="K1093" s="206">
        <v>3</v>
      </c>
      <c r="L1093" s="206" t="s">
        <v>454</v>
      </c>
      <c r="M1093" s="206" t="s">
        <v>810</v>
      </c>
      <c r="N1093" s="206" t="s">
        <v>784</v>
      </c>
      <c r="O1093" s="206" t="s">
        <v>792</v>
      </c>
    </row>
    <row r="1094" spans="3:15" x14ac:dyDescent="0.25">
      <c r="C1094" s="206" t="s">
        <v>1880</v>
      </c>
      <c r="D1094" s="206">
        <v>40</v>
      </c>
      <c r="E1094" s="206">
        <v>712.70447098263503</v>
      </c>
      <c r="F1094" s="206">
        <v>100.29582977294901</v>
      </c>
      <c r="G1094" s="206">
        <v>4.2114982999999997</v>
      </c>
      <c r="H1094" s="206" t="s">
        <v>771</v>
      </c>
      <c r="I1094" s="206">
        <v>1</v>
      </c>
      <c r="J1094" s="206"/>
      <c r="K1094" s="206">
        <v>3</v>
      </c>
      <c r="L1094" s="206" t="s">
        <v>454</v>
      </c>
      <c r="M1094" s="206" t="s">
        <v>791</v>
      </c>
      <c r="N1094" s="206" t="s">
        <v>773</v>
      </c>
      <c r="O1094" s="206" t="s">
        <v>792</v>
      </c>
    </row>
    <row r="1095" spans="3:15" x14ac:dyDescent="0.25">
      <c r="C1095" s="206" t="s">
        <v>1881</v>
      </c>
      <c r="D1095" s="206">
        <v>50</v>
      </c>
      <c r="E1095" s="206">
        <v>29.993587939553933</v>
      </c>
      <c r="F1095" s="206">
        <v>205.55093383789099</v>
      </c>
      <c r="G1095" s="206">
        <v>0.15247682000000001</v>
      </c>
      <c r="H1095" s="206" t="s">
        <v>771</v>
      </c>
      <c r="I1095" s="206">
        <v>0.68000000000000105</v>
      </c>
      <c r="J1095" s="206"/>
      <c r="K1095" s="206">
        <v>3</v>
      </c>
      <c r="L1095" s="206" t="s">
        <v>454</v>
      </c>
      <c r="M1095" s="206" t="s">
        <v>782</v>
      </c>
      <c r="N1095" s="206" t="s">
        <v>773</v>
      </c>
      <c r="O1095" s="206" t="s">
        <v>805</v>
      </c>
    </row>
    <row r="1096" spans="3:15" x14ac:dyDescent="0.25">
      <c r="C1096" s="206" t="s">
        <v>1882</v>
      </c>
      <c r="D1096" s="206">
        <v>80</v>
      </c>
      <c r="E1096" s="206">
        <v>1188.3385317819461</v>
      </c>
      <c r="F1096" s="206">
        <v>617.18597412109398</v>
      </c>
      <c r="G1096" s="206">
        <v>4.9513490000000004</v>
      </c>
      <c r="H1096" s="206" t="s">
        <v>771</v>
      </c>
      <c r="I1096" s="206">
        <v>0.7294998052048729</v>
      </c>
      <c r="J1096" s="206"/>
      <c r="K1096" s="206">
        <v>3</v>
      </c>
      <c r="L1096" s="206" t="s">
        <v>454</v>
      </c>
      <c r="M1096" s="206" t="s">
        <v>772</v>
      </c>
      <c r="N1096" s="206" t="s">
        <v>773</v>
      </c>
      <c r="O1096" s="206" t="s">
        <v>774</v>
      </c>
    </row>
    <row r="1097" spans="3:15" x14ac:dyDescent="0.25">
      <c r="C1097" s="206" t="s">
        <v>1883</v>
      </c>
      <c r="D1097" s="206">
        <v>50</v>
      </c>
      <c r="E1097" s="206">
        <v>23.840085128303087</v>
      </c>
      <c r="F1097" s="206">
        <v>148.388475348707</v>
      </c>
      <c r="G1097" s="206">
        <v>0.1284624</v>
      </c>
      <c r="H1097" s="206" t="s">
        <v>771</v>
      </c>
      <c r="I1097" s="206">
        <v>0.65</v>
      </c>
      <c r="J1097" s="206"/>
      <c r="K1097" s="206">
        <v>3</v>
      </c>
      <c r="L1097" s="206" t="s">
        <v>454</v>
      </c>
      <c r="M1097" s="206" t="s">
        <v>413</v>
      </c>
      <c r="N1097" s="206" t="s">
        <v>776</v>
      </c>
      <c r="O1097" s="206" t="s">
        <v>776</v>
      </c>
    </row>
    <row r="1098" spans="3:15" x14ac:dyDescent="0.25">
      <c r="C1098" s="206" t="s">
        <v>1884</v>
      </c>
      <c r="D1098" s="206">
        <v>20</v>
      </c>
      <c r="E1098" s="206">
        <v>924.87814968098837</v>
      </c>
      <c r="F1098" s="206">
        <v>2.91598506120499</v>
      </c>
      <c r="G1098" s="206">
        <v>6.2274732999999998</v>
      </c>
      <c r="H1098" s="206" t="s">
        <v>771</v>
      </c>
      <c r="I1098" s="206">
        <v>1</v>
      </c>
      <c r="J1098" s="206"/>
      <c r="K1098" s="206">
        <v>3</v>
      </c>
      <c r="L1098" s="206" t="s">
        <v>454</v>
      </c>
      <c r="M1098" s="206" t="s">
        <v>772</v>
      </c>
      <c r="N1098" s="206" t="s">
        <v>773</v>
      </c>
      <c r="O1098" s="206" t="s">
        <v>774</v>
      </c>
    </row>
    <row r="1099" spans="3:15" x14ac:dyDescent="0.25">
      <c r="C1099" s="206" t="s">
        <v>1885</v>
      </c>
      <c r="D1099" s="206">
        <v>200</v>
      </c>
      <c r="E1099" s="206">
        <v>1664.480140917251</v>
      </c>
      <c r="F1099" s="206">
        <v>5175.2299023437699</v>
      </c>
      <c r="G1099" s="206">
        <v>5.1433980000000004</v>
      </c>
      <c r="H1099" s="206" t="s">
        <v>771</v>
      </c>
      <c r="I1099" s="206">
        <v>0.64</v>
      </c>
      <c r="J1099" s="206"/>
      <c r="K1099" s="206">
        <v>3</v>
      </c>
      <c r="L1099" s="206" t="s">
        <v>454</v>
      </c>
      <c r="M1099" s="206" t="s">
        <v>413</v>
      </c>
      <c r="N1099" s="206" t="s">
        <v>776</v>
      </c>
      <c r="O1099" s="206" t="s">
        <v>776</v>
      </c>
    </row>
    <row r="1100" spans="3:15" x14ac:dyDescent="0.25">
      <c r="C1100" s="206" t="s">
        <v>1886</v>
      </c>
      <c r="D1100" s="206">
        <v>80</v>
      </c>
      <c r="E1100" s="206">
        <v>1197.312481281062</v>
      </c>
      <c r="F1100" s="206">
        <v>562.93208777304994</v>
      </c>
      <c r="G1100" s="206">
        <v>5.0565256999999999</v>
      </c>
      <c r="H1100" s="206" t="s">
        <v>771</v>
      </c>
      <c r="I1100" s="206">
        <v>0.65</v>
      </c>
      <c r="J1100" s="206"/>
      <c r="K1100" s="206">
        <v>3</v>
      </c>
      <c r="L1100" s="206" t="s">
        <v>454</v>
      </c>
      <c r="M1100" s="206" t="s">
        <v>772</v>
      </c>
      <c r="N1100" s="206" t="s">
        <v>773</v>
      </c>
      <c r="O1100" s="206" t="s">
        <v>774</v>
      </c>
    </row>
    <row r="1101" spans="3:15" x14ac:dyDescent="0.25">
      <c r="C1101" s="206" t="s">
        <v>1887</v>
      </c>
      <c r="D1101" s="206">
        <v>20</v>
      </c>
      <c r="E1101" s="206">
        <v>612.88729510378437</v>
      </c>
      <c r="F1101" s="206">
        <v>0.99999999999873002</v>
      </c>
      <c r="G1101" s="206">
        <v>5.2347526999999996</v>
      </c>
      <c r="H1101" s="206" t="s">
        <v>771</v>
      </c>
      <c r="I1101" s="206">
        <v>1</v>
      </c>
      <c r="J1101" s="206"/>
      <c r="K1101" s="206">
        <v>3</v>
      </c>
      <c r="L1101" s="206" t="s">
        <v>454</v>
      </c>
      <c r="M1101" s="206" t="s">
        <v>782</v>
      </c>
      <c r="N1101" s="206" t="s">
        <v>776</v>
      </c>
      <c r="O1101" s="206" t="s">
        <v>776</v>
      </c>
    </row>
    <row r="1102" spans="3:15" x14ac:dyDescent="0.25">
      <c r="C1102" s="206" t="s">
        <v>1888</v>
      </c>
      <c r="D1102" s="206">
        <v>40</v>
      </c>
      <c r="E1102" s="206">
        <v>734.59420586088038</v>
      </c>
      <c r="F1102" s="206">
        <v>83.601570015664905</v>
      </c>
      <c r="G1102" s="206">
        <v>4.10189</v>
      </c>
      <c r="H1102" s="206" t="s">
        <v>771</v>
      </c>
      <c r="I1102" s="206">
        <v>0.81</v>
      </c>
      <c r="J1102" s="206"/>
      <c r="K1102" s="206">
        <v>3</v>
      </c>
      <c r="L1102" s="206" t="s">
        <v>454</v>
      </c>
      <c r="M1102" s="206" t="s">
        <v>791</v>
      </c>
      <c r="N1102" s="206" t="s">
        <v>773</v>
      </c>
      <c r="O1102" s="206" t="s">
        <v>792</v>
      </c>
    </row>
    <row r="1103" spans="3:15" x14ac:dyDescent="0.25">
      <c r="C1103" s="206" t="s">
        <v>1889</v>
      </c>
      <c r="D1103" s="206">
        <v>100</v>
      </c>
      <c r="E1103" s="206">
        <v>4372.9549829992466</v>
      </c>
      <c r="F1103" s="206">
        <v>962.60109389794502</v>
      </c>
      <c r="G1103" s="206">
        <v>16.964558</v>
      </c>
      <c r="H1103" s="206" t="s">
        <v>771</v>
      </c>
      <c r="I1103" s="206">
        <v>0.64</v>
      </c>
      <c r="J1103" s="206"/>
      <c r="K1103" s="206">
        <v>3</v>
      </c>
      <c r="L1103" s="206" t="s">
        <v>454</v>
      </c>
      <c r="M1103" s="206" t="s">
        <v>413</v>
      </c>
      <c r="N1103" s="206" t="s">
        <v>776</v>
      </c>
      <c r="O1103" s="206" t="s">
        <v>776</v>
      </c>
    </row>
    <row r="1104" spans="3:15" x14ac:dyDescent="0.25">
      <c r="C1104" s="206" t="s">
        <v>1890</v>
      </c>
      <c r="D1104" s="206">
        <v>65</v>
      </c>
      <c r="E1104" s="206">
        <v>4318.4601050793071</v>
      </c>
      <c r="F1104" s="206">
        <v>303.99337188720699</v>
      </c>
      <c r="G1104" s="206">
        <v>20.369377</v>
      </c>
      <c r="H1104" s="206" t="s">
        <v>771</v>
      </c>
      <c r="I1104" s="206">
        <v>0.72</v>
      </c>
      <c r="J1104" s="206"/>
      <c r="K1104" s="206">
        <v>3</v>
      </c>
      <c r="L1104" s="206" t="s">
        <v>454</v>
      </c>
      <c r="M1104" s="206" t="s">
        <v>413</v>
      </c>
      <c r="N1104" s="206" t="s">
        <v>773</v>
      </c>
      <c r="O1104" s="206" t="s">
        <v>774</v>
      </c>
    </row>
    <row r="1105" spans="3:15" x14ac:dyDescent="0.25">
      <c r="C1105" s="206" t="s">
        <v>1891</v>
      </c>
      <c r="D1105" s="206">
        <v>80</v>
      </c>
      <c r="E1105" s="206">
        <v>833.35241084873655</v>
      </c>
      <c r="F1105" s="206">
        <v>562.93208777304994</v>
      </c>
      <c r="G1105" s="206">
        <v>3.5194386999999998</v>
      </c>
      <c r="H1105" s="206" t="s">
        <v>771</v>
      </c>
      <c r="I1105" s="206">
        <v>0.65</v>
      </c>
      <c r="J1105" s="206"/>
      <c r="K1105" s="206">
        <v>3</v>
      </c>
      <c r="L1105" s="206" t="s">
        <v>454</v>
      </c>
      <c r="M1105" s="206" t="s">
        <v>772</v>
      </c>
      <c r="N1105" s="206" t="s">
        <v>773</v>
      </c>
      <c r="O1105" s="206" t="s">
        <v>774</v>
      </c>
    </row>
    <row r="1106" spans="3:15" x14ac:dyDescent="0.25">
      <c r="C1106" s="206" t="s">
        <v>1892</v>
      </c>
      <c r="D1106" s="206">
        <v>65</v>
      </c>
      <c r="E1106" s="206">
        <v>2378.8945995330741</v>
      </c>
      <c r="F1106" s="206">
        <v>265.78799438476602</v>
      </c>
      <c r="G1106" s="206">
        <v>11.435822</v>
      </c>
      <c r="H1106" s="206" t="s">
        <v>771</v>
      </c>
      <c r="I1106" s="206">
        <v>1</v>
      </c>
      <c r="J1106" s="206" t="s">
        <v>795</v>
      </c>
      <c r="K1106" s="206"/>
      <c r="L1106" s="206"/>
      <c r="M1106" s="206"/>
      <c r="N1106" s="206"/>
      <c r="O1106" s="206"/>
    </row>
    <row r="1107" spans="3:15" x14ac:dyDescent="0.25">
      <c r="C1107" s="206" t="s">
        <v>1893</v>
      </c>
      <c r="D1107" s="206">
        <v>65</v>
      </c>
      <c r="E1107" s="206">
        <v>34.907568138532426</v>
      </c>
      <c r="F1107" s="206">
        <v>366.340331913667</v>
      </c>
      <c r="G1107" s="206">
        <v>0.16297121000000001</v>
      </c>
      <c r="H1107" s="206" t="s">
        <v>771</v>
      </c>
      <c r="I1107" s="206">
        <v>0.74826912236183685</v>
      </c>
      <c r="J1107" s="206"/>
      <c r="K1107" s="206">
        <v>3</v>
      </c>
      <c r="L1107" s="206" t="s">
        <v>454</v>
      </c>
      <c r="M1107" s="206" t="s">
        <v>772</v>
      </c>
      <c r="N1107" s="206" t="s">
        <v>773</v>
      </c>
      <c r="O1107" s="206" t="s">
        <v>774</v>
      </c>
    </row>
    <row r="1108" spans="3:15" x14ac:dyDescent="0.25">
      <c r="C1108" s="206" t="s">
        <v>1894</v>
      </c>
      <c r="D1108" s="206">
        <v>32</v>
      </c>
      <c r="E1108" s="206">
        <v>481.45490448750797</v>
      </c>
      <c r="F1108" s="206">
        <v>57.277462051832103</v>
      </c>
      <c r="G1108" s="206">
        <v>4.112171</v>
      </c>
      <c r="H1108" s="206" t="s">
        <v>771</v>
      </c>
      <c r="I1108" s="206">
        <v>1</v>
      </c>
      <c r="J1108" s="206"/>
      <c r="K1108" s="206">
        <v>3</v>
      </c>
      <c r="L1108" s="206" t="s">
        <v>454</v>
      </c>
      <c r="M1108" s="206" t="s">
        <v>772</v>
      </c>
      <c r="N1108" s="206" t="s">
        <v>773</v>
      </c>
      <c r="O1108" s="206" t="s">
        <v>774</v>
      </c>
    </row>
    <row r="1109" spans="3:15" x14ac:dyDescent="0.25">
      <c r="C1109" s="206" t="s">
        <v>1895</v>
      </c>
      <c r="D1109" s="206">
        <v>200</v>
      </c>
      <c r="E1109" s="206">
        <v>574.24577082504106</v>
      </c>
      <c r="F1109" s="206">
        <v>7536.2844369506902</v>
      </c>
      <c r="G1109" s="206">
        <v>1.690491</v>
      </c>
      <c r="H1109" s="206" t="s">
        <v>771</v>
      </c>
      <c r="I1109" s="206">
        <v>0.63</v>
      </c>
      <c r="J1109" s="206"/>
      <c r="K1109" s="206">
        <v>3</v>
      </c>
      <c r="L1109" s="206" t="s">
        <v>454</v>
      </c>
      <c r="M1109" s="206" t="s">
        <v>772</v>
      </c>
      <c r="N1109" s="206" t="s">
        <v>773</v>
      </c>
      <c r="O1109" s="206" t="s">
        <v>774</v>
      </c>
    </row>
    <row r="1110" spans="3:15" x14ac:dyDescent="0.25">
      <c r="C1110" s="206" t="s">
        <v>1896</v>
      </c>
      <c r="D1110" s="206">
        <v>150</v>
      </c>
      <c r="E1110" s="206">
        <v>1524.9642224066565</v>
      </c>
      <c r="F1110" s="206">
        <v>3530.03561769525</v>
      </c>
      <c r="G1110" s="206">
        <v>4.926107</v>
      </c>
      <c r="H1110" s="206" t="s">
        <v>771</v>
      </c>
      <c r="I1110" s="206">
        <v>0.63</v>
      </c>
      <c r="J1110" s="206"/>
      <c r="K1110" s="206">
        <v>3</v>
      </c>
      <c r="L1110" s="206" t="s">
        <v>454</v>
      </c>
      <c r="M1110" s="206" t="s">
        <v>413</v>
      </c>
      <c r="N1110" s="206" t="s">
        <v>773</v>
      </c>
      <c r="O1110" s="206" t="s">
        <v>800</v>
      </c>
    </row>
    <row r="1111" spans="3:15" x14ac:dyDescent="0.25">
      <c r="C1111" s="206" t="s">
        <v>1897</v>
      </c>
      <c r="D1111" s="206">
        <v>65</v>
      </c>
      <c r="E1111" s="206">
        <v>2498.7308347212652</v>
      </c>
      <c r="F1111" s="206">
        <v>427.07943087420398</v>
      </c>
      <c r="G1111" s="206">
        <v>11.102556</v>
      </c>
      <c r="H1111" s="206" t="s">
        <v>771</v>
      </c>
      <c r="I1111" s="206">
        <v>0.65</v>
      </c>
      <c r="J1111" s="206"/>
      <c r="K1111" s="206">
        <v>3</v>
      </c>
      <c r="L1111" s="206" t="s">
        <v>454</v>
      </c>
      <c r="M1111" s="206" t="s">
        <v>782</v>
      </c>
      <c r="N1111" s="206" t="s">
        <v>773</v>
      </c>
      <c r="O1111" s="206" t="s">
        <v>805</v>
      </c>
    </row>
    <row r="1112" spans="3:15" x14ac:dyDescent="0.25">
      <c r="C1112" s="206" t="s">
        <v>1898</v>
      </c>
      <c r="D1112" s="206">
        <v>25</v>
      </c>
      <c r="E1112" s="206">
        <v>164.40602711974572</v>
      </c>
      <c r="F1112" s="206">
        <v>30.427696228027301</v>
      </c>
      <c r="G1112" s="206">
        <v>1.3274176</v>
      </c>
      <c r="H1112" s="206" t="s">
        <v>771</v>
      </c>
      <c r="I1112" s="206">
        <v>1</v>
      </c>
      <c r="J1112" s="206"/>
      <c r="K1112" s="206">
        <v>3</v>
      </c>
      <c r="L1112" s="206" t="s">
        <v>454</v>
      </c>
      <c r="M1112" s="206" t="s">
        <v>772</v>
      </c>
      <c r="N1112" s="206" t="s">
        <v>773</v>
      </c>
      <c r="O1112" s="206" t="s">
        <v>774</v>
      </c>
    </row>
    <row r="1113" spans="3:15" x14ac:dyDescent="0.25">
      <c r="C1113" s="206" t="s">
        <v>1899</v>
      </c>
      <c r="D1113" s="206">
        <v>80</v>
      </c>
      <c r="E1113" s="206">
        <v>1044.3746622221261</v>
      </c>
      <c r="F1113" s="206">
        <v>617.18597412109398</v>
      </c>
      <c r="G1113" s="206">
        <v>4.3515069999999998</v>
      </c>
      <c r="H1113" s="206" t="s">
        <v>771</v>
      </c>
      <c r="I1113" s="206">
        <v>0.7294998052048729</v>
      </c>
      <c r="J1113" s="206"/>
      <c r="K1113" s="206">
        <v>3</v>
      </c>
      <c r="L1113" s="206" t="s">
        <v>454</v>
      </c>
      <c r="M1113" s="206" t="s">
        <v>772</v>
      </c>
      <c r="N1113" s="206" t="s">
        <v>773</v>
      </c>
      <c r="O1113" s="206" t="s">
        <v>774</v>
      </c>
    </row>
    <row r="1114" spans="3:15" x14ac:dyDescent="0.25">
      <c r="C1114" s="206" t="s">
        <v>1900</v>
      </c>
      <c r="D1114" s="206">
        <v>200</v>
      </c>
      <c r="E1114" s="206">
        <v>2009.9726390627104</v>
      </c>
      <c r="F1114" s="206">
        <v>5825.9935531513001</v>
      </c>
      <c r="G1114" s="206">
        <v>6.1269673999999998</v>
      </c>
      <c r="H1114" s="206" t="s">
        <v>771</v>
      </c>
      <c r="I1114" s="206">
        <v>1</v>
      </c>
      <c r="J1114" s="206"/>
      <c r="K1114" s="206">
        <v>3</v>
      </c>
      <c r="L1114" s="206" t="s">
        <v>454</v>
      </c>
      <c r="M1114" s="206" t="s">
        <v>791</v>
      </c>
      <c r="N1114" s="206" t="s">
        <v>773</v>
      </c>
      <c r="O1114" s="206" t="s">
        <v>800</v>
      </c>
    </row>
    <row r="1115" spans="3:15" x14ac:dyDescent="0.25">
      <c r="C1115" s="206" t="s">
        <v>1901</v>
      </c>
      <c r="D1115" s="206">
        <v>80</v>
      </c>
      <c r="E1115" s="206">
        <v>958.28198614833809</v>
      </c>
      <c r="F1115" s="206">
        <v>562.93208777304994</v>
      </c>
      <c r="G1115" s="206">
        <v>4.0470449999999998</v>
      </c>
      <c r="H1115" s="206" t="s">
        <v>771</v>
      </c>
      <c r="I1115" s="206">
        <v>0.65</v>
      </c>
      <c r="J1115" s="206"/>
      <c r="K1115" s="206">
        <v>3</v>
      </c>
      <c r="L1115" s="206" t="s">
        <v>454</v>
      </c>
      <c r="M1115" s="206" t="s">
        <v>772</v>
      </c>
      <c r="N1115" s="206" t="s">
        <v>773</v>
      </c>
      <c r="O1115" s="206" t="s">
        <v>774</v>
      </c>
    </row>
    <row r="1116" spans="3:15" x14ac:dyDescent="0.25">
      <c r="C1116" s="206" t="s">
        <v>1902</v>
      </c>
      <c r="D1116" s="206">
        <v>20</v>
      </c>
      <c r="E1116" s="206">
        <v>1676.9980332031389</v>
      </c>
      <c r="F1116" s="206">
        <v>2.91598506120499</v>
      </c>
      <c r="G1116" s="206">
        <v>11.291715</v>
      </c>
      <c r="H1116" s="206" t="s">
        <v>771</v>
      </c>
      <c r="I1116" s="206">
        <v>1</v>
      </c>
      <c r="J1116" s="206"/>
      <c r="K1116" s="206">
        <v>3</v>
      </c>
      <c r="L1116" s="206" t="s">
        <v>454</v>
      </c>
      <c r="M1116" s="206" t="s">
        <v>772</v>
      </c>
      <c r="N1116" s="206" t="s">
        <v>773</v>
      </c>
      <c r="O1116" s="206" t="s">
        <v>774</v>
      </c>
    </row>
    <row r="1117" spans="3:15" x14ac:dyDescent="0.25">
      <c r="C1117" s="206" t="s">
        <v>1903</v>
      </c>
      <c r="D1117" s="206">
        <v>50</v>
      </c>
      <c r="E1117" s="206">
        <v>2749.7805172831349</v>
      </c>
      <c r="F1117" s="206">
        <v>148.388475348707</v>
      </c>
      <c r="G1117" s="206">
        <v>14.817204</v>
      </c>
      <c r="H1117" s="206" t="s">
        <v>771</v>
      </c>
      <c r="I1117" s="206">
        <v>0.65</v>
      </c>
      <c r="J1117" s="206"/>
      <c r="K1117" s="206">
        <v>3</v>
      </c>
      <c r="L1117" s="206" t="s">
        <v>454</v>
      </c>
      <c r="M1117" s="206" t="s">
        <v>782</v>
      </c>
      <c r="N1117" s="206" t="s">
        <v>773</v>
      </c>
      <c r="O1117" s="206" t="s">
        <v>805</v>
      </c>
    </row>
    <row r="1118" spans="3:15" x14ac:dyDescent="0.25">
      <c r="C1118" s="206" t="s">
        <v>1904</v>
      </c>
      <c r="D1118" s="206">
        <v>65</v>
      </c>
      <c r="E1118" s="206">
        <v>1368.6730239521573</v>
      </c>
      <c r="F1118" s="206">
        <v>366.340331913667</v>
      </c>
      <c r="G1118" s="206">
        <v>6.3898549999999998</v>
      </c>
      <c r="H1118" s="206" t="s">
        <v>771</v>
      </c>
      <c r="I1118" s="206">
        <v>0.74826912236183685</v>
      </c>
      <c r="J1118" s="206"/>
      <c r="K1118" s="206">
        <v>3</v>
      </c>
      <c r="L1118" s="206" t="s">
        <v>454</v>
      </c>
      <c r="M1118" s="206" t="s">
        <v>772</v>
      </c>
      <c r="N1118" s="206" t="s">
        <v>773</v>
      </c>
      <c r="O1118" s="206" t="s">
        <v>774</v>
      </c>
    </row>
    <row r="1119" spans="3:15" x14ac:dyDescent="0.25">
      <c r="C1119" s="206" t="s">
        <v>1905</v>
      </c>
      <c r="D1119" s="206">
        <v>80</v>
      </c>
      <c r="E1119" s="206">
        <v>600.01014649672675</v>
      </c>
      <c r="F1119" s="206">
        <v>617.18597412109398</v>
      </c>
      <c r="G1119" s="206">
        <v>2.5000111999999999</v>
      </c>
      <c r="H1119" s="206" t="s">
        <v>771</v>
      </c>
      <c r="I1119" s="206">
        <v>0.7294998052048729</v>
      </c>
      <c r="J1119" s="206"/>
      <c r="K1119" s="206">
        <v>3</v>
      </c>
      <c r="L1119" s="206" t="s">
        <v>454</v>
      </c>
      <c r="M1119" s="206" t="s">
        <v>772</v>
      </c>
      <c r="N1119" s="206" t="s">
        <v>773</v>
      </c>
      <c r="O1119" s="206" t="s">
        <v>774</v>
      </c>
    </row>
    <row r="1120" spans="3:15" x14ac:dyDescent="0.25">
      <c r="C1120" s="206" t="s">
        <v>1906</v>
      </c>
      <c r="D1120" s="206">
        <v>20</v>
      </c>
      <c r="E1120" s="206">
        <v>511.26335743674338</v>
      </c>
      <c r="F1120" s="206">
        <v>1.5302434375044001</v>
      </c>
      <c r="G1120" s="206">
        <v>4.3667689999999997</v>
      </c>
      <c r="H1120" s="206" t="s">
        <v>771</v>
      </c>
      <c r="I1120" s="206">
        <v>1</v>
      </c>
      <c r="J1120" s="206"/>
      <c r="K1120" s="206">
        <v>3</v>
      </c>
      <c r="L1120" s="206" t="s">
        <v>454</v>
      </c>
      <c r="M1120" s="206" t="s">
        <v>413</v>
      </c>
      <c r="N1120" s="206" t="s">
        <v>773</v>
      </c>
      <c r="O1120" s="206" t="s">
        <v>774</v>
      </c>
    </row>
    <row r="1121" spans="3:15" x14ac:dyDescent="0.25">
      <c r="C1121" s="206" t="s">
        <v>1907</v>
      </c>
      <c r="D1121" s="206">
        <v>20</v>
      </c>
      <c r="E1121" s="206">
        <v>1042.6486323970628</v>
      </c>
      <c r="F1121" s="206">
        <v>1</v>
      </c>
      <c r="G1121" s="206">
        <v>8.9054020000000005</v>
      </c>
      <c r="H1121" s="206" t="s">
        <v>771</v>
      </c>
      <c r="I1121" s="206">
        <v>1</v>
      </c>
      <c r="J1121" s="206"/>
      <c r="K1121" s="206">
        <v>3</v>
      </c>
      <c r="L1121" s="206" t="s">
        <v>454</v>
      </c>
      <c r="M1121" s="206" t="s">
        <v>413</v>
      </c>
      <c r="N1121" s="206" t="s">
        <v>776</v>
      </c>
      <c r="O1121" s="206" t="s">
        <v>776</v>
      </c>
    </row>
    <row r="1122" spans="3:15" x14ac:dyDescent="0.25">
      <c r="C1122" s="206" t="s">
        <v>1908</v>
      </c>
      <c r="D1122" s="206">
        <v>50</v>
      </c>
      <c r="E1122" s="206">
        <v>95.678304445495854</v>
      </c>
      <c r="F1122" s="206">
        <v>148.388475348707</v>
      </c>
      <c r="G1122" s="206">
        <v>0.51556294999999996</v>
      </c>
      <c r="H1122" s="206" t="s">
        <v>771</v>
      </c>
      <c r="I1122" s="206">
        <v>0.65</v>
      </c>
      <c r="J1122" s="206"/>
      <c r="K1122" s="206">
        <v>3</v>
      </c>
      <c r="L1122" s="206" t="s">
        <v>454</v>
      </c>
      <c r="M1122" s="206" t="s">
        <v>772</v>
      </c>
      <c r="N1122" s="206" t="s">
        <v>773</v>
      </c>
      <c r="O1122" s="206" t="s">
        <v>774</v>
      </c>
    </row>
    <row r="1123" spans="3:15" x14ac:dyDescent="0.25">
      <c r="C1123" s="206" t="s">
        <v>1909</v>
      </c>
      <c r="D1123" s="206">
        <v>20</v>
      </c>
      <c r="E1123" s="206">
        <v>1079.6712325327376</v>
      </c>
      <c r="F1123" s="206">
        <v>2</v>
      </c>
      <c r="G1123" s="206">
        <v>9.2216170000000002</v>
      </c>
      <c r="H1123" s="206" t="s">
        <v>771</v>
      </c>
      <c r="I1123" s="206">
        <v>1</v>
      </c>
      <c r="J1123" s="206"/>
      <c r="K1123" s="206">
        <v>3</v>
      </c>
      <c r="L1123" s="206" t="s">
        <v>454</v>
      </c>
      <c r="M1123" s="206" t="s">
        <v>810</v>
      </c>
      <c r="N1123" s="206" t="s">
        <v>784</v>
      </c>
      <c r="O1123" s="206" t="s">
        <v>792</v>
      </c>
    </row>
    <row r="1124" spans="3:15" x14ac:dyDescent="0.25">
      <c r="C1124" s="206" t="s">
        <v>1910</v>
      </c>
      <c r="D1124" s="206">
        <v>50</v>
      </c>
      <c r="E1124" s="206">
        <v>2397.0908074241711</v>
      </c>
      <c r="F1124" s="206">
        <v>148.388475348707</v>
      </c>
      <c r="G1124" s="206">
        <v>12.916734</v>
      </c>
      <c r="H1124" s="206" t="s">
        <v>771</v>
      </c>
      <c r="I1124" s="206">
        <v>0.65</v>
      </c>
      <c r="J1124" s="206"/>
      <c r="K1124" s="206">
        <v>3</v>
      </c>
      <c r="L1124" s="206" t="s">
        <v>454</v>
      </c>
      <c r="M1124" s="206" t="s">
        <v>413</v>
      </c>
      <c r="N1124" s="206" t="s">
        <v>773</v>
      </c>
      <c r="O1124" s="206" t="s">
        <v>805</v>
      </c>
    </row>
    <row r="1125" spans="3:15" x14ac:dyDescent="0.25">
      <c r="C1125" s="206" t="s">
        <v>1911</v>
      </c>
      <c r="D1125" s="206">
        <v>200</v>
      </c>
      <c r="E1125" s="206">
        <v>1721.4950931551205</v>
      </c>
      <c r="F1125" s="206">
        <v>5647.44771793778</v>
      </c>
      <c r="G1125" s="206">
        <v>5.2646623000000004</v>
      </c>
      <c r="H1125" s="206" t="s">
        <v>771</v>
      </c>
      <c r="I1125" s="206">
        <v>1</v>
      </c>
      <c r="J1125" s="206"/>
      <c r="K1125" s="206">
        <v>3</v>
      </c>
      <c r="L1125" s="206" t="s">
        <v>454</v>
      </c>
      <c r="M1125" s="206" t="s">
        <v>413</v>
      </c>
      <c r="N1125" s="206" t="s">
        <v>773</v>
      </c>
      <c r="O1125" s="206" t="s">
        <v>774</v>
      </c>
    </row>
    <row r="1126" spans="3:15" x14ac:dyDescent="0.25">
      <c r="C1126" s="206" t="s">
        <v>1912</v>
      </c>
      <c r="D1126" s="206">
        <v>50</v>
      </c>
      <c r="E1126" s="206">
        <v>1122.962870746931</v>
      </c>
      <c r="F1126" s="206">
        <v>148.388475348707</v>
      </c>
      <c r="G1126" s="206">
        <v>6.0510902</v>
      </c>
      <c r="H1126" s="206" t="s">
        <v>771</v>
      </c>
      <c r="I1126" s="206">
        <v>0.65</v>
      </c>
      <c r="J1126" s="206"/>
      <c r="K1126" s="206">
        <v>3</v>
      </c>
      <c r="L1126" s="206" t="s">
        <v>454</v>
      </c>
      <c r="M1126" s="206" t="s">
        <v>772</v>
      </c>
      <c r="N1126" s="206" t="s">
        <v>773</v>
      </c>
      <c r="O1126" s="206" t="s">
        <v>774</v>
      </c>
    </row>
    <row r="1127" spans="3:15" x14ac:dyDescent="0.25">
      <c r="C1127" s="206" t="s">
        <v>1913</v>
      </c>
      <c r="D1127" s="206">
        <v>100</v>
      </c>
      <c r="E1127" s="206">
        <v>1554.0331428706488</v>
      </c>
      <c r="F1127" s="206">
        <v>1483.19997479839</v>
      </c>
      <c r="G1127" s="206">
        <v>5.6500935999999999</v>
      </c>
      <c r="H1127" s="206" t="s">
        <v>771</v>
      </c>
      <c r="I1127" s="206">
        <v>1</v>
      </c>
      <c r="J1127" s="206"/>
      <c r="K1127" s="206">
        <v>3</v>
      </c>
      <c r="L1127" s="206" t="s">
        <v>454</v>
      </c>
      <c r="M1127" s="206" t="s">
        <v>772</v>
      </c>
      <c r="N1127" s="206" t="s">
        <v>784</v>
      </c>
      <c r="O1127" s="206" t="s">
        <v>785</v>
      </c>
    </row>
    <row r="1128" spans="3:15" x14ac:dyDescent="0.25">
      <c r="C1128" s="206" t="s">
        <v>1914</v>
      </c>
      <c r="D1128" s="206">
        <v>40</v>
      </c>
      <c r="E1128" s="206">
        <v>736.57125514506515</v>
      </c>
      <c r="F1128" s="206">
        <v>100.29582977294901</v>
      </c>
      <c r="G1128" s="206">
        <v>4.3525314000000002</v>
      </c>
      <c r="H1128" s="206" t="s">
        <v>771</v>
      </c>
      <c r="I1128" s="206">
        <v>1</v>
      </c>
      <c r="J1128" s="206"/>
      <c r="K1128" s="206">
        <v>3</v>
      </c>
      <c r="L1128" s="206" t="s">
        <v>454</v>
      </c>
      <c r="M1128" s="206" t="s">
        <v>791</v>
      </c>
      <c r="N1128" s="206" t="s">
        <v>773</v>
      </c>
      <c r="O1128" s="206" t="s">
        <v>792</v>
      </c>
    </row>
    <row r="1129" spans="3:15" x14ac:dyDescent="0.25">
      <c r="C1129" s="206" t="s">
        <v>1915</v>
      </c>
      <c r="D1129" s="206">
        <v>300</v>
      </c>
      <c r="E1129" s="206">
        <v>5548.3016567820832</v>
      </c>
      <c r="F1129" s="206">
        <v>14313.356977737199</v>
      </c>
      <c r="G1129" s="206">
        <v>15.131349</v>
      </c>
      <c r="H1129" s="206" t="s">
        <v>771</v>
      </c>
      <c r="I1129" s="206">
        <v>0.63217717375457105</v>
      </c>
      <c r="J1129" s="206"/>
      <c r="K1129" s="206">
        <v>3</v>
      </c>
      <c r="L1129" s="206" t="s">
        <v>454</v>
      </c>
      <c r="M1129" s="206" t="s">
        <v>772</v>
      </c>
      <c r="N1129" s="206" t="s">
        <v>773</v>
      </c>
      <c r="O1129" s="206" t="s">
        <v>774</v>
      </c>
    </row>
    <row r="1130" spans="3:15" x14ac:dyDescent="0.25">
      <c r="C1130" s="206" t="s">
        <v>1916</v>
      </c>
      <c r="D1130" s="206">
        <v>20</v>
      </c>
      <c r="E1130" s="206">
        <v>599.10282622351735</v>
      </c>
      <c r="F1130" s="206">
        <v>1.6231137227732699</v>
      </c>
      <c r="G1130" s="206">
        <v>5.1170176999999999</v>
      </c>
      <c r="H1130" s="206" t="s">
        <v>771</v>
      </c>
      <c r="I1130" s="206">
        <v>1</v>
      </c>
      <c r="J1130" s="206"/>
      <c r="K1130" s="206">
        <v>3</v>
      </c>
      <c r="L1130" s="206" t="s">
        <v>454</v>
      </c>
      <c r="M1130" s="206" t="s">
        <v>413</v>
      </c>
      <c r="N1130" s="206" t="s">
        <v>773</v>
      </c>
      <c r="O1130" s="206" t="s">
        <v>774</v>
      </c>
    </row>
    <row r="1131" spans="3:15" x14ac:dyDescent="0.25">
      <c r="C1131" s="206" t="s">
        <v>1917</v>
      </c>
      <c r="D1131" s="206">
        <v>200</v>
      </c>
      <c r="E1131" s="206">
        <v>1367.8428876719415</v>
      </c>
      <c r="F1131" s="206">
        <v>5647.44771793778</v>
      </c>
      <c r="G1131" s="206">
        <v>4.1831259999999997</v>
      </c>
      <c r="H1131" s="206" t="s">
        <v>771</v>
      </c>
      <c r="I1131" s="206">
        <v>1</v>
      </c>
      <c r="J1131" s="206"/>
      <c r="K1131" s="206">
        <v>3</v>
      </c>
      <c r="L1131" s="206" t="s">
        <v>454</v>
      </c>
      <c r="M1131" s="206" t="s">
        <v>772</v>
      </c>
      <c r="N1131" s="206" t="s">
        <v>773</v>
      </c>
      <c r="O1131" s="206" t="s">
        <v>788</v>
      </c>
    </row>
    <row r="1132" spans="3:15" x14ac:dyDescent="0.25">
      <c r="C1132" s="206" t="s">
        <v>1918</v>
      </c>
      <c r="D1132" s="206">
        <v>80</v>
      </c>
      <c r="E1132" s="206">
        <v>468.1357792168871</v>
      </c>
      <c r="F1132" s="206">
        <v>617.18597412109398</v>
      </c>
      <c r="G1132" s="206">
        <v>1.9505414999999999</v>
      </c>
      <c r="H1132" s="206" t="s">
        <v>771</v>
      </c>
      <c r="I1132" s="206">
        <v>0.7294998052048729</v>
      </c>
      <c r="J1132" s="206"/>
      <c r="K1132" s="206">
        <v>3</v>
      </c>
      <c r="L1132" s="206" t="s">
        <v>454</v>
      </c>
      <c r="M1132" s="206" t="s">
        <v>772</v>
      </c>
      <c r="N1132" s="206" t="s">
        <v>773</v>
      </c>
      <c r="O1132" s="206" t="s">
        <v>774</v>
      </c>
    </row>
    <row r="1133" spans="3:15" x14ac:dyDescent="0.25">
      <c r="C1133" s="206" t="s">
        <v>1919</v>
      </c>
      <c r="D1133" s="206">
        <v>20</v>
      </c>
      <c r="E1133" s="206">
        <v>1003.8195977231994</v>
      </c>
      <c r="F1133" s="206">
        <v>1.6231137227732699</v>
      </c>
      <c r="G1133" s="206">
        <v>8.5737579999999998</v>
      </c>
      <c r="H1133" s="206" t="s">
        <v>771</v>
      </c>
      <c r="I1133" s="206">
        <v>1</v>
      </c>
      <c r="J1133" s="206"/>
      <c r="K1133" s="206">
        <v>3</v>
      </c>
      <c r="L1133" s="206" t="s">
        <v>454</v>
      </c>
      <c r="M1133" s="206" t="s">
        <v>413</v>
      </c>
      <c r="N1133" s="206" t="s">
        <v>773</v>
      </c>
      <c r="O1133" s="206" t="s">
        <v>774</v>
      </c>
    </row>
    <row r="1134" spans="3:15" x14ac:dyDescent="0.25">
      <c r="C1134" s="206" t="s">
        <v>1920</v>
      </c>
      <c r="D1134" s="206">
        <v>200</v>
      </c>
      <c r="E1134" s="206">
        <v>2010.048517819861</v>
      </c>
      <c r="F1134" s="206">
        <v>5825.9935531513001</v>
      </c>
      <c r="G1134" s="206">
        <v>6.1271987000000001</v>
      </c>
      <c r="H1134" s="206" t="s">
        <v>771</v>
      </c>
      <c r="I1134" s="206">
        <v>1</v>
      </c>
      <c r="J1134" s="206"/>
      <c r="K1134" s="206">
        <v>3</v>
      </c>
      <c r="L1134" s="206" t="s">
        <v>454</v>
      </c>
      <c r="M1134" s="206" t="s">
        <v>791</v>
      </c>
      <c r="N1134" s="206" t="s">
        <v>773</v>
      </c>
      <c r="O1134" s="206" t="s">
        <v>800</v>
      </c>
    </row>
    <row r="1135" spans="3:15" x14ac:dyDescent="0.25">
      <c r="C1135" s="206" t="s">
        <v>1921</v>
      </c>
      <c r="D1135" s="206">
        <v>25</v>
      </c>
      <c r="E1135" s="206">
        <v>231.62438156184737</v>
      </c>
      <c r="F1135" s="206">
        <v>25.546085357666001</v>
      </c>
      <c r="G1135" s="206">
        <v>1.9571798</v>
      </c>
      <c r="H1135" s="206" t="s">
        <v>771</v>
      </c>
      <c r="I1135" s="206">
        <v>0.81000000000011196</v>
      </c>
      <c r="J1135" s="206"/>
      <c r="K1135" s="206">
        <v>3</v>
      </c>
      <c r="L1135" s="206" t="s">
        <v>454</v>
      </c>
      <c r="M1135" s="206" t="s">
        <v>772</v>
      </c>
      <c r="N1135" s="206" t="s">
        <v>773</v>
      </c>
      <c r="O1135" s="206" t="s">
        <v>774</v>
      </c>
    </row>
    <row r="1136" spans="3:15" x14ac:dyDescent="0.25">
      <c r="C1136" s="206" t="s">
        <v>1922</v>
      </c>
      <c r="D1136" s="206">
        <v>40</v>
      </c>
      <c r="E1136" s="206">
        <v>883.22080757943093</v>
      </c>
      <c r="F1136" s="206">
        <v>103.443859683932</v>
      </c>
      <c r="G1136" s="206">
        <v>5.1861889999999997</v>
      </c>
      <c r="H1136" s="206" t="s">
        <v>771</v>
      </c>
      <c r="I1136" s="206">
        <v>0.66</v>
      </c>
      <c r="J1136" s="206"/>
      <c r="K1136" s="206">
        <v>3</v>
      </c>
      <c r="L1136" s="206" t="s">
        <v>454</v>
      </c>
      <c r="M1136" s="206" t="s">
        <v>772</v>
      </c>
      <c r="N1136" s="206" t="s">
        <v>773</v>
      </c>
      <c r="O1136" s="206" t="s">
        <v>774</v>
      </c>
    </row>
    <row r="1137" spans="3:15" x14ac:dyDescent="0.25">
      <c r="C1137" s="206" t="s">
        <v>1923</v>
      </c>
      <c r="D1137" s="206">
        <v>100</v>
      </c>
      <c r="E1137" s="206">
        <v>4918.0882344151532</v>
      </c>
      <c r="F1137" s="206">
        <v>1483.19997479839</v>
      </c>
      <c r="G1137" s="206">
        <v>17.880994999999999</v>
      </c>
      <c r="H1137" s="206" t="s">
        <v>771</v>
      </c>
      <c r="I1137" s="206">
        <v>1</v>
      </c>
      <c r="J1137" s="206"/>
      <c r="K1137" s="206">
        <v>3</v>
      </c>
      <c r="L1137" s="206" t="s">
        <v>454</v>
      </c>
      <c r="M1137" s="206" t="s">
        <v>772</v>
      </c>
      <c r="N1137" s="206" t="s">
        <v>784</v>
      </c>
      <c r="O1137" s="206" t="s">
        <v>785</v>
      </c>
    </row>
    <row r="1138" spans="3:15" x14ac:dyDescent="0.25">
      <c r="C1138" s="206" t="s">
        <v>1924</v>
      </c>
      <c r="D1138" s="206">
        <v>200</v>
      </c>
      <c r="E1138" s="206">
        <v>4016.7127794246203</v>
      </c>
      <c r="F1138" s="206">
        <v>5175.2299023437699</v>
      </c>
      <c r="G1138" s="206">
        <v>12.412015</v>
      </c>
      <c r="H1138" s="206" t="s">
        <v>771</v>
      </c>
      <c r="I1138" s="206">
        <v>0.64</v>
      </c>
      <c r="J1138" s="206"/>
      <c r="K1138" s="206">
        <v>3</v>
      </c>
      <c r="L1138" s="206" t="s">
        <v>454</v>
      </c>
      <c r="M1138" s="206" t="s">
        <v>782</v>
      </c>
      <c r="N1138" s="206" t="s">
        <v>776</v>
      </c>
      <c r="O1138" s="206" t="s">
        <v>776</v>
      </c>
    </row>
    <row r="1139" spans="3:15" x14ac:dyDescent="0.25">
      <c r="C1139" s="206" t="s">
        <v>1925</v>
      </c>
      <c r="D1139" s="206">
        <v>200</v>
      </c>
      <c r="E1139" s="206">
        <v>4292.7051517345371</v>
      </c>
      <c r="F1139" s="206">
        <v>5647.44771793778</v>
      </c>
      <c r="G1139" s="206">
        <v>13.127916000000001</v>
      </c>
      <c r="H1139" s="206" t="s">
        <v>771</v>
      </c>
      <c r="I1139" s="206">
        <v>1</v>
      </c>
      <c r="J1139" s="206"/>
      <c r="K1139" s="206">
        <v>3</v>
      </c>
      <c r="L1139" s="206" t="s">
        <v>454</v>
      </c>
      <c r="M1139" s="206" t="s">
        <v>772</v>
      </c>
      <c r="N1139" s="206" t="s">
        <v>773</v>
      </c>
      <c r="O1139" s="206" t="s">
        <v>774</v>
      </c>
    </row>
    <row r="1140" spans="3:15" x14ac:dyDescent="0.25">
      <c r="C1140" s="206" t="s">
        <v>1926</v>
      </c>
      <c r="D1140" s="206">
        <v>20</v>
      </c>
      <c r="E1140" s="206">
        <v>493.49311819005237</v>
      </c>
      <c r="F1140" s="206">
        <v>1</v>
      </c>
      <c r="G1140" s="206">
        <v>4.2149910000000004</v>
      </c>
      <c r="H1140" s="206" t="s">
        <v>771</v>
      </c>
      <c r="I1140" s="206">
        <v>1</v>
      </c>
      <c r="J1140" s="206"/>
      <c r="K1140" s="206">
        <v>3</v>
      </c>
      <c r="L1140" s="206" t="s">
        <v>454</v>
      </c>
      <c r="M1140" s="206" t="s">
        <v>782</v>
      </c>
      <c r="N1140" s="206" t="s">
        <v>773</v>
      </c>
      <c r="O1140" s="206" t="s">
        <v>805</v>
      </c>
    </row>
    <row r="1141" spans="3:15" x14ac:dyDescent="0.25">
      <c r="C1141" s="206" t="s">
        <v>1927</v>
      </c>
      <c r="D1141" s="206">
        <v>80</v>
      </c>
      <c r="E1141" s="206">
        <v>506.84829452788597</v>
      </c>
      <c r="F1141" s="206">
        <v>562.93208777304994</v>
      </c>
      <c r="G1141" s="206">
        <v>2.1405368</v>
      </c>
      <c r="H1141" s="206" t="s">
        <v>771</v>
      </c>
      <c r="I1141" s="206">
        <v>0.65</v>
      </c>
      <c r="J1141" s="206"/>
      <c r="K1141" s="206">
        <v>3</v>
      </c>
      <c r="L1141" s="206" t="s">
        <v>454</v>
      </c>
      <c r="M1141" s="206" t="s">
        <v>772</v>
      </c>
      <c r="N1141" s="206" t="s">
        <v>773</v>
      </c>
      <c r="O1141" s="206" t="s">
        <v>774</v>
      </c>
    </row>
    <row r="1142" spans="3:15" x14ac:dyDescent="0.25">
      <c r="C1142" s="206" t="s">
        <v>1928</v>
      </c>
      <c r="D1142" s="206">
        <v>40</v>
      </c>
      <c r="E1142" s="206">
        <v>737.42475317058268</v>
      </c>
      <c r="F1142" s="206">
        <v>142.01289367675801</v>
      </c>
      <c r="G1142" s="206">
        <v>4.0194592</v>
      </c>
      <c r="H1142" s="206" t="s">
        <v>771</v>
      </c>
      <c r="I1142" s="206">
        <v>1</v>
      </c>
      <c r="J1142" s="206" t="s">
        <v>795</v>
      </c>
      <c r="K1142" s="206"/>
      <c r="L1142" s="206"/>
      <c r="M1142" s="206"/>
      <c r="N1142" s="206"/>
      <c r="O1142" s="206"/>
    </row>
    <row r="1143" spans="3:15" x14ac:dyDescent="0.25">
      <c r="C1143" s="206" t="s">
        <v>1929</v>
      </c>
      <c r="D1143" s="206">
        <v>400</v>
      </c>
      <c r="E1143" s="206">
        <v>3169.3090615372034</v>
      </c>
      <c r="F1143" s="206">
        <v>27339.509060267901</v>
      </c>
      <c r="G1143" s="206">
        <v>8.1071249999999999</v>
      </c>
      <c r="H1143" s="206" t="s">
        <v>771</v>
      </c>
      <c r="I1143" s="206">
        <v>0.62</v>
      </c>
      <c r="J1143" s="206"/>
      <c r="K1143" s="206">
        <v>3</v>
      </c>
      <c r="L1143" s="206" t="s">
        <v>454</v>
      </c>
      <c r="M1143" s="206" t="s">
        <v>413</v>
      </c>
      <c r="N1143" s="206" t="s">
        <v>776</v>
      </c>
      <c r="O1143" s="206" t="s">
        <v>776</v>
      </c>
    </row>
    <row r="1144" spans="3:15" x14ac:dyDescent="0.25">
      <c r="C1144" s="206" t="s">
        <v>1930</v>
      </c>
      <c r="D1144" s="206">
        <v>250</v>
      </c>
      <c r="E1144" s="206">
        <v>487.52233688029588</v>
      </c>
      <c r="F1144" s="206">
        <v>8545.7785573379497</v>
      </c>
      <c r="G1144" s="206">
        <v>1.4111707</v>
      </c>
      <c r="H1144" s="206" t="s">
        <v>771</v>
      </c>
      <c r="I1144" s="206">
        <v>1</v>
      </c>
      <c r="J1144" s="206"/>
      <c r="K1144" s="206">
        <v>3</v>
      </c>
      <c r="L1144" s="206" t="s">
        <v>454</v>
      </c>
      <c r="M1144" s="206" t="s">
        <v>772</v>
      </c>
      <c r="N1144" s="206" t="s">
        <v>932</v>
      </c>
      <c r="O1144" s="206" t="s">
        <v>788</v>
      </c>
    </row>
    <row r="1145" spans="3:15" x14ac:dyDescent="0.25">
      <c r="C1145" s="206" t="s">
        <v>1931</v>
      </c>
      <c r="D1145" s="206">
        <v>250</v>
      </c>
      <c r="E1145" s="206">
        <v>6771.9371048280682</v>
      </c>
      <c r="F1145" s="206">
        <v>8864.2378461951503</v>
      </c>
      <c r="G1145" s="206">
        <v>19.535578000000001</v>
      </c>
      <c r="H1145" s="206" t="s">
        <v>771</v>
      </c>
      <c r="I1145" s="206">
        <v>1</v>
      </c>
      <c r="J1145" s="206"/>
      <c r="K1145" s="206">
        <v>3</v>
      </c>
      <c r="L1145" s="206" t="s">
        <v>454</v>
      </c>
      <c r="M1145" s="206" t="s">
        <v>413</v>
      </c>
      <c r="N1145" s="206" t="s">
        <v>773</v>
      </c>
      <c r="O1145" s="206" t="s">
        <v>788</v>
      </c>
    </row>
    <row r="1146" spans="3:15" x14ac:dyDescent="0.25">
      <c r="C1146" s="206" t="s">
        <v>1932</v>
      </c>
      <c r="D1146" s="206">
        <v>40</v>
      </c>
      <c r="E1146" s="206">
        <v>832.21355338707917</v>
      </c>
      <c r="F1146" s="206">
        <v>116.80722045898401</v>
      </c>
      <c r="G1146" s="206">
        <v>4.7592439999999998</v>
      </c>
      <c r="H1146" s="206" t="s">
        <v>771</v>
      </c>
      <c r="I1146" s="206">
        <v>0.72000000000000142</v>
      </c>
      <c r="J1146" s="206"/>
      <c r="K1146" s="206">
        <v>3</v>
      </c>
      <c r="L1146" s="206" t="s">
        <v>454</v>
      </c>
      <c r="M1146" s="206" t="s">
        <v>772</v>
      </c>
      <c r="N1146" s="206" t="s">
        <v>773</v>
      </c>
      <c r="O1146" s="206" t="s">
        <v>774</v>
      </c>
    </row>
    <row r="1147" spans="3:15" x14ac:dyDescent="0.25">
      <c r="C1147" s="206" t="s">
        <v>1933</v>
      </c>
      <c r="D1147" s="206">
        <v>125</v>
      </c>
      <c r="E1147" s="206">
        <v>13620.894628516993</v>
      </c>
      <c r="F1147" s="206">
        <v>1648.58963202582</v>
      </c>
      <c r="G1147" s="206">
        <v>48.782264353531502</v>
      </c>
      <c r="H1147" s="206" t="s">
        <v>771</v>
      </c>
      <c r="I1147" s="206">
        <v>0.63</v>
      </c>
      <c r="J1147" s="206"/>
      <c r="K1147" s="206">
        <v>3</v>
      </c>
      <c r="L1147" s="206" t="s">
        <v>454</v>
      </c>
      <c r="M1147" s="206" t="s">
        <v>772</v>
      </c>
      <c r="N1147" s="206" t="s">
        <v>773</v>
      </c>
      <c r="O1147" s="206" t="s">
        <v>774</v>
      </c>
    </row>
    <row r="1148" spans="3:15" x14ac:dyDescent="0.25">
      <c r="C1148" s="206" t="s">
        <v>1934</v>
      </c>
      <c r="D1148" s="206">
        <v>50</v>
      </c>
      <c r="E1148" s="206">
        <v>2061.1233633078773</v>
      </c>
      <c r="F1148" s="206">
        <v>148.388475348707</v>
      </c>
      <c r="G1148" s="206">
        <v>11.106372</v>
      </c>
      <c r="H1148" s="206" t="s">
        <v>771</v>
      </c>
      <c r="I1148" s="206">
        <v>0.65</v>
      </c>
      <c r="J1148" s="206"/>
      <c r="K1148" s="206">
        <v>3</v>
      </c>
      <c r="L1148" s="206" t="s">
        <v>454</v>
      </c>
      <c r="M1148" s="206" t="s">
        <v>782</v>
      </c>
      <c r="N1148" s="206" t="s">
        <v>776</v>
      </c>
      <c r="O1148" s="206" t="s">
        <v>776</v>
      </c>
    </row>
    <row r="1149" spans="3:15" x14ac:dyDescent="0.25">
      <c r="C1149" s="206" t="s">
        <v>1935</v>
      </c>
      <c r="D1149" s="206">
        <v>40</v>
      </c>
      <c r="E1149" s="206">
        <v>1321.9897485488509</v>
      </c>
      <c r="F1149" s="206">
        <v>116.80722045898401</v>
      </c>
      <c r="G1149" s="206">
        <v>7.5601649999999996</v>
      </c>
      <c r="H1149" s="206" t="s">
        <v>771</v>
      </c>
      <c r="I1149" s="206">
        <v>0.72000000000000142</v>
      </c>
      <c r="J1149" s="206" t="s">
        <v>795</v>
      </c>
      <c r="K1149" s="206"/>
      <c r="L1149" s="206"/>
      <c r="M1149" s="206"/>
      <c r="N1149" s="206"/>
      <c r="O1149" s="206"/>
    </row>
    <row r="1150" spans="3:15" x14ac:dyDescent="0.25">
      <c r="C1150" s="206" t="s">
        <v>1936</v>
      </c>
      <c r="D1150" s="206">
        <v>400</v>
      </c>
      <c r="E1150" s="206">
        <v>2954.8445919902715</v>
      </c>
      <c r="F1150" s="206">
        <v>27007.699886683899</v>
      </c>
      <c r="G1150" s="206">
        <v>7.5666245999999999</v>
      </c>
      <c r="H1150" s="206" t="s">
        <v>771</v>
      </c>
      <c r="I1150" s="206">
        <v>0.62</v>
      </c>
      <c r="J1150" s="206"/>
      <c r="K1150" s="206">
        <v>3</v>
      </c>
      <c r="L1150" s="206" t="s">
        <v>454</v>
      </c>
      <c r="M1150" s="206" t="s">
        <v>791</v>
      </c>
      <c r="N1150" s="206" t="s">
        <v>773</v>
      </c>
      <c r="O1150" s="206" t="s">
        <v>800</v>
      </c>
    </row>
    <row r="1151" spans="3:15" x14ac:dyDescent="0.25">
      <c r="C1151" s="206" t="s">
        <v>1937</v>
      </c>
      <c r="D1151" s="206">
        <v>20</v>
      </c>
      <c r="E1151" s="206">
        <v>125.44991106886623</v>
      </c>
      <c r="F1151" s="206">
        <v>2.91598506120499</v>
      </c>
      <c r="G1151" s="206">
        <v>0.84469070000000002</v>
      </c>
      <c r="H1151" s="206" t="s">
        <v>771</v>
      </c>
      <c r="I1151" s="206">
        <v>1</v>
      </c>
      <c r="J1151" s="206"/>
      <c r="K1151" s="206">
        <v>3</v>
      </c>
      <c r="L1151" s="206" t="s">
        <v>454</v>
      </c>
      <c r="M1151" s="206" t="s">
        <v>772</v>
      </c>
      <c r="N1151" s="206" t="s">
        <v>773</v>
      </c>
      <c r="O1151" s="206" t="s">
        <v>774</v>
      </c>
    </row>
    <row r="1152" spans="3:15" x14ac:dyDescent="0.25">
      <c r="C1152" s="206" t="s">
        <v>1938</v>
      </c>
      <c r="D1152" s="206">
        <v>200</v>
      </c>
      <c r="E1152" s="206">
        <v>2550.7497871930768</v>
      </c>
      <c r="F1152" s="206">
        <v>5175.2299023437699</v>
      </c>
      <c r="G1152" s="206">
        <v>7.8820534000000002</v>
      </c>
      <c r="H1152" s="206" t="s">
        <v>771</v>
      </c>
      <c r="I1152" s="206">
        <v>0.64</v>
      </c>
      <c r="J1152" s="206"/>
      <c r="K1152" s="206">
        <v>3</v>
      </c>
      <c r="L1152" s="206" t="s">
        <v>454</v>
      </c>
      <c r="M1152" s="206" t="s">
        <v>413</v>
      </c>
      <c r="N1152" s="206" t="s">
        <v>776</v>
      </c>
      <c r="O1152" s="206" t="s">
        <v>776</v>
      </c>
    </row>
    <row r="1153" spans="3:15" x14ac:dyDescent="0.25">
      <c r="C1153" s="206" t="s">
        <v>1939</v>
      </c>
      <c r="D1153" s="206">
        <v>80</v>
      </c>
      <c r="E1153" s="206">
        <v>7267.8821698220645</v>
      </c>
      <c r="F1153" s="206">
        <v>718.40552917289199</v>
      </c>
      <c r="G1153" s="206">
        <v>32.021590000000003</v>
      </c>
      <c r="H1153" s="206" t="s">
        <v>771</v>
      </c>
      <c r="I1153" s="206">
        <v>1</v>
      </c>
      <c r="J1153" s="206"/>
      <c r="K1153" s="206">
        <v>3</v>
      </c>
      <c r="L1153" s="206" t="s">
        <v>454</v>
      </c>
      <c r="M1153" s="206" t="s">
        <v>810</v>
      </c>
      <c r="N1153" s="206" t="s">
        <v>784</v>
      </c>
      <c r="O1153" s="206" t="s">
        <v>792</v>
      </c>
    </row>
    <row r="1154" spans="3:15" x14ac:dyDescent="0.25">
      <c r="C1154" s="206" t="s">
        <v>1940</v>
      </c>
      <c r="D1154" s="206">
        <v>80</v>
      </c>
      <c r="E1154" s="206">
        <v>1872.8433186421917</v>
      </c>
      <c r="F1154" s="206">
        <v>706.86673929383096</v>
      </c>
      <c r="G1154" s="206">
        <v>8.2477289999999996</v>
      </c>
      <c r="H1154" s="206" t="s">
        <v>771</v>
      </c>
      <c r="I1154" s="206">
        <v>1</v>
      </c>
      <c r="J1154" s="206"/>
      <c r="K1154" s="206">
        <v>3</v>
      </c>
      <c r="L1154" s="206" t="s">
        <v>454</v>
      </c>
      <c r="M1154" s="206" t="s">
        <v>413</v>
      </c>
      <c r="N1154" s="206" t="s">
        <v>822</v>
      </c>
      <c r="O1154" s="206" t="s">
        <v>792</v>
      </c>
    </row>
    <row r="1155" spans="3:15" x14ac:dyDescent="0.25">
      <c r="C1155" s="206" t="s">
        <v>1941</v>
      </c>
      <c r="D1155" s="206">
        <v>400</v>
      </c>
      <c r="E1155" s="206">
        <v>6282.1511870427539</v>
      </c>
      <c r="F1155" s="206">
        <v>27339.509060267901</v>
      </c>
      <c r="G1155" s="206">
        <v>16.069807000000001</v>
      </c>
      <c r="H1155" s="206" t="s">
        <v>771</v>
      </c>
      <c r="I1155" s="206">
        <v>0.62</v>
      </c>
      <c r="J1155" s="206"/>
      <c r="K1155" s="206">
        <v>3</v>
      </c>
      <c r="L1155" s="206" t="s">
        <v>454</v>
      </c>
      <c r="M1155" s="206" t="s">
        <v>782</v>
      </c>
      <c r="N1155" s="206" t="s">
        <v>776</v>
      </c>
      <c r="O1155" s="206" t="s">
        <v>776</v>
      </c>
    </row>
    <row r="1156" spans="3:15" x14ac:dyDescent="0.25">
      <c r="C1156" s="206" t="s">
        <v>1942</v>
      </c>
      <c r="D1156" s="206">
        <v>40</v>
      </c>
      <c r="E1156" s="206">
        <v>416.12720063966123</v>
      </c>
      <c r="F1156" s="206">
        <v>116.80722045898401</v>
      </c>
      <c r="G1156" s="206">
        <v>2.3797388000000002</v>
      </c>
      <c r="H1156" s="206" t="s">
        <v>771</v>
      </c>
      <c r="I1156" s="206">
        <v>0.72000000000000142</v>
      </c>
      <c r="J1156" s="206"/>
      <c r="K1156" s="206">
        <v>3</v>
      </c>
      <c r="L1156" s="206" t="s">
        <v>454</v>
      </c>
      <c r="M1156" s="206" t="s">
        <v>772</v>
      </c>
      <c r="N1156" s="206" t="s">
        <v>773</v>
      </c>
      <c r="O1156" s="206" t="s">
        <v>774</v>
      </c>
    </row>
    <row r="1157" spans="3:15" x14ac:dyDescent="0.25">
      <c r="C1157" s="206" t="s">
        <v>1943</v>
      </c>
      <c r="D1157" s="206">
        <v>40</v>
      </c>
      <c r="E1157" s="206">
        <v>1721.228278971909</v>
      </c>
      <c r="F1157" s="206">
        <v>123.16650390625</v>
      </c>
      <c r="G1157" s="206">
        <v>9.722664</v>
      </c>
      <c r="H1157" s="206" t="s">
        <v>771</v>
      </c>
      <c r="I1157" s="206">
        <v>1</v>
      </c>
      <c r="J1157" s="206" t="s">
        <v>795</v>
      </c>
      <c r="K1157" s="206"/>
      <c r="L1157" s="206"/>
      <c r="M1157" s="206"/>
      <c r="N1157" s="206"/>
      <c r="O1157" s="206"/>
    </row>
    <row r="1158" spans="3:15" x14ac:dyDescent="0.25">
      <c r="C1158" s="206" t="s">
        <v>1944</v>
      </c>
      <c r="D1158" s="206">
        <v>200</v>
      </c>
      <c r="E1158" s="206">
        <v>2351.3401392465257</v>
      </c>
      <c r="F1158" s="206">
        <v>5647.44771793778</v>
      </c>
      <c r="G1158" s="206">
        <v>7.1908493</v>
      </c>
      <c r="H1158" s="206" t="s">
        <v>771</v>
      </c>
      <c r="I1158" s="206">
        <v>1</v>
      </c>
      <c r="J1158" s="206"/>
      <c r="K1158" s="206">
        <v>3</v>
      </c>
      <c r="L1158" s="206" t="s">
        <v>454</v>
      </c>
      <c r="M1158" s="206" t="s">
        <v>413</v>
      </c>
      <c r="N1158" s="206" t="s">
        <v>773</v>
      </c>
      <c r="O1158" s="206" t="s">
        <v>774</v>
      </c>
    </row>
    <row r="1159" spans="3:15" x14ac:dyDescent="0.25">
      <c r="C1159" s="206" t="s">
        <v>1945</v>
      </c>
      <c r="D1159" s="206">
        <v>125</v>
      </c>
      <c r="E1159" s="206">
        <v>2532.1391394918819</v>
      </c>
      <c r="F1159" s="206">
        <v>1523.083984375</v>
      </c>
      <c r="G1159" s="206">
        <v>9.1511949999999995</v>
      </c>
      <c r="H1159" s="206" t="s">
        <v>771</v>
      </c>
      <c r="I1159" s="206">
        <v>0.80547730167345055</v>
      </c>
      <c r="J1159" s="206"/>
      <c r="K1159" s="206">
        <v>3</v>
      </c>
      <c r="L1159" s="206" t="s">
        <v>454</v>
      </c>
      <c r="M1159" s="206" t="s">
        <v>772</v>
      </c>
      <c r="N1159" s="206" t="s">
        <v>773</v>
      </c>
      <c r="O1159" s="206" t="s">
        <v>788</v>
      </c>
    </row>
    <row r="1160" spans="3:15" x14ac:dyDescent="0.25">
      <c r="C1160" s="206" t="s">
        <v>1946</v>
      </c>
      <c r="D1160" s="206">
        <v>125</v>
      </c>
      <c r="E1160" s="206">
        <v>7099.3985103193672</v>
      </c>
      <c r="F1160" s="206">
        <v>1523.083984375</v>
      </c>
      <c r="G1160" s="206">
        <v>25.657350000000001</v>
      </c>
      <c r="H1160" s="206" t="s">
        <v>771</v>
      </c>
      <c r="I1160" s="206">
        <v>0.81852807263232763</v>
      </c>
      <c r="J1160" s="206"/>
      <c r="K1160" s="206">
        <v>3</v>
      </c>
      <c r="L1160" s="206" t="s">
        <v>454</v>
      </c>
      <c r="M1160" s="206" t="s">
        <v>413</v>
      </c>
      <c r="N1160" s="206" t="s">
        <v>773</v>
      </c>
      <c r="O1160" s="206" t="s">
        <v>805</v>
      </c>
    </row>
    <row r="1161" spans="3:15" x14ac:dyDescent="0.25">
      <c r="C1161" s="206" t="s">
        <v>1947</v>
      </c>
      <c r="D1161" s="206">
        <v>200</v>
      </c>
      <c r="E1161" s="206">
        <v>1135.632212235148</v>
      </c>
      <c r="F1161" s="206">
        <v>5647.44771793778</v>
      </c>
      <c r="G1161" s="206">
        <v>3.4729812</v>
      </c>
      <c r="H1161" s="206" t="s">
        <v>771</v>
      </c>
      <c r="I1161" s="206">
        <v>1</v>
      </c>
      <c r="J1161" s="206"/>
      <c r="K1161" s="206">
        <v>3</v>
      </c>
      <c r="L1161" s="206" t="s">
        <v>454</v>
      </c>
      <c r="M1161" s="206" t="s">
        <v>772</v>
      </c>
      <c r="N1161" s="206" t="s">
        <v>773</v>
      </c>
      <c r="O1161" s="206" t="s">
        <v>788</v>
      </c>
    </row>
    <row r="1162" spans="3:15" x14ac:dyDescent="0.25">
      <c r="C1162" s="206" t="s">
        <v>1948</v>
      </c>
      <c r="D1162" s="206">
        <v>20</v>
      </c>
      <c r="E1162" s="206">
        <v>1702.8315542496948</v>
      </c>
      <c r="F1162" s="206">
        <v>1</v>
      </c>
      <c r="G1162" s="206">
        <v>14.544112999999999</v>
      </c>
      <c r="H1162" s="206" t="s">
        <v>771</v>
      </c>
      <c r="I1162" s="206">
        <v>1</v>
      </c>
      <c r="J1162" s="206"/>
      <c r="K1162" s="206">
        <v>3</v>
      </c>
      <c r="L1162" s="206" t="s">
        <v>454</v>
      </c>
      <c r="M1162" s="206" t="s">
        <v>413</v>
      </c>
      <c r="N1162" s="206" t="s">
        <v>776</v>
      </c>
      <c r="O1162" s="206" t="s">
        <v>776</v>
      </c>
    </row>
    <row r="1163" spans="3:15" x14ac:dyDescent="0.25">
      <c r="C1163" s="206" t="s">
        <v>1949</v>
      </c>
      <c r="D1163" s="206">
        <v>20</v>
      </c>
      <c r="E1163" s="206">
        <v>907.69860595694399</v>
      </c>
      <c r="F1163" s="206">
        <v>2.5387595042702702</v>
      </c>
      <c r="G1163" s="206">
        <v>7.7527756999999999</v>
      </c>
      <c r="H1163" s="206" t="s">
        <v>771</v>
      </c>
      <c r="I1163" s="206">
        <v>1</v>
      </c>
      <c r="J1163" s="206"/>
      <c r="K1163" s="206">
        <v>3</v>
      </c>
      <c r="L1163" s="206" t="s">
        <v>454</v>
      </c>
      <c r="M1163" s="206" t="s">
        <v>782</v>
      </c>
      <c r="N1163" s="206" t="s">
        <v>776</v>
      </c>
      <c r="O1163" s="206" t="s">
        <v>776</v>
      </c>
    </row>
    <row r="1164" spans="3:15" x14ac:dyDescent="0.25">
      <c r="C1164" s="206" t="s">
        <v>1950</v>
      </c>
      <c r="D1164" s="206">
        <v>50</v>
      </c>
      <c r="E1164" s="206">
        <v>1030.2422238005909</v>
      </c>
      <c r="F1164" s="206">
        <v>148.388475348707</v>
      </c>
      <c r="G1164" s="206">
        <v>5.5514646000000001</v>
      </c>
      <c r="H1164" s="206" t="s">
        <v>771</v>
      </c>
      <c r="I1164" s="206">
        <v>0.65</v>
      </c>
      <c r="J1164" s="206"/>
      <c r="K1164" s="206">
        <v>3</v>
      </c>
      <c r="L1164" s="206" t="s">
        <v>454</v>
      </c>
      <c r="M1164" s="206" t="s">
        <v>772</v>
      </c>
      <c r="N1164" s="206" t="s">
        <v>773</v>
      </c>
      <c r="O1164" s="206" t="s">
        <v>774</v>
      </c>
    </row>
    <row r="1165" spans="3:15" x14ac:dyDescent="0.25">
      <c r="C1165" s="206" t="s">
        <v>1951</v>
      </c>
      <c r="D1165" s="206">
        <v>40</v>
      </c>
      <c r="E1165" s="206">
        <v>1398.1549505176279</v>
      </c>
      <c r="F1165" s="206">
        <v>141.25015258789099</v>
      </c>
      <c r="G1165" s="206">
        <v>7.6317085999999996</v>
      </c>
      <c r="H1165" s="206" t="s">
        <v>771</v>
      </c>
      <c r="I1165" s="206">
        <v>1</v>
      </c>
      <c r="J1165" s="206" t="s">
        <v>795</v>
      </c>
      <c r="K1165" s="206"/>
      <c r="L1165" s="206"/>
      <c r="M1165" s="206"/>
      <c r="N1165" s="206"/>
      <c r="O1165" s="206"/>
    </row>
    <row r="1166" spans="3:15" x14ac:dyDescent="0.25">
      <c r="C1166" s="206" t="s">
        <v>1952</v>
      </c>
      <c r="D1166" s="206">
        <v>50</v>
      </c>
      <c r="E1166" s="206">
        <v>954.97168836247715</v>
      </c>
      <c r="F1166" s="206">
        <v>148.388475348707</v>
      </c>
      <c r="G1166" s="206">
        <v>5.1458690000000002</v>
      </c>
      <c r="H1166" s="206" t="s">
        <v>771</v>
      </c>
      <c r="I1166" s="206">
        <v>0.65</v>
      </c>
      <c r="J1166" s="206"/>
      <c r="K1166" s="206">
        <v>3</v>
      </c>
      <c r="L1166" s="206" t="s">
        <v>454</v>
      </c>
      <c r="M1166" s="206" t="s">
        <v>772</v>
      </c>
      <c r="N1166" s="206" t="s">
        <v>773</v>
      </c>
      <c r="O1166" s="206" t="s">
        <v>774</v>
      </c>
    </row>
    <row r="1167" spans="3:15" x14ac:dyDescent="0.25">
      <c r="C1167" s="206" t="s">
        <v>1953</v>
      </c>
      <c r="D1167" s="206">
        <v>400</v>
      </c>
      <c r="E1167" s="206">
        <v>3270.3090950537603</v>
      </c>
      <c r="F1167" s="206">
        <v>27007.699886683899</v>
      </c>
      <c r="G1167" s="206">
        <v>8.3744510000000005</v>
      </c>
      <c r="H1167" s="206" t="s">
        <v>771</v>
      </c>
      <c r="I1167" s="206">
        <v>0.62</v>
      </c>
      <c r="J1167" s="206"/>
      <c r="K1167" s="206">
        <v>3</v>
      </c>
      <c r="L1167" s="206" t="s">
        <v>454</v>
      </c>
      <c r="M1167" s="206" t="s">
        <v>791</v>
      </c>
      <c r="N1167" s="206" t="s">
        <v>773</v>
      </c>
      <c r="O1167" s="206" t="s">
        <v>800</v>
      </c>
    </row>
    <row r="1168" spans="3:15" x14ac:dyDescent="0.25">
      <c r="C1168" s="206" t="s">
        <v>1954</v>
      </c>
      <c r="D1168" s="206">
        <v>150</v>
      </c>
      <c r="E1168" s="206">
        <v>949.83810436153522</v>
      </c>
      <c r="F1168" s="206">
        <v>3727.9958740168299</v>
      </c>
      <c r="G1168" s="206">
        <v>3.0444270000000002</v>
      </c>
      <c r="H1168" s="206" t="s">
        <v>771</v>
      </c>
      <c r="I1168" s="206">
        <v>0.64</v>
      </c>
      <c r="J1168" s="206"/>
      <c r="K1168" s="206">
        <v>3</v>
      </c>
      <c r="L1168" s="206" t="s">
        <v>454</v>
      </c>
      <c r="M1168" s="206" t="s">
        <v>791</v>
      </c>
      <c r="N1168" s="206" t="s">
        <v>773</v>
      </c>
      <c r="O1168" s="206" t="s">
        <v>800</v>
      </c>
    </row>
    <row r="1169" spans="3:15" x14ac:dyDescent="0.25">
      <c r="C1169" s="206" t="s">
        <v>1955</v>
      </c>
      <c r="D1169" s="206">
        <v>20</v>
      </c>
      <c r="E1169" s="206">
        <v>571.91513759038628</v>
      </c>
      <c r="F1169" s="206">
        <v>2.5387595042702702</v>
      </c>
      <c r="G1169" s="206">
        <v>4.8848039999999999</v>
      </c>
      <c r="H1169" s="206" t="s">
        <v>771</v>
      </c>
      <c r="I1169" s="206">
        <v>1</v>
      </c>
      <c r="J1169" s="206"/>
      <c r="K1169" s="206">
        <v>3</v>
      </c>
      <c r="L1169" s="206" t="s">
        <v>454</v>
      </c>
      <c r="M1169" s="206" t="s">
        <v>413</v>
      </c>
      <c r="N1169" s="206" t="s">
        <v>776</v>
      </c>
      <c r="O1169" s="206" t="s">
        <v>776</v>
      </c>
    </row>
    <row r="1170" spans="3:15" x14ac:dyDescent="0.25">
      <c r="C1170" s="206" t="s">
        <v>1956</v>
      </c>
      <c r="D1170" s="206">
        <v>65</v>
      </c>
      <c r="E1170" s="206">
        <v>208.16041060974678</v>
      </c>
      <c r="F1170" s="206">
        <v>374.62326049804699</v>
      </c>
      <c r="G1170" s="206">
        <v>0.94826149999999998</v>
      </c>
      <c r="H1170" s="206" t="s">
        <v>771</v>
      </c>
      <c r="I1170" s="206">
        <v>0.70000000000000029</v>
      </c>
      <c r="J1170" s="206"/>
      <c r="K1170" s="206">
        <v>3</v>
      </c>
      <c r="L1170" s="206" t="s">
        <v>454</v>
      </c>
      <c r="M1170" s="206" t="s">
        <v>791</v>
      </c>
      <c r="N1170" s="206" t="s">
        <v>773</v>
      </c>
      <c r="O1170" s="206" t="s">
        <v>800</v>
      </c>
    </row>
    <row r="1171" spans="3:15" x14ac:dyDescent="0.25">
      <c r="C1171" s="206" t="s">
        <v>1957</v>
      </c>
      <c r="D1171" s="206">
        <v>125</v>
      </c>
      <c r="E1171" s="206">
        <v>2940.9633984352199</v>
      </c>
      <c r="F1171" s="206">
        <v>1523.083984375</v>
      </c>
      <c r="G1171" s="206">
        <v>10.628693</v>
      </c>
      <c r="H1171" s="206" t="s">
        <v>771</v>
      </c>
      <c r="I1171" s="206">
        <v>0.80547730167345055</v>
      </c>
      <c r="J1171" s="206"/>
      <c r="K1171" s="206">
        <v>3</v>
      </c>
      <c r="L1171" s="206" t="s">
        <v>454</v>
      </c>
      <c r="M1171" s="206" t="s">
        <v>772</v>
      </c>
      <c r="N1171" s="206" t="s">
        <v>934</v>
      </c>
      <c r="O1171" s="206" t="s">
        <v>788</v>
      </c>
    </row>
    <row r="1172" spans="3:15" x14ac:dyDescent="0.25">
      <c r="C1172" s="206" t="s">
        <v>1958</v>
      </c>
      <c r="D1172" s="206">
        <v>40</v>
      </c>
      <c r="E1172" s="206">
        <v>313.94387252128337</v>
      </c>
      <c r="F1172" s="206">
        <v>116.80722045898401</v>
      </c>
      <c r="G1172" s="206">
        <v>1.7953751</v>
      </c>
      <c r="H1172" s="206" t="s">
        <v>771</v>
      </c>
      <c r="I1172" s="206">
        <v>0.72000000000000142</v>
      </c>
      <c r="J1172" s="206"/>
      <c r="K1172" s="206">
        <v>3</v>
      </c>
      <c r="L1172" s="206" t="s">
        <v>454</v>
      </c>
      <c r="M1172" s="206" t="s">
        <v>772</v>
      </c>
      <c r="N1172" s="206" t="s">
        <v>773</v>
      </c>
      <c r="O1172" s="206" t="s">
        <v>774</v>
      </c>
    </row>
    <row r="1173" spans="3:15" x14ac:dyDescent="0.25">
      <c r="C1173" s="206" t="s">
        <v>1959</v>
      </c>
      <c r="D1173" s="206">
        <v>125</v>
      </c>
      <c r="E1173" s="206">
        <v>10225.797372723591</v>
      </c>
      <c r="F1173" s="206">
        <v>1523.083984375</v>
      </c>
      <c r="G1173" s="206">
        <v>36.956209999999999</v>
      </c>
      <c r="H1173" s="206" t="s">
        <v>771</v>
      </c>
      <c r="I1173" s="206">
        <v>0.98336037064976189</v>
      </c>
      <c r="J1173" s="206" t="s">
        <v>795</v>
      </c>
      <c r="K1173" s="206"/>
      <c r="L1173" s="206"/>
      <c r="M1173" s="206"/>
      <c r="N1173" s="206"/>
      <c r="O1173" s="206"/>
    </row>
    <row r="1174" spans="3:15" x14ac:dyDescent="0.25">
      <c r="C1174" s="206" t="s">
        <v>1960</v>
      </c>
      <c r="D1174" s="206">
        <v>80</v>
      </c>
      <c r="E1174" s="206">
        <v>453.1129866916163</v>
      </c>
      <c r="F1174" s="206">
        <v>679.71806616464198</v>
      </c>
      <c r="G1174" s="206">
        <v>1.8592204000000001</v>
      </c>
      <c r="H1174" s="206" t="s">
        <v>771</v>
      </c>
      <c r="I1174" s="206">
        <v>0.67</v>
      </c>
      <c r="J1174" s="206"/>
      <c r="K1174" s="206">
        <v>3</v>
      </c>
      <c r="L1174" s="206" t="s">
        <v>454</v>
      </c>
      <c r="M1174" s="206" t="s">
        <v>791</v>
      </c>
      <c r="N1174" s="206" t="s">
        <v>773</v>
      </c>
      <c r="O1174" s="206" t="s">
        <v>792</v>
      </c>
    </row>
    <row r="1175" spans="3:15" x14ac:dyDescent="0.25">
      <c r="C1175" s="206" t="s">
        <v>1961</v>
      </c>
      <c r="D1175" s="206">
        <v>80</v>
      </c>
      <c r="E1175" s="206">
        <v>158.76594781542096</v>
      </c>
      <c r="F1175" s="206">
        <v>709.63623789476401</v>
      </c>
      <c r="G1175" s="206">
        <v>0.69950749999999995</v>
      </c>
      <c r="H1175" s="206" t="s">
        <v>771</v>
      </c>
      <c r="I1175" s="206">
        <v>1</v>
      </c>
      <c r="J1175" s="206"/>
      <c r="K1175" s="206">
        <v>3</v>
      </c>
      <c r="L1175" s="206" t="s">
        <v>454</v>
      </c>
      <c r="M1175" s="206" t="s">
        <v>413</v>
      </c>
      <c r="N1175" s="206" t="s">
        <v>822</v>
      </c>
      <c r="O1175" s="206" t="s">
        <v>792</v>
      </c>
    </row>
    <row r="1176" spans="3:15" x14ac:dyDescent="0.25">
      <c r="C1176" s="206" t="s">
        <v>1962</v>
      </c>
      <c r="D1176" s="206">
        <v>80</v>
      </c>
      <c r="E1176" s="206">
        <v>1045.5635410006234</v>
      </c>
      <c r="F1176" s="206">
        <v>617.18597412109398</v>
      </c>
      <c r="G1176" s="206">
        <v>4.3564606000000001</v>
      </c>
      <c r="H1176" s="206" t="s">
        <v>771</v>
      </c>
      <c r="I1176" s="206">
        <v>0.7294998052048729</v>
      </c>
      <c r="J1176" s="206"/>
      <c r="K1176" s="206">
        <v>3</v>
      </c>
      <c r="L1176" s="206" t="s">
        <v>454</v>
      </c>
      <c r="M1176" s="206" t="s">
        <v>772</v>
      </c>
      <c r="N1176" s="206" t="s">
        <v>773</v>
      </c>
      <c r="O1176" s="206" t="s">
        <v>774</v>
      </c>
    </row>
    <row r="1177" spans="3:15" x14ac:dyDescent="0.25">
      <c r="C1177" s="206" t="s">
        <v>1963</v>
      </c>
      <c r="D1177" s="206">
        <v>25</v>
      </c>
      <c r="E1177" s="206">
        <v>221.86714102632229</v>
      </c>
      <c r="F1177" s="206">
        <v>30.427696228027301</v>
      </c>
      <c r="G1177" s="206">
        <v>1.7913597999999999</v>
      </c>
      <c r="H1177" s="206" t="s">
        <v>771</v>
      </c>
      <c r="I1177" s="206">
        <v>1</v>
      </c>
      <c r="J1177" s="206"/>
      <c r="K1177" s="206">
        <v>3</v>
      </c>
      <c r="L1177" s="206" t="s">
        <v>454</v>
      </c>
      <c r="M1177" s="206" t="s">
        <v>772</v>
      </c>
      <c r="N1177" s="206" t="s">
        <v>773</v>
      </c>
      <c r="O1177" s="206" t="s">
        <v>774</v>
      </c>
    </row>
    <row r="1178" spans="3:15" x14ac:dyDescent="0.25">
      <c r="C1178" s="206" t="s">
        <v>1964</v>
      </c>
      <c r="D1178" s="206">
        <v>20</v>
      </c>
      <c r="E1178" s="206">
        <v>122.00172284501832</v>
      </c>
      <c r="F1178" s="206">
        <v>2.5526771089644198</v>
      </c>
      <c r="G1178" s="206">
        <v>1.0420331</v>
      </c>
      <c r="H1178" s="206" t="s">
        <v>771</v>
      </c>
      <c r="I1178" s="206">
        <v>1</v>
      </c>
      <c r="J1178" s="206"/>
      <c r="K1178" s="206">
        <v>3</v>
      </c>
      <c r="L1178" s="206" t="s">
        <v>454</v>
      </c>
      <c r="M1178" s="206" t="s">
        <v>413</v>
      </c>
      <c r="N1178" s="206" t="s">
        <v>773</v>
      </c>
      <c r="O1178" s="206" t="s">
        <v>805</v>
      </c>
    </row>
    <row r="1179" spans="3:15" x14ac:dyDescent="0.25">
      <c r="C1179" s="206" t="s">
        <v>1965</v>
      </c>
      <c r="D1179" s="206">
        <v>40</v>
      </c>
      <c r="E1179" s="206">
        <v>994.22148096296428</v>
      </c>
      <c r="F1179" s="206">
        <v>83.601570015664905</v>
      </c>
      <c r="G1179" s="206">
        <v>5.5516189999999996</v>
      </c>
      <c r="H1179" s="206" t="s">
        <v>771</v>
      </c>
      <c r="I1179" s="206">
        <v>0.81</v>
      </c>
      <c r="J1179" s="206"/>
      <c r="K1179" s="206">
        <v>3</v>
      </c>
      <c r="L1179" s="206" t="s">
        <v>454</v>
      </c>
      <c r="M1179" s="206" t="s">
        <v>791</v>
      </c>
      <c r="N1179" s="206" t="s">
        <v>773</v>
      </c>
      <c r="O1179" s="206" t="s">
        <v>792</v>
      </c>
    </row>
    <row r="1180" spans="3:15" x14ac:dyDescent="0.25">
      <c r="C1180" s="206" t="s">
        <v>1966</v>
      </c>
      <c r="D1180" s="206">
        <v>65</v>
      </c>
      <c r="E1180" s="206">
        <v>1153.7012335620693</v>
      </c>
      <c r="F1180" s="206">
        <v>366.340331913667</v>
      </c>
      <c r="G1180" s="206">
        <v>5.3862269999999999</v>
      </c>
      <c r="H1180" s="206" t="s">
        <v>771</v>
      </c>
      <c r="I1180" s="206">
        <v>0.74826912236183685</v>
      </c>
      <c r="J1180" s="206"/>
      <c r="K1180" s="206">
        <v>3</v>
      </c>
      <c r="L1180" s="206" t="s">
        <v>454</v>
      </c>
      <c r="M1180" s="206" t="s">
        <v>772</v>
      </c>
      <c r="N1180" s="206" t="s">
        <v>773</v>
      </c>
      <c r="O1180" s="206" t="s">
        <v>774</v>
      </c>
    </row>
    <row r="1181" spans="3:15" x14ac:dyDescent="0.25">
      <c r="C1181" s="206" t="s">
        <v>1967</v>
      </c>
      <c r="D1181" s="206">
        <v>65</v>
      </c>
      <c r="E1181" s="206">
        <v>6032.6765475568491</v>
      </c>
      <c r="F1181" s="206">
        <v>374.62326049804699</v>
      </c>
      <c r="G1181" s="206">
        <v>27.481473999999999</v>
      </c>
      <c r="H1181" s="206" t="s">
        <v>771</v>
      </c>
      <c r="I1181" s="206">
        <v>0.70000000000000029</v>
      </c>
      <c r="J1181" s="206" t="s">
        <v>795</v>
      </c>
      <c r="K1181" s="206"/>
      <c r="L1181" s="206"/>
      <c r="M1181" s="206"/>
      <c r="N1181" s="206"/>
      <c r="O1181" s="206"/>
    </row>
    <row r="1182" spans="3:15" x14ac:dyDescent="0.25">
      <c r="C1182" s="206" t="s">
        <v>1968</v>
      </c>
      <c r="D1182" s="206">
        <v>50</v>
      </c>
      <c r="E1182" s="206">
        <v>846.7675238848617</v>
      </c>
      <c r="F1182" s="206">
        <v>148.388475348707</v>
      </c>
      <c r="G1182" s="206">
        <v>4.5628104</v>
      </c>
      <c r="H1182" s="206" t="s">
        <v>771</v>
      </c>
      <c r="I1182" s="206">
        <v>0.65</v>
      </c>
      <c r="J1182" s="206"/>
      <c r="K1182" s="206">
        <v>3</v>
      </c>
      <c r="L1182" s="206" t="s">
        <v>454</v>
      </c>
      <c r="M1182" s="206" t="s">
        <v>772</v>
      </c>
      <c r="N1182" s="206" t="s">
        <v>773</v>
      </c>
      <c r="O1182" s="206" t="s">
        <v>774</v>
      </c>
    </row>
    <row r="1183" spans="3:15" x14ac:dyDescent="0.25">
      <c r="C1183" s="206" t="s">
        <v>1969</v>
      </c>
      <c r="D1183" s="206">
        <v>40</v>
      </c>
      <c r="E1183" s="206">
        <v>508.34073483045745</v>
      </c>
      <c r="F1183" s="206">
        <v>100.29582977294901</v>
      </c>
      <c r="G1183" s="206">
        <v>3.0038763999999998</v>
      </c>
      <c r="H1183" s="206" t="s">
        <v>771</v>
      </c>
      <c r="I1183" s="206">
        <v>1</v>
      </c>
      <c r="J1183" s="206"/>
      <c r="K1183" s="206">
        <v>3</v>
      </c>
      <c r="L1183" s="206" t="s">
        <v>454</v>
      </c>
      <c r="M1183" s="206" t="s">
        <v>791</v>
      </c>
      <c r="N1183" s="206" t="s">
        <v>773</v>
      </c>
      <c r="O1183" s="206" t="s">
        <v>792</v>
      </c>
    </row>
    <row r="1184" spans="3:15" x14ac:dyDescent="0.25">
      <c r="C1184" s="206" t="s">
        <v>1970</v>
      </c>
      <c r="D1184" s="206">
        <v>80</v>
      </c>
      <c r="E1184" s="206">
        <v>724.62799224895389</v>
      </c>
      <c r="F1184" s="206">
        <v>562.93208777304994</v>
      </c>
      <c r="G1184" s="206">
        <v>3.0602705000000001</v>
      </c>
      <c r="H1184" s="206" t="s">
        <v>771</v>
      </c>
      <c r="I1184" s="206">
        <v>0.65</v>
      </c>
      <c r="J1184" s="206"/>
      <c r="K1184" s="206">
        <v>3</v>
      </c>
      <c r="L1184" s="206" t="s">
        <v>454</v>
      </c>
      <c r="M1184" s="206" t="s">
        <v>772</v>
      </c>
      <c r="N1184" s="206" t="s">
        <v>773</v>
      </c>
      <c r="O1184" s="206" t="s">
        <v>774</v>
      </c>
    </row>
    <row r="1185" spans="3:15" x14ac:dyDescent="0.25">
      <c r="C1185" s="206" t="s">
        <v>1971</v>
      </c>
      <c r="D1185" s="206">
        <v>80</v>
      </c>
      <c r="E1185" s="206">
        <v>4671.4046916047901</v>
      </c>
      <c r="F1185" s="206">
        <v>667.92590213301196</v>
      </c>
      <c r="G1185" s="206">
        <v>19.222940000000001</v>
      </c>
      <c r="H1185" s="206" t="s">
        <v>771</v>
      </c>
      <c r="I1185" s="206">
        <v>0.63</v>
      </c>
      <c r="J1185" s="206"/>
      <c r="K1185" s="206">
        <v>3</v>
      </c>
      <c r="L1185" s="206" t="s">
        <v>454</v>
      </c>
      <c r="M1185" s="206" t="s">
        <v>772</v>
      </c>
      <c r="N1185" s="206" t="s">
        <v>773</v>
      </c>
      <c r="O1185" s="206" t="s">
        <v>774</v>
      </c>
    </row>
    <row r="1186" spans="3:15" x14ac:dyDescent="0.25">
      <c r="C1186" s="206" t="s">
        <v>1972</v>
      </c>
      <c r="D1186" s="206">
        <v>65</v>
      </c>
      <c r="E1186" s="206">
        <v>720.37543291658903</v>
      </c>
      <c r="F1186" s="206">
        <v>366.340331913667</v>
      </c>
      <c r="G1186" s="206">
        <v>3.3631806000000002</v>
      </c>
      <c r="H1186" s="206" t="s">
        <v>771</v>
      </c>
      <c r="I1186" s="206">
        <v>0.74826912236183685</v>
      </c>
      <c r="J1186" s="206"/>
      <c r="K1186" s="206">
        <v>3</v>
      </c>
      <c r="L1186" s="206" t="s">
        <v>454</v>
      </c>
      <c r="M1186" s="206" t="s">
        <v>772</v>
      </c>
      <c r="N1186" s="206" t="s">
        <v>773</v>
      </c>
      <c r="O1186" s="206" t="s">
        <v>774</v>
      </c>
    </row>
  </sheetData>
  <phoneticPr fontId="20"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B82A7-4726-4252-879F-47E2D6371905}">
  <sheetPr>
    <tabColor theme="5" tint="0.79998168889431442"/>
  </sheetPr>
  <dimension ref="A1:Q29"/>
  <sheetViews>
    <sheetView workbookViewId="0">
      <selection activeCell="W14" sqref="W14"/>
    </sheetView>
  </sheetViews>
  <sheetFormatPr defaultRowHeight="15" x14ac:dyDescent="0.25"/>
  <cols>
    <col min="1" max="2" width="2.85546875" customWidth="1"/>
    <col min="3" max="3" width="20.140625" bestFit="1" customWidth="1"/>
    <col min="4" max="4" width="14.42578125" bestFit="1" customWidth="1"/>
    <col min="5" max="5" width="10.42578125" bestFit="1" customWidth="1"/>
    <col min="6" max="6" width="13.5703125" bestFit="1" customWidth="1"/>
    <col min="7" max="7" width="10.28515625" bestFit="1" customWidth="1"/>
    <col min="8" max="8" width="12.42578125" bestFit="1" customWidth="1"/>
    <col min="9" max="9" width="9.5703125" bestFit="1" customWidth="1"/>
    <col min="10" max="10" width="91" bestFit="1" customWidth="1"/>
    <col min="11" max="11" width="5.7109375" bestFit="1" customWidth="1"/>
    <col min="12" max="12" width="32.85546875" bestFit="1" customWidth="1"/>
    <col min="13" max="13" width="9.28515625" bestFit="1" customWidth="1"/>
    <col min="14" max="15" width="10.7109375" bestFit="1" customWidth="1"/>
    <col min="16" max="16" width="13.85546875" bestFit="1" customWidth="1"/>
    <col min="17" max="17" width="24.7109375" bestFit="1" customWidth="1"/>
  </cols>
  <sheetData>
    <row r="1" spans="1:17" x14ac:dyDescent="0.25">
      <c r="A1" s="11"/>
      <c r="B1" s="11"/>
      <c r="D1" s="271"/>
    </row>
    <row r="2" spans="1:17" s="11" customFormat="1" ht="14.25" customHeight="1" x14ac:dyDescent="0.25">
      <c r="B2" s="10">
        <v>2</v>
      </c>
      <c r="C2" s="10" t="s">
        <v>407</v>
      </c>
      <c r="D2" s="52"/>
      <c r="E2" s="10"/>
      <c r="F2" s="10"/>
      <c r="G2" s="10"/>
      <c r="H2" s="10"/>
      <c r="I2" s="10"/>
      <c r="J2" s="10"/>
      <c r="K2" s="10"/>
      <c r="L2" s="10"/>
      <c r="M2" s="10"/>
      <c r="N2"/>
      <c r="O2"/>
    </row>
    <row r="5" spans="1:17" ht="25.5" x14ac:dyDescent="0.25">
      <c r="C5" s="213" t="s">
        <v>149</v>
      </c>
      <c r="D5" s="214" t="s">
        <v>1977</v>
      </c>
      <c r="E5" s="214" t="s">
        <v>1978</v>
      </c>
      <c r="F5" s="214" t="s">
        <v>1979</v>
      </c>
      <c r="G5" s="214" t="s">
        <v>1980</v>
      </c>
      <c r="H5" s="214" t="s">
        <v>1981</v>
      </c>
      <c r="I5" s="214" t="s">
        <v>1982</v>
      </c>
      <c r="J5" s="214" t="s">
        <v>1983</v>
      </c>
      <c r="K5" s="214" t="s">
        <v>1984</v>
      </c>
      <c r="L5" s="215" t="s">
        <v>1985</v>
      </c>
      <c r="M5" s="215" t="s">
        <v>1986</v>
      </c>
      <c r="N5" s="215" t="s">
        <v>1987</v>
      </c>
      <c r="O5" s="215" t="s">
        <v>1988</v>
      </c>
      <c r="P5" s="215" t="s">
        <v>1989</v>
      </c>
      <c r="Q5" s="215" t="s">
        <v>754</v>
      </c>
    </row>
    <row r="6" spans="1:17" ht="18.75" customHeight="1" x14ac:dyDescent="0.25">
      <c r="C6" s="297" t="s">
        <v>1990</v>
      </c>
      <c r="D6" s="299">
        <v>17379834</v>
      </c>
      <c r="E6" s="300">
        <v>5511.10888671875</v>
      </c>
      <c r="F6" s="300">
        <v>17379834</v>
      </c>
      <c r="G6" s="300">
        <v>5511.10888671875</v>
      </c>
      <c r="H6" s="300">
        <v>1500000</v>
      </c>
      <c r="I6" s="300">
        <v>1200</v>
      </c>
      <c r="J6" s="300" t="s">
        <v>1991</v>
      </c>
      <c r="K6" s="300">
        <v>1</v>
      </c>
      <c r="L6" s="301" t="s">
        <v>1992</v>
      </c>
      <c r="M6" s="302">
        <v>0</v>
      </c>
      <c r="N6" s="352">
        <v>4.7521875612437731E-2</v>
      </c>
      <c r="O6" s="302">
        <v>50.55</v>
      </c>
      <c r="P6" s="302">
        <v>80</v>
      </c>
      <c r="Q6" s="302" t="s">
        <v>1993</v>
      </c>
    </row>
    <row r="7" spans="1:17" x14ac:dyDescent="0.25">
      <c r="C7" s="298" t="s">
        <v>1994</v>
      </c>
      <c r="D7" s="303">
        <v>92105774</v>
      </c>
      <c r="E7" s="303">
        <v>45527.2734375</v>
      </c>
      <c r="F7" s="303">
        <v>143574800</v>
      </c>
      <c r="G7" s="303">
        <v>45527.2734375</v>
      </c>
      <c r="H7" s="303">
        <v>1000000</v>
      </c>
      <c r="I7" s="303">
        <v>800</v>
      </c>
      <c r="J7" s="303" t="s">
        <v>1995</v>
      </c>
      <c r="K7" s="303">
        <v>1</v>
      </c>
      <c r="L7" s="304" t="s">
        <v>1996</v>
      </c>
      <c r="M7" s="305">
        <v>0</v>
      </c>
      <c r="N7" s="353">
        <v>5.3332143761217601E-2</v>
      </c>
      <c r="O7" s="305">
        <v>50.55</v>
      </c>
      <c r="P7" s="305">
        <v>80</v>
      </c>
      <c r="Q7" s="305" t="s">
        <v>140</v>
      </c>
    </row>
    <row r="8" spans="1:17" x14ac:dyDescent="0.25">
      <c r="C8" s="298" t="s">
        <v>1997</v>
      </c>
      <c r="D8" s="303">
        <v>15315659</v>
      </c>
      <c r="E8" s="303">
        <v>4824.5480653590903</v>
      </c>
      <c r="F8" s="303">
        <v>15315659</v>
      </c>
      <c r="G8" s="303">
        <v>4856.5634765625</v>
      </c>
      <c r="H8" s="303">
        <v>1500000</v>
      </c>
      <c r="I8" s="303">
        <v>1200</v>
      </c>
      <c r="J8" s="303" t="s">
        <v>1998</v>
      </c>
      <c r="K8" s="303">
        <v>1</v>
      </c>
      <c r="L8" s="304" t="s">
        <v>1999</v>
      </c>
      <c r="M8" s="305">
        <v>0</v>
      </c>
      <c r="N8" s="353">
        <v>4.7521875612437731E-2</v>
      </c>
      <c r="O8" s="305">
        <v>50.55</v>
      </c>
      <c r="P8" s="305">
        <v>80</v>
      </c>
      <c r="Q8" s="305" t="s">
        <v>1993</v>
      </c>
    </row>
    <row r="9" spans="1:17" x14ac:dyDescent="0.25">
      <c r="C9" s="298" t="s">
        <v>2000</v>
      </c>
      <c r="D9" s="303">
        <v>2900000</v>
      </c>
      <c r="E9" s="303">
        <v>919.583984375</v>
      </c>
      <c r="F9" s="303">
        <v>2900000</v>
      </c>
      <c r="G9" s="303">
        <v>919.583984375</v>
      </c>
      <c r="H9" s="303">
        <v>2000000</v>
      </c>
      <c r="I9" s="303">
        <v>1000</v>
      </c>
      <c r="J9" s="303" t="s">
        <v>2001</v>
      </c>
      <c r="K9" s="303">
        <v>1</v>
      </c>
      <c r="L9" s="304" t="s">
        <v>2002</v>
      </c>
      <c r="M9" s="305">
        <v>0</v>
      </c>
      <c r="N9" s="353">
        <v>5.0233331359922889E-2</v>
      </c>
      <c r="O9" s="305">
        <v>50.55</v>
      </c>
      <c r="P9" s="305">
        <v>80</v>
      </c>
      <c r="Q9" s="305" t="s">
        <v>2003</v>
      </c>
    </row>
    <row r="10" spans="1:17" x14ac:dyDescent="0.25">
      <c r="C10" s="298" t="s">
        <v>2004</v>
      </c>
      <c r="D10" s="303">
        <v>103929128</v>
      </c>
      <c r="E10" s="303">
        <v>32955.7109375</v>
      </c>
      <c r="F10" s="303">
        <v>103929128</v>
      </c>
      <c r="G10" s="303">
        <v>32955.7109375</v>
      </c>
      <c r="H10" s="303">
        <v>1500000</v>
      </c>
      <c r="I10" s="303">
        <v>1200</v>
      </c>
      <c r="J10" s="303" t="s">
        <v>2005</v>
      </c>
      <c r="K10" s="303">
        <v>1</v>
      </c>
      <c r="L10" s="304" t="s">
        <v>2006</v>
      </c>
      <c r="M10" s="305">
        <v>0</v>
      </c>
      <c r="N10" s="353">
        <v>0.06</v>
      </c>
      <c r="O10" s="305">
        <v>50.55</v>
      </c>
      <c r="P10" s="305">
        <v>80</v>
      </c>
      <c r="Q10" s="305" t="s">
        <v>1993</v>
      </c>
    </row>
    <row r="11" spans="1:17" x14ac:dyDescent="0.25">
      <c r="C11" s="217"/>
      <c r="D11" s="216"/>
      <c r="E11" s="216"/>
      <c r="F11" s="216"/>
      <c r="G11" s="216"/>
      <c r="H11" s="216"/>
      <c r="I11" s="216"/>
      <c r="J11" s="216"/>
      <c r="K11" s="216"/>
      <c r="L11" s="218"/>
      <c r="M11" s="281"/>
      <c r="N11" s="281"/>
      <c r="O11" s="281"/>
      <c r="P11" s="281"/>
      <c r="Q11" s="281"/>
    </row>
    <row r="12" spans="1:17" x14ac:dyDescent="0.25">
      <c r="C12" s="217"/>
      <c r="D12" s="216"/>
      <c r="E12" s="216"/>
      <c r="F12" s="216"/>
      <c r="G12" s="216"/>
      <c r="H12" s="216"/>
      <c r="I12" s="216"/>
      <c r="J12" s="216"/>
      <c r="K12" s="216"/>
      <c r="L12" s="218"/>
      <c r="M12" s="281"/>
      <c r="N12" s="281"/>
      <c r="O12" s="281"/>
      <c r="P12" s="281"/>
      <c r="Q12" s="281"/>
    </row>
    <row r="13" spans="1:17" x14ac:dyDescent="0.25">
      <c r="C13" s="217"/>
      <c r="D13" s="216"/>
      <c r="E13" s="216"/>
      <c r="F13" s="216"/>
      <c r="G13" s="216"/>
      <c r="H13" s="216"/>
      <c r="I13" s="216"/>
      <c r="J13" s="216"/>
      <c r="K13" s="216"/>
      <c r="L13" s="218"/>
      <c r="M13" s="281"/>
      <c r="N13" s="281"/>
      <c r="O13" s="281"/>
      <c r="P13" s="281"/>
      <c r="Q13" s="281"/>
    </row>
    <row r="14" spans="1:17" x14ac:dyDescent="0.25">
      <c r="C14" s="217"/>
      <c r="D14" s="216"/>
      <c r="E14" s="216"/>
      <c r="F14" s="216"/>
      <c r="G14" s="216"/>
      <c r="H14" s="216"/>
      <c r="I14" s="216"/>
      <c r="J14" s="216"/>
      <c r="K14" s="216"/>
      <c r="L14" s="218"/>
      <c r="M14" s="281"/>
      <c r="N14" s="281"/>
      <c r="O14" s="281"/>
      <c r="P14" s="281"/>
      <c r="Q14" s="281"/>
    </row>
    <row r="15" spans="1:17" x14ac:dyDescent="0.25">
      <c r="C15" s="217"/>
      <c r="D15" s="216"/>
      <c r="E15" s="216"/>
      <c r="F15" s="216"/>
      <c r="G15" s="216"/>
      <c r="H15" s="216"/>
      <c r="I15" s="216"/>
      <c r="J15" s="216"/>
      <c r="K15" s="216"/>
      <c r="L15" s="218"/>
      <c r="M15" s="281"/>
      <c r="N15" s="281"/>
      <c r="O15" s="281"/>
      <c r="P15" s="281"/>
      <c r="Q15" s="281"/>
    </row>
    <row r="16" spans="1:17" x14ac:dyDescent="0.25">
      <c r="C16" s="217"/>
      <c r="D16" s="216"/>
      <c r="E16" s="216"/>
      <c r="F16" s="216"/>
      <c r="G16" s="216"/>
      <c r="H16" s="216"/>
      <c r="I16" s="216"/>
      <c r="J16" s="216"/>
      <c r="K16" s="216"/>
      <c r="L16" s="218"/>
      <c r="M16" s="281"/>
      <c r="N16" s="281"/>
      <c r="O16" s="281"/>
      <c r="P16" s="281"/>
      <c r="Q16" s="281"/>
    </row>
    <row r="17" spans="3:17" x14ac:dyDescent="0.25">
      <c r="C17" s="217"/>
      <c r="D17" s="216"/>
      <c r="E17" s="216"/>
      <c r="F17" s="216"/>
      <c r="G17" s="216"/>
      <c r="H17" s="216"/>
      <c r="I17" s="216"/>
      <c r="J17" s="216"/>
      <c r="K17" s="216"/>
      <c r="L17" s="218"/>
      <c r="M17" s="281"/>
      <c r="N17" s="281"/>
      <c r="O17" s="281"/>
      <c r="P17" s="281"/>
      <c r="Q17" s="281"/>
    </row>
    <row r="18" spans="3:17" x14ac:dyDescent="0.25">
      <c r="C18" s="217"/>
      <c r="D18" s="216"/>
      <c r="E18" s="216"/>
      <c r="F18" s="216"/>
      <c r="G18" s="216"/>
      <c r="H18" s="216"/>
      <c r="I18" s="216"/>
      <c r="J18" s="216"/>
      <c r="K18" s="216"/>
      <c r="L18" s="218"/>
      <c r="M18" s="281"/>
      <c r="N18" s="281"/>
      <c r="O18" s="281"/>
      <c r="P18" s="281"/>
      <c r="Q18" s="281"/>
    </row>
    <row r="19" spans="3:17" x14ac:dyDescent="0.25">
      <c r="C19" s="217"/>
      <c r="D19" s="216"/>
      <c r="E19" s="216"/>
      <c r="F19" s="216"/>
      <c r="G19" s="216"/>
      <c r="H19" s="216"/>
      <c r="I19" s="216"/>
      <c r="J19" s="216"/>
      <c r="K19" s="216"/>
      <c r="L19" s="218"/>
      <c r="M19" s="281"/>
      <c r="N19" s="281"/>
      <c r="O19" s="281"/>
      <c r="P19" s="281"/>
      <c r="Q19" s="281"/>
    </row>
    <row r="20" spans="3:17" x14ac:dyDescent="0.25">
      <c r="C20" s="217"/>
      <c r="D20" s="216"/>
      <c r="E20" s="216"/>
      <c r="F20" s="216"/>
      <c r="G20" s="216"/>
      <c r="H20" s="216"/>
      <c r="I20" s="216"/>
      <c r="J20" s="216"/>
      <c r="K20" s="216"/>
      <c r="L20" s="218"/>
      <c r="M20" s="281"/>
      <c r="N20" s="281"/>
      <c r="O20" s="281"/>
      <c r="P20" s="281"/>
      <c r="Q20" s="281"/>
    </row>
    <row r="21" spans="3:17" x14ac:dyDescent="0.25">
      <c r="C21" s="217"/>
      <c r="D21" s="216"/>
      <c r="E21" s="216"/>
      <c r="F21" s="216"/>
      <c r="G21" s="216"/>
      <c r="H21" s="216"/>
      <c r="I21" s="216"/>
      <c r="J21" s="216"/>
      <c r="K21" s="216"/>
      <c r="L21" s="218"/>
      <c r="M21" s="281"/>
      <c r="N21" s="281"/>
      <c r="O21" s="281"/>
      <c r="P21" s="281"/>
      <c r="Q21" s="281"/>
    </row>
    <row r="22" spans="3:17" x14ac:dyDescent="0.25">
      <c r="C22" s="217"/>
      <c r="D22" s="216"/>
      <c r="E22" s="216"/>
      <c r="F22" s="216"/>
      <c r="G22" s="216"/>
      <c r="H22" s="216"/>
      <c r="I22" s="216"/>
      <c r="J22" s="216"/>
      <c r="K22" s="216"/>
      <c r="L22" s="218"/>
      <c r="M22" s="281"/>
      <c r="N22" s="281"/>
      <c r="O22" s="281"/>
      <c r="P22" s="281"/>
      <c r="Q22" s="281"/>
    </row>
    <row r="23" spans="3:17" x14ac:dyDescent="0.25">
      <c r="C23" s="217"/>
      <c r="D23" s="216"/>
      <c r="E23" s="216"/>
      <c r="F23" s="216"/>
      <c r="G23" s="216"/>
      <c r="H23" s="216"/>
      <c r="I23" s="216"/>
      <c r="J23" s="216"/>
      <c r="K23" s="216"/>
      <c r="L23" s="218"/>
      <c r="M23" s="281"/>
      <c r="N23" s="281"/>
      <c r="O23" s="281"/>
      <c r="P23" s="281"/>
      <c r="Q23" s="281"/>
    </row>
    <row r="24" spans="3:17" x14ac:dyDescent="0.25">
      <c r="C24" s="217"/>
      <c r="D24" s="216"/>
      <c r="E24" s="216"/>
      <c r="F24" s="216"/>
      <c r="G24" s="216"/>
      <c r="H24" s="216"/>
      <c r="I24" s="216"/>
      <c r="J24" s="216"/>
      <c r="K24" s="216"/>
      <c r="L24" s="218"/>
      <c r="M24" s="281"/>
      <c r="N24" s="281"/>
      <c r="O24" s="281"/>
      <c r="P24" s="281"/>
      <c r="Q24" s="281"/>
    </row>
    <row r="25" spans="3:17" x14ac:dyDescent="0.25">
      <c r="C25" s="217"/>
      <c r="D25" s="216"/>
      <c r="E25" s="216"/>
      <c r="F25" s="216"/>
      <c r="G25" s="216"/>
      <c r="H25" s="216"/>
      <c r="I25" s="216"/>
      <c r="J25" s="216"/>
      <c r="K25" s="216"/>
      <c r="L25" s="218"/>
      <c r="M25" s="281"/>
      <c r="N25" s="281"/>
      <c r="O25" s="281"/>
      <c r="P25" s="281"/>
      <c r="Q25" s="281"/>
    </row>
    <row r="26" spans="3:17" x14ac:dyDescent="0.25">
      <c r="C26" s="217"/>
      <c r="D26" s="216"/>
      <c r="E26" s="216"/>
      <c r="F26" s="216"/>
      <c r="G26" s="216"/>
      <c r="H26" s="216"/>
      <c r="I26" s="216"/>
      <c r="J26" s="216"/>
      <c r="K26" s="216"/>
      <c r="L26" s="218"/>
      <c r="M26" s="281"/>
      <c r="N26" s="281"/>
      <c r="O26" s="281"/>
      <c r="P26" s="281"/>
      <c r="Q26" s="281"/>
    </row>
    <row r="27" spans="3:17" x14ac:dyDescent="0.25">
      <c r="C27" s="217"/>
      <c r="D27" s="216"/>
      <c r="E27" s="216"/>
      <c r="F27" s="216"/>
      <c r="G27" s="216"/>
      <c r="H27" s="216"/>
      <c r="I27" s="216"/>
      <c r="J27" s="216"/>
      <c r="K27" s="216"/>
      <c r="L27" s="218"/>
      <c r="M27" s="281"/>
      <c r="N27" s="281"/>
      <c r="O27" s="281"/>
      <c r="P27" s="281"/>
      <c r="Q27" s="281"/>
    </row>
    <row r="28" spans="3:17" x14ac:dyDescent="0.25">
      <c r="C28" s="217"/>
      <c r="D28" s="216"/>
      <c r="E28" s="216"/>
      <c r="F28" s="216"/>
      <c r="G28" s="216"/>
      <c r="H28" s="216"/>
      <c r="I28" s="216"/>
      <c r="J28" s="216"/>
      <c r="K28" s="216"/>
      <c r="L28" s="218"/>
      <c r="M28" s="281"/>
      <c r="N28" s="281"/>
      <c r="O28" s="281"/>
      <c r="P28" s="281"/>
      <c r="Q28" s="281"/>
    </row>
    <row r="29" spans="3:17" x14ac:dyDescent="0.25">
      <c r="C29" s="219"/>
      <c r="D29" s="220"/>
      <c r="E29" s="220"/>
      <c r="F29" s="220"/>
      <c r="G29" s="220"/>
      <c r="H29" s="220"/>
      <c r="I29" s="220"/>
      <c r="J29" s="220"/>
      <c r="K29" s="220"/>
      <c r="L29" s="221"/>
      <c r="M29" s="282"/>
      <c r="N29" s="282"/>
      <c r="O29" s="282"/>
      <c r="P29" s="282"/>
      <c r="Q29" s="282"/>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79350-6C8B-4159-8C04-A14FAB8AD387}">
  <sheetPr>
    <tabColor theme="9" tint="0.79998168889431442"/>
  </sheetPr>
  <dimension ref="B1:AD242"/>
  <sheetViews>
    <sheetView workbookViewId="0"/>
  </sheetViews>
  <sheetFormatPr defaultColWidth="9.140625" defaultRowHeight="15" x14ac:dyDescent="0.25"/>
  <cols>
    <col min="1" max="2" width="2.85546875" style="11" customWidth="1"/>
    <col min="3" max="3" width="18.140625" style="11" bestFit="1" customWidth="1"/>
    <col min="4" max="4" width="7" style="11" bestFit="1" customWidth="1"/>
    <col min="5" max="5" width="61.85546875" style="11" bestFit="1" customWidth="1"/>
    <col min="6" max="6" width="16.28515625" style="11" bestFit="1" customWidth="1"/>
    <col min="7" max="7" width="17.5703125" style="11" bestFit="1" customWidth="1"/>
    <col min="8" max="8" width="17.85546875" bestFit="1" customWidth="1"/>
    <col min="9" max="9" width="25.28515625" style="44" customWidth="1"/>
    <col min="10" max="10" width="10.42578125" style="44" bestFit="1" customWidth="1"/>
    <col min="11" max="11" width="27.7109375" style="44" customWidth="1"/>
    <col min="12" max="12" width="18.85546875" style="44" bestFit="1" customWidth="1"/>
    <col min="13" max="13" width="7.85546875" bestFit="1" customWidth="1"/>
    <col min="14" max="14" width="25.42578125" bestFit="1" customWidth="1"/>
    <col min="15" max="15" width="16.140625" style="44" bestFit="1" customWidth="1"/>
    <col min="16" max="17" width="12.5703125" style="44" bestFit="1" customWidth="1"/>
    <col min="18" max="18" width="14" style="44" customWidth="1"/>
    <col min="19" max="19" width="13.140625" style="44" bestFit="1" customWidth="1"/>
    <col min="20" max="20" width="30.7109375" bestFit="1" customWidth="1"/>
    <col min="21" max="21" width="27.42578125" style="44" bestFit="1" customWidth="1"/>
    <col min="22" max="22" width="17.140625" style="44" bestFit="1" customWidth="1"/>
    <col min="23" max="23" width="15" bestFit="1" customWidth="1"/>
    <col min="24" max="24" width="15.85546875" bestFit="1" customWidth="1"/>
    <col min="25" max="25" width="13.7109375" style="11" bestFit="1" customWidth="1"/>
    <col min="26" max="28" width="12.42578125" style="11" bestFit="1" customWidth="1"/>
    <col min="29" max="29" width="12.140625" style="11" bestFit="1" customWidth="1"/>
    <col min="30" max="16384" width="9.140625" style="11"/>
  </cols>
  <sheetData>
    <row r="1" spans="2:30" x14ac:dyDescent="0.25">
      <c r="G1" s="80"/>
    </row>
    <row r="2" spans="2:30" ht="14.25" customHeight="1" x14ac:dyDescent="0.2">
      <c r="B2" s="10">
        <v>1</v>
      </c>
      <c r="C2" s="52" t="s">
        <v>399</v>
      </c>
      <c r="D2" s="10"/>
      <c r="E2" s="10"/>
      <c r="F2" s="10"/>
      <c r="G2" s="10"/>
      <c r="H2" s="10"/>
      <c r="I2" s="10"/>
      <c r="J2" s="10"/>
      <c r="K2" s="10"/>
      <c r="L2" s="10"/>
      <c r="M2" s="10"/>
      <c r="N2" s="10"/>
      <c r="O2" s="10"/>
      <c r="P2" s="10"/>
      <c r="Q2" s="10"/>
      <c r="R2" s="10"/>
      <c r="S2" s="10"/>
      <c r="T2" s="11"/>
      <c r="U2" s="11"/>
      <c r="V2" s="11"/>
      <c r="W2" s="11"/>
      <c r="X2" s="11"/>
    </row>
    <row r="3" spans="2:30" ht="12.75" x14ac:dyDescent="0.2">
      <c r="C3" s="285" t="s">
        <v>149</v>
      </c>
      <c r="D3" s="285" t="s">
        <v>756</v>
      </c>
      <c r="E3" s="286" t="s">
        <v>748</v>
      </c>
      <c r="F3" s="286" t="s">
        <v>742</v>
      </c>
      <c r="G3" s="286" t="s">
        <v>743</v>
      </c>
      <c r="H3" s="286" t="s">
        <v>744</v>
      </c>
      <c r="I3" s="286" t="s">
        <v>749</v>
      </c>
      <c r="J3" s="286" t="s">
        <v>752</v>
      </c>
      <c r="K3" s="287" t="s">
        <v>409</v>
      </c>
      <c r="L3" s="11"/>
      <c r="M3" s="11"/>
      <c r="N3" s="11"/>
      <c r="O3" s="11"/>
      <c r="P3" s="11"/>
      <c r="Q3" s="11"/>
      <c r="R3" s="11"/>
      <c r="S3" s="11"/>
      <c r="T3" s="11"/>
      <c r="U3" s="11"/>
      <c r="V3" s="11"/>
      <c r="W3" s="11"/>
      <c r="X3" s="11"/>
    </row>
    <row r="4" spans="2:30" ht="41.45" customHeight="1" x14ac:dyDescent="0.2">
      <c r="C4" s="267" t="s">
        <v>757</v>
      </c>
      <c r="D4" s="267" t="s">
        <v>145</v>
      </c>
      <c r="E4" s="267" t="s">
        <v>758</v>
      </c>
      <c r="F4" s="267" t="s">
        <v>759</v>
      </c>
      <c r="G4" s="267" t="s">
        <v>760</v>
      </c>
      <c r="H4" s="267" t="s">
        <v>761</v>
      </c>
      <c r="I4" s="267" t="s">
        <v>762</v>
      </c>
      <c r="J4" s="267" t="s">
        <v>2008</v>
      </c>
      <c r="K4" s="267" t="s">
        <v>409</v>
      </c>
      <c r="L4" s="267" t="s">
        <v>398</v>
      </c>
      <c r="M4" s="267" t="s">
        <v>147</v>
      </c>
      <c r="N4" s="267" t="s">
        <v>146</v>
      </c>
      <c r="O4" s="267" t="s">
        <v>148</v>
      </c>
      <c r="P4" s="267" t="s">
        <v>2020</v>
      </c>
      <c r="Q4" s="267" t="s">
        <v>2021</v>
      </c>
      <c r="R4" s="267" t="s">
        <v>418</v>
      </c>
      <c r="S4" s="267" t="s">
        <v>2009</v>
      </c>
      <c r="T4" s="267" t="s">
        <v>446</v>
      </c>
      <c r="U4" s="268" t="s">
        <v>419</v>
      </c>
      <c r="V4" s="267" t="s">
        <v>420</v>
      </c>
      <c r="W4" s="269" t="s">
        <v>450</v>
      </c>
      <c r="X4" s="267" t="s">
        <v>451</v>
      </c>
      <c r="Y4" s="267" t="s">
        <v>452</v>
      </c>
      <c r="Z4" s="267" t="s">
        <v>2110</v>
      </c>
      <c r="AA4" s="267" t="s">
        <v>247</v>
      </c>
      <c r="AB4" s="267" t="s">
        <v>248</v>
      </c>
      <c r="AC4" s="267" t="s">
        <v>249</v>
      </c>
      <c r="AD4" s="267" t="s">
        <v>2007</v>
      </c>
    </row>
    <row r="5" spans="2:30" ht="12.75" x14ac:dyDescent="0.2">
      <c r="C5" s="266" t="str" cm="1">
        <f t="array" ref="C5">IFERROR(_xlfn.XLOOKUP($C$3,Heat_connections_input[#Headers],Heat_connections_input[#This Row],0,0,),"-")</f>
        <v>Y6vLOUz6aCX/4lrZ</v>
      </c>
      <c r="D5" s="324" cm="1">
        <f t="array" ref="D5">IFERROR(_xlfn.XLOOKUP($D$3,Heat_connections_input[#Headers],Heat_connections_input[#This Row],0,0,),"-")</f>
        <v>0</v>
      </c>
      <c r="E5" s="283" cm="1">
        <f t="array" ref="E5">IFERROR(_xlfn.XLOOKUP($E$3,Heat_connections_input[#Headers],Heat_connections_input[#This Row],0,0,),"-")</f>
        <v>0</v>
      </c>
      <c r="F5" s="251" cm="1">
        <f t="array" ref="F5">IFERROR(_xlfn.XLOOKUP($F$3,Heat_connections_input[#Headers],Heat_connections_input[#This Row],0,0,),0)</f>
        <v>77278.759999999995</v>
      </c>
      <c r="G5" s="251" cm="1">
        <f t="array" ref="G5">IFERROR(_xlfn.XLOOKUP($G$3,Heat_connections_input[#Headers],Heat_connections_input[#This Row],0,0,),0)</f>
        <v>60.193446999999999</v>
      </c>
      <c r="H5" s="350" cm="1">
        <f t="array" ref="H5">IFERROR(_xlfn.XLOOKUP($H$3,Heat_connections_input[#Headers],Heat_connections_input[#This Row],0,0,),0)</f>
        <v>1</v>
      </c>
      <c r="I5" s="325" cm="1">
        <f t="array" ref="I5">IFERROR(_xlfn.XLOOKUP($I$3,Heat_connections_input[#Headers],Heat_connections_input[#This Row],0,0,),"-")</f>
        <v>0</v>
      </c>
      <c r="J5" s="325" cm="1">
        <f t="array" ref="J5">IFERROR(_xlfn.XLOOKUP($J$3,Heat_connections_input[#Headers],Heat_connections_input[#This Row],0,0,1),"-")</f>
        <v>0</v>
      </c>
      <c r="K5" s="252"/>
      <c r="L5" s="253"/>
      <c r="M5" s="254">
        <v>1</v>
      </c>
      <c r="N5" s="255" t="s">
        <v>107</v>
      </c>
      <c r="O5" s="256">
        <f>IF(Heat_connections[[#This Row],[Ref]]&lt;&gt;"-",
IF(M5=1,Dashboard!$C$26,IF(M5=2,Dashboard!$C$27,Dashboard!$C$28)),"-")</f>
        <v>2027</v>
      </c>
      <c r="P5" s="340">
        <f>IF(Heat_connections[[#This Row],[Category]]="Domestic",Heat_connections[[#This Row],[No. of connections]],0)</f>
        <v>0</v>
      </c>
      <c r="Q5" s="340">
        <f>IF(Heat_connections[[#This Row],[Category]]&lt;&gt;"Domestic",Heat_connections[[#This Row],[No. of connections]],0)</f>
        <v>1</v>
      </c>
      <c r="R5" s="257"/>
      <c r="S5" s="508">
        <f>IF(Heat_connections[[#This Row],[TOID]]&lt;&gt;"-",
IF(ISBLANK('Heat connections'!$R5),Dashboard!$C$14,'Heat connections'!$R5),0)</f>
        <v>8</v>
      </c>
      <c r="T5" s="509">
        <f>IF(Heat_connections[[#This Row],[Peak Demand, kW]]&lt;&gt;0,'Heat connections'!$G5*Dashboard!$C$21,0)</f>
        <v>1203.8689400000001</v>
      </c>
      <c r="U5" s="510">
        <f>IF(Heat_connections[[#This Row],[Ref]]&lt;&gt;"-",48.436*Heat_connections[[#This Row],[Peak Demand, kW]]+1068.7,0)</f>
        <v>3984.229798892</v>
      </c>
      <c r="V5" s="511">
        <f>IF(Heat_connections[[#This Row],[Ref]]&lt;&gt;"-",
_xlfn.XLOOKUP('Heat connections'!$G5,'Technical inputs'!$F$79:$F$94,'Technical inputs'!$I$79:$I$94,0,1,1),0)</f>
        <v>28145</v>
      </c>
      <c r="W5" s="427">
        <f>IF('Heat connections'!$E5="Domestic",1,0)</f>
        <v>0</v>
      </c>
      <c r="X5" s="428">
        <f>IF(AND(Heat_connections[[#This Row],[Ref]]&lt;&gt;"-",'Heat connections'!$E5&lt;&gt;"Domestic"),1,0)</f>
        <v>1</v>
      </c>
      <c r="Y5" s="433">
        <v>0</v>
      </c>
      <c r="Z5" s="437">
        <f>IF(Heat_connections[[#This Row],[Existing/planned development]]&lt;&gt;0,1,0)</f>
        <v>0</v>
      </c>
      <c r="AA5" s="428">
        <f>IF('Heat connections'!$M5=1,1,0)</f>
        <v>1</v>
      </c>
      <c r="AB5" s="428">
        <f>IF('Heat connections'!$M5=2,1,0)</f>
        <v>0</v>
      </c>
      <c r="AC5" s="433">
        <f>IF('Heat connections'!$M5=3,1,0)</f>
        <v>0</v>
      </c>
      <c r="AD5" s="46" t="str">
        <f>IF(AND(Heat_connections[[#This Row],[Connected to heat network]]="Yes",Heat_connections[[#This Row],[Ref]]&lt;&gt;"-"),"Yes","No")</f>
        <v>Yes</v>
      </c>
    </row>
    <row r="6" spans="2:30" ht="12.75" x14ac:dyDescent="0.2">
      <c r="C6" s="208" t="str" cm="1">
        <f t="array" ref="C6">IFERROR(_xlfn.XLOOKUP($C$3,Heat_connections_input[#Headers],Heat_connections_input[#This Row],0,0,),"-")</f>
        <v>5FZYuHonsOIYwhzk</v>
      </c>
      <c r="D6" s="323" cm="1">
        <f t="array" ref="D6">IFERROR(_xlfn.XLOOKUP($D$3,Heat_connections_input[#Headers],Heat_connections_input[#This Row],0,0,),"-")</f>
        <v>0</v>
      </c>
      <c r="E6" s="284" t="str" cm="1">
        <f t="array" ref="E6">IFERROR(_xlfn.XLOOKUP($E$3,Heat_connections_input[#Headers],Heat_connections_input[#This Row],0,0,),"-")</f>
        <v>Offices</v>
      </c>
      <c r="F6" s="259" cm="1">
        <f t="array" ref="F6">IFERROR(_xlfn.XLOOKUP($F$3,Heat_connections_input[#Headers],Heat_connections_input[#This Row],0,0,),0)</f>
        <v>191350.44</v>
      </c>
      <c r="G6" s="259" cm="1">
        <f t="array" ref="G6">IFERROR(_xlfn.XLOOKUP($G$3,Heat_connections_input[#Headers],Heat_connections_input[#This Row],0,0,),0)</f>
        <v>116.80722</v>
      </c>
      <c r="H6" s="341" cm="1">
        <f t="array" ref="H6">IFERROR(_xlfn.XLOOKUP($H$3,Heat_connections_input[#Headers],Heat_connections_input[#This Row],0,0,),0)</f>
        <v>4</v>
      </c>
      <c r="I6" s="326" t="str" cm="1">
        <f t="array" ref="I6">IFERROR(_xlfn.XLOOKUP($I$3,Heat_connections_input[#Headers],Heat_connections_input[#This Row],0,0,),"-")</f>
        <v>Commercial : Office : Office / Work Studio</v>
      </c>
      <c r="J6" s="326" t="str" cm="1">
        <f t="array" ref="J6">IFERROR(_xlfn.XLOOKUP($J$3,Heat_connections_input[#Headers],Heat_connections_input[#This Row],0,0,1),"-")</f>
        <v>W12 7GA</v>
      </c>
      <c r="K6" s="260"/>
      <c r="L6" s="261"/>
      <c r="M6" s="262">
        <v>1</v>
      </c>
      <c r="N6" s="263" t="s">
        <v>107</v>
      </c>
      <c r="O6" s="264">
        <f>IF(Heat_connections[[#This Row],[Ref]]&lt;&gt;"-",
IF(M6=1,Dashboard!$C$26,IF(M6=2,Dashboard!$C$27,Dashboard!$C$28)),"-")</f>
        <v>2027</v>
      </c>
      <c r="P6" s="341">
        <f>IF(Heat_connections[[#This Row],[Category]]="Domestic",Heat_connections[[#This Row],[No. of connections]],0)</f>
        <v>0</v>
      </c>
      <c r="Q6" s="341">
        <f>IF(Heat_connections[[#This Row],[Category]]&lt;&gt;"Domestic",Heat_connections[[#This Row],[No. of connections]],0)</f>
        <v>4</v>
      </c>
      <c r="R6" s="209"/>
      <c r="S6" s="512">
        <f>IF(Heat_connections[[#This Row],[TOID]]&lt;&gt;"-",
IF(ISBLANK('Heat connections'!$R6),Dashboard!$C$14,'Heat connections'!$R6),0)</f>
        <v>8</v>
      </c>
      <c r="T6" s="513">
        <f>IF(Heat_connections[[#This Row],[Peak Demand, kW]]&lt;&gt;0,'Heat connections'!$G6*Dashboard!$C$21,0)</f>
        <v>2336.1444000000001</v>
      </c>
      <c r="U6" s="514">
        <f>IF(Heat_connections[[#This Row],[Ref]]&lt;&gt;"-",48.436*Heat_connections[[#This Row],[Peak Demand, kW]]+1068.7,0)</f>
        <v>6726.3745079199998</v>
      </c>
      <c r="V6" s="515">
        <f>IF(Heat_connections[[#This Row],[Ref]]&lt;&gt;"-",
_xlfn.XLOOKUP('Heat connections'!$G6,'Technical inputs'!$F$79:$F$94,'Technical inputs'!$I$79:$I$94,0,1,1),0)</f>
        <v>33110</v>
      </c>
      <c r="W6" s="429">
        <f>IF('Heat connections'!$E6="Domestic",1,0)</f>
        <v>0</v>
      </c>
      <c r="X6" s="430">
        <f>IF(AND(Heat_connections[[#This Row],[Ref]]&lt;&gt;"-",'Heat connections'!$E6&lt;&gt;"Domestic"),1,0)</f>
        <v>1</v>
      </c>
      <c r="Y6" s="434">
        <v>0</v>
      </c>
      <c r="Z6" s="438">
        <f>IF(Heat_connections[[#This Row],[Existing/planned development]]&lt;&gt;0,1,0)</f>
        <v>0</v>
      </c>
      <c r="AA6" s="430">
        <f>IF('Heat connections'!$M6=1,1,0)</f>
        <v>1</v>
      </c>
      <c r="AB6" s="430">
        <f>IF('Heat connections'!$M6=2,1,0)</f>
        <v>0</v>
      </c>
      <c r="AC6" s="434">
        <f>IF('Heat connections'!$M6=3,1,0)</f>
        <v>0</v>
      </c>
      <c r="AD6" s="46" t="str">
        <f>IF(AND(Heat_connections[[#This Row],[Connected to heat network]]="Yes",Heat_connections[[#This Row],[Ref]]&lt;&gt;"-"),"Yes","No")</f>
        <v>Yes</v>
      </c>
    </row>
    <row r="7" spans="2:30" ht="12.75" x14ac:dyDescent="0.2">
      <c r="C7" s="208" t="str" cm="1">
        <f t="array" ref="C7">IFERROR(_xlfn.XLOOKUP($C$3,Heat_connections_input[#Headers],Heat_connections_input[#This Row],0,0,),"-")</f>
        <v>3CJIEXkFfg4I3Yw5</v>
      </c>
      <c r="D7" s="323" cm="1">
        <f t="array" ref="D7">IFERROR(_xlfn.XLOOKUP($D$3,Heat_connections_input[#Headers],Heat_connections_input[#This Row],0,0,),"-")</f>
        <v>0</v>
      </c>
      <c r="E7" s="284" t="str" cm="1">
        <f t="array" ref="E7">IFERROR(_xlfn.XLOOKUP($E$3,Heat_connections_input[#Headers],Heat_connections_input[#This Row],0,0,),"-")</f>
        <v>Domestic</v>
      </c>
      <c r="F7" s="259" cm="1">
        <f t="array" ref="F7">IFERROR(_xlfn.XLOOKUP($F$3,Heat_connections_input[#Headers],Heat_connections_input[#This Row],0,0,),0)</f>
        <v>7467.4279999999999</v>
      </c>
      <c r="G7" s="259" cm="1">
        <f t="array" ref="G7">IFERROR(_xlfn.XLOOKUP($G$3,Heat_connections_input[#Headers],Heat_connections_input[#This Row],0,0,),0)</f>
        <v>25.546085000000001</v>
      </c>
      <c r="H7" s="341" cm="1">
        <f t="array" ref="H7">IFERROR(_xlfn.XLOOKUP($H$3,Heat_connections_input[#Headers],Heat_connections_input[#This Row],0,0,),0)</f>
        <v>2</v>
      </c>
      <c r="I7" s="326" t="str" cm="1">
        <f t="array" ref="I7">IFERROR(_xlfn.XLOOKUP($I$3,Heat_connections_input[#Headers],Heat_connections_input[#This Row],0,0,),"-")</f>
        <v>Dual Use</v>
      </c>
      <c r="J7" s="326" t="str" cm="1">
        <f t="array" ref="J7">IFERROR(_xlfn.XLOOKUP($J$3,Heat_connections_input[#Headers],Heat_connections_input[#This Row],0,0,1),"-")</f>
        <v>W14 0LJ</v>
      </c>
      <c r="K7" s="260"/>
      <c r="L7" s="261"/>
      <c r="M7" s="262">
        <v>1</v>
      </c>
      <c r="N7" s="263" t="s">
        <v>107</v>
      </c>
      <c r="O7" s="265">
        <f>IF(Heat_connections[[#This Row],[Ref]]&lt;&gt;"-",
IF(M7=1,Dashboard!$C$26,IF(M7=2,Dashboard!$C$27,Dashboard!$C$28)),"-")</f>
        <v>2027</v>
      </c>
      <c r="P7" s="342">
        <f>IF(Heat_connections[[#This Row],[Category]]="Domestic",Heat_connections[[#This Row],[No. of connections]],0)</f>
        <v>2</v>
      </c>
      <c r="Q7" s="342">
        <f>IF(Heat_connections[[#This Row],[Category]]&lt;&gt;"Domestic",Heat_connections[[#This Row],[No. of connections]],0)</f>
        <v>0</v>
      </c>
      <c r="R7" s="209"/>
      <c r="S7" s="512">
        <f>IF(Heat_connections[[#This Row],[TOID]]&lt;&gt;"-",
IF(ISBLANK('Heat connections'!$R7),Dashboard!$C$14,'Heat connections'!$R7),0)</f>
        <v>8</v>
      </c>
      <c r="T7" s="513">
        <f>IF(Heat_connections[[#This Row],[Peak Demand, kW]]&lt;&gt;0,'Heat connections'!$G7*Dashboard!$C$21,0)</f>
        <v>510.92170000000004</v>
      </c>
      <c r="U7" s="514">
        <f>IF(Heat_connections[[#This Row],[Ref]]&lt;&gt;"-",48.436*Heat_connections[[#This Row],[Peak Demand, kW]]+1068.7,0)</f>
        <v>2306.0501730599999</v>
      </c>
      <c r="V7" s="515">
        <f>IF(Heat_connections[[#This Row],[Ref]]&lt;&gt;"-",
_xlfn.XLOOKUP('Heat connections'!$G7,'Technical inputs'!$F$79:$F$94,'Technical inputs'!$I$79:$I$94,0,1,1),0)</f>
        <v>28145</v>
      </c>
      <c r="W7" s="431">
        <f>IF('Heat connections'!$E7="Domestic",1,0)</f>
        <v>1</v>
      </c>
      <c r="X7" s="432">
        <f>IF(AND(Heat_connections[[#This Row],[Ref]]&lt;&gt;"-",'Heat connections'!$E7&lt;&gt;"Domestic"),1,0)</f>
        <v>0</v>
      </c>
      <c r="Y7" s="435">
        <v>0</v>
      </c>
      <c r="Z7" s="439">
        <f>IF(Heat_connections[[#This Row],[Existing/planned development]]&lt;&gt;0,1,0)</f>
        <v>0</v>
      </c>
      <c r="AA7" s="432">
        <f>IF('Heat connections'!$M7=1,1,0)</f>
        <v>1</v>
      </c>
      <c r="AB7" s="432">
        <f>IF('Heat connections'!$M7=2,1,0)</f>
        <v>0</v>
      </c>
      <c r="AC7" s="435">
        <f>IF('Heat connections'!$M7=3,1,0)</f>
        <v>0</v>
      </c>
      <c r="AD7" s="46" t="str">
        <f>IF(AND(Heat_connections[[#This Row],[Connected to heat network]]="Yes",Heat_connections[[#This Row],[Ref]]&lt;&gt;"-"),"Yes","No")</f>
        <v>Yes</v>
      </c>
    </row>
    <row r="8" spans="2:30" ht="12.75" x14ac:dyDescent="0.2">
      <c r="C8" s="208" t="str" cm="1">
        <f t="array" ref="C8">IFERROR(_xlfn.XLOOKUP($C$3,Heat_connections_input[#Headers],Heat_connections_input[#This Row],0,0,),"-")</f>
        <v>1cJ+GCEdcUBa+Fnm</v>
      </c>
      <c r="D8" s="323" cm="1">
        <f t="array" ref="D8">IFERROR(_xlfn.XLOOKUP($D$3,Heat_connections_input[#Headers],Heat_connections_input[#This Row],0,0,),"-")</f>
        <v>0</v>
      </c>
      <c r="E8" s="284" t="str" cm="1">
        <f t="array" ref="E8">IFERROR(_xlfn.XLOOKUP($E$3,Heat_connections_input[#Headers],Heat_connections_input[#This Row],0,0,),"-")</f>
        <v>Sports and recreation</v>
      </c>
      <c r="F8" s="259" cm="1">
        <f t="array" ref="F8">IFERROR(_xlfn.XLOOKUP($F$3,Heat_connections_input[#Headers],Heat_connections_input[#This Row],0,0,),0)</f>
        <v>580117.25</v>
      </c>
      <c r="G8" s="259" cm="1">
        <f t="array" ref="G8">IFERROR(_xlfn.XLOOKUP($G$3,Heat_connections_input[#Headers],Heat_connections_input[#This Row],0,0,),0)</f>
        <v>309.75220000000002</v>
      </c>
      <c r="H8" s="341" cm="1">
        <f t="array" ref="H8">IFERROR(_xlfn.XLOOKUP($H$3,Heat_connections_input[#Headers],Heat_connections_input[#This Row],0,0,),0)</f>
        <v>1</v>
      </c>
      <c r="I8" s="326" t="str" cm="1">
        <f t="array" ref="I8">IFERROR(_xlfn.XLOOKUP($I$3,Heat_connections_input[#Headers],Heat_connections_input[#This Row],0,0,),"-")</f>
        <v>Commercial : Leisure - Applicable to recreational sites and enterprises : Indoor / Outdoor Leisure / Sporting Activity / Centre</v>
      </c>
      <c r="J8" s="326" t="str" cm="1">
        <f t="array" ref="J8">IFERROR(_xlfn.XLOOKUP($J$3,Heat_connections_input[#Headers],Heat_connections_input[#This Row],0,0,1),"-")</f>
        <v>W14 0AB</v>
      </c>
      <c r="K8" s="260"/>
      <c r="L8" s="261"/>
      <c r="M8" s="262">
        <v>1</v>
      </c>
      <c r="N8" s="263" t="s">
        <v>107</v>
      </c>
      <c r="O8" s="264">
        <f>IF(Heat_connections[[#This Row],[Ref]]&lt;&gt;"-",
IF(M8=1,Dashboard!$C$26,IF(M8=2,Dashboard!$C$27,Dashboard!$C$28)),"-")</f>
        <v>2027</v>
      </c>
      <c r="P8" s="341">
        <f>IF(Heat_connections[[#This Row],[Category]]="Domestic",Heat_connections[[#This Row],[No. of connections]],0)</f>
        <v>0</v>
      </c>
      <c r="Q8" s="341">
        <f>IF(Heat_connections[[#This Row],[Category]]&lt;&gt;"Domestic",Heat_connections[[#This Row],[No. of connections]],0)</f>
        <v>1</v>
      </c>
      <c r="R8" s="209"/>
      <c r="S8" s="512">
        <f>IF(Heat_connections[[#This Row],[TOID]]&lt;&gt;"-",
IF(ISBLANK('Heat connections'!$R8),Dashboard!$C$14,'Heat connections'!$R8),0)</f>
        <v>8</v>
      </c>
      <c r="T8" s="513">
        <f>IF(Heat_connections[[#This Row],[Peak Demand, kW]]&lt;&gt;0,'Heat connections'!$G8*Dashboard!$C$21,0)</f>
        <v>6195.0439999999999</v>
      </c>
      <c r="U8" s="514">
        <f>IF(Heat_connections[[#This Row],[Ref]]&lt;&gt;"-",48.436*Heat_connections[[#This Row],[Peak Demand, kW]]+1068.7,0)</f>
        <v>16071.857559200002</v>
      </c>
      <c r="V8" s="515">
        <f>IF(Heat_connections[[#This Row],[Ref]]&lt;&gt;"-",
_xlfn.XLOOKUP('Heat connections'!$G8,'Technical inputs'!$F$79:$F$94,'Technical inputs'!$I$79:$I$94,0,1,1),0)</f>
        <v>39765</v>
      </c>
      <c r="W8" s="429">
        <f>IF('Heat connections'!$E8="Domestic",1,0)</f>
        <v>0</v>
      </c>
      <c r="X8" s="430">
        <f>IF(AND(Heat_connections[[#This Row],[Ref]]&lt;&gt;"-",'Heat connections'!$E8&lt;&gt;"Domestic"),1,0)</f>
        <v>1</v>
      </c>
      <c r="Y8" s="434">
        <v>0</v>
      </c>
      <c r="Z8" s="438">
        <f>IF(Heat_connections[[#This Row],[Existing/planned development]]&lt;&gt;0,1,0)</f>
        <v>0</v>
      </c>
      <c r="AA8" s="430">
        <f>IF('Heat connections'!$M8=1,1,0)</f>
        <v>1</v>
      </c>
      <c r="AB8" s="430">
        <f>IF('Heat connections'!$M8=2,1,0)</f>
        <v>0</v>
      </c>
      <c r="AC8" s="434">
        <f>IF('Heat connections'!$M8=3,1,0)</f>
        <v>0</v>
      </c>
      <c r="AD8" s="46" t="str">
        <f>IF(AND(Heat_connections[[#This Row],[Connected to heat network]]="Yes",Heat_connections[[#This Row],[Ref]]&lt;&gt;"-"),"Yes","No")</f>
        <v>Yes</v>
      </c>
    </row>
    <row r="9" spans="2:30" ht="12.75" x14ac:dyDescent="0.2">
      <c r="C9" s="208" t="str" cm="1">
        <f t="array" ref="C9">IFERROR(_xlfn.XLOOKUP($C$3,Heat_connections_input[#Headers],Heat_connections_input[#This Row],0,0,),"-")</f>
        <v>4bmtLEGO1Fw1EUe9</v>
      </c>
      <c r="D9" s="323" cm="1">
        <f t="array" ref="D9">IFERROR(_xlfn.XLOOKUP($D$3,Heat_connections_input[#Headers],Heat_connections_input[#This Row],0,0,),"-")</f>
        <v>0</v>
      </c>
      <c r="E9" s="284" t="str" cm="1">
        <f t="array" ref="E9">IFERROR(_xlfn.XLOOKUP($E$3,Heat_connections_input[#Headers],Heat_connections_input[#This Row],0,0,),"-")</f>
        <v>Education (schools)</v>
      </c>
      <c r="F9" s="259" cm="1">
        <f t="array" ref="F9">IFERROR(_xlfn.XLOOKUP($F$3,Heat_connections_input[#Headers],Heat_connections_input[#This Row],0,0,),0)</f>
        <v>242137.60000000001</v>
      </c>
      <c r="G9" s="259" cm="1">
        <f t="array" ref="G9">IFERROR(_xlfn.XLOOKUP($G$3,Heat_connections_input[#Headers],Heat_connections_input[#This Row],0,0,),0)</f>
        <v>142.0129</v>
      </c>
      <c r="H9" s="341" cm="1">
        <f t="array" ref="H9">IFERROR(_xlfn.XLOOKUP($H$3,Heat_connections_input[#Headers],Heat_connections_input[#This Row],0,0,),0)</f>
        <v>1</v>
      </c>
      <c r="I9" s="326" t="str" cm="1">
        <f t="array" ref="I9">IFERROR(_xlfn.XLOOKUP($I$3,Heat_connections_input[#Headers],Heat_connections_input[#This Row],0,0,),"-")</f>
        <v>Commercial : Education : Preparatory / First / Primary / Infant / Junior / Middle School : Primary School</v>
      </c>
      <c r="J9" s="326" t="str" cm="1">
        <f t="array" ref="J9">IFERROR(_xlfn.XLOOKUP($J$3,Heat_connections_input[#Headers],Heat_connections_input[#This Row],0,0,1),"-")</f>
        <v>W12 8JJ</v>
      </c>
      <c r="K9" s="260"/>
      <c r="L9" s="261"/>
      <c r="M9" s="262">
        <v>1</v>
      </c>
      <c r="N9" s="263" t="s">
        <v>107</v>
      </c>
      <c r="O9" s="265">
        <f>IF(Heat_connections[[#This Row],[Ref]]&lt;&gt;"-",
IF(M9=1,Dashboard!$C$26,IF(M9=2,Dashboard!$C$27,Dashboard!$C$28)),"-")</f>
        <v>2027</v>
      </c>
      <c r="P9" s="342">
        <f>IF(Heat_connections[[#This Row],[Category]]="Domestic",Heat_connections[[#This Row],[No. of connections]],0)</f>
        <v>0</v>
      </c>
      <c r="Q9" s="342">
        <f>IF(Heat_connections[[#This Row],[Category]]&lt;&gt;"Domestic",Heat_connections[[#This Row],[No. of connections]],0)</f>
        <v>1</v>
      </c>
      <c r="R9" s="209"/>
      <c r="S9" s="512">
        <f>IF(Heat_connections[[#This Row],[TOID]]&lt;&gt;"-",
IF(ISBLANK('Heat connections'!$R9),Dashboard!$C$14,'Heat connections'!$R9),0)</f>
        <v>8</v>
      </c>
      <c r="T9" s="513">
        <f>IF(Heat_connections[[#This Row],[Peak Demand, kW]]&lt;&gt;0,'Heat connections'!$G9*Dashboard!$C$21,0)</f>
        <v>2840.2579999999998</v>
      </c>
      <c r="U9" s="514">
        <f>IF(Heat_connections[[#This Row],[Ref]]&lt;&gt;"-",48.436*Heat_connections[[#This Row],[Peak Demand, kW]]+1068.7,0)</f>
        <v>7947.2368243999999</v>
      </c>
      <c r="V9" s="515">
        <f>IF(Heat_connections[[#This Row],[Ref]]&lt;&gt;"-",
_xlfn.XLOOKUP('Heat connections'!$G9,'Technical inputs'!$F$79:$F$94,'Technical inputs'!$I$79:$I$94,0,1,1),0)</f>
        <v>33110</v>
      </c>
      <c r="W9" s="431">
        <f>IF('Heat connections'!$E9="Domestic",1,0)</f>
        <v>0</v>
      </c>
      <c r="X9" s="432">
        <f>IF(AND(Heat_connections[[#This Row],[Ref]]&lt;&gt;"-",'Heat connections'!$E9&lt;&gt;"Domestic"),1,0)</f>
        <v>1</v>
      </c>
      <c r="Y9" s="435">
        <v>0</v>
      </c>
      <c r="Z9" s="439">
        <f>IF(Heat_connections[[#This Row],[Existing/planned development]]&lt;&gt;0,1,0)</f>
        <v>0</v>
      </c>
      <c r="AA9" s="432">
        <f>IF('Heat connections'!$M9=1,1,0)</f>
        <v>1</v>
      </c>
      <c r="AB9" s="432">
        <f>IF('Heat connections'!$M9=2,1,0)</f>
        <v>0</v>
      </c>
      <c r="AC9" s="435">
        <f>IF('Heat connections'!$M9=3,1,0)</f>
        <v>0</v>
      </c>
      <c r="AD9" s="46" t="str">
        <f>IF(AND(Heat_connections[[#This Row],[Connected to heat network]]="Yes",Heat_connections[[#This Row],[Ref]]&lt;&gt;"-"),"Yes","No")</f>
        <v>Yes</v>
      </c>
    </row>
    <row r="10" spans="2:30" ht="12.75" x14ac:dyDescent="0.2">
      <c r="C10" s="208" t="str" cm="1">
        <f t="array" ref="C10">IFERROR(_xlfn.XLOOKUP($C$3,Heat_connections_input[#Headers],Heat_connections_input[#This Row],0,0,),"-")</f>
        <v>5N8g/SSS0AYXD5WM</v>
      </c>
      <c r="D10" s="323" cm="1">
        <f t="array" ref="D10">IFERROR(_xlfn.XLOOKUP($D$3,Heat_connections_input[#Headers],Heat_connections_input[#This Row],0,0,),"-")</f>
        <v>0</v>
      </c>
      <c r="E10" s="284" t="str" cm="1">
        <f t="array" ref="E10">IFERROR(_xlfn.XLOOKUP($E$3,Heat_connections_input[#Headers],Heat_connections_input[#This Row],0,0,),"-")</f>
        <v>Offices</v>
      </c>
      <c r="F10" s="259" cm="1">
        <f t="array" ref="F10">IFERROR(_xlfn.XLOOKUP($F$3,Heat_connections_input[#Headers],Heat_connections_input[#This Row],0,0,),0)</f>
        <v>1695345.9</v>
      </c>
      <c r="G10" s="259" cm="1">
        <f t="array" ref="G10">IFERROR(_xlfn.XLOOKUP($G$3,Heat_connections_input[#Headers],Heat_connections_input[#This Row],0,0,),0)</f>
        <v>863.24009999999998</v>
      </c>
      <c r="H10" s="341" cm="1">
        <f t="array" ref="H10">IFERROR(_xlfn.XLOOKUP($H$3,Heat_connections_input[#Headers],Heat_connections_input[#This Row],0,0,),0)</f>
        <v>2</v>
      </c>
      <c r="I10" s="326" t="str" cm="1">
        <f t="array" ref="I10">IFERROR(_xlfn.XLOOKUP($I$3,Heat_connections_input[#Headers],Heat_connections_input[#This Row],0,0,),"-")</f>
        <v>Commercial</v>
      </c>
      <c r="J10" s="326" t="str" cm="1">
        <f t="array" ref="J10">IFERROR(_xlfn.XLOOKUP($J$3,Heat_connections_input[#Headers],Heat_connections_input[#This Row],0,0,1),"-")</f>
        <v>W12 7NS</v>
      </c>
      <c r="K10" s="260"/>
      <c r="L10" s="261"/>
      <c r="M10" s="262">
        <v>1</v>
      </c>
      <c r="N10" s="263" t="s">
        <v>107</v>
      </c>
      <c r="O10" s="264">
        <f>IF(Heat_connections[[#This Row],[Ref]]&lt;&gt;"-",
IF(M10=1,Dashboard!$C$26,IF(M10=2,Dashboard!$C$27,Dashboard!$C$28)),"-")</f>
        <v>2027</v>
      </c>
      <c r="P10" s="341">
        <f>IF(Heat_connections[[#This Row],[Category]]="Domestic",Heat_connections[[#This Row],[No. of connections]],0)</f>
        <v>0</v>
      </c>
      <c r="Q10" s="341">
        <f>IF(Heat_connections[[#This Row],[Category]]&lt;&gt;"Domestic",Heat_connections[[#This Row],[No. of connections]],0)</f>
        <v>2</v>
      </c>
      <c r="R10" s="209"/>
      <c r="S10" s="512">
        <f>IF(Heat_connections[[#This Row],[TOID]]&lt;&gt;"-",
IF(ISBLANK('Heat connections'!$R10),Dashboard!$C$14,'Heat connections'!$R10),0)</f>
        <v>8</v>
      </c>
      <c r="T10" s="513">
        <f>IF(Heat_connections[[#This Row],[Peak Demand, kW]]&lt;&gt;0,'Heat connections'!$G10*Dashboard!$C$21,0)</f>
        <v>17264.802</v>
      </c>
      <c r="U10" s="514">
        <f>IF(Heat_connections[[#This Row],[Ref]]&lt;&gt;"-",48.436*Heat_connections[[#This Row],[Peak Demand, kW]]+1068.7,0)</f>
        <v>42880.597483599995</v>
      </c>
      <c r="V10" s="515">
        <f>IF(Heat_connections[[#This Row],[Ref]]&lt;&gt;"-",
_xlfn.XLOOKUP('Heat connections'!$G10,'Technical inputs'!$F$79:$F$94,'Technical inputs'!$I$79:$I$94,0,1,1),0)</f>
        <v>60941</v>
      </c>
      <c r="W10" s="429">
        <f>IF('Heat connections'!$E10="Domestic",1,0)</f>
        <v>0</v>
      </c>
      <c r="X10" s="430">
        <f>IF(AND(Heat_connections[[#This Row],[Ref]]&lt;&gt;"-",'Heat connections'!$E10&lt;&gt;"Domestic"),1,0)</f>
        <v>1</v>
      </c>
      <c r="Y10" s="434">
        <v>0</v>
      </c>
      <c r="Z10" s="438">
        <f>IF(Heat_connections[[#This Row],[Existing/planned development]]&lt;&gt;0,1,0)</f>
        <v>0</v>
      </c>
      <c r="AA10" s="430">
        <f>IF('Heat connections'!$M10=1,1,0)</f>
        <v>1</v>
      </c>
      <c r="AB10" s="430">
        <f>IF('Heat connections'!$M10=2,1,0)</f>
        <v>0</v>
      </c>
      <c r="AC10" s="434">
        <f>IF('Heat connections'!$M10=3,1,0)</f>
        <v>0</v>
      </c>
      <c r="AD10" s="46" t="str">
        <f>IF(AND(Heat_connections[[#This Row],[Connected to heat network]]="Yes",Heat_connections[[#This Row],[Ref]]&lt;&gt;"-"),"Yes","No")</f>
        <v>Yes</v>
      </c>
    </row>
    <row r="11" spans="2:30" ht="12.75" x14ac:dyDescent="0.2">
      <c r="C11" s="208" t="str" cm="1">
        <f t="array" ref="C11">IFERROR(_xlfn.XLOOKUP($C$3,Heat_connections_input[#Headers],Heat_connections_input[#This Row],0,0,),"-")</f>
        <v>SucPO+NvQXEBj3Bh</v>
      </c>
      <c r="D11" s="323" cm="1">
        <f t="array" ref="D11">IFERROR(_xlfn.XLOOKUP($D$3,Heat_connections_input[#Headers],Heat_connections_input[#This Row],0,0,),"-")</f>
        <v>0</v>
      </c>
      <c r="E11" s="284" t="str" cm="1">
        <f t="array" ref="E11">IFERROR(_xlfn.XLOOKUP($E$3,Heat_connections_input[#Headers],Heat_connections_input[#This Row],0,0,),"-")</f>
        <v>Offices</v>
      </c>
      <c r="F11" s="259" cm="1">
        <f t="array" ref="F11">IFERROR(_xlfn.XLOOKUP($F$3,Heat_connections_input[#Headers],Heat_connections_input[#This Row],0,0,),0)</f>
        <v>223812.97</v>
      </c>
      <c r="G11" s="259" cm="1">
        <f t="array" ref="G11">IFERROR(_xlfn.XLOOKUP($G$3,Heat_connections_input[#Headers],Heat_connections_input[#This Row],0,0,),0)</f>
        <v>132.91838000000001</v>
      </c>
      <c r="H11" s="341" cm="1">
        <f t="array" ref="H11">IFERROR(_xlfn.XLOOKUP($H$3,Heat_connections_input[#Headers],Heat_connections_input[#This Row],0,0,),0)</f>
        <v>4</v>
      </c>
      <c r="I11" s="326" t="str" cm="1">
        <f t="array" ref="I11">IFERROR(_xlfn.XLOOKUP($I$3,Heat_connections_input[#Headers],Heat_connections_input[#This Row],0,0,),"-")</f>
        <v>Commercial : Office : Office / Work Studio</v>
      </c>
      <c r="J11" s="326" t="str" cm="1">
        <f t="array" ref="J11">IFERROR(_xlfn.XLOOKUP($J$3,Heat_connections_input[#Headers],Heat_connections_input[#This Row],0,0,1),"-")</f>
        <v>W12 8AW</v>
      </c>
      <c r="K11" s="260"/>
      <c r="L11" s="261"/>
      <c r="M11" s="262">
        <v>1</v>
      </c>
      <c r="N11" s="263" t="s">
        <v>107</v>
      </c>
      <c r="O11" s="265">
        <f>IF(Heat_connections[[#This Row],[Ref]]&lt;&gt;"-",
IF(M11=1,Dashboard!$C$26,IF(M11=2,Dashboard!$C$27,Dashboard!$C$28)),"-")</f>
        <v>2027</v>
      </c>
      <c r="P11" s="342">
        <f>IF(Heat_connections[[#This Row],[Category]]="Domestic",Heat_connections[[#This Row],[No. of connections]],0)</f>
        <v>0</v>
      </c>
      <c r="Q11" s="342">
        <f>IF(Heat_connections[[#This Row],[Category]]&lt;&gt;"Domestic",Heat_connections[[#This Row],[No. of connections]],0)</f>
        <v>4</v>
      </c>
      <c r="R11" s="209"/>
      <c r="S11" s="512">
        <f>IF(Heat_connections[[#This Row],[TOID]]&lt;&gt;"-",
IF(ISBLANK('Heat connections'!$R11),Dashboard!$C$14,'Heat connections'!$R11),0)</f>
        <v>8</v>
      </c>
      <c r="T11" s="513">
        <f>IF(Heat_connections[[#This Row],[Peak Demand, kW]]&lt;&gt;0,'Heat connections'!$G11*Dashboard!$C$21,0)</f>
        <v>2658.3676000000005</v>
      </c>
      <c r="U11" s="514">
        <f>IF(Heat_connections[[#This Row],[Ref]]&lt;&gt;"-",48.436*Heat_connections[[#This Row],[Peak Demand, kW]]+1068.7,0)</f>
        <v>7506.7346536800005</v>
      </c>
      <c r="V11" s="515">
        <f>IF(Heat_connections[[#This Row],[Ref]]&lt;&gt;"-",
_xlfn.XLOOKUP('Heat connections'!$G11,'Technical inputs'!$F$79:$F$94,'Technical inputs'!$I$79:$I$94,0,1,1),0)</f>
        <v>33110</v>
      </c>
      <c r="W11" s="431">
        <f>IF('Heat connections'!$E11="Domestic",1,0)</f>
        <v>0</v>
      </c>
      <c r="X11" s="432">
        <f>IF(AND(Heat_connections[[#This Row],[Ref]]&lt;&gt;"-",'Heat connections'!$E11&lt;&gt;"Domestic"),1,0)</f>
        <v>1</v>
      </c>
      <c r="Y11" s="435">
        <v>0</v>
      </c>
      <c r="Z11" s="439">
        <f>IF(Heat_connections[[#This Row],[Existing/planned development]]&lt;&gt;0,1,0)</f>
        <v>0</v>
      </c>
      <c r="AA11" s="432">
        <f>IF('Heat connections'!$M11=1,1,0)</f>
        <v>1</v>
      </c>
      <c r="AB11" s="432">
        <f>IF('Heat connections'!$M11=2,1,0)</f>
        <v>0</v>
      </c>
      <c r="AC11" s="435">
        <f>IF('Heat connections'!$M11=3,1,0)</f>
        <v>0</v>
      </c>
      <c r="AD11" s="46" t="str">
        <f>IF(AND(Heat_connections[[#This Row],[Connected to heat network]]="Yes",Heat_connections[[#This Row],[Ref]]&lt;&gt;"-"),"Yes","No")</f>
        <v>Yes</v>
      </c>
    </row>
    <row r="12" spans="2:30" ht="12.75" x14ac:dyDescent="0.2">
      <c r="C12" s="208" t="str" cm="1">
        <f t="array" ref="C12">IFERROR(_xlfn.XLOOKUP($C$3,Heat_connections_input[#Headers],Heat_connections_input[#This Row],0,0,),"-")</f>
        <v>NzpZcw3koCIp1AWi</v>
      </c>
      <c r="D12" s="323" cm="1">
        <f t="array" ref="D12">IFERROR(_xlfn.XLOOKUP($D$3,Heat_connections_input[#Headers],Heat_connections_input[#This Row],0,0,),"-")</f>
        <v>0</v>
      </c>
      <c r="E12" s="284" t="str" cm="1">
        <f t="array" ref="E12">IFERROR(_xlfn.XLOOKUP($E$3,Heat_connections_input[#Headers],Heat_connections_input[#This Row],0,0,),"-")</f>
        <v>Entertainment</v>
      </c>
      <c r="F12" s="259" cm="1">
        <f t="array" ref="F12">IFERROR(_xlfn.XLOOKUP($F$3,Heat_connections_input[#Headers],Heat_connections_input[#This Row],0,0,),0)</f>
        <v>3308519.5</v>
      </c>
      <c r="G12" s="259" cm="1">
        <f t="array" ref="G12">IFERROR(_xlfn.XLOOKUP($G$3,Heat_connections_input[#Headers],Heat_connections_input[#This Row],0,0,),0)</f>
        <v>1663.8583000000001</v>
      </c>
      <c r="H12" s="341" cm="1">
        <f t="array" ref="H12">IFERROR(_xlfn.XLOOKUP($H$3,Heat_connections_input[#Headers],Heat_connections_input[#This Row],0,0,),0)</f>
        <v>2</v>
      </c>
      <c r="I12" s="326" t="str" cm="1">
        <f t="array" ref="I12">IFERROR(_xlfn.XLOOKUP($I$3,Heat_connections_input[#Headers],Heat_connections_input[#This Row],0,0,),"-")</f>
        <v>Commercial : Leisure - Applicable to recreational sites and enterprises : Bingo Hall / Cinema / Conference / Exhibition Centre / Theatre / Concert Hall</v>
      </c>
      <c r="J12" s="326" t="str" cm="1">
        <f t="array" ref="J12">IFERROR(_xlfn.XLOOKUP($J$3,Heat_connections_input[#Headers],Heat_connections_input[#This Row],0,0,1),"-")</f>
        <v>W12 8TT</v>
      </c>
      <c r="K12" s="260"/>
      <c r="L12" s="261"/>
      <c r="M12" s="262">
        <v>1</v>
      </c>
      <c r="N12" s="263" t="s">
        <v>107</v>
      </c>
      <c r="O12" s="264">
        <f>IF(Heat_connections[[#This Row],[Ref]]&lt;&gt;"-",
IF(M12=1,Dashboard!$C$26,IF(M12=2,Dashboard!$C$27,Dashboard!$C$28)),"-")</f>
        <v>2027</v>
      </c>
      <c r="P12" s="341">
        <f>IF(Heat_connections[[#This Row],[Category]]="Domestic",Heat_connections[[#This Row],[No. of connections]],0)</f>
        <v>0</v>
      </c>
      <c r="Q12" s="341">
        <f>IF(Heat_connections[[#This Row],[Category]]&lt;&gt;"Domestic",Heat_connections[[#This Row],[No. of connections]],0)</f>
        <v>2</v>
      </c>
      <c r="R12" s="209"/>
      <c r="S12" s="512">
        <f>IF(Heat_connections[[#This Row],[TOID]]&lt;&gt;"-",
IF(ISBLANK('Heat connections'!$R12),Dashboard!$C$14,'Heat connections'!$R12),0)</f>
        <v>8</v>
      </c>
      <c r="T12" s="513">
        <f>IF(Heat_connections[[#This Row],[Peak Demand, kW]]&lt;&gt;0,'Heat connections'!$G12*Dashboard!$C$21,0)</f>
        <v>33277.166000000005</v>
      </c>
      <c r="U12" s="514">
        <f>IF(Heat_connections[[#This Row],[Ref]]&lt;&gt;"-",48.436*Heat_connections[[#This Row],[Peak Demand, kW]]+1068.7,0)</f>
        <v>81659.340618800008</v>
      </c>
      <c r="V12" s="515">
        <f>IF(Heat_connections[[#This Row],[Ref]]&lt;&gt;"-",
_xlfn.XLOOKUP('Heat connections'!$G12,'Technical inputs'!$F$79:$F$94,'Technical inputs'!$I$79:$I$94,0,1,1),0)</f>
        <v>88056</v>
      </c>
      <c r="W12" s="429">
        <f>IF('Heat connections'!$E12="Domestic",1,0)</f>
        <v>0</v>
      </c>
      <c r="X12" s="430">
        <f>IF(AND(Heat_connections[[#This Row],[Ref]]&lt;&gt;"-",'Heat connections'!$E12&lt;&gt;"Domestic"),1,0)</f>
        <v>1</v>
      </c>
      <c r="Y12" s="434">
        <v>0</v>
      </c>
      <c r="Z12" s="438">
        <f>IF(Heat_connections[[#This Row],[Existing/planned development]]&lt;&gt;0,1,0)</f>
        <v>0</v>
      </c>
      <c r="AA12" s="430">
        <f>IF('Heat connections'!$M12=1,1,0)</f>
        <v>1</v>
      </c>
      <c r="AB12" s="430">
        <f>IF('Heat connections'!$M12=2,1,0)</f>
        <v>0</v>
      </c>
      <c r="AC12" s="434">
        <f>IF('Heat connections'!$M12=3,1,0)</f>
        <v>0</v>
      </c>
      <c r="AD12" s="46" t="str">
        <f>IF(AND(Heat_connections[[#This Row],[Connected to heat network]]="Yes",Heat_connections[[#This Row],[Ref]]&lt;&gt;"-"),"Yes","No")</f>
        <v>Yes</v>
      </c>
    </row>
    <row r="13" spans="2:30" ht="12.75" x14ac:dyDescent="0.2">
      <c r="C13" s="208" t="str" cm="1">
        <f t="array" ref="C13">IFERROR(_xlfn.XLOOKUP($C$3,Heat_connections_input[#Headers],Heat_connections_input[#This Row],0,0,),"-")</f>
        <v>jwnnBMAFMmOd/zAj</v>
      </c>
      <c r="D13" s="323" cm="1">
        <f t="array" ref="D13">IFERROR(_xlfn.XLOOKUP($D$3,Heat_connections_input[#Headers],Heat_connections_input[#This Row],0,0,),"-")</f>
        <v>0</v>
      </c>
      <c r="E13" s="284" t="str" cm="1">
        <f t="array" ref="E13">IFERROR(_xlfn.XLOOKUP($E$3,Heat_connections_input[#Headers],Heat_connections_input[#This Row],0,0,),"-")</f>
        <v>Offices</v>
      </c>
      <c r="F13" s="259" cm="1">
        <f t="array" ref="F13">IFERROR(_xlfn.XLOOKUP($F$3,Heat_connections_input[#Headers],Heat_connections_input[#This Row],0,0,),0)</f>
        <v>862201.75</v>
      </c>
      <c r="G13" s="259" cm="1">
        <f t="array" ref="G13">IFERROR(_xlfn.XLOOKUP($G$3,Heat_connections_input[#Headers],Heat_connections_input[#This Row],0,0,),0)</f>
        <v>449.75072999999998</v>
      </c>
      <c r="H13" s="341" cm="1">
        <f t="array" ref="H13">IFERROR(_xlfn.XLOOKUP($H$3,Heat_connections_input[#Headers],Heat_connections_input[#This Row],0,0,),0)</f>
        <v>9</v>
      </c>
      <c r="I13" s="326" t="str" cm="1">
        <f t="array" ref="I13">IFERROR(_xlfn.XLOOKUP($I$3,Heat_connections_input[#Headers],Heat_connections_input[#This Row],0,0,),"-")</f>
        <v>Commercial</v>
      </c>
      <c r="J13" s="326" t="str" cm="1">
        <f t="array" ref="J13">IFERROR(_xlfn.XLOOKUP($J$3,Heat_connections_input[#Headers],Heat_connections_input[#This Row],0,0,1),"-")</f>
        <v>W12 8AA</v>
      </c>
      <c r="K13" s="260"/>
      <c r="L13" s="261"/>
      <c r="M13" s="262">
        <v>1</v>
      </c>
      <c r="N13" s="263" t="s">
        <v>107</v>
      </c>
      <c r="O13" s="265">
        <f>IF(Heat_connections[[#This Row],[Ref]]&lt;&gt;"-",
IF(M13=1,Dashboard!$C$26,IF(M13=2,Dashboard!$C$27,Dashboard!$C$28)),"-")</f>
        <v>2027</v>
      </c>
      <c r="P13" s="342">
        <f>IF(Heat_connections[[#This Row],[Category]]="Domestic",Heat_connections[[#This Row],[No. of connections]],0)</f>
        <v>0</v>
      </c>
      <c r="Q13" s="342">
        <f>IF(Heat_connections[[#This Row],[Category]]&lt;&gt;"Domestic",Heat_connections[[#This Row],[No. of connections]],0)</f>
        <v>9</v>
      </c>
      <c r="R13" s="209"/>
      <c r="S13" s="512">
        <f>IF(Heat_connections[[#This Row],[TOID]]&lt;&gt;"-",
IF(ISBLANK('Heat connections'!$R13),Dashboard!$C$14,'Heat connections'!$R13),0)</f>
        <v>8</v>
      </c>
      <c r="T13" s="513">
        <f>IF(Heat_connections[[#This Row],[Peak Demand, kW]]&lt;&gt;0,'Heat connections'!$G13*Dashboard!$C$21,0)</f>
        <v>8995.0145999999986</v>
      </c>
      <c r="U13" s="514">
        <f>IF(Heat_connections[[#This Row],[Ref]]&lt;&gt;"-",48.436*Heat_connections[[#This Row],[Peak Demand, kW]]+1068.7,0)</f>
        <v>22852.826358279999</v>
      </c>
      <c r="V13" s="515">
        <f>IF(Heat_connections[[#This Row],[Ref]]&lt;&gt;"-",
_xlfn.XLOOKUP('Heat connections'!$G13,'Technical inputs'!$F$79:$F$94,'Technical inputs'!$I$79:$I$94,0,1,1),0)</f>
        <v>46352</v>
      </c>
      <c r="W13" s="431">
        <f>IF('Heat connections'!$E13="Domestic",1,0)</f>
        <v>0</v>
      </c>
      <c r="X13" s="432">
        <f>IF(AND(Heat_connections[[#This Row],[Ref]]&lt;&gt;"-",'Heat connections'!$E13&lt;&gt;"Domestic"),1,0)</f>
        <v>1</v>
      </c>
      <c r="Y13" s="435">
        <v>0</v>
      </c>
      <c r="Z13" s="439">
        <f>IF(Heat_connections[[#This Row],[Existing/planned development]]&lt;&gt;0,1,0)</f>
        <v>0</v>
      </c>
      <c r="AA13" s="432">
        <f>IF('Heat connections'!$M13=1,1,0)</f>
        <v>1</v>
      </c>
      <c r="AB13" s="432">
        <f>IF('Heat connections'!$M13=2,1,0)</f>
        <v>0</v>
      </c>
      <c r="AC13" s="435">
        <f>IF('Heat connections'!$M13=3,1,0)</f>
        <v>0</v>
      </c>
      <c r="AD13" s="46" t="str">
        <f>IF(AND(Heat_connections[[#This Row],[Connected to heat network]]="Yes",Heat_connections[[#This Row],[Ref]]&lt;&gt;"-"),"Yes","No")</f>
        <v>Yes</v>
      </c>
    </row>
    <row r="14" spans="2:30" ht="12.75" x14ac:dyDescent="0.2">
      <c r="C14" s="208" t="str" cm="1">
        <f t="array" ref="C14">IFERROR(_xlfn.XLOOKUP($C$3,Heat_connections_input[#Headers],Heat_connections_input[#This Row],0,0,),"-")</f>
        <v>YfO6Epy9RFNexR++</v>
      </c>
      <c r="D14" s="323" cm="1">
        <f t="array" ref="D14">IFERROR(_xlfn.XLOOKUP($D$3,Heat_connections_input[#Headers],Heat_connections_input[#This Row],0,0,),"-")</f>
        <v>0</v>
      </c>
      <c r="E14" s="284" t="str" cm="1">
        <f t="array" ref="E14">IFERROR(_xlfn.XLOOKUP($E$3,Heat_connections_input[#Headers],Heat_connections_input[#This Row],0,0,),"-")</f>
        <v>Local authority buildings</v>
      </c>
      <c r="F14" s="259" cm="1">
        <f t="array" ref="F14">IFERROR(_xlfn.XLOOKUP($F$3,Heat_connections_input[#Headers],Heat_connections_input[#This Row],0,0,),0)</f>
        <v>914653.56</v>
      </c>
      <c r="G14" s="259" cm="1">
        <f t="array" ref="G14">IFERROR(_xlfn.XLOOKUP($G$3,Heat_connections_input[#Headers],Heat_connections_input[#This Row],0,0,),0)</f>
        <v>475.7826</v>
      </c>
      <c r="H14" s="341" cm="1">
        <f t="array" ref="H14">IFERROR(_xlfn.XLOOKUP($H$3,Heat_connections_input[#Headers],Heat_connections_input[#This Row],0,0,),0)</f>
        <v>1</v>
      </c>
      <c r="I14" s="326" t="str" cm="1">
        <f t="array" ref="I14">IFERROR(_xlfn.XLOOKUP($I$3,Heat_connections_input[#Headers],Heat_connections_input[#This Row],0,0,),"-")</f>
        <v>Commercial : Transport : Station / Interchange / Terminal / Halt</v>
      </c>
      <c r="J14" s="326" t="str" cm="1">
        <f t="array" ref="J14">IFERROR(_xlfn.XLOOKUP($J$3,Heat_connections_input[#Headers],Heat_connections_input[#This Row],0,0,1),"-")</f>
        <v>W12 8ND</v>
      </c>
      <c r="K14" s="260"/>
      <c r="L14" s="261"/>
      <c r="M14" s="262">
        <v>1</v>
      </c>
      <c r="N14" s="263" t="s">
        <v>107</v>
      </c>
      <c r="O14" s="264">
        <f>IF(Heat_connections[[#This Row],[Ref]]&lt;&gt;"-",
IF(M14=1,Dashboard!$C$26,IF(M14=2,Dashboard!$C$27,Dashboard!$C$28)),"-")</f>
        <v>2027</v>
      </c>
      <c r="P14" s="341">
        <f>IF(Heat_connections[[#This Row],[Category]]="Domestic",Heat_connections[[#This Row],[No. of connections]],0)</f>
        <v>0</v>
      </c>
      <c r="Q14" s="341">
        <f>IF(Heat_connections[[#This Row],[Category]]&lt;&gt;"Domestic",Heat_connections[[#This Row],[No. of connections]],0)</f>
        <v>1</v>
      </c>
      <c r="R14" s="209"/>
      <c r="S14" s="512">
        <f>IF(Heat_connections[[#This Row],[TOID]]&lt;&gt;"-",
IF(ISBLANK('Heat connections'!$R14),Dashboard!$C$14,'Heat connections'!$R14),0)</f>
        <v>8</v>
      </c>
      <c r="T14" s="513">
        <f>IF(Heat_connections[[#This Row],[Peak Demand, kW]]&lt;&gt;0,'Heat connections'!$G14*Dashboard!$C$21,0)</f>
        <v>9515.652</v>
      </c>
      <c r="U14" s="514">
        <f>IF(Heat_connections[[#This Row],[Ref]]&lt;&gt;"-",48.436*Heat_connections[[#This Row],[Peak Demand, kW]]+1068.7,0)</f>
        <v>24113.7060136</v>
      </c>
      <c r="V14" s="515">
        <f>IF(Heat_connections[[#This Row],[Ref]]&lt;&gt;"-",
_xlfn.XLOOKUP('Heat connections'!$G14,'Technical inputs'!$F$79:$F$94,'Technical inputs'!$I$79:$I$94,0,1,1),0)</f>
        <v>46352</v>
      </c>
      <c r="W14" s="429">
        <f>IF('Heat connections'!$E14="Domestic",1,0)</f>
        <v>0</v>
      </c>
      <c r="X14" s="430">
        <f>IF(AND(Heat_connections[[#This Row],[Ref]]&lt;&gt;"-",'Heat connections'!$E14&lt;&gt;"Domestic"),1,0)</f>
        <v>1</v>
      </c>
      <c r="Y14" s="434">
        <v>0</v>
      </c>
      <c r="Z14" s="438">
        <f>IF(Heat_connections[[#This Row],[Existing/planned development]]&lt;&gt;0,1,0)</f>
        <v>0</v>
      </c>
      <c r="AA14" s="430">
        <f>IF('Heat connections'!$M14=1,1,0)</f>
        <v>1</v>
      </c>
      <c r="AB14" s="430">
        <f>IF('Heat connections'!$M14=2,1,0)</f>
        <v>0</v>
      </c>
      <c r="AC14" s="434">
        <f>IF('Heat connections'!$M14=3,1,0)</f>
        <v>0</v>
      </c>
      <c r="AD14" s="46" t="str">
        <f>IF(AND(Heat_connections[[#This Row],[Connected to heat network]]="Yes",Heat_connections[[#This Row],[Ref]]&lt;&gt;"-"),"Yes","No")</f>
        <v>Yes</v>
      </c>
    </row>
    <row r="15" spans="2:30" ht="12.75" x14ac:dyDescent="0.2">
      <c r="C15" s="208" t="str" cm="1">
        <f t="array" ref="C15">IFERROR(_xlfn.XLOOKUP($C$3,Heat_connections_input[#Headers],Heat_connections_input[#This Row],0,0,),"-")</f>
        <v>LDQMJbcJJVdeA75s</v>
      </c>
      <c r="D15" s="323" cm="1">
        <f t="array" ref="D15">IFERROR(_xlfn.XLOOKUP($D$3,Heat_connections_input[#Headers],Heat_connections_input[#This Row],0,0,),"-")</f>
        <v>0</v>
      </c>
      <c r="E15" s="284" cm="1">
        <f t="array" ref="E15">IFERROR(_xlfn.XLOOKUP($E$3,Heat_connections_input[#Headers],Heat_connections_input[#This Row],0,0,),"-")</f>
        <v>0</v>
      </c>
      <c r="F15" s="259" cm="1">
        <f t="array" ref="F15">IFERROR(_xlfn.XLOOKUP($F$3,Heat_connections_input[#Headers],Heat_connections_input[#This Row],0,0,),0)</f>
        <v>921776</v>
      </c>
      <c r="G15" s="259" cm="1">
        <f t="array" ref="G15">IFERROR(_xlfn.XLOOKUP($G$3,Heat_connections_input[#Headers],Heat_connections_input[#This Row],0,0,),0)</f>
        <v>479.31743999999998</v>
      </c>
      <c r="H15" s="341" cm="1">
        <f t="array" ref="H15">IFERROR(_xlfn.XLOOKUP($H$3,Heat_connections_input[#Headers],Heat_connections_input[#This Row],0,0,),0)</f>
        <v>5</v>
      </c>
      <c r="I15" s="326" cm="1">
        <f t="array" ref="I15">IFERROR(_xlfn.XLOOKUP($I$3,Heat_connections_input[#Headers],Heat_connections_input[#This Row],0,0,),"-")</f>
        <v>0</v>
      </c>
      <c r="J15" s="326" cm="1">
        <f t="array" ref="J15">IFERROR(_xlfn.XLOOKUP($J$3,Heat_connections_input[#Headers],Heat_connections_input[#This Row],0,0,1),"-")</f>
        <v>0</v>
      </c>
      <c r="K15" s="260"/>
      <c r="L15" s="261"/>
      <c r="M15" s="262">
        <v>1</v>
      </c>
      <c r="N15" s="263" t="s">
        <v>107</v>
      </c>
      <c r="O15" s="265">
        <f>IF(Heat_connections[[#This Row],[Ref]]&lt;&gt;"-",
IF(M15=1,Dashboard!$C$26,IF(M15=2,Dashboard!$C$27,Dashboard!$C$28)),"-")</f>
        <v>2027</v>
      </c>
      <c r="P15" s="342">
        <f>IF(Heat_connections[[#This Row],[Category]]="Domestic",Heat_connections[[#This Row],[No. of connections]],0)</f>
        <v>0</v>
      </c>
      <c r="Q15" s="342">
        <f>IF(Heat_connections[[#This Row],[Category]]&lt;&gt;"Domestic",Heat_connections[[#This Row],[No. of connections]],0)</f>
        <v>5</v>
      </c>
      <c r="R15" s="209"/>
      <c r="S15" s="512">
        <f>IF(Heat_connections[[#This Row],[TOID]]&lt;&gt;"-",
IF(ISBLANK('Heat connections'!$R15),Dashboard!$C$14,'Heat connections'!$R15),0)</f>
        <v>8</v>
      </c>
      <c r="T15" s="513">
        <f>IF(Heat_connections[[#This Row],[Peak Demand, kW]]&lt;&gt;0,'Heat connections'!$G15*Dashboard!$C$21,0)</f>
        <v>9586.3487999999998</v>
      </c>
      <c r="U15" s="514">
        <f>IF(Heat_connections[[#This Row],[Ref]]&lt;&gt;"-",48.436*Heat_connections[[#This Row],[Peak Demand, kW]]+1068.7,0)</f>
        <v>24284.919523839999</v>
      </c>
      <c r="V15" s="515">
        <f>IF(Heat_connections[[#This Row],[Ref]]&lt;&gt;"-",
_xlfn.XLOOKUP('Heat connections'!$G15,'Technical inputs'!$F$79:$F$94,'Technical inputs'!$I$79:$I$94,0,1,1),0)</f>
        <v>46352</v>
      </c>
      <c r="W15" s="431">
        <f>IF('Heat connections'!$E15="Domestic",1,0)</f>
        <v>0</v>
      </c>
      <c r="X15" s="432">
        <f>IF(AND(Heat_connections[[#This Row],[Ref]]&lt;&gt;"-",'Heat connections'!$E15&lt;&gt;"Domestic"),1,0)</f>
        <v>1</v>
      </c>
      <c r="Y15" s="435">
        <v>0</v>
      </c>
      <c r="Z15" s="439">
        <f>IF(Heat_connections[[#This Row],[Existing/planned development]]&lt;&gt;0,1,0)</f>
        <v>0</v>
      </c>
      <c r="AA15" s="432">
        <f>IF('Heat connections'!$M15=1,1,0)</f>
        <v>1</v>
      </c>
      <c r="AB15" s="432">
        <f>IF('Heat connections'!$M15=2,1,0)</f>
        <v>0</v>
      </c>
      <c r="AC15" s="435">
        <f>IF('Heat connections'!$M15=3,1,0)</f>
        <v>0</v>
      </c>
      <c r="AD15" s="46" t="str">
        <f>IF(AND(Heat_connections[[#This Row],[Connected to heat network]]="Yes",Heat_connections[[#This Row],[Ref]]&lt;&gt;"-"),"Yes","No")</f>
        <v>Yes</v>
      </c>
    </row>
    <row r="16" spans="2:30" ht="12.75" x14ac:dyDescent="0.2">
      <c r="C16" s="208" t="str" cm="1">
        <f t="array" ref="C16">IFERROR(_xlfn.XLOOKUP($C$3,Heat_connections_input[#Headers],Heat_connections_input[#This Row],0,0,),"-")</f>
        <v>Rjkj0I6/OGvUfJK7</v>
      </c>
      <c r="D16" s="323" cm="1">
        <f t="array" ref="D16">IFERROR(_xlfn.XLOOKUP($D$3,Heat_connections_input[#Headers],Heat_connections_input[#This Row],0,0,),"-")</f>
        <v>0</v>
      </c>
      <c r="E16" s="284" t="str" cm="1">
        <f t="array" ref="E16">IFERROR(_xlfn.XLOOKUP($E$3,Heat_connections_input[#Headers],Heat_connections_input[#This Row],0,0,),"-")</f>
        <v>Domestic</v>
      </c>
      <c r="F16" s="259" cm="1">
        <f t="array" ref="F16">IFERROR(_xlfn.XLOOKUP($F$3,Heat_connections_input[#Headers],Heat_connections_input[#This Row],0,0,),0)</f>
        <v>17303.439999999999</v>
      </c>
      <c r="G16" s="259" cm="1">
        <f t="array" ref="G16">IFERROR(_xlfn.XLOOKUP($G$3,Heat_connections_input[#Headers],Heat_connections_input[#This Row],0,0,),0)</f>
        <v>30.427696000000001</v>
      </c>
      <c r="H16" s="341" cm="1">
        <f t="array" ref="H16">IFERROR(_xlfn.XLOOKUP($H$3,Heat_connections_input[#Headers],Heat_connections_input[#This Row],0,0,),0)</f>
        <v>1</v>
      </c>
      <c r="I16" s="326" t="str" cm="1">
        <f t="array" ref="I16">IFERROR(_xlfn.XLOOKUP($I$3,Heat_connections_input[#Headers],Heat_connections_input[#This Row],0,0,),"-")</f>
        <v>Residential : Dwelling</v>
      </c>
      <c r="J16" s="326" t="str" cm="1">
        <f t="array" ref="J16">IFERROR(_xlfn.XLOOKUP($J$3,Heat_connections_input[#Headers],Heat_connections_input[#This Row],0,0,1),"-")</f>
        <v>W14 0AB</v>
      </c>
      <c r="K16" s="260"/>
      <c r="L16" s="261"/>
      <c r="M16" s="262">
        <v>1</v>
      </c>
      <c r="N16" s="263" t="s">
        <v>107</v>
      </c>
      <c r="O16" s="264">
        <f>IF(Heat_connections[[#This Row],[Ref]]&lt;&gt;"-",
IF(M16=1,Dashboard!$C$26,IF(M16=2,Dashboard!$C$27,Dashboard!$C$28)),"-")</f>
        <v>2027</v>
      </c>
      <c r="P16" s="341">
        <f>IF(Heat_connections[[#This Row],[Category]]="Domestic",Heat_connections[[#This Row],[No. of connections]],0)</f>
        <v>1</v>
      </c>
      <c r="Q16" s="341">
        <f>IF(Heat_connections[[#This Row],[Category]]&lt;&gt;"Domestic",Heat_connections[[#This Row],[No. of connections]],0)</f>
        <v>0</v>
      </c>
      <c r="R16" s="209"/>
      <c r="S16" s="512">
        <f>IF(Heat_connections[[#This Row],[TOID]]&lt;&gt;"-",
IF(ISBLANK('Heat connections'!$R16),Dashboard!$C$14,'Heat connections'!$R16),0)</f>
        <v>8</v>
      </c>
      <c r="T16" s="513">
        <f>IF(Heat_connections[[#This Row],[Peak Demand, kW]]&lt;&gt;0,'Heat connections'!$G16*Dashboard!$C$21,0)</f>
        <v>608.55392000000006</v>
      </c>
      <c r="U16" s="514">
        <f>IF(Heat_connections[[#This Row],[Ref]]&lt;&gt;"-",48.436*Heat_connections[[#This Row],[Peak Demand, kW]]+1068.7,0)</f>
        <v>2542.4958834560002</v>
      </c>
      <c r="V16" s="515">
        <f>IF(Heat_connections[[#This Row],[Ref]]&lt;&gt;"-",
_xlfn.XLOOKUP('Heat connections'!$G16,'Technical inputs'!$F$79:$F$94,'Technical inputs'!$I$79:$I$94,0,1,1),0)</f>
        <v>28145</v>
      </c>
      <c r="W16" s="429">
        <f>IF('Heat connections'!$E16="Domestic",1,0)</f>
        <v>1</v>
      </c>
      <c r="X16" s="430">
        <f>IF(AND(Heat_connections[[#This Row],[Ref]]&lt;&gt;"-",'Heat connections'!$E16&lt;&gt;"Domestic"),1,0)</f>
        <v>0</v>
      </c>
      <c r="Y16" s="434">
        <v>0</v>
      </c>
      <c r="Z16" s="438">
        <f>IF(Heat_connections[[#This Row],[Existing/planned development]]&lt;&gt;0,1,0)</f>
        <v>0</v>
      </c>
      <c r="AA16" s="430">
        <f>IF('Heat connections'!$M16=1,1,0)</f>
        <v>1</v>
      </c>
      <c r="AB16" s="430">
        <f>IF('Heat connections'!$M16=2,1,0)</f>
        <v>0</v>
      </c>
      <c r="AC16" s="434">
        <f>IF('Heat connections'!$M16=3,1,0)</f>
        <v>0</v>
      </c>
      <c r="AD16" s="46" t="str">
        <f>IF(AND(Heat_connections[[#This Row],[Connected to heat network]]="Yes",Heat_connections[[#This Row],[Ref]]&lt;&gt;"-"),"Yes","No")</f>
        <v>Yes</v>
      </c>
    </row>
    <row r="17" spans="3:30" ht="12.75" x14ac:dyDescent="0.2">
      <c r="C17" s="208" t="str" cm="1">
        <f t="array" ref="C17">IFERROR(_xlfn.XLOOKUP($C$3,Heat_connections_input[#Headers],Heat_connections_input[#This Row],0,0,),"-")</f>
        <v>AXLxXuVEarySGwWS</v>
      </c>
      <c r="D17" s="323" cm="1">
        <f t="array" ref="D17">IFERROR(_xlfn.XLOOKUP($D$3,Heat_connections_input[#Headers],Heat_connections_input[#This Row],0,0,),"-")</f>
        <v>0</v>
      </c>
      <c r="E17" s="284" t="str" cm="1">
        <f t="array" ref="E17">IFERROR(_xlfn.XLOOKUP($E$3,Heat_connections_input[#Headers],Heat_connections_input[#This Row],0,0,),"-")</f>
        <v>Offices</v>
      </c>
      <c r="F17" s="259" cm="1">
        <f t="array" ref="F17">IFERROR(_xlfn.XLOOKUP($F$3,Heat_connections_input[#Headers],Heat_connections_input[#This Row],0,0,),0)</f>
        <v>87035.520000000004</v>
      </c>
      <c r="G17" s="259" cm="1">
        <f t="array" ref="G17">IFERROR(_xlfn.XLOOKUP($G$3,Heat_connections_input[#Headers],Heat_connections_input[#This Row],0,0,),0)</f>
        <v>65.035730000000001</v>
      </c>
      <c r="H17" s="341" cm="1">
        <f t="array" ref="H17">IFERROR(_xlfn.XLOOKUP($H$3,Heat_connections_input[#Headers],Heat_connections_input[#This Row],0,0,),0)</f>
        <v>7</v>
      </c>
      <c r="I17" s="326" t="str" cm="1">
        <f t="array" ref="I17">IFERROR(_xlfn.XLOOKUP($I$3,Heat_connections_input[#Headers],Heat_connections_input[#This Row],0,0,),"-")</f>
        <v>Commercial : Office : Office / Work Studio</v>
      </c>
      <c r="J17" s="326" t="str" cm="1">
        <f t="array" ref="J17">IFERROR(_xlfn.XLOOKUP($J$3,Heat_connections_input[#Headers],Heat_connections_input[#This Row],0,0,1),"-")</f>
        <v>W14 0HN</v>
      </c>
      <c r="K17" s="260"/>
      <c r="L17" s="261"/>
      <c r="M17" s="262">
        <v>1</v>
      </c>
      <c r="N17" s="263" t="s">
        <v>107</v>
      </c>
      <c r="O17" s="265">
        <f>IF(Heat_connections[[#This Row],[Ref]]&lt;&gt;"-",
IF(M17=1,Dashboard!$C$26,IF(M17=2,Dashboard!$C$27,Dashboard!$C$28)),"-")</f>
        <v>2027</v>
      </c>
      <c r="P17" s="342">
        <f>IF(Heat_connections[[#This Row],[Category]]="Domestic",Heat_connections[[#This Row],[No. of connections]],0)</f>
        <v>0</v>
      </c>
      <c r="Q17" s="342">
        <f>IF(Heat_connections[[#This Row],[Category]]&lt;&gt;"Domestic",Heat_connections[[#This Row],[No. of connections]],0)</f>
        <v>7</v>
      </c>
      <c r="R17" s="209"/>
      <c r="S17" s="512">
        <f>IF(Heat_connections[[#This Row],[TOID]]&lt;&gt;"-",
IF(ISBLANK('Heat connections'!$R17),Dashboard!$C$14,'Heat connections'!$R17),0)</f>
        <v>8</v>
      </c>
      <c r="T17" s="513">
        <f>IF(Heat_connections[[#This Row],[Peak Demand, kW]]&lt;&gt;0,'Heat connections'!$G17*Dashboard!$C$21,0)</f>
        <v>1300.7146</v>
      </c>
      <c r="U17" s="514">
        <f>IF(Heat_connections[[#This Row],[Ref]]&lt;&gt;"-",48.436*Heat_connections[[#This Row],[Peak Demand, kW]]+1068.7,0)</f>
        <v>4218.7706182800002</v>
      </c>
      <c r="V17" s="515">
        <f>IF(Heat_connections[[#This Row],[Ref]]&lt;&gt;"-",
_xlfn.XLOOKUP('Heat connections'!$G17,'Technical inputs'!$F$79:$F$94,'Technical inputs'!$I$79:$I$94,0,1,1),0)</f>
        <v>28145</v>
      </c>
      <c r="W17" s="431">
        <f>IF('Heat connections'!$E17="Domestic",1,0)</f>
        <v>0</v>
      </c>
      <c r="X17" s="432">
        <f>IF(AND(Heat_connections[[#This Row],[Ref]]&lt;&gt;"-",'Heat connections'!$E17&lt;&gt;"Domestic"),1,0)</f>
        <v>1</v>
      </c>
      <c r="Y17" s="435">
        <v>0</v>
      </c>
      <c r="Z17" s="439">
        <f>IF(Heat_connections[[#This Row],[Existing/planned development]]&lt;&gt;0,1,0)</f>
        <v>0</v>
      </c>
      <c r="AA17" s="432">
        <f>IF('Heat connections'!$M17=1,1,0)</f>
        <v>1</v>
      </c>
      <c r="AB17" s="432">
        <f>IF('Heat connections'!$M17=2,1,0)</f>
        <v>0</v>
      </c>
      <c r="AC17" s="435">
        <f>IF('Heat connections'!$M17=3,1,0)</f>
        <v>0</v>
      </c>
      <c r="AD17" s="46" t="str">
        <f>IF(AND(Heat_connections[[#This Row],[Connected to heat network]]="Yes",Heat_connections[[#This Row],[Ref]]&lt;&gt;"-"),"Yes","No")</f>
        <v>Yes</v>
      </c>
    </row>
    <row r="18" spans="3:30" ht="12.75" x14ac:dyDescent="0.2">
      <c r="C18" s="208" t="str" cm="1">
        <f t="array" ref="C18">IFERROR(_xlfn.XLOOKUP($C$3,Heat_connections_input[#Headers],Heat_connections_input[#This Row],0,0,),"-")</f>
        <v>aITZdbgVqbNawEe4</v>
      </c>
      <c r="D18" s="323" cm="1">
        <f t="array" ref="D18">IFERROR(_xlfn.XLOOKUP($D$3,Heat_connections_input[#Headers],Heat_connections_input[#This Row],0,0,),"-")</f>
        <v>0</v>
      </c>
      <c r="E18" s="284" t="str" cm="1">
        <f t="array" ref="E18">IFERROR(_xlfn.XLOOKUP($E$3,Heat_connections_input[#Headers],Heat_connections_input[#This Row],0,0,),"-")</f>
        <v>Local authority buildings</v>
      </c>
      <c r="F18" s="259" cm="1">
        <f t="array" ref="F18">IFERROR(_xlfn.XLOOKUP($F$3,Heat_connections_input[#Headers],Heat_connections_input[#This Row],0,0,),0)</f>
        <v>37226.815999999999</v>
      </c>
      <c r="G18" s="259" cm="1">
        <f t="array" ref="G18">IFERROR(_xlfn.XLOOKUP($G$3,Heat_connections_input[#Headers],Heat_connections_input[#This Row],0,0,),0)</f>
        <v>40.315669999999997</v>
      </c>
      <c r="H18" s="341" cm="1">
        <f t="array" ref="H18">IFERROR(_xlfn.XLOOKUP($H$3,Heat_connections_input[#Headers],Heat_connections_input[#This Row],0,0,),0)</f>
        <v>1</v>
      </c>
      <c r="I18" s="326" t="str" cm="1">
        <f t="array" ref="I18">IFERROR(_xlfn.XLOOKUP($I$3,Heat_connections_input[#Headers],Heat_connections_input[#This Row],0,0,),"-")</f>
        <v>Commercial : Community Services</v>
      </c>
      <c r="J18" s="326" t="str" cm="1">
        <f t="array" ref="J18">IFERROR(_xlfn.XLOOKUP($J$3,Heat_connections_input[#Headers],Heat_connections_input[#This Row],0,0,1),"-")</f>
        <v>W12 7PH</v>
      </c>
      <c r="K18" s="260"/>
      <c r="L18" s="261"/>
      <c r="M18" s="262">
        <v>1</v>
      </c>
      <c r="N18" s="263" t="s">
        <v>107</v>
      </c>
      <c r="O18" s="264">
        <f>IF(Heat_connections[[#This Row],[Ref]]&lt;&gt;"-",
IF(M18=1,Dashboard!$C$26,IF(M18=2,Dashboard!$C$27,Dashboard!$C$28)),"-")</f>
        <v>2027</v>
      </c>
      <c r="P18" s="341">
        <f>IF(Heat_connections[[#This Row],[Category]]="Domestic",Heat_connections[[#This Row],[No. of connections]],0)</f>
        <v>0</v>
      </c>
      <c r="Q18" s="341">
        <f>IF(Heat_connections[[#This Row],[Category]]&lt;&gt;"Domestic",Heat_connections[[#This Row],[No. of connections]],0)</f>
        <v>1</v>
      </c>
      <c r="R18" s="209"/>
      <c r="S18" s="512">
        <f>IF(Heat_connections[[#This Row],[TOID]]&lt;&gt;"-",
IF(ISBLANK('Heat connections'!$R18),Dashboard!$C$14,'Heat connections'!$R18),0)</f>
        <v>8</v>
      </c>
      <c r="T18" s="513">
        <f>IF(Heat_connections[[#This Row],[Peak Demand, kW]]&lt;&gt;0,'Heat connections'!$G18*Dashboard!$C$21,0)</f>
        <v>806.3134</v>
      </c>
      <c r="U18" s="514">
        <f>IF(Heat_connections[[#This Row],[Ref]]&lt;&gt;"-",48.436*Heat_connections[[#This Row],[Peak Demand, kW]]+1068.7,0)</f>
        <v>3021.42979212</v>
      </c>
      <c r="V18" s="515">
        <f>IF(Heat_connections[[#This Row],[Ref]]&lt;&gt;"-",
_xlfn.XLOOKUP('Heat connections'!$G18,'Technical inputs'!$F$79:$F$94,'Technical inputs'!$I$79:$I$94,0,1,1),0)</f>
        <v>28145</v>
      </c>
      <c r="W18" s="429">
        <f>IF('Heat connections'!$E18="Domestic",1,0)</f>
        <v>0</v>
      </c>
      <c r="X18" s="430">
        <f>IF(AND(Heat_connections[[#This Row],[Ref]]&lt;&gt;"-",'Heat connections'!$E18&lt;&gt;"Domestic"),1,0)</f>
        <v>1</v>
      </c>
      <c r="Y18" s="434">
        <v>0</v>
      </c>
      <c r="Z18" s="438">
        <f>IF(Heat_connections[[#This Row],[Existing/planned development]]&lt;&gt;0,1,0)</f>
        <v>0</v>
      </c>
      <c r="AA18" s="430">
        <f>IF('Heat connections'!$M18=1,1,0)</f>
        <v>1</v>
      </c>
      <c r="AB18" s="430">
        <f>IF('Heat connections'!$M18=2,1,0)</f>
        <v>0</v>
      </c>
      <c r="AC18" s="434">
        <f>IF('Heat connections'!$M18=3,1,0)</f>
        <v>0</v>
      </c>
      <c r="AD18" s="46" t="str">
        <f>IF(AND(Heat_connections[[#This Row],[Connected to heat network]]="Yes",Heat_connections[[#This Row],[Ref]]&lt;&gt;"-"),"Yes","No")</f>
        <v>Yes</v>
      </c>
    </row>
    <row r="19" spans="3:30" ht="12.75" x14ac:dyDescent="0.2">
      <c r="C19" s="208" t="str" cm="1">
        <f t="array" ref="C19">IFERROR(_xlfn.XLOOKUP($C$3,Heat_connections_input[#Headers],Heat_connections_input[#This Row],0,0,),"-")</f>
        <v>OUmy5uRrII1i//sF</v>
      </c>
      <c r="D19" s="323" cm="1">
        <f t="array" ref="D19">IFERROR(_xlfn.XLOOKUP($D$3,Heat_connections_input[#Headers],Heat_connections_input[#This Row],0,0,),"-")</f>
        <v>0</v>
      </c>
      <c r="E19" s="284" t="str" cm="1">
        <f t="array" ref="E19">IFERROR(_xlfn.XLOOKUP($E$3,Heat_connections_input[#Headers],Heat_connections_input[#This Row],0,0,),"-")</f>
        <v>Retail</v>
      </c>
      <c r="F19" s="259" cm="1">
        <f t="array" ref="F19">IFERROR(_xlfn.XLOOKUP($F$3,Heat_connections_input[#Headers],Heat_connections_input[#This Row],0,0,),0)</f>
        <v>28826114</v>
      </c>
      <c r="G19" s="259" cm="1">
        <f t="array" ref="G19">IFERROR(_xlfn.XLOOKUP($G$3,Heat_connections_input[#Headers],Heat_connections_input[#This Row],0,0,),0)</f>
        <v>14328.24</v>
      </c>
      <c r="H19" s="341" cm="1">
        <f t="array" ref="H19">IFERROR(_xlfn.XLOOKUP($H$3,Heat_connections_input[#Headers],Heat_connections_input[#This Row],0,0,),0)</f>
        <v>115</v>
      </c>
      <c r="I19" s="326" t="str" cm="1">
        <f t="array" ref="I19">IFERROR(_xlfn.XLOOKUP($I$3,Heat_connections_input[#Headers],Heat_connections_input[#This Row],0,0,),"-")</f>
        <v>Commercial : Retail : Shop / Showroom</v>
      </c>
      <c r="J19" s="326" t="str" cm="1">
        <f t="array" ref="J19">IFERROR(_xlfn.XLOOKUP($J$3,Heat_connections_input[#Headers],Heat_connections_input[#This Row],0,0,1),"-")</f>
        <v>W12 8AG</v>
      </c>
      <c r="K19" s="260"/>
      <c r="L19" s="261"/>
      <c r="M19" s="262">
        <v>1</v>
      </c>
      <c r="N19" s="263" t="s">
        <v>107</v>
      </c>
      <c r="O19" s="265">
        <f>IF(Heat_connections[[#This Row],[Ref]]&lt;&gt;"-",
IF(M19=1,Dashboard!$C$26,IF(M19=2,Dashboard!$C$27,Dashboard!$C$28)),"-")</f>
        <v>2027</v>
      </c>
      <c r="P19" s="342">
        <f>IF(Heat_connections[[#This Row],[Category]]="Domestic",Heat_connections[[#This Row],[No. of connections]],0)</f>
        <v>0</v>
      </c>
      <c r="Q19" s="342">
        <f>IF(Heat_connections[[#This Row],[Category]]&lt;&gt;"Domestic",Heat_connections[[#This Row],[No. of connections]],0)</f>
        <v>115</v>
      </c>
      <c r="R19" s="209"/>
      <c r="S19" s="512">
        <f>IF(Heat_connections[[#This Row],[TOID]]&lt;&gt;"-",
IF(ISBLANK('Heat connections'!$R19),Dashboard!$C$14,'Heat connections'!$R19),0)</f>
        <v>8</v>
      </c>
      <c r="T19" s="513">
        <f>IF(Heat_connections[[#This Row],[Peak Demand, kW]]&lt;&gt;0,'Heat connections'!$G19*Dashboard!$C$21,0)</f>
        <v>286564.8</v>
      </c>
      <c r="U19" s="514">
        <f>IF(Heat_connections[[#This Row],[Ref]]&lt;&gt;"-",48.436*Heat_connections[[#This Row],[Peak Demand, kW]]+1068.7,0)</f>
        <v>695071.33263999992</v>
      </c>
      <c r="V19" s="515">
        <f>IF(Heat_connections[[#This Row],[Ref]]&lt;&gt;"-",
_xlfn.XLOOKUP('Heat connections'!$G19,'Technical inputs'!$F$79:$F$94,'Technical inputs'!$I$79:$I$94,0,1,1),0)</f>
        <v>0</v>
      </c>
      <c r="W19" s="431">
        <f>IF('Heat connections'!$E19="Domestic",1,0)</f>
        <v>0</v>
      </c>
      <c r="X19" s="432">
        <f>IF(AND(Heat_connections[[#This Row],[Ref]]&lt;&gt;"-",'Heat connections'!$E19&lt;&gt;"Domestic"),1,0)</f>
        <v>1</v>
      </c>
      <c r="Y19" s="435">
        <v>0</v>
      </c>
      <c r="Z19" s="439">
        <f>IF(Heat_connections[[#This Row],[Existing/planned development]]&lt;&gt;0,1,0)</f>
        <v>0</v>
      </c>
      <c r="AA19" s="432">
        <f>IF('Heat connections'!$M19=1,1,0)</f>
        <v>1</v>
      </c>
      <c r="AB19" s="432">
        <f>IF('Heat connections'!$M19=2,1,0)</f>
        <v>0</v>
      </c>
      <c r="AC19" s="435">
        <f>IF('Heat connections'!$M19=3,1,0)</f>
        <v>0</v>
      </c>
      <c r="AD19" s="46" t="str">
        <f>IF(AND(Heat_connections[[#This Row],[Connected to heat network]]="Yes",Heat_connections[[#This Row],[Ref]]&lt;&gt;"-"),"Yes","No")</f>
        <v>Yes</v>
      </c>
    </row>
    <row r="20" spans="3:30" ht="12.75" x14ac:dyDescent="0.2">
      <c r="C20" s="208" t="str" cm="1">
        <f t="array" ref="C20">IFERROR(_xlfn.XLOOKUP($C$3,Heat_connections_input[#Headers],Heat_connections_input[#This Row],0,0,),"-")</f>
        <v>im+eYt1daQfxBA3g</v>
      </c>
      <c r="D20" s="323" cm="1">
        <f t="array" ref="D20">IFERROR(_xlfn.XLOOKUP($D$3,Heat_connections_input[#Headers],Heat_connections_input[#This Row],0,0,),"-")</f>
        <v>0</v>
      </c>
      <c r="E20" s="284" t="str" cm="1">
        <f t="array" ref="E20">IFERROR(_xlfn.XLOOKUP($E$3,Heat_connections_input[#Headers],Heat_connections_input[#This Row],0,0,),"-")</f>
        <v>Public buildings</v>
      </c>
      <c r="F20" s="259" cm="1">
        <f t="array" ref="F20">IFERROR(_xlfn.XLOOKUP($F$3,Heat_connections_input[#Headers],Heat_connections_input[#This Row],0,0,),0)</f>
        <v>205805.62</v>
      </c>
      <c r="G20" s="259" cm="1">
        <f t="array" ref="G20">IFERROR(_xlfn.XLOOKUP($G$3,Heat_connections_input[#Headers],Heat_connections_input[#This Row],0,0,),0)</f>
        <v>123.98133</v>
      </c>
      <c r="H20" s="341" cm="1">
        <f t="array" ref="H20">IFERROR(_xlfn.XLOOKUP($H$3,Heat_connections_input[#Headers],Heat_connections_input[#This Row],0,0,),0)</f>
        <v>1</v>
      </c>
      <c r="I20" s="326" t="str" cm="1">
        <f t="array" ref="I20">IFERROR(_xlfn.XLOOKUP($I$3,Heat_connections_input[#Headers],Heat_connections_input[#This Row],0,0,),"-")</f>
        <v>Commercial : Emergency / Rescue Service : Police / Transport Police / Station</v>
      </c>
      <c r="J20" s="326" t="str" cm="1">
        <f t="array" ref="J20">IFERROR(_xlfn.XLOOKUP($J$3,Heat_connections_input[#Headers],Heat_connections_input[#This Row],0,0,1),"-")</f>
        <v>W12 7JA</v>
      </c>
      <c r="K20" s="260"/>
      <c r="L20" s="261"/>
      <c r="M20" s="262">
        <v>1</v>
      </c>
      <c r="N20" s="263" t="s">
        <v>107</v>
      </c>
      <c r="O20" s="264">
        <f>IF(Heat_connections[[#This Row],[Ref]]&lt;&gt;"-",
IF(M20=1,Dashboard!$C$26,IF(M20=2,Dashboard!$C$27,Dashboard!$C$28)),"-")</f>
        <v>2027</v>
      </c>
      <c r="P20" s="341">
        <f>IF(Heat_connections[[#This Row],[Category]]="Domestic",Heat_connections[[#This Row],[No. of connections]],0)</f>
        <v>0</v>
      </c>
      <c r="Q20" s="341">
        <f>IF(Heat_connections[[#This Row],[Category]]&lt;&gt;"Domestic",Heat_connections[[#This Row],[No. of connections]],0)</f>
        <v>1</v>
      </c>
      <c r="R20" s="209"/>
      <c r="S20" s="512">
        <f>IF(Heat_connections[[#This Row],[TOID]]&lt;&gt;"-",
IF(ISBLANK('Heat connections'!$R20),Dashboard!$C$14,'Heat connections'!$R20),0)</f>
        <v>8</v>
      </c>
      <c r="T20" s="513">
        <f>IF(Heat_connections[[#This Row],[Peak Demand, kW]]&lt;&gt;0,'Heat connections'!$G20*Dashboard!$C$21,0)</f>
        <v>2479.6266000000001</v>
      </c>
      <c r="U20" s="514">
        <f>IF(Heat_connections[[#This Row],[Ref]]&lt;&gt;"-",48.436*Heat_connections[[#This Row],[Peak Demand, kW]]+1068.7,0)</f>
        <v>7073.8596998799994</v>
      </c>
      <c r="V20" s="515">
        <f>IF(Heat_connections[[#This Row],[Ref]]&lt;&gt;"-",
_xlfn.XLOOKUP('Heat connections'!$G20,'Technical inputs'!$F$79:$F$94,'Technical inputs'!$I$79:$I$94,0,1,1),0)</f>
        <v>33110</v>
      </c>
      <c r="W20" s="429">
        <f>IF('Heat connections'!$E20="Domestic",1,0)</f>
        <v>0</v>
      </c>
      <c r="X20" s="430">
        <f>IF(AND(Heat_connections[[#This Row],[Ref]]&lt;&gt;"-",'Heat connections'!$E20&lt;&gt;"Domestic"),1,0)</f>
        <v>1</v>
      </c>
      <c r="Y20" s="434">
        <v>0</v>
      </c>
      <c r="Z20" s="438">
        <f>IF(Heat_connections[[#This Row],[Existing/planned development]]&lt;&gt;0,1,0)</f>
        <v>0</v>
      </c>
      <c r="AA20" s="430">
        <f>IF('Heat connections'!$M20=1,1,0)</f>
        <v>1</v>
      </c>
      <c r="AB20" s="430">
        <f>IF('Heat connections'!$M20=2,1,0)</f>
        <v>0</v>
      </c>
      <c r="AC20" s="434">
        <f>IF('Heat connections'!$M20=3,1,0)</f>
        <v>0</v>
      </c>
      <c r="AD20" s="46" t="str">
        <f>IF(AND(Heat_connections[[#This Row],[Connected to heat network]]="Yes",Heat_connections[[#This Row],[Ref]]&lt;&gt;"-"),"Yes","No")</f>
        <v>Yes</v>
      </c>
    </row>
    <row r="21" spans="3:30" ht="12.75" x14ac:dyDescent="0.2">
      <c r="C21" s="208" t="str" cm="1">
        <f t="array" ref="C21">IFERROR(_xlfn.XLOOKUP($C$3,Heat_connections_input[#Headers],Heat_connections_input[#This Row],0,0,),"-")</f>
        <v>zJv0BZLd38Cdqnu6</v>
      </c>
      <c r="D21" s="323" cm="1">
        <f t="array" ref="D21">IFERROR(_xlfn.XLOOKUP($D$3,Heat_connections_input[#Headers],Heat_connections_input[#This Row],0,0,),"-")</f>
        <v>0</v>
      </c>
      <c r="E21" s="284" t="str" cm="1">
        <f t="array" ref="E21">IFERROR(_xlfn.XLOOKUP($E$3,Heat_connections_input[#Headers],Heat_connections_input[#This Row],0,0,),"-")</f>
        <v>Offices</v>
      </c>
      <c r="F21" s="259" cm="1">
        <f t="array" ref="F21">IFERROR(_xlfn.XLOOKUP($F$3,Heat_connections_input[#Headers],Heat_connections_input[#This Row],0,0,),0)</f>
        <v>772065.25</v>
      </c>
      <c r="G21" s="259" cm="1">
        <f t="array" ref="G21">IFERROR(_xlfn.XLOOKUP($G$3,Heat_connections_input[#Headers],Heat_connections_input[#This Row],0,0,),0)</f>
        <v>405.01596000000001</v>
      </c>
      <c r="H21" s="341" cm="1">
        <f t="array" ref="H21">IFERROR(_xlfn.XLOOKUP($H$3,Heat_connections_input[#Headers],Heat_connections_input[#This Row],0,0,),0)</f>
        <v>28</v>
      </c>
      <c r="I21" s="326" t="str" cm="1">
        <f t="array" ref="I21">IFERROR(_xlfn.XLOOKUP($I$3,Heat_connections_input[#Headers],Heat_connections_input[#This Row],0,0,),"-")</f>
        <v>Commercial : Office : Office / Work Studio</v>
      </c>
      <c r="J21" s="326" t="str" cm="1">
        <f t="array" ref="J21">IFERROR(_xlfn.XLOOKUP($J$3,Heat_connections_input[#Headers],Heat_connections_input[#This Row],0,0,1),"-")</f>
        <v>W12 8LE</v>
      </c>
      <c r="K21" s="260"/>
      <c r="L21" s="261"/>
      <c r="M21" s="262">
        <v>1</v>
      </c>
      <c r="N21" s="263" t="s">
        <v>107</v>
      </c>
      <c r="O21" s="265">
        <f>IF(Heat_connections[[#This Row],[Ref]]&lt;&gt;"-",
IF(M21=1,Dashboard!$C$26,IF(M21=2,Dashboard!$C$27,Dashboard!$C$28)),"-")</f>
        <v>2027</v>
      </c>
      <c r="P21" s="342">
        <f>IF(Heat_connections[[#This Row],[Category]]="Domestic",Heat_connections[[#This Row],[No. of connections]],0)</f>
        <v>0</v>
      </c>
      <c r="Q21" s="342">
        <f>IF(Heat_connections[[#This Row],[Category]]&lt;&gt;"Domestic",Heat_connections[[#This Row],[No. of connections]],0)</f>
        <v>28</v>
      </c>
      <c r="R21" s="209"/>
      <c r="S21" s="512">
        <f>IF(Heat_connections[[#This Row],[TOID]]&lt;&gt;"-",
IF(ISBLANK('Heat connections'!$R21),Dashboard!$C$14,'Heat connections'!$R21),0)</f>
        <v>8</v>
      </c>
      <c r="T21" s="513">
        <f>IF(Heat_connections[[#This Row],[Peak Demand, kW]]&lt;&gt;0,'Heat connections'!$G21*Dashboard!$C$21,0)</f>
        <v>8100.3191999999999</v>
      </c>
      <c r="U21" s="514">
        <f>IF(Heat_connections[[#This Row],[Ref]]&lt;&gt;"-",48.436*Heat_connections[[#This Row],[Peak Demand, kW]]+1068.7,0)</f>
        <v>20686.05303856</v>
      </c>
      <c r="V21" s="515">
        <f>IF(Heat_connections[[#This Row],[Ref]]&lt;&gt;"-",
_xlfn.XLOOKUP('Heat connections'!$G21,'Technical inputs'!$F$79:$F$94,'Technical inputs'!$I$79:$I$94,0,1,1),0)</f>
        <v>46352</v>
      </c>
      <c r="W21" s="431">
        <f>IF('Heat connections'!$E21="Domestic",1,0)</f>
        <v>0</v>
      </c>
      <c r="X21" s="432">
        <f>IF(AND(Heat_connections[[#This Row],[Ref]]&lt;&gt;"-",'Heat connections'!$E21&lt;&gt;"Domestic"),1,0)</f>
        <v>1</v>
      </c>
      <c r="Y21" s="435">
        <v>0</v>
      </c>
      <c r="Z21" s="439">
        <f>IF(Heat_connections[[#This Row],[Existing/planned development]]&lt;&gt;0,1,0)</f>
        <v>0</v>
      </c>
      <c r="AA21" s="432">
        <f>IF('Heat connections'!$M21=1,1,0)</f>
        <v>1</v>
      </c>
      <c r="AB21" s="432">
        <f>IF('Heat connections'!$M21=2,1,0)</f>
        <v>0</v>
      </c>
      <c r="AC21" s="435">
        <f>IF('Heat connections'!$M21=3,1,0)</f>
        <v>0</v>
      </c>
      <c r="AD21" s="46" t="str">
        <f>IF(AND(Heat_connections[[#This Row],[Connected to heat network]]="Yes",Heat_connections[[#This Row],[Ref]]&lt;&gt;"-"),"Yes","No")</f>
        <v>Yes</v>
      </c>
    </row>
    <row r="22" spans="3:30" ht="12.75" x14ac:dyDescent="0.2">
      <c r="C22" s="208" t="str" cm="1">
        <f t="array" ref="C22">IFERROR(_xlfn.XLOOKUP($C$3,Heat_connections_input[#Headers],Heat_connections_input[#This Row],0,0,),"-")</f>
        <v>esr5eaErHoQbx/GL</v>
      </c>
      <c r="D22" s="323" cm="1">
        <f t="array" ref="D22">IFERROR(_xlfn.XLOOKUP($D$3,Heat_connections_input[#Headers],Heat_connections_input[#This Row],0,0,),"-")</f>
        <v>0</v>
      </c>
      <c r="E22" s="284" t="str" cm="1">
        <f t="array" ref="E22">IFERROR(_xlfn.XLOOKUP($E$3,Heat_connections_input[#Headers],Heat_connections_input[#This Row],0,0,),"-")</f>
        <v>Education (further and higher)</v>
      </c>
      <c r="F22" s="259" cm="1">
        <f t="array" ref="F22">IFERROR(_xlfn.XLOOKUP($F$3,Heat_connections_input[#Headers],Heat_connections_input[#This Row],0,0,),0)</f>
        <v>255338.36</v>
      </c>
      <c r="G22" s="259" cm="1">
        <f t="array" ref="G22">IFERROR(_xlfn.XLOOKUP($G$3,Heat_connections_input[#Headers],Heat_connections_input[#This Row],0,0,),0)</f>
        <v>148.56442000000001</v>
      </c>
      <c r="H22" s="341" cm="1">
        <f t="array" ref="H22">IFERROR(_xlfn.XLOOKUP($H$3,Heat_connections_input[#Headers],Heat_connections_input[#This Row],0,0,),0)</f>
        <v>2</v>
      </c>
      <c r="I22" s="326" t="str" cm="1">
        <f t="array" ref="I22">IFERROR(_xlfn.XLOOKUP($I$3,Heat_connections_input[#Headers],Heat_connections_input[#This Row],0,0,),"-")</f>
        <v>Commercial : Retail : Restaurant / Cafeteria</v>
      </c>
      <c r="J22" s="326" t="str" cm="1">
        <f t="array" ref="J22">IFERROR(_xlfn.XLOOKUP($J$3,Heat_connections_input[#Headers],Heat_connections_input[#This Row],0,0,1),"-")</f>
        <v>W12 7SB</v>
      </c>
      <c r="K22" s="260"/>
      <c r="L22" s="261"/>
      <c r="M22" s="262">
        <v>1</v>
      </c>
      <c r="N22" s="263" t="s">
        <v>107</v>
      </c>
      <c r="O22" s="264">
        <f>IF(Heat_connections[[#This Row],[Ref]]&lt;&gt;"-",
IF(M22=1,Dashboard!$C$26,IF(M22=2,Dashboard!$C$27,Dashboard!$C$28)),"-")</f>
        <v>2027</v>
      </c>
      <c r="P22" s="341">
        <f>IF(Heat_connections[[#This Row],[Category]]="Domestic",Heat_connections[[#This Row],[No. of connections]],0)</f>
        <v>0</v>
      </c>
      <c r="Q22" s="341">
        <f>IF(Heat_connections[[#This Row],[Category]]&lt;&gt;"Domestic",Heat_connections[[#This Row],[No. of connections]],0)</f>
        <v>2</v>
      </c>
      <c r="R22" s="209"/>
      <c r="S22" s="512">
        <f>IF(Heat_connections[[#This Row],[TOID]]&lt;&gt;"-",
IF(ISBLANK('Heat connections'!$R22),Dashboard!$C$14,'Heat connections'!$R22),0)</f>
        <v>8</v>
      </c>
      <c r="T22" s="513">
        <f>IF(Heat_connections[[#This Row],[Peak Demand, kW]]&lt;&gt;0,'Heat connections'!$G22*Dashboard!$C$21,0)</f>
        <v>2971.2884000000004</v>
      </c>
      <c r="U22" s="514">
        <f>IF(Heat_connections[[#This Row],[Ref]]&lt;&gt;"-",48.436*Heat_connections[[#This Row],[Peak Demand, kW]]+1068.7,0)</f>
        <v>8264.5662471200012</v>
      </c>
      <c r="V22" s="515">
        <f>IF(Heat_connections[[#This Row],[Ref]]&lt;&gt;"-",
_xlfn.XLOOKUP('Heat connections'!$G22,'Technical inputs'!$F$79:$F$94,'Technical inputs'!$I$79:$I$94,0,1,1),0)</f>
        <v>33110</v>
      </c>
      <c r="W22" s="429">
        <f>IF('Heat connections'!$E22="Domestic",1,0)</f>
        <v>0</v>
      </c>
      <c r="X22" s="430">
        <f>IF(AND(Heat_connections[[#This Row],[Ref]]&lt;&gt;"-",'Heat connections'!$E22&lt;&gt;"Domestic"),1,0)</f>
        <v>1</v>
      </c>
      <c r="Y22" s="434">
        <v>0</v>
      </c>
      <c r="Z22" s="438">
        <f>IF(Heat_connections[[#This Row],[Existing/planned development]]&lt;&gt;0,1,0)</f>
        <v>0</v>
      </c>
      <c r="AA22" s="430">
        <f>IF('Heat connections'!$M22=1,1,0)</f>
        <v>1</v>
      </c>
      <c r="AB22" s="430">
        <f>IF('Heat connections'!$M22=2,1,0)</f>
        <v>0</v>
      </c>
      <c r="AC22" s="434">
        <f>IF('Heat connections'!$M22=3,1,0)</f>
        <v>0</v>
      </c>
      <c r="AD22" s="46" t="str">
        <f>IF(AND(Heat_connections[[#This Row],[Connected to heat network]]="Yes",Heat_connections[[#This Row],[Ref]]&lt;&gt;"-"),"Yes","No")</f>
        <v>Yes</v>
      </c>
    </row>
    <row r="23" spans="3:30" ht="12.75" x14ac:dyDescent="0.2">
      <c r="C23" s="208" t="str" cm="1">
        <f t="array" ref="C23">IFERROR(_xlfn.XLOOKUP($C$3,Heat_connections_input[#Headers],Heat_connections_input[#This Row],0,0,),"-")</f>
        <v>NiTFQ9Zb8eDD/hZY</v>
      </c>
      <c r="D23" s="323" cm="1">
        <f t="array" ref="D23">IFERROR(_xlfn.XLOOKUP($D$3,Heat_connections_input[#Headers],Heat_connections_input[#This Row],0,0,),"-")</f>
        <v>0</v>
      </c>
      <c r="E23" s="284" t="str" cm="1">
        <f t="array" ref="E23">IFERROR(_xlfn.XLOOKUP($E$3,Heat_connections_input[#Headers],Heat_connections_input[#This Row],0,0,),"-")</f>
        <v>Offices</v>
      </c>
      <c r="F23" s="259" cm="1">
        <f t="array" ref="F23">IFERROR(_xlfn.XLOOKUP($F$3,Heat_connections_input[#Headers],Heat_connections_input[#This Row],0,0,),0)</f>
        <v>98052.914000000004</v>
      </c>
      <c r="G23" s="259" cm="1">
        <f t="array" ref="G23">IFERROR(_xlfn.XLOOKUP($G$3,Heat_connections_input[#Headers],Heat_connections_input[#This Row],0,0,),0)</f>
        <v>70.503659999999996</v>
      </c>
      <c r="H23" s="341" cm="1">
        <f t="array" ref="H23">IFERROR(_xlfn.XLOOKUP($H$3,Heat_connections_input[#Headers],Heat_connections_input[#This Row],0,0,),0)</f>
        <v>1</v>
      </c>
      <c r="I23" s="326" t="str" cm="1">
        <f t="array" ref="I23">IFERROR(_xlfn.XLOOKUP($I$3,Heat_connections_input[#Headers],Heat_connections_input[#This Row],0,0,),"-")</f>
        <v>Commercial</v>
      </c>
      <c r="J23" s="326" t="str" cm="1">
        <f t="array" ref="J23">IFERROR(_xlfn.XLOOKUP($J$3,Heat_connections_input[#Headers],Heat_connections_input[#This Row],0,0,1),"-")</f>
        <v>W12 8LJ</v>
      </c>
      <c r="K23" s="260"/>
      <c r="L23" s="261"/>
      <c r="M23" s="262">
        <v>1</v>
      </c>
      <c r="N23" s="263" t="s">
        <v>107</v>
      </c>
      <c r="O23" s="265">
        <f>IF(Heat_connections[[#This Row],[Ref]]&lt;&gt;"-",
IF(M23=1,Dashboard!$C$26,IF(M23=2,Dashboard!$C$27,Dashboard!$C$28)),"-")</f>
        <v>2027</v>
      </c>
      <c r="P23" s="342">
        <f>IF(Heat_connections[[#This Row],[Category]]="Domestic",Heat_connections[[#This Row],[No. of connections]],0)</f>
        <v>0</v>
      </c>
      <c r="Q23" s="342">
        <f>IF(Heat_connections[[#This Row],[Category]]&lt;&gt;"Domestic",Heat_connections[[#This Row],[No. of connections]],0)</f>
        <v>1</v>
      </c>
      <c r="R23" s="209"/>
      <c r="S23" s="512">
        <f>IF(Heat_connections[[#This Row],[TOID]]&lt;&gt;"-",
IF(ISBLANK('Heat connections'!$R23),Dashboard!$C$14,'Heat connections'!$R23),0)</f>
        <v>8</v>
      </c>
      <c r="T23" s="513">
        <f>IF(Heat_connections[[#This Row],[Peak Demand, kW]]&lt;&gt;0,'Heat connections'!$G23*Dashboard!$C$21,0)</f>
        <v>1410.0731999999998</v>
      </c>
      <c r="U23" s="514">
        <f>IF(Heat_connections[[#This Row],[Ref]]&lt;&gt;"-",48.436*Heat_connections[[#This Row],[Peak Demand, kW]]+1068.7,0)</f>
        <v>4483.6152757600003</v>
      </c>
      <c r="V23" s="515">
        <f>IF(Heat_connections[[#This Row],[Ref]]&lt;&gt;"-",
_xlfn.XLOOKUP('Heat connections'!$G23,'Technical inputs'!$F$79:$F$94,'Technical inputs'!$I$79:$I$94,0,1,1),0)</f>
        <v>28145</v>
      </c>
      <c r="W23" s="431">
        <f>IF('Heat connections'!$E23="Domestic",1,0)</f>
        <v>0</v>
      </c>
      <c r="X23" s="432">
        <f>IF(AND(Heat_connections[[#This Row],[Ref]]&lt;&gt;"-",'Heat connections'!$E23&lt;&gt;"Domestic"),1,0)</f>
        <v>1</v>
      </c>
      <c r="Y23" s="435">
        <v>0</v>
      </c>
      <c r="Z23" s="439">
        <f>IF(Heat_connections[[#This Row],[Existing/planned development]]&lt;&gt;0,1,0)</f>
        <v>0</v>
      </c>
      <c r="AA23" s="432">
        <f>IF('Heat connections'!$M23=1,1,0)</f>
        <v>1</v>
      </c>
      <c r="AB23" s="432">
        <f>IF('Heat connections'!$M23=2,1,0)</f>
        <v>0</v>
      </c>
      <c r="AC23" s="435">
        <f>IF('Heat connections'!$M23=3,1,0)</f>
        <v>0</v>
      </c>
      <c r="AD23" s="46" t="str">
        <f>IF(AND(Heat_connections[[#This Row],[Connected to heat network]]="Yes",Heat_connections[[#This Row],[Ref]]&lt;&gt;"-"),"Yes","No")</f>
        <v>Yes</v>
      </c>
    </row>
    <row r="24" spans="3:30" ht="12.75" x14ac:dyDescent="0.2">
      <c r="C24" s="208" t="str" cm="1">
        <f t="array" ref="C24">IFERROR(_xlfn.XLOOKUP($C$3,Heat_connections_input[#Headers],Heat_connections_input[#This Row],0,0,),"-")</f>
        <v>DE+dmMlRyj0uDSyA</v>
      </c>
      <c r="D24" s="323" cm="1">
        <f t="array" ref="D24">IFERROR(_xlfn.XLOOKUP($D$3,Heat_connections_input[#Headers],Heat_connections_input[#This Row],0,0,),"-")</f>
        <v>0</v>
      </c>
      <c r="E24" s="284" t="str" cm="1">
        <f t="array" ref="E24">IFERROR(_xlfn.XLOOKUP($E$3,Heat_connections_input[#Headers],Heat_connections_input[#This Row],0,0,),"-")</f>
        <v>Offices</v>
      </c>
      <c r="F24" s="259" cm="1">
        <f t="array" ref="F24">IFERROR(_xlfn.XLOOKUP($F$3,Heat_connections_input[#Headers],Heat_connections_input[#This Row],0,0,),0)</f>
        <v>12260218</v>
      </c>
      <c r="G24" s="259" cm="1">
        <f t="array" ref="G24">IFERROR(_xlfn.XLOOKUP($G$3,Heat_connections_input[#Headers],Heat_connections_input[#This Row],0,0,),0)</f>
        <v>6106.5860000000002</v>
      </c>
      <c r="H24" s="341" cm="1">
        <f t="array" ref="H24">IFERROR(_xlfn.XLOOKUP($H$3,Heat_connections_input[#Headers],Heat_connections_input[#This Row],0,0,),0)</f>
        <v>22</v>
      </c>
      <c r="I24" s="326" t="str" cm="1">
        <f t="array" ref="I24">IFERROR(_xlfn.XLOOKUP($I$3,Heat_connections_input[#Headers],Heat_connections_input[#This Row],0,0,),"-")</f>
        <v>Commercial : Office : Office / Work Studio</v>
      </c>
      <c r="J24" s="326" t="str" cm="1">
        <f t="array" ref="J24">IFERROR(_xlfn.XLOOKUP($J$3,Heat_connections_input[#Headers],Heat_connections_input[#This Row],0,0,1),"-")</f>
        <v>W12 7FQ</v>
      </c>
      <c r="K24" s="260"/>
      <c r="L24" s="261"/>
      <c r="M24" s="262">
        <v>1</v>
      </c>
      <c r="N24" s="263" t="s">
        <v>107</v>
      </c>
      <c r="O24" s="264">
        <f>IF(Heat_connections[[#This Row],[Ref]]&lt;&gt;"-",
IF(M24=1,Dashboard!$C$26,IF(M24=2,Dashboard!$C$27,Dashboard!$C$28)),"-")</f>
        <v>2027</v>
      </c>
      <c r="P24" s="341">
        <f>IF(Heat_connections[[#This Row],[Category]]="Domestic",Heat_connections[[#This Row],[No. of connections]],0)</f>
        <v>0</v>
      </c>
      <c r="Q24" s="341">
        <f>IF(Heat_connections[[#This Row],[Category]]&lt;&gt;"Domestic",Heat_connections[[#This Row],[No. of connections]],0)</f>
        <v>22</v>
      </c>
      <c r="R24" s="209"/>
      <c r="S24" s="512">
        <f>IF(Heat_connections[[#This Row],[TOID]]&lt;&gt;"-",
IF(ISBLANK('Heat connections'!$R24),Dashboard!$C$14,'Heat connections'!$R24),0)</f>
        <v>8</v>
      </c>
      <c r="T24" s="513">
        <f>IF(Heat_connections[[#This Row],[Peak Demand, kW]]&lt;&gt;0,'Heat connections'!$G24*Dashboard!$C$21,0)</f>
        <v>122131.72</v>
      </c>
      <c r="U24" s="514">
        <f>IF(Heat_connections[[#This Row],[Ref]]&lt;&gt;"-",48.436*Heat_connections[[#This Row],[Peak Demand, kW]]+1068.7,0)</f>
        <v>296847.29949600005</v>
      </c>
      <c r="V24" s="515">
        <f>IF(Heat_connections[[#This Row],[Ref]]&lt;&gt;"-",
_xlfn.XLOOKUP('Heat connections'!$G24,'Technical inputs'!$F$79:$F$94,'Technical inputs'!$I$79:$I$94,0,1,1),0)</f>
        <v>0</v>
      </c>
      <c r="W24" s="429">
        <f>IF('Heat connections'!$E24="Domestic",1,0)</f>
        <v>0</v>
      </c>
      <c r="X24" s="430">
        <f>IF(AND(Heat_connections[[#This Row],[Ref]]&lt;&gt;"-",'Heat connections'!$E24&lt;&gt;"Domestic"),1,0)</f>
        <v>1</v>
      </c>
      <c r="Y24" s="434">
        <v>0</v>
      </c>
      <c r="Z24" s="438">
        <f>IF(Heat_connections[[#This Row],[Existing/planned development]]&lt;&gt;0,1,0)</f>
        <v>0</v>
      </c>
      <c r="AA24" s="430">
        <f>IF('Heat connections'!$M24=1,1,0)</f>
        <v>1</v>
      </c>
      <c r="AB24" s="430">
        <f>IF('Heat connections'!$M24=2,1,0)</f>
        <v>0</v>
      </c>
      <c r="AC24" s="434">
        <f>IF('Heat connections'!$M24=3,1,0)</f>
        <v>0</v>
      </c>
      <c r="AD24" s="46" t="str">
        <f>IF(AND(Heat_connections[[#This Row],[Connected to heat network]]="Yes",Heat_connections[[#This Row],[Ref]]&lt;&gt;"-"),"Yes","No")</f>
        <v>Yes</v>
      </c>
    </row>
    <row r="25" spans="3:30" ht="12.75" x14ac:dyDescent="0.2">
      <c r="C25" s="208" t="str" cm="1">
        <f t="array" ref="C25">IFERROR(_xlfn.XLOOKUP($C$3,Heat_connections_input[#Headers],Heat_connections_input[#This Row],0,0,),"-")</f>
        <v>SClh0XkY1gZwdL0v</v>
      </c>
      <c r="D25" s="323" cm="1">
        <f t="array" ref="D25">IFERROR(_xlfn.XLOOKUP($D$3,Heat_connections_input[#Headers],Heat_connections_input[#This Row],0,0,),"-")</f>
        <v>0</v>
      </c>
      <c r="E25" s="284" cm="1">
        <f t="array" ref="E25">IFERROR(_xlfn.XLOOKUP($E$3,Heat_connections_input[#Headers],Heat_connections_input[#This Row],0,0,),"-")</f>
        <v>0</v>
      </c>
      <c r="F25" s="259" cm="1">
        <f t="array" ref="F25">IFERROR(_xlfn.XLOOKUP($F$3,Heat_connections_input[#Headers],Heat_connections_input[#This Row],0,0,),0)</f>
        <v>7440.1166999999996</v>
      </c>
      <c r="G25" s="259" cm="1">
        <f t="array" ref="G25">IFERROR(_xlfn.XLOOKUP($G$3,Heat_connections_input[#Headers],Heat_connections_input[#This Row],0,0,),0)</f>
        <v>25.532530000000001</v>
      </c>
      <c r="H25" s="341" cm="1">
        <f t="array" ref="H25">IFERROR(_xlfn.XLOOKUP($H$3,Heat_connections_input[#Headers],Heat_connections_input[#This Row],0,0,),0)</f>
        <v>1</v>
      </c>
      <c r="I25" s="326" cm="1">
        <f t="array" ref="I25">IFERROR(_xlfn.XLOOKUP($I$3,Heat_connections_input[#Headers],Heat_connections_input[#This Row],0,0,),"-")</f>
        <v>0</v>
      </c>
      <c r="J25" s="326" cm="1">
        <f t="array" ref="J25">IFERROR(_xlfn.XLOOKUP($J$3,Heat_connections_input[#Headers],Heat_connections_input[#This Row],0,0,1),"-")</f>
        <v>0</v>
      </c>
      <c r="K25" s="260"/>
      <c r="L25" s="261"/>
      <c r="M25" s="262">
        <v>1</v>
      </c>
      <c r="N25" s="263" t="s">
        <v>107</v>
      </c>
      <c r="O25" s="265">
        <f>IF(Heat_connections[[#This Row],[Ref]]&lt;&gt;"-",
IF(M25=1,Dashboard!$C$26,IF(M25=2,Dashboard!$C$27,Dashboard!$C$28)),"-")</f>
        <v>2027</v>
      </c>
      <c r="P25" s="342">
        <f>IF(Heat_connections[[#This Row],[Category]]="Domestic",Heat_connections[[#This Row],[No. of connections]],0)</f>
        <v>0</v>
      </c>
      <c r="Q25" s="342">
        <f>IF(Heat_connections[[#This Row],[Category]]&lt;&gt;"Domestic",Heat_connections[[#This Row],[No. of connections]],0)</f>
        <v>1</v>
      </c>
      <c r="R25" s="209"/>
      <c r="S25" s="512">
        <f>IF(Heat_connections[[#This Row],[TOID]]&lt;&gt;"-",
IF(ISBLANK('Heat connections'!$R25),Dashboard!$C$14,'Heat connections'!$R25),0)</f>
        <v>8</v>
      </c>
      <c r="T25" s="513">
        <f>IF(Heat_connections[[#This Row],[Peak Demand, kW]]&lt;&gt;0,'Heat connections'!$G25*Dashboard!$C$21,0)</f>
        <v>510.65060000000005</v>
      </c>
      <c r="U25" s="514">
        <f>IF(Heat_connections[[#This Row],[Ref]]&lt;&gt;"-",48.436*Heat_connections[[#This Row],[Peak Demand, kW]]+1068.7,0)</f>
        <v>2305.39362308</v>
      </c>
      <c r="V25" s="515">
        <f>IF(Heat_connections[[#This Row],[Ref]]&lt;&gt;"-",
_xlfn.XLOOKUP('Heat connections'!$G25,'Technical inputs'!$F$79:$F$94,'Technical inputs'!$I$79:$I$94,0,1,1),0)</f>
        <v>28145</v>
      </c>
      <c r="W25" s="431">
        <f>IF('Heat connections'!$E25="Domestic",1,0)</f>
        <v>0</v>
      </c>
      <c r="X25" s="432">
        <f>IF(AND(Heat_connections[[#This Row],[Ref]]&lt;&gt;"-",'Heat connections'!$E25&lt;&gt;"Domestic"),1,0)</f>
        <v>1</v>
      </c>
      <c r="Y25" s="435">
        <v>0</v>
      </c>
      <c r="Z25" s="439">
        <f>IF(Heat_connections[[#This Row],[Existing/planned development]]&lt;&gt;0,1,0)</f>
        <v>0</v>
      </c>
      <c r="AA25" s="432">
        <f>IF('Heat connections'!$M25=1,1,0)</f>
        <v>1</v>
      </c>
      <c r="AB25" s="432">
        <f>IF('Heat connections'!$M25=2,1,0)</f>
        <v>0</v>
      </c>
      <c r="AC25" s="435">
        <f>IF('Heat connections'!$M25=3,1,0)</f>
        <v>0</v>
      </c>
      <c r="AD25" s="46" t="str">
        <f>IF(AND(Heat_connections[[#This Row],[Connected to heat network]]="Yes",Heat_connections[[#This Row],[Ref]]&lt;&gt;"-"),"Yes","No")</f>
        <v>Yes</v>
      </c>
    </row>
    <row r="26" spans="3:30" ht="12.75" x14ac:dyDescent="0.2">
      <c r="C26" s="208" t="str" cm="1">
        <f t="array" ref="C26">IFERROR(_xlfn.XLOOKUP($C$3,Heat_connections_input[#Headers],Heat_connections_input[#This Row],0,0,),"-")</f>
        <v>PrcJ/PNKs5dmpiNe</v>
      </c>
      <c r="D26" s="323" cm="1">
        <f t="array" ref="D26">IFERROR(_xlfn.XLOOKUP($D$3,Heat_connections_input[#Headers],Heat_connections_input[#This Row],0,0,),"-")</f>
        <v>0</v>
      </c>
      <c r="E26" s="284" t="str" cm="1">
        <f t="array" ref="E26">IFERROR(_xlfn.XLOOKUP($E$3,Heat_connections_input[#Headers],Heat_connections_input[#This Row],0,0,),"-")</f>
        <v>Offices</v>
      </c>
      <c r="F26" s="259" cm="1">
        <f t="array" ref="F26">IFERROR(_xlfn.XLOOKUP($F$3,Heat_connections_input[#Headers],Heat_connections_input[#This Row],0,0,),0)</f>
        <v>491533.34</v>
      </c>
      <c r="G26" s="259" cm="1">
        <f t="array" ref="G26">IFERROR(_xlfn.XLOOKUP($G$3,Heat_connections_input[#Headers],Heat_connections_input[#This Row],0,0,),0)</f>
        <v>265.78800000000001</v>
      </c>
      <c r="H26" s="341" cm="1">
        <f t="array" ref="H26">IFERROR(_xlfn.XLOOKUP($H$3,Heat_connections_input[#Headers],Heat_connections_input[#This Row],0,0,),0)</f>
        <v>1</v>
      </c>
      <c r="I26" s="326" t="str" cm="1">
        <f t="array" ref="I26">IFERROR(_xlfn.XLOOKUP($I$3,Heat_connections_input[#Headers],Heat_connections_input[#This Row],0,0,),"-")</f>
        <v>Commercial : Office : Broadcasting (TV / Radio)</v>
      </c>
      <c r="J26" s="326" t="str" cm="1">
        <f t="array" ref="J26">IFERROR(_xlfn.XLOOKUP($J$3,Heat_connections_input[#Headers],Heat_connections_input[#This Row],0,0,1),"-")</f>
        <v>W12 7TQ</v>
      </c>
      <c r="K26" s="260"/>
      <c r="L26" s="261"/>
      <c r="M26" s="262">
        <v>1</v>
      </c>
      <c r="N26" s="263" t="s">
        <v>107</v>
      </c>
      <c r="O26" s="264">
        <f>IF(Heat_connections[[#This Row],[Ref]]&lt;&gt;"-",
IF(M26=1,Dashboard!$C$26,IF(M26=2,Dashboard!$C$27,Dashboard!$C$28)),"-")</f>
        <v>2027</v>
      </c>
      <c r="P26" s="341">
        <f>IF(Heat_connections[[#This Row],[Category]]="Domestic",Heat_connections[[#This Row],[No. of connections]],0)</f>
        <v>0</v>
      </c>
      <c r="Q26" s="341">
        <f>IF(Heat_connections[[#This Row],[Category]]&lt;&gt;"Domestic",Heat_connections[[#This Row],[No. of connections]],0)</f>
        <v>1</v>
      </c>
      <c r="R26" s="209"/>
      <c r="S26" s="512">
        <f>IF(Heat_connections[[#This Row],[TOID]]&lt;&gt;"-",
IF(ISBLANK('Heat connections'!$R26),Dashboard!$C$14,'Heat connections'!$R26),0)</f>
        <v>8</v>
      </c>
      <c r="T26" s="513">
        <f>IF(Heat_connections[[#This Row],[Peak Demand, kW]]&lt;&gt;0,'Heat connections'!$G26*Dashboard!$C$21,0)</f>
        <v>5315.76</v>
      </c>
      <c r="U26" s="514">
        <f>IF(Heat_connections[[#This Row],[Ref]]&lt;&gt;"-",48.436*Heat_connections[[#This Row],[Peak Demand, kW]]+1068.7,0)</f>
        <v>13942.407568000001</v>
      </c>
      <c r="V26" s="515">
        <f>IF(Heat_connections[[#This Row],[Ref]]&lt;&gt;"-",
_xlfn.XLOOKUP('Heat connections'!$G26,'Technical inputs'!$F$79:$F$94,'Technical inputs'!$I$79:$I$94,0,1,1),0)</f>
        <v>39765</v>
      </c>
      <c r="W26" s="429">
        <f>IF('Heat connections'!$E26="Domestic",1,0)</f>
        <v>0</v>
      </c>
      <c r="X26" s="430">
        <f>IF(AND(Heat_connections[[#This Row],[Ref]]&lt;&gt;"-",'Heat connections'!$E26&lt;&gt;"Domestic"),1,0)</f>
        <v>1</v>
      </c>
      <c r="Y26" s="434">
        <v>0</v>
      </c>
      <c r="Z26" s="438">
        <f>IF(Heat_connections[[#This Row],[Existing/planned development]]&lt;&gt;0,1,0)</f>
        <v>0</v>
      </c>
      <c r="AA26" s="430">
        <f>IF('Heat connections'!$M26=1,1,0)</f>
        <v>1</v>
      </c>
      <c r="AB26" s="430">
        <f>IF('Heat connections'!$M26=2,1,0)</f>
        <v>0</v>
      </c>
      <c r="AC26" s="434">
        <f>IF('Heat connections'!$M26=3,1,0)</f>
        <v>0</v>
      </c>
      <c r="AD26" s="46" t="str">
        <f>IF(AND(Heat_connections[[#This Row],[Connected to heat network]]="Yes",Heat_connections[[#This Row],[Ref]]&lt;&gt;"-"),"Yes","No")</f>
        <v>Yes</v>
      </c>
    </row>
    <row r="27" spans="3:30" ht="12.75" x14ac:dyDescent="0.2">
      <c r="C27" s="208" t="str" cm="1">
        <f t="array" ref="C27">IFERROR(_xlfn.XLOOKUP($C$3,Heat_connections_input[#Headers],Heat_connections_input[#This Row],0,0,),"-")</f>
        <v>GhpA7TaRv+gdbPw3</v>
      </c>
      <c r="D27" s="323" cm="1">
        <f t="array" ref="D27">IFERROR(_xlfn.XLOOKUP($D$3,Heat_connections_input[#Headers],Heat_connections_input[#This Row],0,0,),"-")</f>
        <v>0</v>
      </c>
      <c r="E27" s="284" t="str" cm="1">
        <f t="array" ref="E27">IFERROR(_xlfn.XLOOKUP($E$3,Heat_connections_input[#Headers],Heat_connections_input[#This Row],0,0,),"-")</f>
        <v>Domestic</v>
      </c>
      <c r="F27" s="259" cm="1">
        <f t="array" ref="F27">IFERROR(_xlfn.XLOOKUP($F$3,Heat_connections_input[#Headers],Heat_connections_input[#This Row],0,0,),0)</f>
        <v>24849.87</v>
      </c>
      <c r="G27" s="259" cm="1">
        <f t="array" ref="G27">IFERROR(_xlfn.XLOOKUP($G$3,Heat_connections_input[#Headers],Heat_connections_input[#This Row],0,0,),0)</f>
        <v>34.172989999999999</v>
      </c>
      <c r="H27" s="341" cm="1">
        <f t="array" ref="H27">IFERROR(_xlfn.XLOOKUP($H$3,Heat_connections_input[#Headers],Heat_connections_input[#This Row],0,0,),0)</f>
        <v>3</v>
      </c>
      <c r="I27" s="326" t="str" cm="1">
        <f t="array" ref="I27">IFERROR(_xlfn.XLOOKUP($I$3,Heat_connections_input[#Headers],Heat_connections_input[#This Row],0,0,),"-")</f>
        <v>Residential : Dwelling</v>
      </c>
      <c r="J27" s="326" t="str" cm="1">
        <f t="array" ref="J27">IFERROR(_xlfn.XLOOKUP($J$3,Heat_connections_input[#Headers],Heat_connections_input[#This Row],0,0,1),"-")</f>
        <v>W14 0AN</v>
      </c>
      <c r="K27" s="260"/>
      <c r="L27" s="261"/>
      <c r="M27" s="262">
        <v>1</v>
      </c>
      <c r="N27" s="263" t="s">
        <v>107</v>
      </c>
      <c r="O27" s="265">
        <f>IF(Heat_connections[[#This Row],[Ref]]&lt;&gt;"-",
IF(M27=1,Dashboard!$C$26,IF(M27=2,Dashboard!$C$27,Dashboard!$C$28)),"-")</f>
        <v>2027</v>
      </c>
      <c r="P27" s="342">
        <f>IF(Heat_connections[[#This Row],[Category]]="Domestic",Heat_connections[[#This Row],[No. of connections]],0)</f>
        <v>3</v>
      </c>
      <c r="Q27" s="342">
        <f>IF(Heat_connections[[#This Row],[Category]]&lt;&gt;"Domestic",Heat_connections[[#This Row],[No. of connections]],0)</f>
        <v>0</v>
      </c>
      <c r="R27" s="209"/>
      <c r="S27" s="512">
        <f>IF(Heat_connections[[#This Row],[TOID]]&lt;&gt;"-",
IF(ISBLANK('Heat connections'!$R27),Dashboard!$C$14,'Heat connections'!$R27),0)</f>
        <v>8</v>
      </c>
      <c r="T27" s="513">
        <f>IF(Heat_connections[[#This Row],[Peak Demand, kW]]&lt;&gt;0,'Heat connections'!$G27*Dashboard!$C$21,0)</f>
        <v>683.45979999999997</v>
      </c>
      <c r="U27" s="514">
        <f>IF(Heat_connections[[#This Row],[Ref]]&lt;&gt;"-",48.436*Heat_connections[[#This Row],[Peak Demand, kW]]+1068.7,0)</f>
        <v>2723.9029436399996</v>
      </c>
      <c r="V27" s="515">
        <f>IF(Heat_connections[[#This Row],[Ref]]&lt;&gt;"-",
_xlfn.XLOOKUP('Heat connections'!$G27,'Technical inputs'!$F$79:$F$94,'Technical inputs'!$I$79:$I$94,0,1,1),0)</f>
        <v>28145</v>
      </c>
      <c r="W27" s="431">
        <f>IF('Heat connections'!$E27="Domestic",1,0)</f>
        <v>1</v>
      </c>
      <c r="X27" s="432">
        <f>IF(AND(Heat_connections[[#This Row],[Ref]]&lt;&gt;"-",'Heat connections'!$E27&lt;&gt;"Domestic"),1,0)</f>
        <v>0</v>
      </c>
      <c r="Y27" s="435">
        <v>0</v>
      </c>
      <c r="Z27" s="439">
        <f>IF(Heat_connections[[#This Row],[Existing/planned development]]&lt;&gt;0,1,0)</f>
        <v>0</v>
      </c>
      <c r="AA27" s="432">
        <f>IF('Heat connections'!$M27=1,1,0)</f>
        <v>1</v>
      </c>
      <c r="AB27" s="432">
        <f>IF('Heat connections'!$M27=2,1,0)</f>
        <v>0</v>
      </c>
      <c r="AC27" s="435">
        <f>IF('Heat connections'!$M27=3,1,0)</f>
        <v>0</v>
      </c>
      <c r="AD27" s="46" t="str">
        <f>IF(AND(Heat_connections[[#This Row],[Connected to heat network]]="Yes",Heat_connections[[#This Row],[Ref]]&lt;&gt;"-"),"Yes","No")</f>
        <v>Yes</v>
      </c>
    </row>
    <row r="28" spans="3:30" ht="12.75" x14ac:dyDescent="0.2">
      <c r="C28" s="208" t="str" cm="1">
        <f t="array" ref="C28">IFERROR(_xlfn.XLOOKUP($C$3,Heat_connections_input[#Headers],Heat_connections_input[#This Row],0,0,),"-")</f>
        <v>0nZpFpafnMGHti4y</v>
      </c>
      <c r="D28" s="323" cm="1">
        <f t="array" ref="D28">IFERROR(_xlfn.XLOOKUP($D$3,Heat_connections_input[#Headers],Heat_connections_input[#This Row],0,0,),"-")</f>
        <v>0</v>
      </c>
      <c r="E28" s="284" t="str" cm="1">
        <f t="array" ref="E28">IFERROR(_xlfn.XLOOKUP($E$3,Heat_connections_input[#Headers],Heat_connections_input[#This Row],0,0,),"-")</f>
        <v>Offices</v>
      </c>
      <c r="F28" s="259" cm="1">
        <f t="array" ref="F28">IFERROR(_xlfn.XLOOKUP($F$3,Heat_connections_input[#Headers],Heat_connections_input[#This Row],0,0,),0)</f>
        <v>17810100</v>
      </c>
      <c r="G28" s="259" cm="1">
        <f t="array" ref="G28">IFERROR(_xlfn.XLOOKUP($G$3,Heat_connections_input[#Headers],Heat_connections_input[#This Row],0,0,),0)</f>
        <v>8860.9930000000004</v>
      </c>
      <c r="H28" s="341" cm="1">
        <f t="array" ref="H28">IFERROR(_xlfn.XLOOKUP($H$3,Heat_connections_input[#Headers],Heat_connections_input[#This Row],0,0,),0)</f>
        <v>25</v>
      </c>
      <c r="I28" s="326" t="str" cm="1">
        <f t="array" ref="I28">IFERROR(_xlfn.XLOOKUP($I$3,Heat_connections_input[#Headers],Heat_connections_input[#This Row],0,0,),"-")</f>
        <v>Commercial</v>
      </c>
      <c r="J28" s="326" t="str" cm="1">
        <f t="array" ref="J28">IFERROR(_xlfn.XLOOKUP($J$3,Heat_connections_input[#Headers],Heat_connections_input[#This Row],0,0,1),"-")</f>
        <v>W12 8AG</v>
      </c>
      <c r="K28" s="260"/>
      <c r="L28" s="261"/>
      <c r="M28" s="262">
        <v>1</v>
      </c>
      <c r="N28" s="263" t="s">
        <v>107</v>
      </c>
      <c r="O28" s="264">
        <f>IF(Heat_connections[[#This Row],[Ref]]&lt;&gt;"-",
IF(M28=1,Dashboard!$C$26,IF(M28=2,Dashboard!$C$27,Dashboard!$C$28)),"-")</f>
        <v>2027</v>
      </c>
      <c r="P28" s="341">
        <f>IF(Heat_connections[[#This Row],[Category]]="Domestic",Heat_connections[[#This Row],[No. of connections]],0)</f>
        <v>0</v>
      </c>
      <c r="Q28" s="341">
        <f>IF(Heat_connections[[#This Row],[Category]]&lt;&gt;"Domestic",Heat_connections[[#This Row],[No. of connections]],0)</f>
        <v>25</v>
      </c>
      <c r="R28" s="209"/>
      <c r="S28" s="512">
        <f>IF(Heat_connections[[#This Row],[TOID]]&lt;&gt;"-",
IF(ISBLANK('Heat connections'!$R28),Dashboard!$C$14,'Heat connections'!$R28),0)</f>
        <v>8</v>
      </c>
      <c r="T28" s="513">
        <f>IF(Heat_connections[[#This Row],[Peak Demand, kW]]&lt;&gt;0,'Heat connections'!$G28*Dashboard!$C$21,0)</f>
        <v>177219.86000000002</v>
      </c>
      <c r="U28" s="514">
        <f>IF(Heat_connections[[#This Row],[Ref]]&lt;&gt;"-",48.436*Heat_connections[[#This Row],[Peak Demand, kW]]+1068.7,0)</f>
        <v>430259.75694800005</v>
      </c>
      <c r="V28" s="515">
        <f>IF(Heat_connections[[#This Row],[Ref]]&lt;&gt;"-",
_xlfn.XLOOKUP('Heat connections'!$G28,'Technical inputs'!$F$79:$F$94,'Technical inputs'!$I$79:$I$94,0,1,1),0)</f>
        <v>0</v>
      </c>
      <c r="W28" s="429">
        <f>IF('Heat connections'!$E28="Domestic",1,0)</f>
        <v>0</v>
      </c>
      <c r="X28" s="430">
        <f>IF(AND(Heat_connections[[#This Row],[Ref]]&lt;&gt;"-",'Heat connections'!$E28&lt;&gt;"Domestic"),1,0)</f>
        <v>1</v>
      </c>
      <c r="Y28" s="434">
        <v>0</v>
      </c>
      <c r="Z28" s="438">
        <f>IF(Heat_connections[[#This Row],[Existing/planned development]]&lt;&gt;0,1,0)</f>
        <v>0</v>
      </c>
      <c r="AA28" s="430">
        <f>IF('Heat connections'!$M28=1,1,0)</f>
        <v>1</v>
      </c>
      <c r="AB28" s="430">
        <f>IF('Heat connections'!$M28=2,1,0)</f>
        <v>0</v>
      </c>
      <c r="AC28" s="434">
        <f>IF('Heat connections'!$M28=3,1,0)</f>
        <v>0</v>
      </c>
      <c r="AD28" s="46" t="str">
        <f>IF(AND(Heat_connections[[#This Row],[Connected to heat network]]="Yes",Heat_connections[[#This Row],[Ref]]&lt;&gt;"-"),"Yes","No")</f>
        <v>Yes</v>
      </c>
    </row>
    <row r="29" spans="3:30" ht="12.75" x14ac:dyDescent="0.2">
      <c r="C29" s="208" t="str" cm="1">
        <f t="array" ref="C29">IFERROR(_xlfn.XLOOKUP($C$3,Heat_connections_input[#Headers],Heat_connections_input[#This Row],0,0,),"-")</f>
        <v>XF67UR//AwjdAd0D</v>
      </c>
      <c r="D29" s="323" cm="1">
        <f t="array" ref="D29">IFERROR(_xlfn.XLOOKUP($D$3,Heat_connections_input[#Headers],Heat_connections_input[#This Row],0,0,),"-")</f>
        <v>0</v>
      </c>
      <c r="E29" s="284" t="str" cm="1">
        <f t="array" ref="E29">IFERROR(_xlfn.XLOOKUP($E$3,Heat_connections_input[#Headers],Heat_connections_input[#This Row],0,0,),"-")</f>
        <v>Hotels</v>
      </c>
      <c r="F29" s="259" cm="1">
        <f t="array" ref="F29">IFERROR(_xlfn.XLOOKUP($F$3,Heat_connections_input[#Headers],Heat_connections_input[#This Row],0,0,),0)</f>
        <v>158081.47</v>
      </c>
      <c r="G29" s="259" cm="1">
        <f t="array" ref="G29">IFERROR(_xlfn.XLOOKUP($G$3,Heat_connections_input[#Headers],Heat_connections_input[#This Row],0,0,),0)</f>
        <v>100.29583</v>
      </c>
      <c r="H29" s="341" cm="1">
        <f t="array" ref="H29">IFERROR(_xlfn.XLOOKUP($H$3,Heat_connections_input[#Headers],Heat_connections_input[#This Row],0,0,),0)</f>
        <v>1</v>
      </c>
      <c r="I29" s="326" t="str" cm="1">
        <f t="array" ref="I29">IFERROR(_xlfn.XLOOKUP($I$3,Heat_connections_input[#Headers],Heat_connections_input[#This Row],0,0,),"-")</f>
        <v>Commercial : Hotel / Motel / Boarding / Guest House : Hotel/Motel</v>
      </c>
      <c r="J29" s="326" t="str" cm="1">
        <f t="array" ref="J29">IFERROR(_xlfn.XLOOKUP($J$3,Heat_connections_input[#Headers],Heat_connections_input[#This Row],0,0,1),"-")</f>
        <v>W14 8BD</v>
      </c>
      <c r="K29" s="260"/>
      <c r="L29" s="261"/>
      <c r="M29" s="262">
        <v>1</v>
      </c>
      <c r="N29" s="263" t="s">
        <v>107</v>
      </c>
      <c r="O29" s="265">
        <f>IF(Heat_connections[[#This Row],[Ref]]&lt;&gt;"-",
IF(M29=1,Dashboard!$C$26,IF(M29=2,Dashboard!$C$27,Dashboard!$C$28)),"-")</f>
        <v>2027</v>
      </c>
      <c r="P29" s="342">
        <f>IF(Heat_connections[[#This Row],[Category]]="Domestic",Heat_connections[[#This Row],[No. of connections]],0)</f>
        <v>0</v>
      </c>
      <c r="Q29" s="342">
        <f>IF(Heat_connections[[#This Row],[Category]]&lt;&gt;"Domestic",Heat_connections[[#This Row],[No. of connections]],0)</f>
        <v>1</v>
      </c>
      <c r="R29" s="209"/>
      <c r="S29" s="512">
        <f>IF(Heat_connections[[#This Row],[TOID]]&lt;&gt;"-",
IF(ISBLANK('Heat connections'!$R29),Dashboard!$C$14,'Heat connections'!$R29),0)</f>
        <v>8</v>
      </c>
      <c r="T29" s="513">
        <f>IF(Heat_connections[[#This Row],[Peak Demand, kW]]&lt;&gt;0,'Heat connections'!$G29*Dashboard!$C$21,0)</f>
        <v>2005.9166</v>
      </c>
      <c r="U29" s="514">
        <f>IF(Heat_connections[[#This Row],[Ref]]&lt;&gt;"-",48.436*Heat_connections[[#This Row],[Peak Demand, kW]]+1068.7,0)</f>
        <v>5926.6288218799991</v>
      </c>
      <c r="V29" s="515">
        <f>IF(Heat_connections[[#This Row],[Ref]]&lt;&gt;"-",
_xlfn.XLOOKUP('Heat connections'!$G29,'Technical inputs'!$F$79:$F$94,'Technical inputs'!$I$79:$I$94,0,1,1),0)</f>
        <v>33110</v>
      </c>
      <c r="W29" s="431">
        <f>IF('Heat connections'!$E29="Domestic",1,0)</f>
        <v>0</v>
      </c>
      <c r="X29" s="432">
        <f>IF(AND(Heat_connections[[#This Row],[Ref]]&lt;&gt;"-",'Heat connections'!$E29&lt;&gt;"Domestic"),1,0)</f>
        <v>1</v>
      </c>
      <c r="Y29" s="435">
        <v>0</v>
      </c>
      <c r="Z29" s="439">
        <f>IF(Heat_connections[[#This Row],[Existing/planned development]]&lt;&gt;0,1,0)</f>
        <v>0</v>
      </c>
      <c r="AA29" s="432">
        <f>IF('Heat connections'!$M29=1,1,0)</f>
        <v>1</v>
      </c>
      <c r="AB29" s="432">
        <f>IF('Heat connections'!$M29=2,1,0)</f>
        <v>0</v>
      </c>
      <c r="AC29" s="435">
        <f>IF('Heat connections'!$M29=3,1,0)</f>
        <v>0</v>
      </c>
      <c r="AD29" s="46" t="str">
        <f>IF(AND(Heat_connections[[#This Row],[Connected to heat network]]="Yes",Heat_connections[[#This Row],[Ref]]&lt;&gt;"-"),"Yes","No")</f>
        <v>Yes</v>
      </c>
    </row>
    <row r="30" spans="3:30" ht="12.75" x14ac:dyDescent="0.2">
      <c r="C30" s="208" t="str" cm="1">
        <f t="array" ref="C30">IFERROR(_xlfn.XLOOKUP($C$3,Heat_connections_input[#Headers],Heat_connections_input[#This Row],0,0,),"-")</f>
        <v>9sGlNguqOM+PK4N/</v>
      </c>
      <c r="D30" s="323" cm="1">
        <f t="array" ref="D30">IFERROR(_xlfn.XLOOKUP($D$3,Heat_connections_input[#Headers],Heat_connections_input[#This Row],0,0,),"-")</f>
        <v>0</v>
      </c>
      <c r="E30" s="284" t="str" cm="1">
        <f t="array" ref="E30">IFERROR(_xlfn.XLOOKUP($E$3,Heat_connections_input[#Headers],Heat_connections_input[#This Row],0,0,),"-")</f>
        <v>Offices</v>
      </c>
      <c r="F30" s="259" cm="1">
        <f t="array" ref="F30">IFERROR(_xlfn.XLOOKUP($F$3,Heat_connections_input[#Headers],Heat_connections_input[#This Row],0,0,),0)</f>
        <v>710826.6</v>
      </c>
      <c r="G30" s="259" cm="1">
        <f t="array" ref="G30">IFERROR(_xlfn.XLOOKUP($G$3,Heat_connections_input[#Headers],Heat_connections_input[#This Row],0,0,),0)</f>
        <v>374.62326000000002</v>
      </c>
      <c r="H30" s="341" cm="1">
        <f t="array" ref="H30">IFERROR(_xlfn.XLOOKUP($H$3,Heat_connections_input[#Headers],Heat_connections_input[#This Row],0,0,),0)</f>
        <v>5</v>
      </c>
      <c r="I30" s="326" t="str" cm="1">
        <f t="array" ref="I30">IFERROR(_xlfn.XLOOKUP($I$3,Heat_connections_input[#Headers],Heat_connections_input[#This Row],0,0,),"-")</f>
        <v>Commercial : Retail : Automated Teller Machine (ATM)</v>
      </c>
      <c r="J30" s="326" t="str" cm="1">
        <f t="array" ref="J30">IFERROR(_xlfn.XLOOKUP($J$3,Heat_connections_input[#Headers],Heat_connections_input[#This Row],0,0,1),"-")</f>
        <v>W12 7RH</v>
      </c>
      <c r="K30" s="260"/>
      <c r="L30" s="261"/>
      <c r="M30" s="262">
        <v>1</v>
      </c>
      <c r="N30" s="263" t="s">
        <v>107</v>
      </c>
      <c r="O30" s="264">
        <f>IF(Heat_connections[[#This Row],[Ref]]&lt;&gt;"-",
IF(M30=1,Dashboard!$C$26,IF(M30=2,Dashboard!$C$27,Dashboard!$C$28)),"-")</f>
        <v>2027</v>
      </c>
      <c r="P30" s="341">
        <f>IF(Heat_connections[[#This Row],[Category]]="Domestic",Heat_connections[[#This Row],[No. of connections]],0)</f>
        <v>0</v>
      </c>
      <c r="Q30" s="341">
        <f>IF(Heat_connections[[#This Row],[Category]]&lt;&gt;"Domestic",Heat_connections[[#This Row],[No. of connections]],0)</f>
        <v>5</v>
      </c>
      <c r="R30" s="209"/>
      <c r="S30" s="512">
        <f>IF(Heat_connections[[#This Row],[TOID]]&lt;&gt;"-",
IF(ISBLANK('Heat connections'!$R30),Dashboard!$C$14,'Heat connections'!$R30),0)</f>
        <v>8</v>
      </c>
      <c r="T30" s="513">
        <f>IF(Heat_connections[[#This Row],[Peak Demand, kW]]&lt;&gt;0,'Heat connections'!$G30*Dashboard!$C$21,0)</f>
        <v>7492.4652000000006</v>
      </c>
      <c r="U30" s="514">
        <f>IF(Heat_connections[[#This Row],[Ref]]&lt;&gt;"-",48.436*Heat_connections[[#This Row],[Peak Demand, kW]]+1068.7,0)</f>
        <v>19213.952221360003</v>
      </c>
      <c r="V30" s="515">
        <f>IF(Heat_connections[[#This Row],[Ref]]&lt;&gt;"-",
_xlfn.XLOOKUP('Heat connections'!$G30,'Technical inputs'!$F$79:$F$94,'Technical inputs'!$I$79:$I$94,0,1,1),0)</f>
        <v>39765</v>
      </c>
      <c r="W30" s="429">
        <f>IF('Heat connections'!$E30="Domestic",1,0)</f>
        <v>0</v>
      </c>
      <c r="X30" s="430">
        <f>IF(AND(Heat_connections[[#This Row],[Ref]]&lt;&gt;"-",'Heat connections'!$E30&lt;&gt;"Domestic"),1,0)</f>
        <v>1</v>
      </c>
      <c r="Y30" s="434">
        <v>0</v>
      </c>
      <c r="Z30" s="438">
        <f>IF(Heat_connections[[#This Row],[Existing/planned development]]&lt;&gt;0,1,0)</f>
        <v>0</v>
      </c>
      <c r="AA30" s="430">
        <f>IF('Heat connections'!$M30=1,1,0)</f>
        <v>1</v>
      </c>
      <c r="AB30" s="430">
        <f>IF('Heat connections'!$M30=2,1,0)</f>
        <v>0</v>
      </c>
      <c r="AC30" s="434">
        <f>IF('Heat connections'!$M30=3,1,0)</f>
        <v>0</v>
      </c>
      <c r="AD30" s="46" t="str">
        <f>IF(AND(Heat_connections[[#This Row],[Connected to heat network]]="Yes",Heat_connections[[#This Row],[Ref]]&lt;&gt;"-"),"Yes","No")</f>
        <v>Yes</v>
      </c>
    </row>
    <row r="31" spans="3:30" ht="12.75" x14ac:dyDescent="0.2">
      <c r="C31" s="208" t="str" cm="1">
        <f t="array" ref="C31">IFERROR(_xlfn.XLOOKUP($C$3,Heat_connections_input[#Headers],Heat_connections_input[#This Row],0,0,),"-")</f>
        <v>ZyTgmic1Eda+l+hJ</v>
      </c>
      <c r="D31" s="323" cm="1">
        <f t="array" ref="D31">IFERROR(_xlfn.XLOOKUP($D$3,Heat_connections_input[#Headers],Heat_connections_input[#This Row],0,0,),"-")</f>
        <v>0</v>
      </c>
      <c r="E31" s="284" t="str" cm="1">
        <f t="array" ref="E31">IFERROR(_xlfn.XLOOKUP($E$3,Heat_connections_input[#Headers],Heat_connections_input[#This Row],0,0,),"-")</f>
        <v>Education (Higher)</v>
      </c>
      <c r="F31" s="259" cm="1">
        <f t="array" ref="F31">IFERROR(_xlfn.XLOOKUP($F$3,Heat_connections_input[#Headers],Heat_connections_input[#This Row],0,0,),0)</f>
        <v>609288</v>
      </c>
      <c r="G31" s="259" cm="1">
        <f t="array" ref="G31">IFERROR(_xlfn.XLOOKUP($G$3,Heat_connections_input[#Headers],Heat_connections_input[#This Row],0,0,),0)</f>
        <v>324.22964000000002</v>
      </c>
      <c r="H31" s="341" cm="1">
        <f t="array" ref="H31">IFERROR(_xlfn.XLOOKUP($H$3,Heat_connections_input[#Headers],Heat_connections_input[#This Row],0,0,),0)</f>
        <v>3</v>
      </c>
      <c r="I31" s="326" t="str" cm="1">
        <f t="array" ref="I31">IFERROR(_xlfn.XLOOKUP($I$3,Heat_connections_input[#Headers],Heat_connections_input[#This Row],0,0,),"-")</f>
        <v>Commercial : Education</v>
      </c>
      <c r="J31" s="326" t="str" cm="1">
        <f t="array" ref="J31">IFERROR(_xlfn.XLOOKUP($J$3,Heat_connections_input[#Headers],Heat_connections_input[#This Row],0,0,1),"-")</f>
        <v>W14 8BZ</v>
      </c>
      <c r="K31" s="260"/>
      <c r="L31" s="261"/>
      <c r="M31" s="262">
        <v>1</v>
      </c>
      <c r="N31" s="263" t="s">
        <v>107</v>
      </c>
      <c r="O31" s="265">
        <f>IF(Heat_connections[[#This Row],[Ref]]&lt;&gt;"-",
IF(M31=1,Dashboard!$C$26,IF(M31=2,Dashboard!$C$27,Dashboard!$C$28)),"-")</f>
        <v>2027</v>
      </c>
      <c r="P31" s="342">
        <f>IF(Heat_connections[[#This Row],[Category]]="Domestic",Heat_connections[[#This Row],[No. of connections]],0)</f>
        <v>0</v>
      </c>
      <c r="Q31" s="342">
        <f>IF(Heat_connections[[#This Row],[Category]]&lt;&gt;"Domestic",Heat_connections[[#This Row],[No. of connections]],0)</f>
        <v>3</v>
      </c>
      <c r="R31" s="209"/>
      <c r="S31" s="512">
        <f>IF(Heat_connections[[#This Row],[TOID]]&lt;&gt;"-",
IF(ISBLANK('Heat connections'!$R31),Dashboard!$C$14,'Heat connections'!$R31),0)</f>
        <v>8</v>
      </c>
      <c r="T31" s="513">
        <f>IF(Heat_connections[[#This Row],[Peak Demand, kW]]&lt;&gt;0,'Heat connections'!$G31*Dashboard!$C$21,0)</f>
        <v>6484.5928000000004</v>
      </c>
      <c r="U31" s="514">
        <f>IF(Heat_connections[[#This Row],[Ref]]&lt;&gt;"-",48.436*Heat_connections[[#This Row],[Peak Demand, kW]]+1068.7,0)</f>
        <v>16773.086843040001</v>
      </c>
      <c r="V31" s="515">
        <f>IF(Heat_connections[[#This Row],[Ref]]&lt;&gt;"-",
_xlfn.XLOOKUP('Heat connections'!$G31,'Technical inputs'!$F$79:$F$94,'Technical inputs'!$I$79:$I$94,0,1,1),0)</f>
        <v>39765</v>
      </c>
      <c r="W31" s="431">
        <f>IF('Heat connections'!$E31="Domestic",1,0)</f>
        <v>0</v>
      </c>
      <c r="X31" s="432">
        <f>IF(AND(Heat_connections[[#This Row],[Ref]]&lt;&gt;"-",'Heat connections'!$E31&lt;&gt;"Domestic"),1,0)</f>
        <v>1</v>
      </c>
      <c r="Y31" s="435">
        <v>0</v>
      </c>
      <c r="Z31" s="439">
        <f>IF(Heat_connections[[#This Row],[Existing/planned development]]&lt;&gt;0,1,0)</f>
        <v>0</v>
      </c>
      <c r="AA31" s="432">
        <f>IF('Heat connections'!$M31=1,1,0)</f>
        <v>1</v>
      </c>
      <c r="AB31" s="432">
        <f>IF('Heat connections'!$M31=2,1,0)</f>
        <v>0</v>
      </c>
      <c r="AC31" s="435">
        <f>IF('Heat connections'!$M31=3,1,0)</f>
        <v>0</v>
      </c>
      <c r="AD31" s="46" t="str">
        <f>IF(AND(Heat_connections[[#This Row],[Connected to heat network]]="Yes",Heat_connections[[#This Row],[Ref]]&lt;&gt;"-"),"Yes","No")</f>
        <v>Yes</v>
      </c>
    </row>
    <row r="32" spans="3:30" ht="12.75" x14ac:dyDescent="0.2">
      <c r="C32" s="208" t="str" cm="1">
        <f t="array" ref="C32">IFERROR(_xlfn.XLOOKUP($C$3,Heat_connections_input[#Headers],Heat_connections_input[#This Row],0,0,),"-")</f>
        <v>pvgxmkXYP8UXfjce</v>
      </c>
      <c r="D32" s="323" cm="1">
        <f t="array" ref="D32">IFERROR(_xlfn.XLOOKUP($D$3,Heat_connections_input[#Headers],Heat_connections_input[#This Row],0,0,),"-")</f>
        <v>0</v>
      </c>
      <c r="E32" s="284" t="str" cm="1">
        <f t="array" ref="E32">IFERROR(_xlfn.XLOOKUP($E$3,Heat_connections_input[#Headers],Heat_connections_input[#This Row],0,0,),"-")</f>
        <v>Offices</v>
      </c>
      <c r="F32" s="259" cm="1">
        <f t="array" ref="F32">IFERROR(_xlfn.XLOOKUP($F$3,Heat_connections_input[#Headers],Heat_connections_input[#This Row],0,0,),0)</f>
        <v>171917.45</v>
      </c>
      <c r="G32" s="259" cm="1">
        <f t="array" ref="G32">IFERROR(_xlfn.XLOOKUP($G$3,Heat_connections_input[#Headers],Heat_connections_input[#This Row],0,0,),0)</f>
        <v>107.16263600000001</v>
      </c>
      <c r="H32" s="341" cm="1">
        <f t="array" ref="H32">IFERROR(_xlfn.XLOOKUP($H$3,Heat_connections_input[#Headers],Heat_connections_input[#This Row],0,0,),0)</f>
        <v>1</v>
      </c>
      <c r="I32" s="326" t="str" cm="1">
        <f t="array" ref="I32">IFERROR(_xlfn.XLOOKUP($I$3,Heat_connections_input[#Headers],Heat_connections_input[#This Row],0,0,),"-")</f>
        <v>Commercial : Office : Office / Work Studio</v>
      </c>
      <c r="J32" s="326" t="str" cm="1">
        <f t="array" ref="J32">IFERROR(_xlfn.XLOOKUP($J$3,Heat_connections_input[#Headers],Heat_connections_input[#This Row],0,0,1),"-")</f>
        <v>W12 7QR</v>
      </c>
      <c r="K32" s="260"/>
      <c r="L32" s="261"/>
      <c r="M32" s="262">
        <v>1</v>
      </c>
      <c r="N32" s="263" t="s">
        <v>107</v>
      </c>
      <c r="O32" s="264">
        <f>IF(Heat_connections[[#This Row],[Ref]]&lt;&gt;"-",
IF(M32=1,Dashboard!$C$26,IF(M32=2,Dashboard!$C$27,Dashboard!$C$28)),"-")</f>
        <v>2027</v>
      </c>
      <c r="P32" s="341">
        <f>IF(Heat_connections[[#This Row],[Category]]="Domestic",Heat_connections[[#This Row],[No. of connections]],0)</f>
        <v>0</v>
      </c>
      <c r="Q32" s="341">
        <f>IF(Heat_connections[[#This Row],[Category]]&lt;&gt;"Domestic",Heat_connections[[#This Row],[No. of connections]],0)</f>
        <v>1</v>
      </c>
      <c r="R32" s="209"/>
      <c r="S32" s="512">
        <f>IF(Heat_connections[[#This Row],[TOID]]&lt;&gt;"-",
IF(ISBLANK('Heat connections'!$R32),Dashboard!$C$14,'Heat connections'!$R32),0)</f>
        <v>8</v>
      </c>
      <c r="T32" s="513">
        <f>IF(Heat_connections[[#This Row],[Peak Demand, kW]]&lt;&gt;0,'Heat connections'!$G32*Dashboard!$C$21,0)</f>
        <v>2143.25272</v>
      </c>
      <c r="U32" s="514">
        <f>IF(Heat_connections[[#This Row],[Ref]]&lt;&gt;"-",48.436*Heat_connections[[#This Row],[Peak Demand, kW]]+1068.7,0)</f>
        <v>6259.2294372960005</v>
      </c>
      <c r="V32" s="515">
        <f>IF(Heat_connections[[#This Row],[Ref]]&lt;&gt;"-",
_xlfn.XLOOKUP('Heat connections'!$G32,'Technical inputs'!$F$79:$F$94,'Technical inputs'!$I$79:$I$94,0,1,1),0)</f>
        <v>33110</v>
      </c>
      <c r="W32" s="429">
        <f>IF('Heat connections'!$E32="Domestic",1,0)</f>
        <v>0</v>
      </c>
      <c r="X32" s="430">
        <f>IF(AND(Heat_connections[[#This Row],[Ref]]&lt;&gt;"-",'Heat connections'!$E32&lt;&gt;"Domestic"),1,0)</f>
        <v>1</v>
      </c>
      <c r="Y32" s="434">
        <v>0</v>
      </c>
      <c r="Z32" s="438">
        <f>IF(Heat_connections[[#This Row],[Existing/planned development]]&lt;&gt;0,1,0)</f>
        <v>0</v>
      </c>
      <c r="AA32" s="430">
        <f>IF('Heat connections'!$M32=1,1,0)</f>
        <v>1</v>
      </c>
      <c r="AB32" s="430">
        <f>IF('Heat connections'!$M32=2,1,0)</f>
        <v>0</v>
      </c>
      <c r="AC32" s="434">
        <f>IF('Heat connections'!$M32=3,1,0)</f>
        <v>0</v>
      </c>
      <c r="AD32" s="46" t="str">
        <f>IF(AND(Heat_connections[[#This Row],[Connected to heat network]]="Yes",Heat_connections[[#This Row],[Ref]]&lt;&gt;"-"),"Yes","No")</f>
        <v>Yes</v>
      </c>
    </row>
    <row r="33" spans="3:30" ht="12.75" x14ac:dyDescent="0.2">
      <c r="C33" s="208" t="str" cm="1">
        <f t="array" ref="C33">IFERROR(_xlfn.XLOOKUP($C$3,Heat_connections_input[#Headers],Heat_connections_input[#This Row],0,0,),"-")</f>
        <v>2czOWcGKMgHdXeLp</v>
      </c>
      <c r="D33" s="323" cm="1">
        <f t="array" ref="D33">IFERROR(_xlfn.XLOOKUP($D$3,Heat_connections_input[#Headers],Heat_connections_input[#This Row],0,0,),"-")</f>
        <v>0</v>
      </c>
      <c r="E33" s="284" t="str" cm="1">
        <f t="array" ref="E33">IFERROR(_xlfn.XLOOKUP($E$3,Heat_connections_input[#Headers],Heat_connections_input[#This Row],0,0,),"-")</f>
        <v>Entertainment</v>
      </c>
      <c r="F33" s="259" cm="1">
        <f t="array" ref="F33">IFERROR(_xlfn.XLOOKUP($F$3,Heat_connections_input[#Headers],Heat_connections_input[#This Row],0,0,),0)</f>
        <v>6811882</v>
      </c>
      <c r="G33" s="259" cm="1">
        <f t="array" ref="G33">IFERROR(_xlfn.XLOOKUP($G$3,Heat_connections_input[#Headers],Heat_connections_input[#This Row],0,0,),0)</f>
        <v>3402.5771</v>
      </c>
      <c r="H33" s="341" cm="1">
        <f t="array" ref="H33">IFERROR(_xlfn.XLOOKUP($H$3,Heat_connections_input[#Headers],Heat_connections_input[#This Row],0,0,),0)</f>
        <v>1</v>
      </c>
      <c r="I33" s="326" t="str" cm="1">
        <f t="array" ref="I33">IFERROR(_xlfn.XLOOKUP($I$3,Heat_connections_input[#Headers],Heat_connections_input[#This Row],0,0,),"-")</f>
        <v>Commercial : Leisure - Applicable to recreational sites and enterprises : Bingo Hall / Cinema / Conference / Exhibition Centre / Theatre / Concert Hall</v>
      </c>
      <c r="J33" s="326" t="str" cm="1">
        <f t="array" ref="J33">IFERROR(_xlfn.XLOOKUP($J$3,Heat_connections_input[#Headers],Heat_connections_input[#This Row],0,0,1),"-")</f>
        <v>W12 8QE</v>
      </c>
      <c r="K33" s="260"/>
      <c r="L33" s="261"/>
      <c r="M33" s="262">
        <v>1</v>
      </c>
      <c r="N33" s="263" t="s">
        <v>107</v>
      </c>
      <c r="O33" s="265">
        <f>IF(Heat_connections[[#This Row],[Ref]]&lt;&gt;"-",
IF(M33=1,Dashboard!$C$26,IF(M33=2,Dashboard!$C$27,Dashboard!$C$28)),"-")</f>
        <v>2027</v>
      </c>
      <c r="P33" s="342">
        <f>IF(Heat_connections[[#This Row],[Category]]="Domestic",Heat_connections[[#This Row],[No. of connections]],0)</f>
        <v>0</v>
      </c>
      <c r="Q33" s="342">
        <f>IF(Heat_connections[[#This Row],[Category]]&lt;&gt;"Domestic",Heat_connections[[#This Row],[No. of connections]],0)</f>
        <v>1</v>
      </c>
      <c r="R33" s="209"/>
      <c r="S33" s="512">
        <f>IF(Heat_connections[[#This Row],[TOID]]&lt;&gt;"-",
IF(ISBLANK('Heat connections'!$R33),Dashboard!$C$14,'Heat connections'!$R33),0)</f>
        <v>8</v>
      </c>
      <c r="T33" s="513">
        <f>IF(Heat_connections[[#This Row],[Peak Demand, kW]]&lt;&gt;0,'Heat connections'!$G33*Dashboard!$C$21,0)</f>
        <v>68051.542000000001</v>
      </c>
      <c r="U33" s="514">
        <f>IF(Heat_connections[[#This Row],[Ref]]&lt;&gt;"-",48.436*Heat_connections[[#This Row],[Peak Demand, kW]]+1068.7,0)</f>
        <v>165875.92441560002</v>
      </c>
      <c r="V33" s="515">
        <f>IF(Heat_connections[[#This Row],[Ref]]&lt;&gt;"-",
_xlfn.XLOOKUP('Heat connections'!$G33,'Technical inputs'!$F$79:$F$94,'Technical inputs'!$I$79:$I$94,0,1,1),0)</f>
        <v>0</v>
      </c>
      <c r="W33" s="431">
        <f>IF('Heat connections'!$E33="Domestic",1,0)</f>
        <v>0</v>
      </c>
      <c r="X33" s="432">
        <f>IF(AND(Heat_connections[[#This Row],[Ref]]&lt;&gt;"-",'Heat connections'!$E33&lt;&gt;"Domestic"),1,0)</f>
        <v>1</v>
      </c>
      <c r="Y33" s="435">
        <v>0</v>
      </c>
      <c r="Z33" s="439">
        <f>IF(Heat_connections[[#This Row],[Existing/planned development]]&lt;&gt;0,1,0)</f>
        <v>0</v>
      </c>
      <c r="AA33" s="432">
        <f>IF('Heat connections'!$M33=1,1,0)</f>
        <v>1</v>
      </c>
      <c r="AB33" s="432">
        <f>IF('Heat connections'!$M33=2,1,0)</f>
        <v>0</v>
      </c>
      <c r="AC33" s="435">
        <f>IF('Heat connections'!$M33=3,1,0)</f>
        <v>0</v>
      </c>
      <c r="AD33" s="46" t="str">
        <f>IF(AND(Heat_connections[[#This Row],[Connected to heat network]]="Yes",Heat_connections[[#This Row],[Ref]]&lt;&gt;"-"),"Yes","No")</f>
        <v>Yes</v>
      </c>
    </row>
    <row r="34" spans="3:30" ht="12.75" x14ac:dyDescent="0.2">
      <c r="C34" s="208" t="str" cm="1">
        <f t="array" ref="C34">IFERROR(_xlfn.XLOOKUP($C$3,Heat_connections_input[#Headers],Heat_connections_input[#This Row],0,0,),"-")</f>
        <v>rn1pNAx9aMWNS2JX</v>
      </c>
      <c r="D34" s="323" cm="1">
        <f t="array" ref="D34">IFERROR(_xlfn.XLOOKUP($D$3,Heat_connections_input[#Headers],Heat_connections_input[#This Row],0,0,),"-")</f>
        <v>0</v>
      </c>
      <c r="E34" s="284" t="str" cm="1">
        <f t="array" ref="E34">IFERROR(_xlfn.XLOOKUP($E$3,Heat_connections_input[#Headers],Heat_connections_input[#This Row],0,0,),"-")</f>
        <v>Public buildings</v>
      </c>
      <c r="F34" s="259" cm="1">
        <f t="array" ref="F34">IFERROR(_xlfn.XLOOKUP($F$3,Heat_connections_input[#Headers],Heat_connections_input[#This Row],0,0,),0)</f>
        <v>356903.7</v>
      </c>
      <c r="G34" s="259" cm="1">
        <f t="array" ref="G34">IFERROR(_xlfn.XLOOKUP($G$3,Heat_connections_input[#Headers],Heat_connections_input[#This Row],0,0,),0)</f>
        <v>198.97130000000001</v>
      </c>
      <c r="H34" s="341" cm="1">
        <f t="array" ref="H34">IFERROR(_xlfn.XLOOKUP($H$3,Heat_connections_input[#Headers],Heat_connections_input[#This Row],0,0,),0)</f>
        <v>1</v>
      </c>
      <c r="I34" s="326" t="str" cm="1">
        <f t="array" ref="I34">IFERROR(_xlfn.XLOOKUP($I$3,Heat_connections_input[#Headers],Heat_connections_input[#This Row],0,0,),"-")</f>
        <v>Object of Interest : Place Of Worship : Church</v>
      </c>
      <c r="J34" s="326" t="str" cm="1">
        <f t="array" ref="J34">IFERROR(_xlfn.XLOOKUP($J$3,Heat_connections_input[#Headers],Heat_connections_input[#This Row],0,0,1),"-")</f>
        <v>W14 0DA</v>
      </c>
      <c r="K34" s="260"/>
      <c r="L34" s="261"/>
      <c r="M34" s="262">
        <v>1</v>
      </c>
      <c r="N34" s="263" t="s">
        <v>107</v>
      </c>
      <c r="O34" s="264">
        <f>IF(Heat_connections[[#This Row],[Ref]]&lt;&gt;"-",
IF(M34=1,Dashboard!$C$26,IF(M34=2,Dashboard!$C$27,Dashboard!$C$28)),"-")</f>
        <v>2027</v>
      </c>
      <c r="P34" s="341">
        <f>IF(Heat_connections[[#This Row],[Category]]="Domestic",Heat_connections[[#This Row],[No. of connections]],0)</f>
        <v>0</v>
      </c>
      <c r="Q34" s="341">
        <f>IF(Heat_connections[[#This Row],[Category]]&lt;&gt;"Domestic",Heat_connections[[#This Row],[No. of connections]],0)</f>
        <v>1</v>
      </c>
      <c r="R34" s="209"/>
      <c r="S34" s="512">
        <f>IF(Heat_connections[[#This Row],[TOID]]&lt;&gt;"-",
IF(ISBLANK('Heat connections'!$R34),Dashboard!$C$14,'Heat connections'!$R34),0)</f>
        <v>8</v>
      </c>
      <c r="T34" s="513">
        <f>IF(Heat_connections[[#This Row],[Peak Demand, kW]]&lt;&gt;0,'Heat connections'!$G34*Dashboard!$C$21,0)</f>
        <v>3979.4260000000004</v>
      </c>
      <c r="U34" s="514">
        <f>IF(Heat_connections[[#This Row],[Ref]]&lt;&gt;"-",48.436*Heat_connections[[#This Row],[Peak Demand, kW]]+1068.7,0)</f>
        <v>10706.073886800001</v>
      </c>
      <c r="V34" s="515">
        <f>IF(Heat_connections[[#This Row],[Ref]]&lt;&gt;"-",
_xlfn.XLOOKUP('Heat connections'!$G34,'Technical inputs'!$F$79:$F$94,'Technical inputs'!$I$79:$I$94,0,1,1),0)</f>
        <v>33110</v>
      </c>
      <c r="W34" s="429">
        <f>IF('Heat connections'!$E34="Domestic",1,0)</f>
        <v>0</v>
      </c>
      <c r="X34" s="430">
        <f>IF(AND(Heat_connections[[#This Row],[Ref]]&lt;&gt;"-",'Heat connections'!$E34&lt;&gt;"Domestic"),1,0)</f>
        <v>1</v>
      </c>
      <c r="Y34" s="434">
        <v>0</v>
      </c>
      <c r="Z34" s="438">
        <f>IF(Heat_connections[[#This Row],[Existing/planned development]]&lt;&gt;0,1,0)</f>
        <v>0</v>
      </c>
      <c r="AA34" s="430">
        <f>IF('Heat connections'!$M34=1,1,0)</f>
        <v>1</v>
      </c>
      <c r="AB34" s="430">
        <f>IF('Heat connections'!$M34=2,1,0)</f>
        <v>0</v>
      </c>
      <c r="AC34" s="434">
        <f>IF('Heat connections'!$M34=3,1,0)</f>
        <v>0</v>
      </c>
      <c r="AD34" s="46" t="str">
        <f>IF(AND(Heat_connections[[#This Row],[Connected to heat network]]="Yes",Heat_connections[[#This Row],[Ref]]&lt;&gt;"-"),"Yes","No")</f>
        <v>Yes</v>
      </c>
    </row>
    <row r="35" spans="3:30" ht="12.75" x14ac:dyDescent="0.2">
      <c r="C35" s="208" t="str" cm="1">
        <f t="array" ref="C35">IFERROR(_xlfn.XLOOKUP($C$3,Heat_connections_input[#Headers],Heat_connections_input[#This Row],0,0,),"-")</f>
        <v>iQYxGm31+9COpppJ</v>
      </c>
      <c r="D35" s="323" cm="1">
        <f t="array" ref="D35">IFERROR(_xlfn.XLOOKUP($D$3,Heat_connections_input[#Headers],Heat_connections_input[#This Row],0,0,),"-")</f>
        <v>0</v>
      </c>
      <c r="E35" s="284" t="str" cm="1">
        <f t="array" ref="E35">IFERROR(_xlfn.XLOOKUP($E$3,Heat_connections_input[#Headers],Heat_connections_input[#This Row],0,0,),"-")</f>
        <v>Offices</v>
      </c>
      <c r="F35" s="259" cm="1">
        <f t="array" ref="F35">IFERROR(_xlfn.XLOOKUP($F$3,Heat_connections_input[#Headers],Heat_connections_input[#This Row],0,0,),0)</f>
        <v>167081.47</v>
      </c>
      <c r="G35" s="259" cm="1">
        <f t="array" ref="G35">IFERROR(_xlfn.XLOOKUP($G$3,Heat_connections_input[#Headers],Heat_connections_input[#This Row],0,0,),0)</f>
        <v>104.76253</v>
      </c>
      <c r="H35" s="341" cm="1">
        <f t="array" ref="H35">IFERROR(_xlfn.XLOOKUP($H$3,Heat_connections_input[#Headers],Heat_connections_input[#This Row],0,0,),0)</f>
        <v>2</v>
      </c>
      <c r="I35" s="326" t="str" cm="1">
        <f t="array" ref="I35">IFERROR(_xlfn.XLOOKUP($I$3,Heat_connections_input[#Headers],Heat_connections_input[#This Row],0,0,),"-")</f>
        <v>Commercial</v>
      </c>
      <c r="J35" s="326" t="str" cm="1">
        <f t="array" ref="J35">IFERROR(_xlfn.XLOOKUP($J$3,Heat_connections_input[#Headers],Heat_connections_input[#This Row],0,0,1),"-")</f>
        <v>W14 0DJ</v>
      </c>
      <c r="K35" s="260"/>
      <c r="L35" s="261"/>
      <c r="M35" s="262">
        <v>1</v>
      </c>
      <c r="N35" s="263" t="s">
        <v>107</v>
      </c>
      <c r="O35" s="265">
        <f>IF(Heat_connections[[#This Row],[Ref]]&lt;&gt;"-",
IF(M35=1,Dashboard!$C$26,IF(M35=2,Dashboard!$C$27,Dashboard!$C$28)),"-")</f>
        <v>2027</v>
      </c>
      <c r="P35" s="342">
        <f>IF(Heat_connections[[#This Row],[Category]]="Domestic",Heat_connections[[#This Row],[No. of connections]],0)</f>
        <v>0</v>
      </c>
      <c r="Q35" s="342">
        <f>IF(Heat_connections[[#This Row],[Category]]&lt;&gt;"Domestic",Heat_connections[[#This Row],[No. of connections]],0)</f>
        <v>2</v>
      </c>
      <c r="R35" s="209"/>
      <c r="S35" s="512">
        <f>IF(Heat_connections[[#This Row],[TOID]]&lt;&gt;"-",
IF(ISBLANK('Heat connections'!$R35),Dashboard!$C$14,'Heat connections'!$R35),0)</f>
        <v>8</v>
      </c>
      <c r="T35" s="513">
        <f>IF(Heat_connections[[#This Row],[Peak Demand, kW]]&lt;&gt;0,'Heat connections'!$G35*Dashboard!$C$21,0)</f>
        <v>2095.2505999999998</v>
      </c>
      <c r="U35" s="514">
        <f>IF(Heat_connections[[#This Row],[Ref]]&lt;&gt;"-",48.436*Heat_connections[[#This Row],[Peak Demand, kW]]+1068.7,0)</f>
        <v>6142.97790308</v>
      </c>
      <c r="V35" s="515">
        <f>IF(Heat_connections[[#This Row],[Ref]]&lt;&gt;"-",
_xlfn.XLOOKUP('Heat connections'!$G35,'Technical inputs'!$F$79:$F$94,'Technical inputs'!$I$79:$I$94,0,1,1),0)</f>
        <v>33110</v>
      </c>
      <c r="W35" s="431">
        <f>IF('Heat connections'!$E35="Domestic",1,0)</f>
        <v>0</v>
      </c>
      <c r="X35" s="432">
        <f>IF(AND(Heat_connections[[#This Row],[Ref]]&lt;&gt;"-",'Heat connections'!$E35&lt;&gt;"Domestic"),1,0)</f>
        <v>1</v>
      </c>
      <c r="Y35" s="435">
        <v>0</v>
      </c>
      <c r="Z35" s="439">
        <f>IF(Heat_connections[[#This Row],[Existing/planned development]]&lt;&gt;0,1,0)</f>
        <v>0</v>
      </c>
      <c r="AA35" s="432">
        <f>IF('Heat connections'!$M35=1,1,0)</f>
        <v>1</v>
      </c>
      <c r="AB35" s="432">
        <f>IF('Heat connections'!$M35=2,1,0)</f>
        <v>0</v>
      </c>
      <c r="AC35" s="435">
        <f>IF('Heat connections'!$M35=3,1,0)</f>
        <v>0</v>
      </c>
      <c r="AD35" s="46" t="str">
        <f>IF(AND(Heat_connections[[#This Row],[Connected to heat network]]="Yes",Heat_connections[[#This Row],[Ref]]&lt;&gt;"-"),"Yes","No")</f>
        <v>Yes</v>
      </c>
    </row>
    <row r="36" spans="3:30" ht="12.75" x14ac:dyDescent="0.2">
      <c r="C36" s="208" t="str" cm="1">
        <f t="array" ref="C36">IFERROR(_xlfn.XLOOKUP($C$3,Heat_connections_input[#Headers],Heat_connections_input[#This Row],0,0,),"-")</f>
        <v>V1kh7ItIG0dJLDW7</v>
      </c>
      <c r="D36" s="323" cm="1">
        <f t="array" ref="D36">IFERROR(_xlfn.XLOOKUP($D$3,Heat_connections_input[#Headers],Heat_connections_input[#This Row],0,0,),"-")</f>
        <v>0</v>
      </c>
      <c r="E36" s="284" t="str" cm="1">
        <f t="array" ref="E36">IFERROR(_xlfn.XLOOKUP($E$3,Heat_connections_input[#Headers],Heat_connections_input[#This Row],0,0,),"-")</f>
        <v>Domestic</v>
      </c>
      <c r="F36" s="259" cm="1">
        <f t="array" ref="F36">IFERROR(_xlfn.XLOOKUP($F$3,Heat_connections_input[#Headers],Heat_connections_input[#This Row],0,0,),0)</f>
        <v>16741.919999999998</v>
      </c>
      <c r="G36" s="259" cm="1">
        <f t="array" ref="G36">IFERROR(_xlfn.XLOOKUP($G$3,Heat_connections_input[#Headers],Heat_connections_input[#This Row],0,0,),0)</f>
        <v>30.149014999999999</v>
      </c>
      <c r="H36" s="341" cm="1">
        <f t="array" ref="H36">IFERROR(_xlfn.XLOOKUP($H$3,Heat_connections_input[#Headers],Heat_connections_input[#This Row],0,0,),0)</f>
        <v>1</v>
      </c>
      <c r="I36" s="326" t="str" cm="1">
        <f t="array" ref="I36">IFERROR(_xlfn.XLOOKUP($I$3,Heat_connections_input[#Headers],Heat_connections_input[#This Row],0,0,),"-")</f>
        <v>Residential : Dwelling : Detached</v>
      </c>
      <c r="J36" s="326" t="str" cm="1">
        <f t="array" ref="J36">IFERROR(_xlfn.XLOOKUP($J$3,Heat_connections_input[#Headers],Heat_connections_input[#This Row],0,0,1),"-")</f>
        <v>W12 7DB</v>
      </c>
      <c r="K36" s="260"/>
      <c r="L36" s="261"/>
      <c r="M36" s="262">
        <v>1</v>
      </c>
      <c r="N36" s="263" t="s">
        <v>107</v>
      </c>
      <c r="O36" s="264">
        <f>IF(Heat_connections[[#This Row],[Ref]]&lt;&gt;"-",
IF(M36=1,Dashboard!$C$26,IF(M36=2,Dashboard!$C$27,Dashboard!$C$28)),"-")</f>
        <v>2027</v>
      </c>
      <c r="P36" s="341">
        <f>IF(Heat_connections[[#This Row],[Category]]="Domestic",Heat_connections[[#This Row],[No. of connections]],0)</f>
        <v>1</v>
      </c>
      <c r="Q36" s="341">
        <f>IF(Heat_connections[[#This Row],[Category]]&lt;&gt;"Domestic",Heat_connections[[#This Row],[No. of connections]],0)</f>
        <v>0</v>
      </c>
      <c r="R36" s="209"/>
      <c r="S36" s="512">
        <f>IF(Heat_connections[[#This Row],[TOID]]&lt;&gt;"-",
IF(ISBLANK('Heat connections'!$R36),Dashboard!$C$14,'Heat connections'!$R36),0)</f>
        <v>8</v>
      </c>
      <c r="T36" s="513">
        <f>IF(Heat_connections[[#This Row],[Peak Demand, kW]]&lt;&gt;0,'Heat connections'!$G36*Dashboard!$C$21,0)</f>
        <v>602.98029999999994</v>
      </c>
      <c r="U36" s="514">
        <f>IF(Heat_connections[[#This Row],[Ref]]&lt;&gt;"-",48.436*Heat_connections[[#This Row],[Peak Demand, kW]]+1068.7,0)</f>
        <v>2528.9976905399999</v>
      </c>
      <c r="V36" s="515">
        <f>IF(Heat_connections[[#This Row],[Ref]]&lt;&gt;"-",
_xlfn.XLOOKUP('Heat connections'!$G36,'Technical inputs'!$F$79:$F$94,'Technical inputs'!$I$79:$I$94,0,1,1),0)</f>
        <v>28145</v>
      </c>
      <c r="W36" s="429">
        <f>IF('Heat connections'!$E36="Domestic",1,0)</f>
        <v>1</v>
      </c>
      <c r="X36" s="430">
        <f>IF(AND(Heat_connections[[#This Row],[Ref]]&lt;&gt;"-",'Heat connections'!$E36&lt;&gt;"Domestic"),1,0)</f>
        <v>0</v>
      </c>
      <c r="Y36" s="434">
        <v>0</v>
      </c>
      <c r="Z36" s="438">
        <f>IF(Heat_connections[[#This Row],[Existing/planned development]]&lt;&gt;0,1,0)</f>
        <v>0</v>
      </c>
      <c r="AA36" s="430">
        <f>IF('Heat connections'!$M36=1,1,0)</f>
        <v>1</v>
      </c>
      <c r="AB36" s="430">
        <f>IF('Heat connections'!$M36=2,1,0)</f>
        <v>0</v>
      </c>
      <c r="AC36" s="434">
        <f>IF('Heat connections'!$M36=3,1,0)</f>
        <v>0</v>
      </c>
      <c r="AD36" s="46" t="str">
        <f>IF(AND(Heat_connections[[#This Row],[Connected to heat network]]="Yes",Heat_connections[[#This Row],[Ref]]&lt;&gt;"-"),"Yes","No")</f>
        <v>Yes</v>
      </c>
    </row>
    <row r="37" spans="3:30" ht="12.75" x14ac:dyDescent="0.2">
      <c r="C37" s="208" t="str" cm="1">
        <f t="array" ref="C37">IFERROR(_xlfn.XLOOKUP($C$3,Heat_connections_input[#Headers],Heat_connections_input[#This Row],0,0,),"-")</f>
        <v>bRPD7RkRJ9MxZ3oy</v>
      </c>
      <c r="D37" s="323" cm="1">
        <f t="array" ref="D37">IFERROR(_xlfn.XLOOKUP($D$3,Heat_connections_input[#Headers],Heat_connections_input[#This Row],0,0,),"-")</f>
        <v>0</v>
      </c>
      <c r="E37" s="284" cm="1">
        <f t="array" ref="E37">IFERROR(_xlfn.XLOOKUP($E$3,Heat_connections_input[#Headers],Heat_connections_input[#This Row],0,0,),"-")</f>
        <v>0</v>
      </c>
      <c r="F37" s="259" cm="1">
        <f t="array" ref="F37">IFERROR(_xlfn.XLOOKUP($F$3,Heat_connections_input[#Headers],Heat_connections_input[#This Row],0,0,),0)</f>
        <v>61321.32</v>
      </c>
      <c r="G37" s="259" cm="1">
        <f t="array" ref="G37">IFERROR(_xlfn.XLOOKUP($G$3,Heat_connections_input[#Headers],Heat_connections_input[#This Row],0,0,),0)</f>
        <v>52.273772999999998</v>
      </c>
      <c r="H37" s="341" cm="1">
        <f t="array" ref="H37">IFERROR(_xlfn.XLOOKUP($H$3,Heat_connections_input[#Headers],Heat_connections_input[#This Row],0,0,),0)</f>
        <v>1</v>
      </c>
      <c r="I37" s="326" cm="1">
        <f t="array" ref="I37">IFERROR(_xlfn.XLOOKUP($I$3,Heat_connections_input[#Headers],Heat_connections_input[#This Row],0,0,),"-")</f>
        <v>0</v>
      </c>
      <c r="J37" s="326" cm="1">
        <f t="array" ref="J37">IFERROR(_xlfn.XLOOKUP($J$3,Heat_connections_input[#Headers],Heat_connections_input[#This Row],0,0,1),"-")</f>
        <v>0</v>
      </c>
      <c r="K37" s="260"/>
      <c r="L37" s="261"/>
      <c r="M37" s="262">
        <v>1</v>
      </c>
      <c r="N37" s="263" t="s">
        <v>107</v>
      </c>
      <c r="O37" s="265">
        <f>IF(Heat_connections[[#This Row],[Ref]]&lt;&gt;"-",
IF(M37=1,Dashboard!$C$26,IF(M37=2,Dashboard!$C$27,Dashboard!$C$28)),"-")</f>
        <v>2027</v>
      </c>
      <c r="P37" s="342">
        <f>IF(Heat_connections[[#This Row],[Category]]="Domestic",Heat_connections[[#This Row],[No. of connections]],0)</f>
        <v>0</v>
      </c>
      <c r="Q37" s="342">
        <f>IF(Heat_connections[[#This Row],[Category]]&lt;&gt;"Domestic",Heat_connections[[#This Row],[No. of connections]],0)</f>
        <v>1</v>
      </c>
      <c r="R37" s="209"/>
      <c r="S37" s="512">
        <f>IF(Heat_connections[[#This Row],[TOID]]&lt;&gt;"-",
IF(ISBLANK('Heat connections'!$R37),Dashboard!$C$14,'Heat connections'!$R37),0)</f>
        <v>8</v>
      </c>
      <c r="T37" s="513">
        <f>IF(Heat_connections[[#This Row],[Peak Demand, kW]]&lt;&gt;0,'Heat connections'!$G37*Dashboard!$C$21,0)</f>
        <v>1045.4754599999999</v>
      </c>
      <c r="U37" s="514">
        <f>IF(Heat_connections[[#This Row],[Ref]]&lt;&gt;"-",48.436*Heat_connections[[#This Row],[Peak Demand, kW]]+1068.7,0)</f>
        <v>3600.6324690279998</v>
      </c>
      <c r="V37" s="515">
        <f>IF(Heat_connections[[#This Row],[Ref]]&lt;&gt;"-",
_xlfn.XLOOKUP('Heat connections'!$G37,'Technical inputs'!$F$79:$F$94,'Technical inputs'!$I$79:$I$94,0,1,1),0)</f>
        <v>28145</v>
      </c>
      <c r="W37" s="431">
        <f>IF('Heat connections'!$E37="Domestic",1,0)</f>
        <v>0</v>
      </c>
      <c r="X37" s="432">
        <f>IF(AND(Heat_connections[[#This Row],[Ref]]&lt;&gt;"-",'Heat connections'!$E37&lt;&gt;"Domestic"),1,0)</f>
        <v>1</v>
      </c>
      <c r="Y37" s="435">
        <v>0</v>
      </c>
      <c r="Z37" s="439">
        <f>IF(Heat_connections[[#This Row],[Existing/planned development]]&lt;&gt;0,1,0)</f>
        <v>0</v>
      </c>
      <c r="AA37" s="432">
        <f>IF('Heat connections'!$M37=1,1,0)</f>
        <v>1</v>
      </c>
      <c r="AB37" s="432">
        <f>IF('Heat connections'!$M37=2,1,0)</f>
        <v>0</v>
      </c>
      <c r="AC37" s="435">
        <f>IF('Heat connections'!$M37=3,1,0)</f>
        <v>0</v>
      </c>
      <c r="AD37" s="46" t="str">
        <f>IF(AND(Heat_connections[[#This Row],[Connected to heat network]]="Yes",Heat_connections[[#This Row],[Ref]]&lt;&gt;"-"),"Yes","No")</f>
        <v>Yes</v>
      </c>
    </row>
    <row r="38" spans="3:30" ht="12.75" x14ac:dyDescent="0.2">
      <c r="C38" s="208" t="str" cm="1">
        <f t="array" ref="C38">IFERROR(_xlfn.XLOOKUP($C$3,Heat_connections_input[#Headers],Heat_connections_input[#This Row],0,0,),"-")</f>
        <v>4/T+0xPa+GTp1sde</v>
      </c>
      <c r="D38" s="323" cm="1">
        <f t="array" ref="D38">IFERROR(_xlfn.XLOOKUP($D$3,Heat_connections_input[#Headers],Heat_connections_input[#This Row],0,0,),"-")</f>
        <v>0</v>
      </c>
      <c r="E38" s="284" t="str" cm="1">
        <f t="array" ref="E38">IFERROR(_xlfn.XLOOKUP($E$3,Heat_connections_input[#Headers],Heat_connections_input[#This Row],0,0,),"-")</f>
        <v>Offices</v>
      </c>
      <c r="F38" s="259" cm="1">
        <f t="array" ref="F38">IFERROR(_xlfn.XLOOKUP($F$3,Heat_connections_input[#Headers],Heat_connections_input[#This Row],0,0,),0)</f>
        <v>5189.2190000000001</v>
      </c>
      <c r="G38" s="259" cm="1">
        <f t="array" ref="G38">IFERROR(_xlfn.XLOOKUP($G$3,Heat_connections_input[#Headers],Heat_connections_input[#This Row],0,0,),0)</f>
        <v>24.415410000000001</v>
      </c>
      <c r="H38" s="341" cm="1">
        <f t="array" ref="H38">IFERROR(_xlfn.XLOOKUP($H$3,Heat_connections_input[#Headers],Heat_connections_input[#This Row],0,0,),0)</f>
        <v>1</v>
      </c>
      <c r="I38" s="326" t="str" cm="1">
        <f t="array" ref="I38">IFERROR(_xlfn.XLOOKUP($I$3,Heat_connections_input[#Headers],Heat_connections_input[#This Row],0,0,),"-")</f>
        <v>Commercial</v>
      </c>
      <c r="J38" s="326" t="str" cm="1">
        <f t="array" ref="J38">IFERROR(_xlfn.XLOOKUP($J$3,Heat_connections_input[#Headers],Heat_connections_input[#This Row],0,0,1),"-")</f>
        <v>W14 0AB</v>
      </c>
      <c r="K38" s="260"/>
      <c r="L38" s="261"/>
      <c r="M38" s="262">
        <v>1</v>
      </c>
      <c r="N38" s="263" t="s">
        <v>107</v>
      </c>
      <c r="O38" s="264">
        <f>IF(Heat_connections[[#This Row],[Ref]]&lt;&gt;"-",
IF(M38=1,Dashboard!$C$26,IF(M38=2,Dashboard!$C$27,Dashboard!$C$28)),"-")</f>
        <v>2027</v>
      </c>
      <c r="P38" s="341">
        <f>IF(Heat_connections[[#This Row],[Category]]="Domestic",Heat_connections[[#This Row],[No. of connections]],0)</f>
        <v>0</v>
      </c>
      <c r="Q38" s="341">
        <f>IF(Heat_connections[[#This Row],[Category]]&lt;&gt;"Domestic",Heat_connections[[#This Row],[No. of connections]],0)</f>
        <v>1</v>
      </c>
      <c r="R38" s="209"/>
      <c r="S38" s="512">
        <f>IF(Heat_connections[[#This Row],[TOID]]&lt;&gt;"-",
IF(ISBLANK('Heat connections'!$R38),Dashboard!$C$14,'Heat connections'!$R38),0)</f>
        <v>8</v>
      </c>
      <c r="T38" s="513">
        <f>IF(Heat_connections[[#This Row],[Peak Demand, kW]]&lt;&gt;0,'Heat connections'!$G38*Dashboard!$C$21,0)</f>
        <v>488.30820000000006</v>
      </c>
      <c r="U38" s="514">
        <f>IF(Heat_connections[[#This Row],[Ref]]&lt;&gt;"-",48.436*Heat_connections[[#This Row],[Peak Demand, kW]]+1068.7,0)</f>
        <v>2251.2847987599998</v>
      </c>
      <c r="V38" s="515">
        <f>IF(Heat_connections[[#This Row],[Ref]]&lt;&gt;"-",
_xlfn.XLOOKUP('Heat connections'!$G38,'Technical inputs'!$F$79:$F$94,'Technical inputs'!$I$79:$I$94,0,1,1),0)</f>
        <v>28145</v>
      </c>
      <c r="W38" s="429">
        <f>IF('Heat connections'!$E38="Domestic",1,0)</f>
        <v>0</v>
      </c>
      <c r="X38" s="430">
        <f>IF(AND(Heat_connections[[#This Row],[Ref]]&lt;&gt;"-",'Heat connections'!$E38&lt;&gt;"Domestic"),1,0)</f>
        <v>1</v>
      </c>
      <c r="Y38" s="434">
        <v>0</v>
      </c>
      <c r="Z38" s="438">
        <f>IF(Heat_connections[[#This Row],[Existing/planned development]]&lt;&gt;0,1,0)</f>
        <v>0</v>
      </c>
      <c r="AA38" s="430">
        <f>IF('Heat connections'!$M38=1,1,0)</f>
        <v>1</v>
      </c>
      <c r="AB38" s="430">
        <f>IF('Heat connections'!$M38=2,1,0)</f>
        <v>0</v>
      </c>
      <c r="AC38" s="434">
        <f>IF('Heat connections'!$M38=3,1,0)</f>
        <v>0</v>
      </c>
      <c r="AD38" s="46" t="str">
        <f>IF(AND(Heat_connections[[#This Row],[Connected to heat network]]="Yes",Heat_connections[[#This Row],[Ref]]&lt;&gt;"-"),"Yes","No")</f>
        <v>Yes</v>
      </c>
    </row>
    <row r="39" spans="3:30" ht="12.75" x14ac:dyDescent="0.2">
      <c r="C39" s="208" t="str" cm="1">
        <f t="array" ref="C39">IFERROR(_xlfn.XLOOKUP($C$3,Heat_connections_input[#Headers],Heat_connections_input[#This Row],0,0,),"-")</f>
        <v>5yDqbB4q/TSNU5ID</v>
      </c>
      <c r="D39" s="323" cm="1">
        <f t="array" ref="D39">IFERROR(_xlfn.XLOOKUP($D$3,Heat_connections_input[#Headers],Heat_connections_input[#This Row],0,0,),"-")</f>
        <v>0</v>
      </c>
      <c r="E39" s="284" t="str" cm="1">
        <f t="array" ref="E39">IFERROR(_xlfn.XLOOKUP($E$3,Heat_connections_input[#Headers],Heat_connections_input[#This Row],0,0,),"-")</f>
        <v>Education (further and higher)</v>
      </c>
      <c r="F39" s="259" cm="1">
        <f t="array" ref="F39">IFERROR(_xlfn.XLOOKUP($F$3,Heat_connections_input[#Headers],Heat_connections_input[#This Row],0,0,),0)</f>
        <v>466990.16</v>
      </c>
      <c r="G39" s="259" cm="1">
        <f t="array" ref="G39">IFERROR(_xlfn.XLOOKUP($G$3,Heat_connections_input[#Headers],Heat_connections_input[#This Row],0,0,),0)</f>
        <v>253.60721000000001</v>
      </c>
      <c r="H39" s="341" cm="1">
        <f t="array" ref="H39">IFERROR(_xlfn.XLOOKUP($H$3,Heat_connections_input[#Headers],Heat_connections_input[#This Row],0,0,),0)</f>
        <v>3</v>
      </c>
      <c r="I39" s="326" t="str" cm="1">
        <f t="array" ref="I39">IFERROR(_xlfn.XLOOKUP($I$3,Heat_connections_input[#Headers],Heat_connections_input[#This Row],0,0,),"-")</f>
        <v>Commercial : Retail : Restaurant / Cafeteria</v>
      </c>
      <c r="J39" s="326" t="str" cm="1">
        <f t="array" ref="J39">IFERROR(_xlfn.XLOOKUP($J$3,Heat_connections_input[#Headers],Heat_connections_input[#This Row],0,0,1),"-")</f>
        <v>W12 7JP</v>
      </c>
      <c r="K39" s="260"/>
      <c r="L39" s="261"/>
      <c r="M39" s="262">
        <v>1</v>
      </c>
      <c r="N39" s="263" t="s">
        <v>107</v>
      </c>
      <c r="O39" s="265">
        <f>IF(Heat_connections[[#This Row],[Ref]]&lt;&gt;"-",
IF(M39=1,Dashboard!$C$26,IF(M39=2,Dashboard!$C$27,Dashboard!$C$28)),"-")</f>
        <v>2027</v>
      </c>
      <c r="P39" s="342">
        <f>IF(Heat_connections[[#This Row],[Category]]="Domestic",Heat_connections[[#This Row],[No. of connections]],0)</f>
        <v>0</v>
      </c>
      <c r="Q39" s="342">
        <f>IF(Heat_connections[[#This Row],[Category]]&lt;&gt;"Domestic",Heat_connections[[#This Row],[No. of connections]],0)</f>
        <v>3</v>
      </c>
      <c r="R39" s="209"/>
      <c r="S39" s="512">
        <f>IF(Heat_connections[[#This Row],[TOID]]&lt;&gt;"-",
IF(ISBLANK('Heat connections'!$R39),Dashboard!$C$14,'Heat connections'!$R39),0)</f>
        <v>8</v>
      </c>
      <c r="T39" s="513">
        <f>IF(Heat_connections[[#This Row],[Peak Demand, kW]]&lt;&gt;0,'Heat connections'!$G39*Dashboard!$C$21,0)</f>
        <v>5072.1442000000006</v>
      </c>
      <c r="U39" s="514">
        <f>IF(Heat_connections[[#This Row],[Ref]]&lt;&gt;"-",48.436*Heat_connections[[#This Row],[Peak Demand, kW]]+1068.7,0)</f>
        <v>13352.418823560001</v>
      </c>
      <c r="V39" s="515">
        <f>IF(Heat_connections[[#This Row],[Ref]]&lt;&gt;"-",
_xlfn.XLOOKUP('Heat connections'!$G39,'Technical inputs'!$F$79:$F$94,'Technical inputs'!$I$79:$I$94,0,1,1),0)</f>
        <v>39765</v>
      </c>
      <c r="W39" s="431">
        <f>IF('Heat connections'!$E39="Domestic",1,0)</f>
        <v>0</v>
      </c>
      <c r="X39" s="432">
        <f>IF(AND(Heat_connections[[#This Row],[Ref]]&lt;&gt;"-",'Heat connections'!$E39&lt;&gt;"Domestic"),1,0)</f>
        <v>1</v>
      </c>
      <c r="Y39" s="435">
        <v>0</v>
      </c>
      <c r="Z39" s="439">
        <f>IF(Heat_connections[[#This Row],[Existing/planned development]]&lt;&gt;0,1,0)</f>
        <v>0</v>
      </c>
      <c r="AA39" s="432">
        <f>IF('Heat connections'!$M39=1,1,0)</f>
        <v>1</v>
      </c>
      <c r="AB39" s="432">
        <f>IF('Heat connections'!$M39=2,1,0)</f>
        <v>0</v>
      </c>
      <c r="AC39" s="435">
        <f>IF('Heat connections'!$M39=3,1,0)</f>
        <v>0</v>
      </c>
      <c r="AD39" s="46" t="str">
        <f>IF(AND(Heat_connections[[#This Row],[Connected to heat network]]="Yes",Heat_connections[[#This Row],[Ref]]&lt;&gt;"-"),"Yes","No")</f>
        <v>Yes</v>
      </c>
    </row>
    <row r="40" spans="3:30" ht="12.75" x14ac:dyDescent="0.2">
      <c r="C40" s="208" t="str" cm="1">
        <f t="array" ref="C40">IFERROR(_xlfn.XLOOKUP($C$3,Heat_connections_input[#Headers],Heat_connections_input[#This Row],0,0,),"-")</f>
        <v>QQSQfoMjquBAzI8Y</v>
      </c>
      <c r="D40" s="323" cm="1">
        <f t="array" ref="D40">IFERROR(_xlfn.XLOOKUP($D$3,Heat_connections_input[#Headers],Heat_connections_input[#This Row],0,0,),"-")</f>
        <v>0</v>
      </c>
      <c r="E40" s="284" cm="1">
        <f t="array" ref="E40">IFERROR(_xlfn.XLOOKUP($E$3,Heat_connections_input[#Headers],Heat_connections_input[#This Row],0,0,),"-")</f>
        <v>0</v>
      </c>
      <c r="F40" s="259" cm="1">
        <f t="array" ref="F40">IFERROR(_xlfn.XLOOKUP($F$3,Heat_connections_input[#Headers],Heat_connections_input[#This Row],0,0,),0)</f>
        <v>7453.37</v>
      </c>
      <c r="G40" s="259" cm="1">
        <f t="array" ref="G40">IFERROR(_xlfn.XLOOKUP($G$3,Heat_connections_input[#Headers],Heat_connections_input[#This Row],0,0,),0)</f>
        <v>25.539107999999999</v>
      </c>
      <c r="H40" s="341" cm="1">
        <f t="array" ref="H40">IFERROR(_xlfn.XLOOKUP($H$3,Heat_connections_input[#Headers],Heat_connections_input[#This Row],0,0,),0)</f>
        <v>1</v>
      </c>
      <c r="I40" s="326" cm="1">
        <f t="array" ref="I40">IFERROR(_xlfn.XLOOKUP($I$3,Heat_connections_input[#Headers],Heat_connections_input[#This Row],0,0,),"-")</f>
        <v>0</v>
      </c>
      <c r="J40" s="326" cm="1">
        <f t="array" ref="J40">IFERROR(_xlfn.XLOOKUP($J$3,Heat_connections_input[#Headers],Heat_connections_input[#This Row],0,0,1),"-")</f>
        <v>0</v>
      </c>
      <c r="K40" s="260"/>
      <c r="L40" s="261"/>
      <c r="M40" s="262">
        <v>1</v>
      </c>
      <c r="N40" s="263" t="s">
        <v>107</v>
      </c>
      <c r="O40" s="264">
        <f>IF(Heat_connections[[#This Row],[Ref]]&lt;&gt;"-",
IF(M40=1,Dashboard!$C$26,IF(M40=2,Dashboard!$C$27,Dashboard!$C$28)),"-")</f>
        <v>2027</v>
      </c>
      <c r="P40" s="341">
        <f>IF(Heat_connections[[#This Row],[Category]]="Domestic",Heat_connections[[#This Row],[No. of connections]],0)</f>
        <v>0</v>
      </c>
      <c r="Q40" s="341">
        <f>IF(Heat_connections[[#This Row],[Category]]&lt;&gt;"Domestic",Heat_connections[[#This Row],[No. of connections]],0)</f>
        <v>1</v>
      </c>
      <c r="R40" s="209"/>
      <c r="S40" s="512">
        <f>IF(Heat_connections[[#This Row],[TOID]]&lt;&gt;"-",
IF(ISBLANK('Heat connections'!$R40),Dashboard!$C$14,'Heat connections'!$R40),0)</f>
        <v>8</v>
      </c>
      <c r="T40" s="513">
        <f>IF(Heat_connections[[#This Row],[Peak Demand, kW]]&lt;&gt;0,'Heat connections'!$G40*Dashboard!$C$21,0)</f>
        <v>510.78215999999998</v>
      </c>
      <c r="U40" s="514">
        <f>IF(Heat_connections[[#This Row],[Ref]]&lt;&gt;"-",48.436*Heat_connections[[#This Row],[Peak Demand, kW]]+1068.7,0)</f>
        <v>2305.7122350879999</v>
      </c>
      <c r="V40" s="515">
        <f>IF(Heat_connections[[#This Row],[Ref]]&lt;&gt;"-",
_xlfn.XLOOKUP('Heat connections'!$G40,'Technical inputs'!$F$79:$F$94,'Technical inputs'!$I$79:$I$94,0,1,1),0)</f>
        <v>28145</v>
      </c>
      <c r="W40" s="429">
        <f>IF('Heat connections'!$E40="Domestic",1,0)</f>
        <v>0</v>
      </c>
      <c r="X40" s="430">
        <f>IF(AND(Heat_connections[[#This Row],[Ref]]&lt;&gt;"-",'Heat connections'!$E40&lt;&gt;"Domestic"),1,0)</f>
        <v>1</v>
      </c>
      <c r="Y40" s="434">
        <v>0</v>
      </c>
      <c r="Z40" s="438">
        <f>IF(Heat_connections[[#This Row],[Existing/planned development]]&lt;&gt;0,1,0)</f>
        <v>0</v>
      </c>
      <c r="AA40" s="430">
        <f>IF('Heat connections'!$M40=1,1,0)</f>
        <v>1</v>
      </c>
      <c r="AB40" s="430">
        <f>IF('Heat connections'!$M40=2,1,0)</f>
        <v>0</v>
      </c>
      <c r="AC40" s="434">
        <f>IF('Heat connections'!$M40=3,1,0)</f>
        <v>0</v>
      </c>
      <c r="AD40" s="46" t="str">
        <f>IF(AND(Heat_connections[[#This Row],[Connected to heat network]]="Yes",Heat_connections[[#This Row],[Ref]]&lt;&gt;"-"),"Yes","No")</f>
        <v>Yes</v>
      </c>
    </row>
    <row r="41" spans="3:30" ht="12.75" x14ac:dyDescent="0.2">
      <c r="C41" s="208" t="str" cm="1">
        <f t="array" ref="C41">IFERROR(_xlfn.XLOOKUP($C$3,Heat_connections_input[#Headers],Heat_connections_input[#This Row],0,0,),"-")</f>
        <v>14JkECRUj9eyr1zW</v>
      </c>
      <c r="D41" s="323" cm="1">
        <f t="array" ref="D41">IFERROR(_xlfn.XLOOKUP($D$3,Heat_connections_input[#Headers],Heat_connections_input[#This Row],0,0,),"-")</f>
        <v>0</v>
      </c>
      <c r="E41" s="284" t="str" cm="1">
        <f t="array" ref="E41">IFERROR(_xlfn.XLOOKUP($E$3,Heat_connections_input[#Headers],Heat_connections_input[#This Row],0,0,),"-")</f>
        <v>Education (Higher)</v>
      </c>
      <c r="F41" s="259" cm="1">
        <f t="array" ref="F41">IFERROR(_xlfn.XLOOKUP($F$3,Heat_connections_input[#Headers],Heat_connections_input[#This Row],0,0,),0)</f>
        <v>1199568.8</v>
      </c>
      <c r="G41" s="259" cm="1">
        <f t="array" ref="G41">IFERROR(_xlfn.XLOOKUP($G$3,Heat_connections_input[#Headers],Heat_connections_input[#This Row],0,0,),0)</f>
        <v>617.18600000000004</v>
      </c>
      <c r="H41" s="341" cm="1">
        <f t="array" ref="H41">IFERROR(_xlfn.XLOOKUP($H$3,Heat_connections_input[#Headers],Heat_connections_input[#This Row],0,0,),0)</f>
        <v>1</v>
      </c>
      <c r="I41" s="326" t="str" cm="1">
        <f t="array" ref="I41">IFERROR(_xlfn.XLOOKUP($I$3,Heat_connections_input[#Headers],Heat_connections_input[#This Row],0,0,),"-")</f>
        <v>Commercial : Education : College</v>
      </c>
      <c r="J41" s="326" t="str" cm="1">
        <f t="array" ref="J41">IFERROR(_xlfn.XLOOKUP($J$3,Heat_connections_input[#Headers],Heat_connections_input[#This Row],0,0,1),"-")</f>
        <v>W12 8EA</v>
      </c>
      <c r="K41" s="260"/>
      <c r="L41" s="261"/>
      <c r="M41" s="262">
        <v>1</v>
      </c>
      <c r="N41" s="263" t="s">
        <v>107</v>
      </c>
      <c r="O41" s="265">
        <f>IF(Heat_connections[[#This Row],[Ref]]&lt;&gt;"-",
IF(M41=1,Dashboard!$C$26,IF(M41=2,Dashboard!$C$27,Dashboard!$C$28)),"-")</f>
        <v>2027</v>
      </c>
      <c r="P41" s="342">
        <f>IF(Heat_connections[[#This Row],[Category]]="Domestic",Heat_connections[[#This Row],[No. of connections]],0)</f>
        <v>0</v>
      </c>
      <c r="Q41" s="342">
        <f>IF(Heat_connections[[#This Row],[Category]]&lt;&gt;"Domestic",Heat_connections[[#This Row],[No. of connections]],0)</f>
        <v>1</v>
      </c>
      <c r="R41" s="209"/>
      <c r="S41" s="512">
        <f>IF(Heat_connections[[#This Row],[TOID]]&lt;&gt;"-",
IF(ISBLANK('Heat connections'!$R41),Dashboard!$C$14,'Heat connections'!$R41),0)</f>
        <v>8</v>
      </c>
      <c r="T41" s="513">
        <f>IF(Heat_connections[[#This Row],[Peak Demand, kW]]&lt;&gt;0,'Heat connections'!$G41*Dashboard!$C$21,0)</f>
        <v>12343.720000000001</v>
      </c>
      <c r="U41" s="514">
        <f>IF(Heat_connections[[#This Row],[Ref]]&lt;&gt;"-",48.436*Heat_connections[[#This Row],[Peak Demand, kW]]+1068.7,0)</f>
        <v>30962.721096000001</v>
      </c>
      <c r="V41" s="515">
        <f>IF(Heat_connections[[#This Row],[Ref]]&lt;&gt;"-",
_xlfn.XLOOKUP('Heat connections'!$G41,'Technical inputs'!$F$79:$F$94,'Technical inputs'!$I$79:$I$94,0,1,1),0)</f>
        <v>52882</v>
      </c>
      <c r="W41" s="431">
        <f>IF('Heat connections'!$E41="Domestic",1,0)</f>
        <v>0</v>
      </c>
      <c r="X41" s="432">
        <f>IF(AND(Heat_connections[[#This Row],[Ref]]&lt;&gt;"-",'Heat connections'!$E41&lt;&gt;"Domestic"),1,0)</f>
        <v>1</v>
      </c>
      <c r="Y41" s="435">
        <v>0</v>
      </c>
      <c r="Z41" s="439">
        <f>IF(Heat_connections[[#This Row],[Existing/planned development]]&lt;&gt;0,1,0)</f>
        <v>0</v>
      </c>
      <c r="AA41" s="432">
        <f>IF('Heat connections'!$M41=1,1,0)</f>
        <v>1</v>
      </c>
      <c r="AB41" s="432">
        <f>IF('Heat connections'!$M41=2,1,0)</f>
        <v>0</v>
      </c>
      <c r="AC41" s="435">
        <f>IF('Heat connections'!$M41=3,1,0)</f>
        <v>0</v>
      </c>
      <c r="AD41" s="46" t="str">
        <f>IF(AND(Heat_connections[[#This Row],[Connected to heat network]]="Yes",Heat_connections[[#This Row],[Ref]]&lt;&gt;"-"),"Yes","No")</f>
        <v>Yes</v>
      </c>
    </row>
    <row r="42" spans="3:30" ht="12.75" x14ac:dyDescent="0.2">
      <c r="C42" s="208" t="str" cm="1">
        <f t="array" ref="C42">IFERROR(_xlfn.XLOOKUP($C$3,Heat_connections_input[#Headers],Heat_connections_input[#This Row],0,0,),"-")</f>
        <v>QKoB9z9D0Ba2rOxp</v>
      </c>
      <c r="D42" s="323" cm="1">
        <f t="array" ref="D42">IFERROR(_xlfn.XLOOKUP($D$3,Heat_connections_input[#Headers],Heat_connections_input[#This Row],0,0,),"-")</f>
        <v>0</v>
      </c>
      <c r="E42" s="284" t="str" cm="1">
        <f t="array" ref="E42">IFERROR(_xlfn.XLOOKUP($E$3,Heat_connections_input[#Headers],Heat_connections_input[#This Row],0,0,),"-")</f>
        <v>Offices</v>
      </c>
      <c r="F42" s="259" cm="1">
        <f t="array" ref="F42">IFERROR(_xlfn.XLOOKUP($F$3,Heat_connections_input[#Headers],Heat_connections_input[#This Row],0,0,),0)</f>
        <v>871283.19999999995</v>
      </c>
      <c r="G42" s="259" cm="1">
        <f t="array" ref="G42">IFERROR(_xlfn.XLOOKUP($G$3,Heat_connections_input[#Headers],Heat_connections_input[#This Row],0,0,),0)</f>
        <v>454.25783999999999</v>
      </c>
      <c r="H42" s="341" cm="1">
        <f t="array" ref="H42">IFERROR(_xlfn.XLOOKUP($H$3,Heat_connections_input[#Headers],Heat_connections_input[#This Row],0,0,),0)</f>
        <v>1</v>
      </c>
      <c r="I42" s="326" t="str" cm="1">
        <f t="array" ref="I42">IFERROR(_xlfn.XLOOKUP($I$3,Heat_connections_input[#Headers],Heat_connections_input[#This Row],0,0,),"-")</f>
        <v>Commercial : Office : Office / Work Studio</v>
      </c>
      <c r="J42" s="326" t="str" cm="1">
        <f t="array" ref="J42">IFERROR(_xlfn.XLOOKUP($J$3,Heat_connections_input[#Headers],Heat_connections_input[#This Row],0,0,1),"-")</f>
        <v>W12 7FN</v>
      </c>
      <c r="K42" s="260"/>
      <c r="L42" s="261"/>
      <c r="M42" s="262">
        <v>1</v>
      </c>
      <c r="N42" s="263" t="s">
        <v>107</v>
      </c>
      <c r="O42" s="264">
        <f>IF(Heat_connections[[#This Row],[Ref]]&lt;&gt;"-",
IF(M42=1,Dashboard!$C$26,IF(M42=2,Dashboard!$C$27,Dashboard!$C$28)),"-")</f>
        <v>2027</v>
      </c>
      <c r="P42" s="341">
        <f>IF(Heat_connections[[#This Row],[Category]]="Domestic",Heat_connections[[#This Row],[No. of connections]],0)</f>
        <v>0</v>
      </c>
      <c r="Q42" s="341">
        <f>IF(Heat_connections[[#This Row],[Category]]&lt;&gt;"Domestic",Heat_connections[[#This Row],[No. of connections]],0)</f>
        <v>1</v>
      </c>
      <c r="R42" s="209"/>
      <c r="S42" s="512">
        <f>IF(Heat_connections[[#This Row],[TOID]]&lt;&gt;"-",
IF(ISBLANK('Heat connections'!$R42),Dashboard!$C$14,'Heat connections'!$R42),0)</f>
        <v>8</v>
      </c>
      <c r="T42" s="513">
        <f>IF(Heat_connections[[#This Row],[Peak Demand, kW]]&lt;&gt;0,'Heat connections'!$G42*Dashboard!$C$21,0)</f>
        <v>9085.1568000000007</v>
      </c>
      <c r="U42" s="514">
        <f>IF(Heat_connections[[#This Row],[Ref]]&lt;&gt;"-",48.436*Heat_connections[[#This Row],[Peak Demand, kW]]+1068.7,0)</f>
        <v>23071.132738240001</v>
      </c>
      <c r="V42" s="515">
        <f>IF(Heat_connections[[#This Row],[Ref]]&lt;&gt;"-",
_xlfn.XLOOKUP('Heat connections'!$G42,'Technical inputs'!$F$79:$F$94,'Technical inputs'!$I$79:$I$94,0,1,1),0)</f>
        <v>46352</v>
      </c>
      <c r="W42" s="429">
        <f>IF('Heat connections'!$E42="Domestic",1,0)</f>
        <v>0</v>
      </c>
      <c r="X42" s="430">
        <f>IF(AND(Heat_connections[[#This Row],[Ref]]&lt;&gt;"-",'Heat connections'!$E42&lt;&gt;"Domestic"),1,0)</f>
        <v>1</v>
      </c>
      <c r="Y42" s="434">
        <v>0</v>
      </c>
      <c r="Z42" s="438">
        <f>IF(Heat_connections[[#This Row],[Existing/planned development]]&lt;&gt;0,1,0)</f>
        <v>0</v>
      </c>
      <c r="AA42" s="430">
        <f>IF('Heat connections'!$M42=1,1,0)</f>
        <v>1</v>
      </c>
      <c r="AB42" s="430">
        <f>IF('Heat connections'!$M42=2,1,0)</f>
        <v>0</v>
      </c>
      <c r="AC42" s="434">
        <f>IF('Heat connections'!$M42=3,1,0)</f>
        <v>0</v>
      </c>
      <c r="AD42" s="46" t="str">
        <f>IF(AND(Heat_connections[[#This Row],[Connected to heat network]]="Yes",Heat_connections[[#This Row],[Ref]]&lt;&gt;"-"),"Yes","No")</f>
        <v>Yes</v>
      </c>
    </row>
    <row r="43" spans="3:30" ht="12.75" x14ac:dyDescent="0.2">
      <c r="C43" s="208" t="str" cm="1">
        <f t="array" ref="C43">IFERROR(_xlfn.XLOOKUP($C$3,Heat_connections_input[#Headers],Heat_connections_input[#This Row],0,0,),"-")</f>
        <v>jBFefIJ8cOoDmc5B</v>
      </c>
      <c r="D43" s="323" cm="1">
        <f t="array" ref="D43">IFERROR(_xlfn.XLOOKUP($D$3,Heat_connections_input[#Headers],Heat_connections_input[#This Row],0,0,),"-")</f>
        <v>0</v>
      </c>
      <c r="E43" s="284" cm="1">
        <f t="array" ref="E43">IFERROR(_xlfn.XLOOKUP($E$3,Heat_connections_input[#Headers],Heat_connections_input[#This Row],0,0,),"-")</f>
        <v>0</v>
      </c>
      <c r="F43" s="259" cm="1">
        <f t="array" ref="F43">IFERROR(_xlfn.XLOOKUP($F$3,Heat_connections_input[#Headers],Heat_connections_input[#This Row],0,0,),0)</f>
        <v>160832.34</v>
      </c>
      <c r="G43" s="259" cm="1">
        <f t="array" ref="G43">IFERROR(_xlfn.XLOOKUP($G$3,Heat_connections_input[#Headers],Heat_connections_input[#This Row],0,0,),0)</f>
        <v>101.66109</v>
      </c>
      <c r="H43" s="341" cm="1">
        <f t="array" ref="H43">IFERROR(_xlfn.XLOOKUP($H$3,Heat_connections_input[#Headers],Heat_connections_input[#This Row],0,0,),0)</f>
        <v>1</v>
      </c>
      <c r="I43" s="326" cm="1">
        <f t="array" ref="I43">IFERROR(_xlfn.XLOOKUP($I$3,Heat_connections_input[#Headers],Heat_connections_input[#This Row],0,0,),"-")</f>
        <v>0</v>
      </c>
      <c r="J43" s="326" cm="1">
        <f t="array" ref="J43">IFERROR(_xlfn.XLOOKUP($J$3,Heat_connections_input[#Headers],Heat_connections_input[#This Row],0,0,1),"-")</f>
        <v>0</v>
      </c>
      <c r="K43" s="260"/>
      <c r="L43" s="261"/>
      <c r="M43" s="262">
        <v>1</v>
      </c>
      <c r="N43" s="263" t="s">
        <v>107</v>
      </c>
      <c r="O43" s="265">
        <f>IF(Heat_connections[[#This Row],[Ref]]&lt;&gt;"-",
IF(M43=1,Dashboard!$C$26,IF(M43=2,Dashboard!$C$27,Dashboard!$C$28)),"-")</f>
        <v>2027</v>
      </c>
      <c r="P43" s="342">
        <f>IF(Heat_connections[[#This Row],[Category]]="Domestic",Heat_connections[[#This Row],[No. of connections]],0)</f>
        <v>0</v>
      </c>
      <c r="Q43" s="342">
        <f>IF(Heat_connections[[#This Row],[Category]]&lt;&gt;"Domestic",Heat_connections[[#This Row],[No. of connections]],0)</f>
        <v>1</v>
      </c>
      <c r="R43" s="209"/>
      <c r="S43" s="512">
        <f>IF(Heat_connections[[#This Row],[TOID]]&lt;&gt;"-",
IF(ISBLANK('Heat connections'!$R43),Dashboard!$C$14,'Heat connections'!$R43),0)</f>
        <v>8</v>
      </c>
      <c r="T43" s="513">
        <f>IF(Heat_connections[[#This Row],[Peak Demand, kW]]&lt;&gt;0,'Heat connections'!$G43*Dashboard!$C$21,0)</f>
        <v>2033.2218</v>
      </c>
      <c r="U43" s="514">
        <f>IF(Heat_connections[[#This Row],[Ref]]&lt;&gt;"-",48.436*Heat_connections[[#This Row],[Peak Demand, kW]]+1068.7,0)</f>
        <v>5992.7565552400001</v>
      </c>
      <c r="V43" s="515">
        <f>IF(Heat_connections[[#This Row],[Ref]]&lt;&gt;"-",
_xlfn.XLOOKUP('Heat connections'!$G43,'Technical inputs'!$F$79:$F$94,'Technical inputs'!$I$79:$I$94,0,1,1),0)</f>
        <v>33110</v>
      </c>
      <c r="W43" s="431">
        <f>IF('Heat connections'!$E43="Domestic",1,0)</f>
        <v>0</v>
      </c>
      <c r="X43" s="432">
        <f>IF(AND(Heat_connections[[#This Row],[Ref]]&lt;&gt;"-",'Heat connections'!$E43&lt;&gt;"Domestic"),1,0)</f>
        <v>1</v>
      </c>
      <c r="Y43" s="435">
        <v>0</v>
      </c>
      <c r="Z43" s="439">
        <f>IF(Heat_connections[[#This Row],[Existing/planned development]]&lt;&gt;0,1,0)</f>
        <v>0</v>
      </c>
      <c r="AA43" s="432">
        <f>IF('Heat connections'!$M43=1,1,0)</f>
        <v>1</v>
      </c>
      <c r="AB43" s="432">
        <f>IF('Heat connections'!$M43=2,1,0)</f>
        <v>0</v>
      </c>
      <c r="AC43" s="435">
        <f>IF('Heat connections'!$M43=3,1,0)</f>
        <v>0</v>
      </c>
      <c r="AD43" s="46" t="str">
        <f>IF(AND(Heat_connections[[#This Row],[Connected to heat network]]="Yes",Heat_connections[[#This Row],[Ref]]&lt;&gt;"-"),"Yes","No")</f>
        <v>Yes</v>
      </c>
    </row>
    <row r="44" spans="3:30" ht="12.75" x14ac:dyDescent="0.2">
      <c r="C44" s="208" t="str" cm="1">
        <f t="array" ref="C44">IFERROR(_xlfn.XLOOKUP($C$3,Heat_connections_input[#Headers],Heat_connections_input[#This Row],0,0,),"-")</f>
        <v>q24ckPrmKr4EAyeI</v>
      </c>
      <c r="D44" s="323" cm="1">
        <f t="array" ref="D44">IFERROR(_xlfn.XLOOKUP($D$3,Heat_connections_input[#Headers],Heat_connections_input[#This Row],0,0,),"-")</f>
        <v>0</v>
      </c>
      <c r="E44" s="284" cm="1">
        <f t="array" ref="E44">IFERROR(_xlfn.XLOOKUP($E$3,Heat_connections_input[#Headers],Heat_connections_input[#This Row],0,0,),"-")</f>
        <v>0</v>
      </c>
      <c r="F44" s="259" cm="1">
        <f t="array" ref="F44">IFERROR(_xlfn.XLOOKUP($F$3,Heat_connections_input[#Headers],Heat_connections_input[#This Row],0,0,),0)</f>
        <v>7923.4260000000004</v>
      </c>
      <c r="G44" s="259" cm="1">
        <f t="array" ref="G44">IFERROR(_xlfn.XLOOKUP($G$3,Heat_connections_input[#Headers],Heat_connections_input[#This Row],0,0,),0)</f>
        <v>25.772396000000001</v>
      </c>
      <c r="H44" s="341" cm="1">
        <f t="array" ref="H44">IFERROR(_xlfn.XLOOKUP($H$3,Heat_connections_input[#Headers],Heat_connections_input[#This Row],0,0,),0)</f>
        <v>1</v>
      </c>
      <c r="I44" s="326" cm="1">
        <f t="array" ref="I44">IFERROR(_xlfn.XLOOKUP($I$3,Heat_connections_input[#Headers],Heat_connections_input[#This Row],0,0,),"-")</f>
        <v>0</v>
      </c>
      <c r="J44" s="326" cm="1">
        <f t="array" ref="J44">IFERROR(_xlfn.XLOOKUP($J$3,Heat_connections_input[#Headers],Heat_connections_input[#This Row],0,0,1),"-")</f>
        <v>0</v>
      </c>
      <c r="K44" s="260"/>
      <c r="L44" s="261"/>
      <c r="M44" s="262">
        <v>1</v>
      </c>
      <c r="N44" s="263" t="s">
        <v>107</v>
      </c>
      <c r="O44" s="264">
        <f>IF(Heat_connections[[#This Row],[Ref]]&lt;&gt;"-",
IF(M44=1,Dashboard!$C$26,IF(M44=2,Dashboard!$C$27,Dashboard!$C$28)),"-")</f>
        <v>2027</v>
      </c>
      <c r="P44" s="341">
        <f>IF(Heat_connections[[#This Row],[Category]]="Domestic",Heat_connections[[#This Row],[No. of connections]],0)</f>
        <v>0</v>
      </c>
      <c r="Q44" s="341">
        <f>IF(Heat_connections[[#This Row],[Category]]&lt;&gt;"Domestic",Heat_connections[[#This Row],[No. of connections]],0)</f>
        <v>1</v>
      </c>
      <c r="R44" s="209"/>
      <c r="S44" s="512">
        <f>IF(Heat_connections[[#This Row],[TOID]]&lt;&gt;"-",
IF(ISBLANK('Heat connections'!$R44),Dashboard!$C$14,'Heat connections'!$R44),0)</f>
        <v>8</v>
      </c>
      <c r="T44" s="513">
        <f>IF(Heat_connections[[#This Row],[Peak Demand, kW]]&lt;&gt;0,'Heat connections'!$G44*Dashboard!$C$21,0)</f>
        <v>515.44792000000007</v>
      </c>
      <c r="U44" s="514">
        <f>IF(Heat_connections[[#This Row],[Ref]]&lt;&gt;"-",48.436*Heat_connections[[#This Row],[Peak Demand, kW]]+1068.7,0)</f>
        <v>2317.0117726560002</v>
      </c>
      <c r="V44" s="515">
        <f>IF(Heat_connections[[#This Row],[Ref]]&lt;&gt;"-",
_xlfn.XLOOKUP('Heat connections'!$G44,'Technical inputs'!$F$79:$F$94,'Technical inputs'!$I$79:$I$94,0,1,1),0)</f>
        <v>28145</v>
      </c>
      <c r="W44" s="429">
        <f>IF('Heat connections'!$E44="Domestic",1,0)</f>
        <v>0</v>
      </c>
      <c r="X44" s="430">
        <f>IF(AND(Heat_connections[[#This Row],[Ref]]&lt;&gt;"-",'Heat connections'!$E44&lt;&gt;"Domestic"),1,0)</f>
        <v>1</v>
      </c>
      <c r="Y44" s="434">
        <v>0</v>
      </c>
      <c r="Z44" s="438">
        <f>IF(Heat_connections[[#This Row],[Existing/planned development]]&lt;&gt;0,1,0)</f>
        <v>0</v>
      </c>
      <c r="AA44" s="430">
        <f>IF('Heat connections'!$M44=1,1,0)</f>
        <v>1</v>
      </c>
      <c r="AB44" s="430">
        <f>IF('Heat connections'!$M44=2,1,0)</f>
        <v>0</v>
      </c>
      <c r="AC44" s="434">
        <f>IF('Heat connections'!$M44=3,1,0)</f>
        <v>0</v>
      </c>
      <c r="AD44" s="46" t="str">
        <f>IF(AND(Heat_connections[[#This Row],[Connected to heat network]]="Yes",Heat_connections[[#This Row],[Ref]]&lt;&gt;"-"),"Yes","No")</f>
        <v>Yes</v>
      </c>
    </row>
    <row r="45" spans="3:30" ht="12.75" x14ac:dyDescent="0.2">
      <c r="C45" s="208" t="str" cm="1">
        <f t="array" ref="C45">IFERROR(_xlfn.XLOOKUP($C$3,Heat_connections_input[#Headers],Heat_connections_input[#This Row],0,0,),"-")</f>
        <v>1AiVMl+yXzKfuSNS</v>
      </c>
      <c r="D45" s="323" cm="1">
        <f t="array" ref="D45">IFERROR(_xlfn.XLOOKUP($D$3,Heat_connections_input[#Headers],Heat_connections_input[#This Row],0,0,),"-")</f>
        <v>0</v>
      </c>
      <c r="E45" s="284" t="str" cm="1">
        <f t="array" ref="E45">IFERROR(_xlfn.XLOOKUP($E$3,Heat_connections_input[#Headers],Heat_connections_input[#This Row],0,0,),"-")</f>
        <v>Sports and recreation</v>
      </c>
      <c r="F45" s="259" cm="1">
        <f t="array" ref="F45">IFERROR(_xlfn.XLOOKUP($F$3,Heat_connections_input[#Headers],Heat_connections_input[#This Row],0,0,),0)</f>
        <v>204163.83</v>
      </c>
      <c r="G45" s="259" cm="1">
        <f t="array" ref="G45">IFERROR(_xlfn.XLOOKUP($G$3,Heat_connections_input[#Headers],Heat_connections_input[#This Row],0,0,),0)</f>
        <v>123.166504</v>
      </c>
      <c r="H45" s="341" cm="1">
        <f t="array" ref="H45">IFERROR(_xlfn.XLOOKUP($H$3,Heat_connections_input[#Headers],Heat_connections_input[#This Row],0,0,),0)</f>
        <v>1</v>
      </c>
      <c r="I45" s="326" t="str" cm="1">
        <f t="array" ref="I45">IFERROR(_xlfn.XLOOKUP($I$3,Heat_connections_input[#Headers],Heat_connections_input[#This Row],0,0,),"-")</f>
        <v>Commercial : Leisure - Applicable to recreational sites and enterprises : Indoor / Outdoor Leisure / Sporting Activity / Centre</v>
      </c>
      <c r="J45" s="326" t="str" cm="1">
        <f t="array" ref="J45">IFERROR(_xlfn.XLOOKUP($J$3,Heat_connections_input[#Headers],Heat_connections_input[#This Row],0,0,1),"-")</f>
        <v>W12 7PH</v>
      </c>
      <c r="K45" s="260"/>
      <c r="L45" s="261"/>
      <c r="M45" s="262">
        <v>1</v>
      </c>
      <c r="N45" s="263" t="s">
        <v>107</v>
      </c>
      <c r="O45" s="265">
        <f>IF(Heat_connections[[#This Row],[Ref]]&lt;&gt;"-",
IF(M45=1,Dashboard!$C$26,IF(M45=2,Dashboard!$C$27,Dashboard!$C$28)),"-")</f>
        <v>2027</v>
      </c>
      <c r="P45" s="342">
        <f>IF(Heat_connections[[#This Row],[Category]]="Domestic",Heat_connections[[#This Row],[No. of connections]],0)</f>
        <v>0</v>
      </c>
      <c r="Q45" s="342">
        <f>IF(Heat_connections[[#This Row],[Category]]&lt;&gt;"Domestic",Heat_connections[[#This Row],[No. of connections]],0)</f>
        <v>1</v>
      </c>
      <c r="R45" s="209"/>
      <c r="S45" s="512">
        <f>IF(Heat_connections[[#This Row],[TOID]]&lt;&gt;"-",
IF(ISBLANK('Heat connections'!$R45),Dashboard!$C$14,'Heat connections'!$R45),0)</f>
        <v>8</v>
      </c>
      <c r="T45" s="513">
        <f>IF(Heat_connections[[#This Row],[Peak Demand, kW]]&lt;&gt;0,'Heat connections'!$G45*Dashboard!$C$21,0)</f>
        <v>2463.3300800000002</v>
      </c>
      <c r="U45" s="514">
        <f>IF(Heat_connections[[#This Row],[Ref]]&lt;&gt;"-",48.436*Heat_connections[[#This Row],[Peak Demand, kW]]+1068.7,0)</f>
        <v>7034.3927877440001</v>
      </c>
      <c r="V45" s="515">
        <f>IF(Heat_connections[[#This Row],[Ref]]&lt;&gt;"-",
_xlfn.XLOOKUP('Heat connections'!$G45,'Technical inputs'!$F$79:$F$94,'Technical inputs'!$I$79:$I$94,0,1,1),0)</f>
        <v>33110</v>
      </c>
      <c r="W45" s="431">
        <f>IF('Heat connections'!$E45="Domestic",1,0)</f>
        <v>0</v>
      </c>
      <c r="X45" s="432">
        <f>IF(AND(Heat_connections[[#This Row],[Ref]]&lt;&gt;"-",'Heat connections'!$E45&lt;&gt;"Domestic"),1,0)</f>
        <v>1</v>
      </c>
      <c r="Y45" s="435">
        <v>0</v>
      </c>
      <c r="Z45" s="439">
        <f>IF(Heat_connections[[#This Row],[Existing/planned development]]&lt;&gt;0,1,0)</f>
        <v>0</v>
      </c>
      <c r="AA45" s="432">
        <f>IF('Heat connections'!$M45=1,1,0)</f>
        <v>1</v>
      </c>
      <c r="AB45" s="432">
        <f>IF('Heat connections'!$M45=2,1,0)</f>
        <v>0</v>
      </c>
      <c r="AC45" s="435">
        <f>IF('Heat connections'!$M45=3,1,0)</f>
        <v>0</v>
      </c>
      <c r="AD45" s="46" t="str">
        <f>IF(AND(Heat_connections[[#This Row],[Connected to heat network]]="Yes",Heat_connections[[#This Row],[Ref]]&lt;&gt;"-"),"Yes","No")</f>
        <v>Yes</v>
      </c>
    </row>
    <row r="46" spans="3:30" ht="12.75" x14ac:dyDescent="0.2">
      <c r="C46" s="208" t="str" cm="1">
        <f t="array" ref="C46">IFERROR(_xlfn.XLOOKUP($C$3,Heat_connections_input[#Headers],Heat_connections_input[#This Row],0,0,),"-")</f>
        <v>S3PZ8PSjk4kZkTsC</v>
      </c>
      <c r="D46" s="323" cm="1">
        <f t="array" ref="D46">IFERROR(_xlfn.XLOOKUP($D$3,Heat_connections_input[#Headers],Heat_connections_input[#This Row],0,0,),"-")</f>
        <v>0</v>
      </c>
      <c r="E46" s="284" cm="1">
        <f t="array" ref="E46">IFERROR(_xlfn.XLOOKUP($E$3,Heat_connections_input[#Headers],Heat_connections_input[#This Row],0,0,),"-")</f>
        <v>0</v>
      </c>
      <c r="F46" s="259" cm="1">
        <f t="array" ref="F46">IFERROR(_xlfn.XLOOKUP($F$3,Heat_connections_input[#Headers],Heat_connections_input[#This Row],0,0,),0)</f>
        <v>7440.1166999999996</v>
      </c>
      <c r="G46" s="259" cm="1">
        <f t="array" ref="G46">IFERROR(_xlfn.XLOOKUP($G$3,Heat_connections_input[#Headers],Heat_connections_input[#This Row],0,0,),0)</f>
        <v>25.532530000000001</v>
      </c>
      <c r="H46" s="341" cm="1">
        <f t="array" ref="H46">IFERROR(_xlfn.XLOOKUP($H$3,Heat_connections_input[#Headers],Heat_connections_input[#This Row],0,0,),0)</f>
        <v>1</v>
      </c>
      <c r="I46" s="326" cm="1">
        <f t="array" ref="I46">IFERROR(_xlfn.XLOOKUP($I$3,Heat_connections_input[#Headers],Heat_connections_input[#This Row],0,0,),"-")</f>
        <v>0</v>
      </c>
      <c r="J46" s="326" cm="1">
        <f t="array" ref="J46">IFERROR(_xlfn.XLOOKUP($J$3,Heat_connections_input[#Headers],Heat_connections_input[#This Row],0,0,1),"-")</f>
        <v>0</v>
      </c>
      <c r="K46" s="260"/>
      <c r="L46" s="261"/>
      <c r="M46" s="262">
        <v>1</v>
      </c>
      <c r="N46" s="263" t="s">
        <v>107</v>
      </c>
      <c r="O46" s="264">
        <f>IF(Heat_connections[[#This Row],[Ref]]&lt;&gt;"-",
IF(M46=1,Dashboard!$C$26,IF(M46=2,Dashboard!$C$27,Dashboard!$C$28)),"-")</f>
        <v>2027</v>
      </c>
      <c r="P46" s="341">
        <f>IF(Heat_connections[[#This Row],[Category]]="Domestic",Heat_connections[[#This Row],[No. of connections]],0)</f>
        <v>0</v>
      </c>
      <c r="Q46" s="341">
        <f>IF(Heat_connections[[#This Row],[Category]]&lt;&gt;"Domestic",Heat_connections[[#This Row],[No. of connections]],0)</f>
        <v>1</v>
      </c>
      <c r="R46" s="209"/>
      <c r="S46" s="512">
        <f>IF(Heat_connections[[#This Row],[TOID]]&lt;&gt;"-",
IF(ISBLANK('Heat connections'!$R46),Dashboard!$C$14,'Heat connections'!$R46),0)</f>
        <v>8</v>
      </c>
      <c r="T46" s="513">
        <f>IF(Heat_connections[[#This Row],[Peak Demand, kW]]&lt;&gt;0,'Heat connections'!$G46*Dashboard!$C$21,0)</f>
        <v>510.65060000000005</v>
      </c>
      <c r="U46" s="514">
        <f>IF(Heat_connections[[#This Row],[Ref]]&lt;&gt;"-",48.436*Heat_connections[[#This Row],[Peak Demand, kW]]+1068.7,0)</f>
        <v>2305.39362308</v>
      </c>
      <c r="V46" s="515">
        <f>IF(Heat_connections[[#This Row],[Ref]]&lt;&gt;"-",
_xlfn.XLOOKUP('Heat connections'!$G46,'Technical inputs'!$F$79:$F$94,'Technical inputs'!$I$79:$I$94,0,1,1),0)</f>
        <v>28145</v>
      </c>
      <c r="W46" s="429">
        <f>IF('Heat connections'!$E46="Domestic",1,0)</f>
        <v>0</v>
      </c>
      <c r="X46" s="430">
        <f>IF(AND(Heat_connections[[#This Row],[Ref]]&lt;&gt;"-",'Heat connections'!$E46&lt;&gt;"Domestic"),1,0)</f>
        <v>1</v>
      </c>
      <c r="Y46" s="434">
        <v>0</v>
      </c>
      <c r="Z46" s="438">
        <f>IF(Heat_connections[[#This Row],[Existing/planned development]]&lt;&gt;0,1,0)</f>
        <v>0</v>
      </c>
      <c r="AA46" s="430">
        <f>IF('Heat connections'!$M46=1,1,0)</f>
        <v>1</v>
      </c>
      <c r="AB46" s="430">
        <f>IF('Heat connections'!$M46=2,1,0)</f>
        <v>0</v>
      </c>
      <c r="AC46" s="434">
        <f>IF('Heat connections'!$M46=3,1,0)</f>
        <v>0</v>
      </c>
      <c r="AD46" s="46" t="str">
        <f>IF(AND(Heat_connections[[#This Row],[Connected to heat network]]="Yes",Heat_connections[[#This Row],[Ref]]&lt;&gt;"-"),"Yes","No")</f>
        <v>Yes</v>
      </c>
    </row>
    <row r="47" spans="3:30" ht="12.75" x14ac:dyDescent="0.2">
      <c r="C47" s="208" t="str" cm="1">
        <f t="array" ref="C47">IFERROR(_xlfn.XLOOKUP($C$3,Heat_connections_input[#Headers],Heat_connections_input[#This Row],0,0,),"-")</f>
        <v>sQ/ezO6hxY8CjHdk</v>
      </c>
      <c r="D47" s="323" cm="1">
        <f t="array" ref="D47">IFERROR(_xlfn.XLOOKUP($D$3,Heat_connections_input[#Headers],Heat_connections_input[#This Row],0,0,),"-")</f>
        <v>0</v>
      </c>
      <c r="E47" s="284" t="str" cm="1">
        <f t="array" ref="E47">IFERROR(_xlfn.XLOOKUP($E$3,Heat_connections_input[#Headers],Heat_connections_input[#This Row],0,0,),"-")</f>
        <v>Retail</v>
      </c>
      <c r="F47" s="259" cm="1">
        <f t="array" ref="F47">IFERROR(_xlfn.XLOOKUP($F$3,Heat_connections_input[#Headers],Heat_connections_input[#This Row],0,0,),0)</f>
        <v>296657.3</v>
      </c>
      <c r="G47" s="259" cm="1">
        <f t="array" ref="G47">IFERROR(_xlfn.XLOOKUP($G$3,Heat_connections_input[#Headers],Heat_connections_input[#This Row],0,0,),0)</f>
        <v>169.07103000000001</v>
      </c>
      <c r="H47" s="341" cm="1">
        <f t="array" ref="H47">IFERROR(_xlfn.XLOOKUP($H$3,Heat_connections_input[#Headers],Heat_connections_input[#This Row],0,0,),0)</f>
        <v>3</v>
      </c>
      <c r="I47" s="326" t="str" cm="1">
        <f t="array" ref="I47">IFERROR(_xlfn.XLOOKUP($I$3,Heat_connections_input[#Headers],Heat_connections_input[#This Row],0,0,),"-")</f>
        <v>Commercial : Retail : Shop / Showroom</v>
      </c>
      <c r="J47" s="326" t="str" cm="1">
        <f t="array" ref="J47">IFERROR(_xlfn.XLOOKUP($J$3,Heat_connections_input[#Headers],Heat_connections_input[#This Row],0,0,1),"-")</f>
        <v>W14 0DJ</v>
      </c>
      <c r="K47" s="260"/>
      <c r="L47" s="261"/>
      <c r="M47" s="262">
        <v>1</v>
      </c>
      <c r="N47" s="263" t="s">
        <v>107</v>
      </c>
      <c r="O47" s="265">
        <f>IF(Heat_connections[[#This Row],[Ref]]&lt;&gt;"-",
IF(M47=1,Dashboard!$C$26,IF(M47=2,Dashboard!$C$27,Dashboard!$C$28)),"-")</f>
        <v>2027</v>
      </c>
      <c r="P47" s="342">
        <f>IF(Heat_connections[[#This Row],[Category]]="Domestic",Heat_connections[[#This Row],[No. of connections]],0)</f>
        <v>0</v>
      </c>
      <c r="Q47" s="342">
        <f>IF(Heat_connections[[#This Row],[Category]]&lt;&gt;"Domestic",Heat_connections[[#This Row],[No. of connections]],0)</f>
        <v>3</v>
      </c>
      <c r="R47" s="209"/>
      <c r="S47" s="512">
        <f>IF(Heat_connections[[#This Row],[TOID]]&lt;&gt;"-",
IF(ISBLANK('Heat connections'!$R47),Dashboard!$C$14,'Heat connections'!$R47),0)</f>
        <v>8</v>
      </c>
      <c r="T47" s="513">
        <f>IF(Heat_connections[[#This Row],[Peak Demand, kW]]&lt;&gt;0,'Heat connections'!$G47*Dashboard!$C$21,0)</f>
        <v>3381.4206000000004</v>
      </c>
      <c r="U47" s="514">
        <f>IF(Heat_connections[[#This Row],[Ref]]&lt;&gt;"-",48.436*Heat_connections[[#This Row],[Peak Demand, kW]]+1068.7,0)</f>
        <v>9257.8244090799999</v>
      </c>
      <c r="V47" s="515">
        <f>IF(Heat_connections[[#This Row],[Ref]]&lt;&gt;"-",
_xlfn.XLOOKUP('Heat connections'!$G47,'Technical inputs'!$F$79:$F$94,'Technical inputs'!$I$79:$I$94,0,1,1),0)</f>
        <v>33110</v>
      </c>
      <c r="W47" s="431">
        <f>IF('Heat connections'!$E47="Domestic",1,0)</f>
        <v>0</v>
      </c>
      <c r="X47" s="432">
        <f>IF(AND(Heat_connections[[#This Row],[Ref]]&lt;&gt;"-",'Heat connections'!$E47&lt;&gt;"Domestic"),1,0)</f>
        <v>1</v>
      </c>
      <c r="Y47" s="435">
        <v>0</v>
      </c>
      <c r="Z47" s="439">
        <f>IF(Heat_connections[[#This Row],[Existing/planned development]]&lt;&gt;0,1,0)</f>
        <v>0</v>
      </c>
      <c r="AA47" s="432">
        <f>IF('Heat connections'!$M47=1,1,0)</f>
        <v>1</v>
      </c>
      <c r="AB47" s="432">
        <f>IF('Heat connections'!$M47=2,1,0)</f>
        <v>0</v>
      </c>
      <c r="AC47" s="435">
        <f>IF('Heat connections'!$M47=3,1,0)</f>
        <v>0</v>
      </c>
      <c r="AD47" s="46" t="str">
        <f>IF(AND(Heat_connections[[#This Row],[Connected to heat network]]="Yes",Heat_connections[[#This Row],[Ref]]&lt;&gt;"-"),"Yes","No")</f>
        <v>Yes</v>
      </c>
    </row>
    <row r="48" spans="3:30" ht="12.75" x14ac:dyDescent="0.2">
      <c r="C48" s="208" t="str" cm="1">
        <f t="array" ref="C48">IFERROR(_xlfn.XLOOKUP($C$3,Heat_connections_input[#Headers],Heat_connections_input[#This Row],0,0,),"-")</f>
        <v>FSaw2n9Bf8//P2zg</v>
      </c>
      <c r="D48" s="323" cm="1">
        <f t="array" ref="D48">IFERROR(_xlfn.XLOOKUP($D$3,Heat_connections_input[#Headers],Heat_connections_input[#This Row],0,0,),"-")</f>
        <v>0</v>
      </c>
      <c r="E48" s="284" t="str" cm="1">
        <f t="array" ref="E48">IFERROR(_xlfn.XLOOKUP($E$3,Heat_connections_input[#Headers],Heat_connections_input[#This Row],0,0,),"-")</f>
        <v>Sports and recreation</v>
      </c>
      <c r="F48" s="259" cm="1">
        <f t="array" ref="F48">IFERROR(_xlfn.XLOOKUP($F$3,Heat_connections_input[#Headers],Heat_connections_input[#This Row],0,0,),0)</f>
        <v>19401318</v>
      </c>
      <c r="G48" s="259" cm="1">
        <f t="array" ref="G48">IFERROR(_xlfn.XLOOKUP($G$3,Heat_connections_input[#Headers],Heat_connections_input[#This Row],0,0,),0)</f>
        <v>9650.7139999999999</v>
      </c>
      <c r="H48" s="341" cm="1">
        <f t="array" ref="H48">IFERROR(_xlfn.XLOOKUP($H$3,Heat_connections_input[#Headers],Heat_connections_input[#This Row],0,0,),0)</f>
        <v>6</v>
      </c>
      <c r="I48" s="326" t="str" cm="1">
        <f t="array" ref="I48">IFERROR(_xlfn.XLOOKUP($I$3,Heat_connections_input[#Headers],Heat_connections_input[#This Row],0,0,),"-")</f>
        <v>Commercial : Leisure - Applicable to recreational sites and enterprises : Indoor / Outdoor Leisure / Sporting Activity / Centre</v>
      </c>
      <c r="J48" s="326" t="str" cm="1">
        <f t="array" ref="J48">IFERROR(_xlfn.XLOOKUP($J$3,Heat_connections_input[#Headers],Heat_connections_input[#This Row],0,0,1),"-")</f>
        <v>W12 7PJ</v>
      </c>
      <c r="K48" s="260"/>
      <c r="L48" s="261"/>
      <c r="M48" s="262">
        <v>1</v>
      </c>
      <c r="N48" s="263" t="s">
        <v>107</v>
      </c>
      <c r="O48" s="264">
        <f>IF(Heat_connections[[#This Row],[Ref]]&lt;&gt;"-",
IF(M48=1,Dashboard!$C$26,IF(M48=2,Dashboard!$C$27,Dashboard!$C$28)),"-")</f>
        <v>2027</v>
      </c>
      <c r="P48" s="341">
        <f>IF(Heat_connections[[#This Row],[Category]]="Domestic",Heat_connections[[#This Row],[No. of connections]],0)</f>
        <v>0</v>
      </c>
      <c r="Q48" s="341">
        <f>IF(Heat_connections[[#This Row],[Category]]&lt;&gt;"Domestic",Heat_connections[[#This Row],[No. of connections]],0)</f>
        <v>6</v>
      </c>
      <c r="R48" s="209"/>
      <c r="S48" s="512">
        <f>IF(Heat_connections[[#This Row],[TOID]]&lt;&gt;"-",
IF(ISBLANK('Heat connections'!$R48),Dashboard!$C$14,'Heat connections'!$R48),0)</f>
        <v>8</v>
      </c>
      <c r="T48" s="513">
        <f>IF(Heat_connections[[#This Row],[Peak Demand, kW]]&lt;&gt;0,'Heat connections'!$G48*Dashboard!$C$21,0)</f>
        <v>193014.28</v>
      </c>
      <c r="U48" s="514">
        <f>IF(Heat_connections[[#This Row],[Ref]]&lt;&gt;"-",48.436*Heat_connections[[#This Row],[Peak Demand, kW]]+1068.7,0)</f>
        <v>468510.68330400001</v>
      </c>
      <c r="V48" s="515">
        <f>IF(Heat_connections[[#This Row],[Ref]]&lt;&gt;"-",
_xlfn.XLOOKUP('Heat connections'!$G48,'Technical inputs'!$F$79:$F$94,'Technical inputs'!$I$79:$I$94,0,1,1),0)</f>
        <v>0</v>
      </c>
      <c r="W48" s="429">
        <f>IF('Heat connections'!$E48="Domestic",1,0)</f>
        <v>0</v>
      </c>
      <c r="X48" s="430">
        <f>IF(AND(Heat_connections[[#This Row],[Ref]]&lt;&gt;"-",'Heat connections'!$E48&lt;&gt;"Domestic"),1,0)</f>
        <v>1</v>
      </c>
      <c r="Y48" s="434">
        <v>0</v>
      </c>
      <c r="Z48" s="438">
        <f>IF(Heat_connections[[#This Row],[Existing/planned development]]&lt;&gt;0,1,0)</f>
        <v>0</v>
      </c>
      <c r="AA48" s="430">
        <f>IF('Heat connections'!$M48=1,1,0)</f>
        <v>1</v>
      </c>
      <c r="AB48" s="430">
        <f>IF('Heat connections'!$M48=2,1,0)</f>
        <v>0</v>
      </c>
      <c r="AC48" s="434">
        <f>IF('Heat connections'!$M48=3,1,0)</f>
        <v>0</v>
      </c>
      <c r="AD48" s="46" t="str">
        <f>IF(AND(Heat_connections[[#This Row],[Connected to heat network]]="Yes",Heat_connections[[#This Row],[Ref]]&lt;&gt;"-"),"Yes","No")</f>
        <v>Yes</v>
      </c>
    </row>
    <row r="49" spans="3:30" ht="12.75" x14ac:dyDescent="0.2">
      <c r="C49" s="208" t="str" cm="1">
        <f t="array" ref="C49">IFERROR(_xlfn.XLOOKUP($C$3,Heat_connections_input[#Headers],Heat_connections_input[#This Row],0,0,),"-")</f>
        <v>jZncG6wSutuXXVXe</v>
      </c>
      <c r="D49" s="323" cm="1">
        <f t="array" ref="D49">IFERROR(_xlfn.XLOOKUP($D$3,Heat_connections_input[#Headers],Heat_connections_input[#This Row],0,0,),"-")</f>
        <v>0</v>
      </c>
      <c r="E49" s="284" cm="1">
        <f t="array" ref="E49">IFERROR(_xlfn.XLOOKUP($E$3,Heat_connections_input[#Headers],Heat_connections_input[#This Row],0,0,),"-")</f>
        <v>0</v>
      </c>
      <c r="F49" s="259" cm="1">
        <f t="array" ref="F49">IFERROR(_xlfn.XLOOKUP($F$3,Heat_connections_input[#Headers],Heat_connections_input[#This Row],0,0,),0)</f>
        <v>7500.3530000000001</v>
      </c>
      <c r="G49" s="259" cm="1">
        <f t="array" ref="G49">IFERROR(_xlfn.XLOOKUP($G$3,Heat_connections_input[#Headers],Heat_connections_input[#This Row],0,0,),0)</f>
        <v>25.562425999999999</v>
      </c>
      <c r="H49" s="341" cm="1">
        <f t="array" ref="H49">IFERROR(_xlfn.XLOOKUP($H$3,Heat_connections_input[#Headers],Heat_connections_input[#This Row],0,0,),0)</f>
        <v>1</v>
      </c>
      <c r="I49" s="326" cm="1">
        <f t="array" ref="I49">IFERROR(_xlfn.XLOOKUP($I$3,Heat_connections_input[#Headers],Heat_connections_input[#This Row],0,0,),"-")</f>
        <v>0</v>
      </c>
      <c r="J49" s="326" cm="1">
        <f t="array" ref="J49">IFERROR(_xlfn.XLOOKUP($J$3,Heat_connections_input[#Headers],Heat_connections_input[#This Row],0,0,1),"-")</f>
        <v>0</v>
      </c>
      <c r="K49" s="260"/>
      <c r="L49" s="261"/>
      <c r="M49" s="262">
        <v>1</v>
      </c>
      <c r="N49" s="263" t="s">
        <v>107</v>
      </c>
      <c r="O49" s="265">
        <f>IF(Heat_connections[[#This Row],[Ref]]&lt;&gt;"-",
IF(M49=1,Dashboard!$C$26,IF(M49=2,Dashboard!$C$27,Dashboard!$C$28)),"-")</f>
        <v>2027</v>
      </c>
      <c r="P49" s="342">
        <f>IF(Heat_connections[[#This Row],[Category]]="Domestic",Heat_connections[[#This Row],[No. of connections]],0)</f>
        <v>0</v>
      </c>
      <c r="Q49" s="342">
        <f>IF(Heat_connections[[#This Row],[Category]]&lt;&gt;"Domestic",Heat_connections[[#This Row],[No. of connections]],0)</f>
        <v>1</v>
      </c>
      <c r="R49" s="209"/>
      <c r="S49" s="512">
        <f>IF(Heat_connections[[#This Row],[TOID]]&lt;&gt;"-",
IF(ISBLANK('Heat connections'!$R49),Dashboard!$C$14,'Heat connections'!$R49),0)</f>
        <v>8</v>
      </c>
      <c r="T49" s="513">
        <f>IF(Heat_connections[[#This Row],[Peak Demand, kW]]&lt;&gt;0,'Heat connections'!$G49*Dashboard!$C$21,0)</f>
        <v>511.24851999999998</v>
      </c>
      <c r="U49" s="514">
        <f>IF(Heat_connections[[#This Row],[Ref]]&lt;&gt;"-",48.436*Heat_connections[[#This Row],[Peak Demand, kW]]+1068.7,0)</f>
        <v>2306.8416657359999</v>
      </c>
      <c r="V49" s="515">
        <f>IF(Heat_connections[[#This Row],[Ref]]&lt;&gt;"-",
_xlfn.XLOOKUP('Heat connections'!$G49,'Technical inputs'!$F$79:$F$94,'Technical inputs'!$I$79:$I$94,0,1,1),0)</f>
        <v>28145</v>
      </c>
      <c r="W49" s="431">
        <f>IF('Heat connections'!$E49="Domestic",1,0)</f>
        <v>0</v>
      </c>
      <c r="X49" s="432">
        <f>IF(AND(Heat_connections[[#This Row],[Ref]]&lt;&gt;"-",'Heat connections'!$E49&lt;&gt;"Domestic"),1,0)</f>
        <v>1</v>
      </c>
      <c r="Y49" s="435">
        <v>0</v>
      </c>
      <c r="Z49" s="439">
        <f>IF(Heat_connections[[#This Row],[Existing/planned development]]&lt;&gt;0,1,0)</f>
        <v>0</v>
      </c>
      <c r="AA49" s="432">
        <f>IF('Heat connections'!$M49=1,1,0)</f>
        <v>1</v>
      </c>
      <c r="AB49" s="432">
        <f>IF('Heat connections'!$M49=2,1,0)</f>
        <v>0</v>
      </c>
      <c r="AC49" s="435">
        <f>IF('Heat connections'!$M49=3,1,0)</f>
        <v>0</v>
      </c>
      <c r="AD49" s="46" t="str">
        <f>IF(AND(Heat_connections[[#This Row],[Connected to heat network]]="Yes",Heat_connections[[#This Row],[Ref]]&lt;&gt;"-"),"Yes","No")</f>
        <v>Yes</v>
      </c>
    </row>
    <row r="50" spans="3:30" ht="12.75" x14ac:dyDescent="0.2">
      <c r="C50" s="208" t="str" cm="1">
        <f t="array" ref="C50">IFERROR(_xlfn.XLOOKUP($C$3,Heat_connections_input[#Headers],Heat_connections_input[#This Row],0,0,),"-")</f>
        <v>6Dicy3WW7Eg/q3QZ</v>
      </c>
      <c r="D50" s="323" cm="1">
        <f t="array" ref="D50">IFERROR(_xlfn.XLOOKUP($D$3,Heat_connections_input[#Headers],Heat_connections_input[#This Row],0,0,),"-")</f>
        <v>0</v>
      </c>
      <c r="E50" s="284" t="str" cm="1">
        <f t="array" ref="E50">IFERROR(_xlfn.XLOOKUP($E$3,Heat_connections_input[#Headers],Heat_connections_input[#This Row],0,0,),"-")</f>
        <v>Sports and recreation</v>
      </c>
      <c r="F50" s="259" cm="1">
        <f t="array" ref="F50">IFERROR(_xlfn.XLOOKUP($F$3,Heat_connections_input[#Headers],Heat_connections_input[#This Row],0,0,),0)</f>
        <v>3024872</v>
      </c>
      <c r="G50" s="259" cm="1">
        <f t="array" ref="G50">IFERROR(_xlfn.XLOOKUP($G$3,Heat_connections_input[#Headers],Heat_connections_input[#This Row],0,0,),0)</f>
        <v>1523.0840000000001</v>
      </c>
      <c r="H50" s="341" cm="1">
        <f t="array" ref="H50">IFERROR(_xlfn.XLOOKUP($H$3,Heat_connections_input[#Headers],Heat_connections_input[#This Row],0,0,),0)</f>
        <v>1</v>
      </c>
      <c r="I50" s="326" t="str" cm="1">
        <f t="array" ref="I50">IFERROR(_xlfn.XLOOKUP($I$3,Heat_connections_input[#Headers],Heat_connections_input[#This Row],0,0,),"-")</f>
        <v>Commercial : Leisure - Applicable to recreational sites and enterprises : Indoor / Outdoor Leisure / Sporting Activity / Centre : Diving / Swimming Facility</v>
      </c>
      <c r="J50" s="326" t="str" cm="1">
        <f t="array" ref="J50">IFERROR(_xlfn.XLOOKUP($J$3,Heat_connections_input[#Headers],Heat_connections_input[#This Row],0,0,1),"-")</f>
        <v>W12 7DN</v>
      </c>
      <c r="K50" s="260"/>
      <c r="L50" s="261"/>
      <c r="M50" s="262">
        <v>1</v>
      </c>
      <c r="N50" s="263" t="s">
        <v>107</v>
      </c>
      <c r="O50" s="264">
        <f>IF(Heat_connections[[#This Row],[Ref]]&lt;&gt;"-",
IF(M50=1,Dashboard!$C$26,IF(M50=2,Dashboard!$C$27,Dashboard!$C$28)),"-")</f>
        <v>2027</v>
      </c>
      <c r="P50" s="341">
        <f>IF(Heat_connections[[#This Row],[Category]]="Domestic",Heat_connections[[#This Row],[No. of connections]],0)</f>
        <v>0</v>
      </c>
      <c r="Q50" s="341">
        <f>IF(Heat_connections[[#This Row],[Category]]&lt;&gt;"Domestic",Heat_connections[[#This Row],[No. of connections]],0)</f>
        <v>1</v>
      </c>
      <c r="R50" s="209"/>
      <c r="S50" s="512">
        <f>IF(Heat_connections[[#This Row],[TOID]]&lt;&gt;"-",
IF(ISBLANK('Heat connections'!$R50),Dashboard!$C$14,'Heat connections'!$R50),0)</f>
        <v>8</v>
      </c>
      <c r="T50" s="513">
        <f>IF(Heat_connections[[#This Row],[Peak Demand, kW]]&lt;&gt;0,'Heat connections'!$G50*Dashboard!$C$21,0)</f>
        <v>30461.68</v>
      </c>
      <c r="U50" s="514">
        <f>IF(Heat_connections[[#This Row],[Ref]]&lt;&gt;"-",48.436*Heat_connections[[#This Row],[Peak Demand, kW]]+1068.7,0)</f>
        <v>74840.796623999995</v>
      </c>
      <c r="V50" s="515">
        <f>IF(Heat_connections[[#This Row],[Ref]]&lt;&gt;"-",
_xlfn.XLOOKUP('Heat connections'!$G50,'Technical inputs'!$F$79:$F$94,'Technical inputs'!$I$79:$I$94,0,1,1),0)</f>
        <v>80247</v>
      </c>
      <c r="W50" s="429">
        <f>IF('Heat connections'!$E50="Domestic",1,0)</f>
        <v>0</v>
      </c>
      <c r="X50" s="430">
        <f>IF(AND(Heat_connections[[#This Row],[Ref]]&lt;&gt;"-",'Heat connections'!$E50&lt;&gt;"Domestic"),1,0)</f>
        <v>1</v>
      </c>
      <c r="Y50" s="434">
        <v>0</v>
      </c>
      <c r="Z50" s="438">
        <f>IF(Heat_connections[[#This Row],[Existing/planned development]]&lt;&gt;0,1,0)</f>
        <v>0</v>
      </c>
      <c r="AA50" s="430">
        <f>IF('Heat connections'!$M50=1,1,0)</f>
        <v>1</v>
      </c>
      <c r="AB50" s="430">
        <f>IF('Heat connections'!$M50=2,1,0)</f>
        <v>0</v>
      </c>
      <c r="AC50" s="434">
        <f>IF('Heat connections'!$M50=3,1,0)</f>
        <v>0</v>
      </c>
      <c r="AD50" s="46" t="str">
        <f>IF(AND(Heat_connections[[#This Row],[Connected to heat network]]="Yes",Heat_connections[[#This Row],[Ref]]&lt;&gt;"-"),"Yes","No")</f>
        <v>Yes</v>
      </c>
    </row>
    <row r="51" spans="3:30" ht="12.75" x14ac:dyDescent="0.2">
      <c r="C51" s="208" t="str" cm="1">
        <f t="array" ref="C51">IFERROR(_xlfn.XLOOKUP($C$3,Heat_connections_input[#Headers],Heat_connections_input[#This Row],0,0,),"-")</f>
        <v>KjbW78zB7s0y4rat</v>
      </c>
      <c r="D51" s="323" cm="1">
        <f t="array" ref="D51">IFERROR(_xlfn.XLOOKUP($D$3,Heat_connections_input[#Headers],Heat_connections_input[#This Row],0,0,),"-")</f>
        <v>0</v>
      </c>
      <c r="E51" s="284" cm="1">
        <f t="array" ref="E51">IFERROR(_xlfn.XLOOKUP($E$3,Heat_connections_input[#Headers],Heat_connections_input[#This Row],0,0,),"-")</f>
        <v>0</v>
      </c>
      <c r="F51" s="259" cm="1">
        <f t="array" ref="F51">IFERROR(_xlfn.XLOOKUP($F$3,Heat_connections_input[#Headers],Heat_connections_input[#This Row],0,0,),0)</f>
        <v>2995525.8</v>
      </c>
      <c r="G51" s="259" cm="1">
        <f t="array" ref="G51">IFERROR(_xlfn.XLOOKUP($G$3,Heat_connections_input[#Headers],Heat_connections_input[#This Row],0,0,),0)</f>
        <v>1508.5193999999999</v>
      </c>
      <c r="H51" s="341" cm="1">
        <f t="array" ref="H51">IFERROR(_xlfn.XLOOKUP($H$3,Heat_connections_input[#Headers],Heat_connections_input[#This Row],0,0,),0)</f>
        <v>5</v>
      </c>
      <c r="I51" s="326" t="str" cm="1">
        <f t="array" ref="I51">IFERROR(_xlfn.XLOOKUP($I$3,Heat_connections_input[#Headers],Heat_connections_input[#This Row],0,0,),"-")</f>
        <v>Other (Ordnance Survey Only) : Royal Mail Infrastructure : Additional Mail / Packet Addressee</v>
      </c>
      <c r="J51" s="326" t="str" cm="1">
        <f t="array" ref="J51">IFERROR(_xlfn.XLOOKUP($J$3,Heat_connections_input[#Headers],Heat_connections_input[#This Row],0,0,1),"-")</f>
        <v>W12 7TU</v>
      </c>
      <c r="K51" s="260"/>
      <c r="L51" s="261"/>
      <c r="M51" s="262">
        <v>1</v>
      </c>
      <c r="N51" s="263" t="s">
        <v>107</v>
      </c>
      <c r="O51" s="265">
        <f>IF(Heat_connections[[#This Row],[Ref]]&lt;&gt;"-",
IF(M51=1,Dashboard!$C$26,IF(M51=2,Dashboard!$C$27,Dashboard!$C$28)),"-")</f>
        <v>2027</v>
      </c>
      <c r="P51" s="342">
        <f>IF(Heat_connections[[#This Row],[Category]]="Domestic",Heat_connections[[#This Row],[No. of connections]],0)</f>
        <v>0</v>
      </c>
      <c r="Q51" s="342">
        <f>IF(Heat_connections[[#This Row],[Category]]&lt;&gt;"Domestic",Heat_connections[[#This Row],[No. of connections]],0)</f>
        <v>5</v>
      </c>
      <c r="R51" s="209"/>
      <c r="S51" s="512">
        <f>IF(Heat_connections[[#This Row],[TOID]]&lt;&gt;"-",
IF(ISBLANK('Heat connections'!$R51),Dashboard!$C$14,'Heat connections'!$R51),0)</f>
        <v>8</v>
      </c>
      <c r="T51" s="513">
        <f>IF(Heat_connections[[#This Row],[Peak Demand, kW]]&lt;&gt;0,'Heat connections'!$G51*Dashboard!$C$21,0)</f>
        <v>30170.387999999999</v>
      </c>
      <c r="U51" s="514">
        <f>IF(Heat_connections[[#This Row],[Ref]]&lt;&gt;"-",48.436*Heat_connections[[#This Row],[Peak Demand, kW]]+1068.7,0)</f>
        <v>74135.345658399994</v>
      </c>
      <c r="V51" s="515">
        <f>IF(Heat_connections[[#This Row],[Ref]]&lt;&gt;"-",
_xlfn.XLOOKUP('Heat connections'!$G51,'Technical inputs'!$F$79:$F$94,'Technical inputs'!$I$79:$I$94,0,1,1),0)</f>
        <v>80247</v>
      </c>
      <c r="W51" s="431">
        <f>IF('Heat connections'!$E51="Domestic",1,0)</f>
        <v>0</v>
      </c>
      <c r="X51" s="432">
        <f>IF(AND(Heat_connections[[#This Row],[Ref]]&lt;&gt;"-",'Heat connections'!$E51&lt;&gt;"Domestic"),1,0)</f>
        <v>1</v>
      </c>
      <c r="Y51" s="435">
        <v>0</v>
      </c>
      <c r="Z51" s="439">
        <f>IF(Heat_connections[[#This Row],[Existing/planned development]]&lt;&gt;0,1,0)</f>
        <v>0</v>
      </c>
      <c r="AA51" s="432">
        <f>IF('Heat connections'!$M51=1,1,0)</f>
        <v>1</v>
      </c>
      <c r="AB51" s="432">
        <f>IF('Heat connections'!$M51=2,1,0)</f>
        <v>0</v>
      </c>
      <c r="AC51" s="435">
        <f>IF('Heat connections'!$M51=3,1,0)</f>
        <v>0</v>
      </c>
      <c r="AD51" s="46" t="str">
        <f>IF(AND(Heat_connections[[#This Row],[Connected to heat network]]="Yes",Heat_connections[[#This Row],[Ref]]&lt;&gt;"-"),"Yes","No")</f>
        <v>Yes</v>
      </c>
    </row>
    <row r="52" spans="3:30" ht="12.75" x14ac:dyDescent="0.2">
      <c r="C52" s="208" t="str" cm="1">
        <f t="array" ref="C52">IFERROR(_xlfn.XLOOKUP($C$3,Heat_connections_input[#Headers],Heat_connections_input[#This Row],0,0,),"-")</f>
        <v>F/Ii26vZKjcLNp6/</v>
      </c>
      <c r="D52" s="323" cm="1">
        <f t="array" ref="D52">IFERROR(_xlfn.XLOOKUP($D$3,Heat_connections_input[#Headers],Heat_connections_input[#This Row],0,0,),"-")</f>
        <v>0</v>
      </c>
      <c r="E52" s="284" t="str" cm="1">
        <f t="array" ref="E52">IFERROR(_xlfn.XLOOKUP($E$3,Heat_connections_input[#Headers],Heat_connections_input[#This Row],0,0,),"-")</f>
        <v>Domestic</v>
      </c>
      <c r="F52" s="259" cm="1">
        <f t="array" ref="F52">IFERROR(_xlfn.XLOOKUP($F$3,Heat_connections_input[#Headers],Heat_connections_input[#This Row],0,0,),0)</f>
        <v>19680.291000000001</v>
      </c>
      <c r="G52" s="259" cm="1">
        <f t="array" ref="G52">IFERROR(_xlfn.XLOOKUP($G$3,Heat_connections_input[#Headers],Heat_connections_input[#This Row],0,0,),0)</f>
        <v>31.607327999999999</v>
      </c>
      <c r="H52" s="341" cm="1">
        <f t="array" ref="H52">IFERROR(_xlfn.XLOOKUP($H$3,Heat_connections_input[#Headers],Heat_connections_input[#This Row],0,0,),0)</f>
        <v>1</v>
      </c>
      <c r="I52" s="326" t="str" cm="1">
        <f t="array" ref="I52">IFERROR(_xlfn.XLOOKUP($I$3,Heat_connections_input[#Headers],Heat_connections_input[#This Row],0,0,),"-")</f>
        <v>Residential : Dwelling</v>
      </c>
      <c r="J52" s="326" t="str" cm="1">
        <f t="array" ref="J52">IFERROR(_xlfn.XLOOKUP($J$3,Heat_connections_input[#Headers],Heat_connections_input[#This Row],0,0,1),"-")</f>
        <v>W14 0LJ</v>
      </c>
      <c r="K52" s="260"/>
      <c r="L52" s="261"/>
      <c r="M52" s="262">
        <v>1</v>
      </c>
      <c r="N52" s="263" t="s">
        <v>107</v>
      </c>
      <c r="O52" s="264">
        <f>IF(Heat_connections[[#This Row],[Ref]]&lt;&gt;"-",
IF(M52=1,Dashboard!$C$26,IF(M52=2,Dashboard!$C$27,Dashboard!$C$28)),"-")</f>
        <v>2027</v>
      </c>
      <c r="P52" s="341">
        <f>IF(Heat_connections[[#This Row],[Category]]="Domestic",Heat_connections[[#This Row],[No. of connections]],0)</f>
        <v>1</v>
      </c>
      <c r="Q52" s="341">
        <f>IF(Heat_connections[[#This Row],[Category]]&lt;&gt;"Domestic",Heat_connections[[#This Row],[No. of connections]],0)</f>
        <v>0</v>
      </c>
      <c r="R52" s="209"/>
      <c r="S52" s="512">
        <f>IF(Heat_connections[[#This Row],[TOID]]&lt;&gt;"-",
IF(ISBLANK('Heat connections'!$R52),Dashboard!$C$14,'Heat connections'!$R52),0)</f>
        <v>8</v>
      </c>
      <c r="T52" s="513">
        <f>IF(Heat_connections[[#This Row],[Peak Demand, kW]]&lt;&gt;0,'Heat connections'!$G52*Dashboard!$C$21,0)</f>
        <v>632.14656000000002</v>
      </c>
      <c r="U52" s="514">
        <f>IF(Heat_connections[[#This Row],[Ref]]&lt;&gt;"-",48.436*Heat_connections[[#This Row],[Peak Demand, kW]]+1068.7,0)</f>
        <v>2599.6325390080001</v>
      </c>
      <c r="V52" s="515">
        <f>IF(Heat_connections[[#This Row],[Ref]]&lt;&gt;"-",
_xlfn.XLOOKUP('Heat connections'!$G52,'Technical inputs'!$F$79:$F$94,'Technical inputs'!$I$79:$I$94,0,1,1),0)</f>
        <v>28145</v>
      </c>
      <c r="W52" s="429">
        <f>IF('Heat connections'!$E52="Domestic",1,0)</f>
        <v>1</v>
      </c>
      <c r="X52" s="430">
        <f>IF(AND(Heat_connections[[#This Row],[Ref]]&lt;&gt;"-",'Heat connections'!$E52&lt;&gt;"Domestic"),1,0)</f>
        <v>0</v>
      </c>
      <c r="Y52" s="434">
        <v>0</v>
      </c>
      <c r="Z52" s="438">
        <f>IF(Heat_connections[[#This Row],[Existing/planned development]]&lt;&gt;0,1,0)</f>
        <v>0</v>
      </c>
      <c r="AA52" s="430">
        <f>IF('Heat connections'!$M52=1,1,0)</f>
        <v>1</v>
      </c>
      <c r="AB52" s="430">
        <f>IF('Heat connections'!$M52=2,1,0)</f>
        <v>0</v>
      </c>
      <c r="AC52" s="434">
        <f>IF('Heat connections'!$M52=3,1,0)</f>
        <v>0</v>
      </c>
      <c r="AD52" s="46" t="str">
        <f>IF(AND(Heat_connections[[#This Row],[Connected to heat network]]="Yes",Heat_connections[[#This Row],[Ref]]&lt;&gt;"-"),"Yes","No")</f>
        <v>Yes</v>
      </c>
    </row>
    <row r="53" spans="3:30" ht="12.75" x14ac:dyDescent="0.2">
      <c r="C53" s="208" t="str" cm="1">
        <f t="array" ref="C53">IFERROR(_xlfn.XLOOKUP($C$3,Heat_connections_input[#Headers],Heat_connections_input[#This Row],0,0,),"-")</f>
        <v>2U9Wly3V+fxys3Ge</v>
      </c>
      <c r="D53" s="323" cm="1">
        <f t="array" ref="D53">IFERROR(_xlfn.XLOOKUP($D$3,Heat_connections_input[#Headers],Heat_connections_input[#This Row],0,0,),"-")</f>
        <v>0</v>
      </c>
      <c r="E53" s="284" t="str" cm="1">
        <f t="array" ref="E53">IFERROR(_xlfn.XLOOKUP($E$3,Heat_connections_input[#Headers],Heat_connections_input[#This Row],0,0,),"-")</f>
        <v>Hotels</v>
      </c>
      <c r="F53" s="259" cm="1">
        <f t="array" ref="F53">IFERROR(_xlfn.XLOOKUP($F$3,Heat_connections_input[#Headers],Heat_connections_input[#This Row],0,0,),0)</f>
        <v>3175963</v>
      </c>
      <c r="G53" s="259" cm="1">
        <f t="array" ref="G53">IFERROR(_xlfn.XLOOKUP($G$3,Heat_connections_input[#Headers],Heat_connections_input[#This Row],0,0,),0)</f>
        <v>1598.0704000000001</v>
      </c>
      <c r="H53" s="341" cm="1">
        <f t="array" ref="H53">IFERROR(_xlfn.XLOOKUP($H$3,Heat_connections_input[#Headers],Heat_connections_input[#This Row],0,0,),0)</f>
        <v>2</v>
      </c>
      <c r="I53" s="326" t="str" cm="1">
        <f t="array" ref="I53">IFERROR(_xlfn.XLOOKUP($I$3,Heat_connections_input[#Headers],Heat_connections_input[#This Row],0,0,),"-")</f>
        <v>Commercial : Hotel / Motel / Boarding / Guest House : Hotel/Motel</v>
      </c>
      <c r="J53" s="326" t="str" cm="1">
        <f t="array" ref="J53">IFERROR(_xlfn.XLOOKUP($J$3,Heat_connections_input[#Headers],Heat_connections_input[#This Row],0,0,1),"-")</f>
        <v>W14 0AY</v>
      </c>
      <c r="K53" s="260"/>
      <c r="L53" s="261"/>
      <c r="M53" s="262">
        <v>1</v>
      </c>
      <c r="N53" s="263" t="s">
        <v>107</v>
      </c>
      <c r="O53" s="265">
        <f>IF(Heat_connections[[#This Row],[Ref]]&lt;&gt;"-",
IF(M53=1,Dashboard!$C$26,IF(M53=2,Dashboard!$C$27,Dashboard!$C$28)),"-")</f>
        <v>2027</v>
      </c>
      <c r="P53" s="342">
        <f>IF(Heat_connections[[#This Row],[Category]]="Domestic",Heat_connections[[#This Row],[No. of connections]],0)</f>
        <v>0</v>
      </c>
      <c r="Q53" s="342">
        <f>IF(Heat_connections[[#This Row],[Category]]&lt;&gt;"Domestic",Heat_connections[[#This Row],[No. of connections]],0)</f>
        <v>2</v>
      </c>
      <c r="R53" s="209"/>
      <c r="S53" s="512">
        <f>IF(Heat_connections[[#This Row],[TOID]]&lt;&gt;"-",
IF(ISBLANK('Heat connections'!$R53),Dashboard!$C$14,'Heat connections'!$R53),0)</f>
        <v>8</v>
      </c>
      <c r="T53" s="513">
        <f>IF(Heat_connections[[#This Row],[Peak Demand, kW]]&lt;&gt;0,'Heat connections'!$G53*Dashboard!$C$21,0)</f>
        <v>31961.408000000003</v>
      </c>
      <c r="U53" s="514">
        <f>IF(Heat_connections[[#This Row],[Ref]]&lt;&gt;"-",48.436*Heat_connections[[#This Row],[Peak Demand, kW]]+1068.7,0)</f>
        <v>78472.8378944</v>
      </c>
      <c r="V53" s="515">
        <f>IF(Heat_connections[[#This Row],[Ref]]&lt;&gt;"-",
_xlfn.XLOOKUP('Heat connections'!$G53,'Technical inputs'!$F$79:$F$94,'Technical inputs'!$I$79:$I$94,0,1,1),0)</f>
        <v>80247</v>
      </c>
      <c r="W53" s="431">
        <f>IF('Heat connections'!$E53="Domestic",1,0)</f>
        <v>0</v>
      </c>
      <c r="X53" s="432">
        <f>IF(AND(Heat_connections[[#This Row],[Ref]]&lt;&gt;"-",'Heat connections'!$E53&lt;&gt;"Domestic"),1,0)</f>
        <v>1</v>
      </c>
      <c r="Y53" s="435">
        <v>0</v>
      </c>
      <c r="Z53" s="439">
        <f>IF(Heat_connections[[#This Row],[Existing/planned development]]&lt;&gt;0,1,0)</f>
        <v>0</v>
      </c>
      <c r="AA53" s="432">
        <f>IF('Heat connections'!$M53=1,1,0)</f>
        <v>1</v>
      </c>
      <c r="AB53" s="432">
        <f>IF('Heat connections'!$M53=2,1,0)</f>
        <v>0</v>
      </c>
      <c r="AC53" s="435">
        <f>IF('Heat connections'!$M53=3,1,0)</f>
        <v>0</v>
      </c>
      <c r="AD53" s="46" t="str">
        <f>IF(AND(Heat_connections[[#This Row],[Connected to heat network]]="Yes",Heat_connections[[#This Row],[Ref]]&lt;&gt;"-"),"Yes","No")</f>
        <v>Yes</v>
      </c>
    </row>
    <row r="54" spans="3:30" ht="12.75" x14ac:dyDescent="0.2">
      <c r="C54" s="208" t="str" cm="1">
        <f t="array" ref="C54">IFERROR(_xlfn.XLOOKUP($C$3,Heat_connections_input[#Headers],Heat_connections_input[#This Row],0,0,),"-")</f>
        <v>/5AdaXjbCWeK3lQT</v>
      </c>
      <c r="D54" s="323" cm="1">
        <f t="array" ref="D54">IFERROR(_xlfn.XLOOKUP($D$3,Heat_connections_input[#Headers],Heat_connections_input[#This Row],0,0,),"-")</f>
        <v>0</v>
      </c>
      <c r="E54" s="284" t="str" cm="1">
        <f t="array" ref="E54">IFERROR(_xlfn.XLOOKUP($E$3,Heat_connections_input[#Headers],Heat_connections_input[#This Row],0,0,),"-")</f>
        <v>Education (schools)</v>
      </c>
      <c r="F54" s="259" cm="1">
        <f t="array" ref="F54">IFERROR(_xlfn.XLOOKUP($F$3,Heat_connections_input[#Headers],Heat_connections_input[#This Row],0,0,),0)</f>
        <v>593273.93999999994</v>
      </c>
      <c r="G54" s="259" cm="1">
        <f t="array" ref="G54">IFERROR(_xlfn.XLOOKUP($G$3,Heat_connections_input[#Headers],Heat_connections_input[#This Row],0,0,),0)</f>
        <v>316.28183000000001</v>
      </c>
      <c r="H54" s="341" cm="1">
        <f t="array" ref="H54">IFERROR(_xlfn.XLOOKUP($H$3,Heat_connections_input[#Headers],Heat_connections_input[#This Row],0,0,),0)</f>
        <v>3</v>
      </c>
      <c r="I54" s="326" t="str" cm="1">
        <f t="array" ref="I54">IFERROR(_xlfn.XLOOKUP($I$3,Heat_connections_input[#Headers],Heat_connections_input[#This Row],0,0,),"-")</f>
        <v>Commercial : Education : Children’s Nursery / Crèche</v>
      </c>
      <c r="J54" s="326" t="str" cm="1">
        <f t="array" ref="J54">IFERROR(_xlfn.XLOOKUP($J$3,Heat_connections_input[#Headers],Heat_connections_input[#This Row],0,0,1),"-")</f>
        <v>W14 8AH</v>
      </c>
      <c r="K54" s="260"/>
      <c r="L54" s="261"/>
      <c r="M54" s="262">
        <v>1</v>
      </c>
      <c r="N54" s="263" t="s">
        <v>107</v>
      </c>
      <c r="O54" s="264">
        <f>IF(Heat_connections[[#This Row],[Ref]]&lt;&gt;"-",
IF(M54=1,Dashboard!$C$26,IF(M54=2,Dashboard!$C$27,Dashboard!$C$28)),"-")</f>
        <v>2027</v>
      </c>
      <c r="P54" s="341">
        <f>IF(Heat_connections[[#This Row],[Category]]="Domestic",Heat_connections[[#This Row],[No. of connections]],0)</f>
        <v>0</v>
      </c>
      <c r="Q54" s="341">
        <f>IF(Heat_connections[[#This Row],[Category]]&lt;&gt;"Domestic",Heat_connections[[#This Row],[No. of connections]],0)</f>
        <v>3</v>
      </c>
      <c r="R54" s="209"/>
      <c r="S54" s="512">
        <f>IF(Heat_connections[[#This Row],[TOID]]&lt;&gt;"-",
IF(ISBLANK('Heat connections'!$R54),Dashboard!$C$14,'Heat connections'!$R54),0)</f>
        <v>8</v>
      </c>
      <c r="T54" s="513">
        <f>IF(Heat_connections[[#This Row],[Peak Demand, kW]]&lt;&gt;0,'Heat connections'!$G54*Dashboard!$C$21,0)</f>
        <v>6325.6365999999998</v>
      </c>
      <c r="U54" s="514">
        <f>IF(Heat_connections[[#This Row],[Ref]]&lt;&gt;"-",48.436*Heat_connections[[#This Row],[Peak Demand, kW]]+1068.7,0)</f>
        <v>16388.126717880001</v>
      </c>
      <c r="V54" s="515">
        <f>IF(Heat_connections[[#This Row],[Ref]]&lt;&gt;"-",
_xlfn.XLOOKUP('Heat connections'!$G54,'Technical inputs'!$F$79:$F$94,'Technical inputs'!$I$79:$I$94,0,1,1),0)</f>
        <v>39765</v>
      </c>
      <c r="W54" s="429">
        <f>IF('Heat connections'!$E54="Domestic",1,0)</f>
        <v>0</v>
      </c>
      <c r="X54" s="430">
        <f>IF(AND(Heat_connections[[#This Row],[Ref]]&lt;&gt;"-",'Heat connections'!$E54&lt;&gt;"Domestic"),1,0)</f>
        <v>1</v>
      </c>
      <c r="Y54" s="434">
        <v>0</v>
      </c>
      <c r="Z54" s="438">
        <f>IF(Heat_connections[[#This Row],[Existing/planned development]]&lt;&gt;0,1,0)</f>
        <v>0</v>
      </c>
      <c r="AA54" s="430">
        <f>IF('Heat connections'!$M54=1,1,0)</f>
        <v>1</v>
      </c>
      <c r="AB54" s="430">
        <f>IF('Heat connections'!$M54=2,1,0)</f>
        <v>0</v>
      </c>
      <c r="AC54" s="434">
        <f>IF('Heat connections'!$M54=3,1,0)</f>
        <v>0</v>
      </c>
      <c r="AD54" s="46" t="str">
        <f>IF(AND(Heat_connections[[#This Row],[Connected to heat network]]="Yes",Heat_connections[[#This Row],[Ref]]&lt;&gt;"-"),"Yes","No")</f>
        <v>Yes</v>
      </c>
    </row>
    <row r="55" spans="3:30" ht="12.75" x14ac:dyDescent="0.2">
      <c r="C55" s="208" t="str" cm="1">
        <f t="array" ref="C55">IFERROR(_xlfn.XLOOKUP($C$3,Heat_connections_input[#Headers],Heat_connections_input[#This Row],0,0,),"-")</f>
        <v>OdgM+AaoVNu/p1ro</v>
      </c>
      <c r="D55" s="323" cm="1">
        <f t="array" ref="D55">IFERROR(_xlfn.XLOOKUP($D$3,Heat_connections_input[#Headers],Heat_connections_input[#This Row],0,0,),"-")</f>
        <v>0</v>
      </c>
      <c r="E55" s="284" t="str" cm="1">
        <f t="array" ref="E55">IFERROR(_xlfn.XLOOKUP($E$3,Heat_connections_input[#Headers],Heat_connections_input[#This Row],0,0,),"-")</f>
        <v>Domestic</v>
      </c>
      <c r="F55" s="259" cm="1">
        <f t="array" ref="F55">IFERROR(_xlfn.XLOOKUP($F$3,Heat_connections_input[#Headers],Heat_connections_input[#This Row],0,0,),0)</f>
        <v>19339.148000000001</v>
      </c>
      <c r="G55" s="259" cm="1">
        <f t="array" ref="G55">IFERROR(_xlfn.XLOOKUP($G$3,Heat_connections_input[#Headers],Heat_connections_input[#This Row],0,0,),0)</f>
        <v>31.438019000000001</v>
      </c>
      <c r="H55" s="341" cm="1">
        <f t="array" ref="H55">IFERROR(_xlfn.XLOOKUP($H$3,Heat_connections_input[#Headers],Heat_connections_input[#This Row],0,0,),0)</f>
        <v>2</v>
      </c>
      <c r="I55" s="326" t="str" cm="1">
        <f t="array" ref="I55">IFERROR(_xlfn.XLOOKUP($I$3,Heat_connections_input[#Headers],Heat_connections_input[#This Row],0,0,),"-")</f>
        <v>Residential : Dwelling</v>
      </c>
      <c r="J55" s="326" t="str" cm="1">
        <f t="array" ref="J55">IFERROR(_xlfn.XLOOKUP($J$3,Heat_connections_input[#Headers],Heat_connections_input[#This Row],0,0,1),"-")</f>
        <v>W12 7JU</v>
      </c>
      <c r="K55" s="260"/>
      <c r="L55" s="261"/>
      <c r="M55" s="262">
        <v>1</v>
      </c>
      <c r="N55" s="263" t="s">
        <v>107</v>
      </c>
      <c r="O55" s="264">
        <f>IF(Heat_connections[[#This Row],[Ref]]&lt;&gt;"-",
IF(M55=1,Dashboard!$C$26,IF(M55=2,Dashboard!$C$27,Dashboard!$C$28)),"-")</f>
        <v>2027</v>
      </c>
      <c r="P55" s="341">
        <f>IF(Heat_connections[[#This Row],[Category]]="Domestic",Heat_connections[[#This Row],[No. of connections]],0)</f>
        <v>2</v>
      </c>
      <c r="Q55" s="341">
        <f>IF(Heat_connections[[#This Row],[Category]]&lt;&gt;"Domestic",Heat_connections[[#This Row],[No. of connections]],0)</f>
        <v>0</v>
      </c>
      <c r="R55" s="209"/>
      <c r="S55" s="512">
        <f>IF(Heat_connections[[#This Row],[TOID]]&lt;&gt;"-",
IF(ISBLANK('Heat connections'!$R55),Dashboard!$C$14,'Heat connections'!$R55),0)</f>
        <v>8</v>
      </c>
      <c r="T55" s="513">
        <f>IF(Heat_connections[[#This Row],[Peak Demand, kW]]&lt;&gt;0,'Heat connections'!$G55*Dashboard!$C$21,0)</f>
        <v>628.76038000000005</v>
      </c>
      <c r="U55" s="514">
        <f>IF(Heat_connections[[#This Row],[Ref]]&lt;&gt;"-",48.436*Heat_connections[[#This Row],[Peak Demand, kW]]+1068.7,0)</f>
        <v>2591.4318882839998</v>
      </c>
      <c r="V55" s="515">
        <f>IF(Heat_connections[[#This Row],[Ref]]&lt;&gt;"-",
_xlfn.XLOOKUP('Heat connections'!$G55,'Technical inputs'!$F$79:$F$94,'Technical inputs'!$I$79:$I$94,0,1,1),0)</f>
        <v>28145</v>
      </c>
      <c r="W55" s="429">
        <f>IF('Heat connections'!$E55="Domestic",1,0)</f>
        <v>1</v>
      </c>
      <c r="X55" s="430">
        <f>IF(AND(Heat_connections[[#This Row],[Ref]]&lt;&gt;"-",'Heat connections'!$E55&lt;&gt;"Domestic"),1,0)</f>
        <v>0</v>
      </c>
      <c r="Y55" s="434">
        <v>1</v>
      </c>
      <c r="Z55" s="438">
        <f>IF(Heat_connections[[#This Row],[Existing/planned development]]&lt;&gt;0,1,0)</f>
        <v>0</v>
      </c>
      <c r="AA55" s="430">
        <f>IF('Heat connections'!$M55=1,1,0)</f>
        <v>1</v>
      </c>
      <c r="AB55" s="430">
        <f>IF('Heat connections'!$M55=2,1,0)</f>
        <v>0</v>
      </c>
      <c r="AC55" s="434">
        <f>IF('Heat connections'!$M55=3,1,0)</f>
        <v>0</v>
      </c>
      <c r="AD55" s="46" t="str">
        <f>IF(AND(Heat_connections[[#This Row],[Connected to heat network]]="Yes",Heat_connections[[#This Row],[Ref]]&lt;&gt;"-"),"Yes","No")</f>
        <v>Yes</v>
      </c>
    </row>
    <row r="56" spans="3:30" ht="12.75" x14ac:dyDescent="0.2">
      <c r="C56" s="208" t="str" cm="1">
        <f t="array" ref="C56">IFERROR(_xlfn.XLOOKUP($C$3,Heat_connections_input[#Headers],Heat_connections_input[#This Row],0,0,),"-")</f>
        <v>+S1iStIgUX5HZhLf</v>
      </c>
      <c r="D56" s="323" cm="1">
        <f t="array" ref="D56">IFERROR(_xlfn.XLOOKUP($D$3,Heat_connections_input[#Headers],Heat_connections_input[#This Row],0,0,),"-")</f>
        <v>0</v>
      </c>
      <c r="E56" s="284" t="str" cm="1">
        <f t="array" ref="E56">IFERROR(_xlfn.XLOOKUP($E$3,Heat_connections_input[#Headers],Heat_connections_input[#This Row],0,0,),"-")</f>
        <v>Primary health care (general practitioners surgeries and dental practices)</v>
      </c>
      <c r="F56" s="259" cm="1">
        <f t="array" ref="F56">IFERROR(_xlfn.XLOOKUP($F$3,Heat_connections_input[#Headers],Heat_connections_input[#This Row],0,0,),0)</f>
        <v>103714.04</v>
      </c>
      <c r="G56" s="259" cm="1">
        <f t="array" ref="G56">IFERROR(_xlfn.XLOOKUP($G$3,Heat_connections_input[#Headers],Heat_connections_input[#This Row],0,0,),0)</f>
        <v>73.313280000000006</v>
      </c>
      <c r="H56" s="341" cm="1">
        <f t="array" ref="H56">IFERROR(_xlfn.XLOOKUP($H$3,Heat_connections_input[#Headers],Heat_connections_input[#This Row],0,0,),0)</f>
        <v>1</v>
      </c>
      <c r="I56" s="326" t="str" cm="1">
        <f t="array" ref="I56">IFERROR(_xlfn.XLOOKUP($I$3,Heat_connections_input[#Headers],Heat_connections_input[#This Row],0,0,),"-")</f>
        <v>Commercial : Medical : General Practice Surgery / Clinic : Health Centre</v>
      </c>
      <c r="J56" s="326" t="str" cm="1">
        <f t="array" ref="J56">IFERROR(_xlfn.XLOOKUP($J$3,Heat_connections_input[#Headers],Heat_connections_input[#This Row],0,0,1),"-")</f>
        <v>W14 0LJ</v>
      </c>
      <c r="K56" s="260"/>
      <c r="L56" s="261"/>
      <c r="M56" s="262">
        <v>1</v>
      </c>
      <c r="N56" s="263" t="s">
        <v>107</v>
      </c>
      <c r="O56" s="264">
        <f>IF(Heat_connections[[#This Row],[Ref]]&lt;&gt;"-",
IF(M56=1,Dashboard!$C$26,IF(M56=2,Dashboard!$C$27,Dashboard!$C$28)),"-")</f>
        <v>2027</v>
      </c>
      <c r="P56" s="341">
        <f>IF(Heat_connections[[#This Row],[Category]]="Domestic",Heat_connections[[#This Row],[No. of connections]],0)</f>
        <v>0</v>
      </c>
      <c r="Q56" s="341">
        <f>IF(Heat_connections[[#This Row],[Category]]&lt;&gt;"Domestic",Heat_connections[[#This Row],[No. of connections]],0)</f>
        <v>1</v>
      </c>
      <c r="R56" s="209"/>
      <c r="S56" s="512">
        <f>IF(Heat_connections[[#This Row],[TOID]]&lt;&gt;"-",
IF(ISBLANK('Heat connections'!$R56),Dashboard!$C$14,'Heat connections'!$R56),0)</f>
        <v>8</v>
      </c>
      <c r="T56" s="513">
        <f>IF(Heat_connections[[#This Row],[Peak Demand, kW]]&lt;&gt;0,'Heat connections'!$G56*Dashboard!$C$21,0)</f>
        <v>1466.2656000000002</v>
      </c>
      <c r="U56" s="514">
        <f>IF(Heat_connections[[#This Row],[Ref]]&lt;&gt;"-",48.436*Heat_connections[[#This Row],[Peak Demand, kW]]+1068.7,0)</f>
        <v>4619.7020300800004</v>
      </c>
      <c r="V56" s="515">
        <f>IF(Heat_connections[[#This Row],[Ref]]&lt;&gt;"-",
_xlfn.XLOOKUP('Heat connections'!$G56,'Technical inputs'!$F$79:$F$94,'Technical inputs'!$I$79:$I$94,0,1,1),0)</f>
        <v>28145</v>
      </c>
      <c r="W56" s="429">
        <f>IF('Heat connections'!$E56="Domestic",1,0)</f>
        <v>0</v>
      </c>
      <c r="X56" s="430">
        <f>IF(AND(Heat_connections[[#This Row],[Ref]]&lt;&gt;"-",'Heat connections'!$E56&lt;&gt;"Domestic"),1,0)</f>
        <v>1</v>
      </c>
      <c r="Y56" s="434">
        <v>2</v>
      </c>
      <c r="Z56" s="438">
        <f>IF(Heat_connections[[#This Row],[Existing/planned development]]&lt;&gt;0,1,0)</f>
        <v>0</v>
      </c>
      <c r="AA56" s="430">
        <f>IF('Heat connections'!$M56=1,1,0)</f>
        <v>1</v>
      </c>
      <c r="AB56" s="430">
        <f>IF('Heat connections'!$M56=2,1,0)</f>
        <v>0</v>
      </c>
      <c r="AC56" s="434">
        <f>IF('Heat connections'!$M56=3,1,0)</f>
        <v>0</v>
      </c>
      <c r="AD56" s="46" t="str">
        <f>IF(AND(Heat_connections[[#This Row],[Connected to heat network]]="Yes",Heat_connections[[#This Row],[Ref]]&lt;&gt;"-"),"Yes","No")</f>
        <v>Yes</v>
      </c>
    </row>
    <row r="57" spans="3:30" ht="12.75" x14ac:dyDescent="0.2">
      <c r="C57" s="208" t="str" cm="1">
        <f t="array" ref="C57">IFERROR(_xlfn.XLOOKUP($C$3,Heat_connections_input[#Headers],Heat_connections_input[#This Row],0,0,),"-")</f>
        <v>lHPIWaLoZUVpKsPq</v>
      </c>
      <c r="D57" s="323" cm="1">
        <f t="array" ref="D57">IFERROR(_xlfn.XLOOKUP($D$3,Heat_connections_input[#Headers],Heat_connections_input[#This Row],0,0,),"-")</f>
        <v>0</v>
      </c>
      <c r="E57" s="284" cm="1">
        <f t="array" ref="E57">IFERROR(_xlfn.XLOOKUP($E$3,Heat_connections_input[#Headers],Heat_connections_input[#This Row],0,0,),"-")</f>
        <v>0</v>
      </c>
      <c r="F57" s="259" cm="1">
        <f t="array" ref="F57">IFERROR(_xlfn.XLOOKUP($F$3,Heat_connections_input[#Headers],Heat_connections_input[#This Row],0,0,),0)</f>
        <v>8222.3979999999992</v>
      </c>
      <c r="G57" s="259" cm="1">
        <f t="array" ref="G57">IFERROR(_xlfn.XLOOKUP($G$3,Heat_connections_input[#Headers],Heat_connections_input[#This Row],0,0,),0)</f>
        <v>25.920776</v>
      </c>
      <c r="H57" s="341" cm="1">
        <f t="array" ref="H57">IFERROR(_xlfn.XLOOKUP($H$3,Heat_connections_input[#Headers],Heat_connections_input[#This Row],0,0,),0)</f>
        <v>1</v>
      </c>
      <c r="I57" s="326" cm="1">
        <f t="array" ref="I57">IFERROR(_xlfn.XLOOKUP($I$3,Heat_connections_input[#Headers],Heat_connections_input[#This Row],0,0,),"-")</f>
        <v>0</v>
      </c>
      <c r="J57" s="326" cm="1">
        <f t="array" ref="J57">IFERROR(_xlfn.XLOOKUP($J$3,Heat_connections_input[#Headers],Heat_connections_input[#This Row],0,0,1),"-")</f>
        <v>0</v>
      </c>
      <c r="K57" s="260"/>
      <c r="L57" s="261"/>
      <c r="M57" s="262">
        <v>1</v>
      </c>
      <c r="N57" s="263" t="s">
        <v>107</v>
      </c>
      <c r="O57" s="264">
        <f>IF(Heat_connections[[#This Row],[Ref]]&lt;&gt;"-",
IF(M57=1,Dashboard!$C$26,IF(M57=2,Dashboard!$C$27,Dashboard!$C$28)),"-")</f>
        <v>2027</v>
      </c>
      <c r="P57" s="341">
        <f>IF(Heat_connections[[#This Row],[Category]]="Domestic",Heat_connections[[#This Row],[No. of connections]],0)</f>
        <v>0</v>
      </c>
      <c r="Q57" s="341">
        <f>IF(Heat_connections[[#This Row],[Category]]&lt;&gt;"Domestic",Heat_connections[[#This Row],[No. of connections]],0)</f>
        <v>1</v>
      </c>
      <c r="R57" s="209"/>
      <c r="S57" s="512">
        <f>IF(Heat_connections[[#This Row],[TOID]]&lt;&gt;"-",
IF(ISBLANK('Heat connections'!$R57),Dashboard!$C$14,'Heat connections'!$R57),0)</f>
        <v>8</v>
      </c>
      <c r="T57" s="513">
        <f>IF(Heat_connections[[#This Row],[Peak Demand, kW]]&lt;&gt;0,'Heat connections'!$G57*Dashboard!$C$21,0)</f>
        <v>518.41552000000001</v>
      </c>
      <c r="U57" s="514">
        <f>IF(Heat_connections[[#This Row],[Ref]]&lt;&gt;"-",48.436*Heat_connections[[#This Row],[Peak Demand, kW]]+1068.7,0)</f>
        <v>2324.1987063360002</v>
      </c>
      <c r="V57" s="515">
        <f>IF(Heat_connections[[#This Row],[Ref]]&lt;&gt;"-",
_xlfn.XLOOKUP('Heat connections'!$G57,'Technical inputs'!$F$79:$F$94,'Technical inputs'!$I$79:$I$94,0,1,1),0)</f>
        <v>28145</v>
      </c>
      <c r="W57" s="429">
        <f>IF('Heat connections'!$E57="Domestic",1,0)</f>
        <v>0</v>
      </c>
      <c r="X57" s="430">
        <f>IF(AND(Heat_connections[[#This Row],[Ref]]&lt;&gt;"-",'Heat connections'!$E57&lt;&gt;"Domestic"),1,0)</f>
        <v>1</v>
      </c>
      <c r="Y57" s="434">
        <v>3</v>
      </c>
      <c r="Z57" s="438">
        <f>IF(Heat_connections[[#This Row],[Existing/planned development]]&lt;&gt;0,1,0)</f>
        <v>0</v>
      </c>
      <c r="AA57" s="430">
        <f>IF('Heat connections'!$M57=1,1,0)</f>
        <v>1</v>
      </c>
      <c r="AB57" s="430">
        <f>IF('Heat connections'!$M57=2,1,0)</f>
        <v>0</v>
      </c>
      <c r="AC57" s="434">
        <f>IF('Heat connections'!$M57=3,1,0)</f>
        <v>0</v>
      </c>
      <c r="AD57" s="46" t="str">
        <f>IF(AND(Heat_connections[[#This Row],[Connected to heat network]]="Yes",Heat_connections[[#This Row],[Ref]]&lt;&gt;"-"),"Yes","No")</f>
        <v>Yes</v>
      </c>
    </row>
    <row r="58" spans="3:30" customFormat="1" x14ac:dyDescent="0.25">
      <c r="C58" s="208" t="str" cm="1">
        <f t="array" ref="C58">IFERROR(_xlfn.XLOOKUP($C$3,Heat_connections_input[#Headers],Heat_connections_input[#This Row],0,0,),"-")</f>
        <v>fbdweiA4YBSPBIFg</v>
      </c>
      <c r="D58" s="323" cm="1">
        <f t="array" ref="D58">IFERROR(_xlfn.XLOOKUP($D$3,Heat_connections_input[#Headers],Heat_connections_input[#This Row],0,0,),"-")</f>
        <v>0</v>
      </c>
      <c r="E58" s="284" t="str" cm="1">
        <f t="array" ref="E58">IFERROR(_xlfn.XLOOKUP($E$3,Heat_connections_input[#Headers],Heat_connections_input[#This Row],0,0,),"-")</f>
        <v>Domestic</v>
      </c>
      <c r="F58" s="259" cm="1">
        <f t="array" ref="F58">IFERROR(_xlfn.XLOOKUP($F$3,Heat_connections_input[#Headers],Heat_connections_input[#This Row],0,0,),0)</f>
        <v>20867.715</v>
      </c>
      <c r="G58" s="259" cm="1">
        <f t="array" ref="G58">IFERROR(_xlfn.XLOOKUP($G$3,Heat_connections_input[#Headers],Heat_connections_input[#This Row],0,0,),0)</f>
        <v>32.196648000000003</v>
      </c>
      <c r="H58" s="341" cm="1">
        <f t="array" ref="H58">IFERROR(_xlfn.XLOOKUP($H$3,Heat_connections_input[#Headers],Heat_connections_input[#This Row],0,0,),0)</f>
        <v>7</v>
      </c>
      <c r="I58" s="326" t="str" cm="1">
        <f t="array" ref="I58">IFERROR(_xlfn.XLOOKUP($I$3,Heat_connections_input[#Headers],Heat_connections_input[#This Row],0,0,),"-")</f>
        <v>Residential : Dwelling : Self Contained Flat (Includes Maisonette / Apartment)</v>
      </c>
      <c r="J58" s="326" t="str" cm="1">
        <f t="array" ref="J58">IFERROR(_xlfn.XLOOKUP($J$3,Heat_connections_input[#Headers],Heat_connections_input[#This Row],0,0,1),"-")</f>
        <v>W14 0AW</v>
      </c>
      <c r="K58" s="260"/>
      <c r="L58" s="261"/>
      <c r="M58" s="262">
        <v>1</v>
      </c>
      <c r="N58" s="263" t="s">
        <v>107</v>
      </c>
      <c r="O58" s="264">
        <f>IF(Heat_connections[[#This Row],[Ref]]&lt;&gt;"-",
IF(M58=1,Dashboard!$C$26,IF(M58=2,Dashboard!$C$27,Dashboard!$C$28)),"-")</f>
        <v>2027</v>
      </c>
      <c r="P58" s="341">
        <f>IF(Heat_connections[[#This Row],[Category]]="Domestic",Heat_connections[[#This Row],[No. of connections]],0)</f>
        <v>7</v>
      </c>
      <c r="Q58" s="341">
        <f>IF(Heat_connections[[#This Row],[Category]]&lt;&gt;"Domestic",Heat_connections[[#This Row],[No. of connections]],0)</f>
        <v>0</v>
      </c>
      <c r="R58" s="209"/>
      <c r="S58" s="512">
        <f>IF(Heat_connections[[#This Row],[TOID]]&lt;&gt;"-",
IF(ISBLANK('Heat connections'!$R58),Dashboard!$C$14,'Heat connections'!$R58),0)</f>
        <v>8</v>
      </c>
      <c r="T58" s="513">
        <f>IF(Heat_connections[[#This Row],[Peak Demand, kW]]&lt;&gt;0,'Heat connections'!$G58*Dashboard!$C$21,0)</f>
        <v>643.93296000000009</v>
      </c>
      <c r="U58" s="514">
        <f>IF(Heat_connections[[#This Row],[Ref]]&lt;&gt;"-",48.436*Heat_connections[[#This Row],[Peak Demand, kW]]+1068.7,0)</f>
        <v>2628.1768425280002</v>
      </c>
      <c r="V58" s="515">
        <f>IF(Heat_connections[[#This Row],[Ref]]&lt;&gt;"-",
_xlfn.XLOOKUP('Heat connections'!$G58,'Technical inputs'!$F$79:$F$94,'Technical inputs'!$I$79:$I$94,0,1,1),0)</f>
        <v>28145</v>
      </c>
      <c r="W58" s="429">
        <f>IF('Heat connections'!$E58="Domestic",1,0)</f>
        <v>1</v>
      </c>
      <c r="X58" s="430">
        <f>IF(AND(Heat_connections[[#This Row],[Ref]]&lt;&gt;"-",'Heat connections'!$E58&lt;&gt;"Domestic"),1,0)</f>
        <v>0</v>
      </c>
      <c r="Y58" s="434">
        <v>4</v>
      </c>
      <c r="Z58" s="438">
        <f>IF(Heat_connections[[#This Row],[Existing/planned development]]&lt;&gt;0,1,0)</f>
        <v>0</v>
      </c>
      <c r="AA58" s="430">
        <f>IF('Heat connections'!$M58=1,1,0)</f>
        <v>1</v>
      </c>
      <c r="AB58" s="430">
        <f>IF('Heat connections'!$M58=2,1,0)</f>
        <v>0</v>
      </c>
      <c r="AC58" s="434">
        <f>IF('Heat connections'!$M58=3,1,0)</f>
        <v>0</v>
      </c>
      <c r="AD58" s="46" t="str">
        <f>IF(AND(Heat_connections[[#This Row],[Connected to heat network]]="Yes",Heat_connections[[#This Row],[Ref]]&lt;&gt;"-"),"Yes","No")</f>
        <v>Yes</v>
      </c>
    </row>
    <row r="59" spans="3:30" ht="12.75" x14ac:dyDescent="0.2">
      <c r="C59" s="208" t="str" cm="1">
        <f t="array" ref="C59">IFERROR(_xlfn.XLOOKUP($C$3,Heat_connections_input[#Headers],Heat_connections_input[#This Row],0,0,),"-")</f>
        <v>8qtEdy3BbXzBWGm8</v>
      </c>
      <c r="D59" s="323" cm="1">
        <f t="array" ref="D59">IFERROR(_xlfn.XLOOKUP($D$3,Heat_connections_input[#Headers],Heat_connections_input[#This Row],0,0,),"-")</f>
        <v>0</v>
      </c>
      <c r="E59" s="284" t="str" cm="1">
        <f t="array" ref="E59">IFERROR(_xlfn.XLOOKUP($E$3,Heat_connections_input[#Headers],Heat_connections_input[#This Row],0,0,),"-")</f>
        <v>Offices</v>
      </c>
      <c r="F59" s="259" cm="1">
        <f t="array" ref="F59">IFERROR(_xlfn.XLOOKUP($F$3,Heat_connections_input[#Headers],Heat_connections_input[#This Row],0,0,),0)</f>
        <v>236095.08</v>
      </c>
      <c r="G59" s="259" cm="1">
        <f t="array" ref="G59">IFERROR(_xlfn.XLOOKUP($G$3,Heat_connections_input[#Headers],Heat_connections_input[#This Row],0,0,),0)</f>
        <v>139.01399000000001</v>
      </c>
      <c r="H59" s="341" cm="1">
        <f t="array" ref="H59">IFERROR(_xlfn.XLOOKUP($H$3,Heat_connections_input[#Headers],Heat_connections_input[#This Row],0,0,),0)</f>
        <v>2</v>
      </c>
      <c r="I59" s="326" t="str" cm="1">
        <f t="array" ref="I59">IFERROR(_xlfn.XLOOKUP($I$3,Heat_connections_input[#Headers],Heat_connections_input[#This Row],0,0,),"-")</f>
        <v>Commercial : Office : Office / Work Studio</v>
      </c>
      <c r="J59" s="326" t="str" cm="1">
        <f t="array" ref="J59">IFERROR(_xlfn.XLOOKUP($J$3,Heat_connections_input[#Headers],Heat_connections_input[#This Row],0,0,1),"-")</f>
        <v>W12 8QE</v>
      </c>
      <c r="K59" s="260"/>
      <c r="L59" s="261"/>
      <c r="M59" s="262">
        <v>1</v>
      </c>
      <c r="N59" s="263" t="s">
        <v>107</v>
      </c>
      <c r="O59" s="264">
        <f>IF(Heat_connections[[#This Row],[Ref]]&lt;&gt;"-",
IF(M59=1,Dashboard!$C$26,IF(M59=2,Dashboard!$C$27,Dashboard!$C$28)),"-")</f>
        <v>2027</v>
      </c>
      <c r="P59" s="341">
        <f>IF(Heat_connections[[#This Row],[Category]]="Domestic",Heat_connections[[#This Row],[No. of connections]],0)</f>
        <v>0</v>
      </c>
      <c r="Q59" s="341">
        <f>IF(Heat_connections[[#This Row],[Category]]&lt;&gt;"Domestic",Heat_connections[[#This Row],[No. of connections]],0)</f>
        <v>2</v>
      </c>
      <c r="R59" s="209"/>
      <c r="S59" s="512">
        <f>IF(Heat_connections[[#This Row],[TOID]]&lt;&gt;"-",
IF(ISBLANK('Heat connections'!$R59),Dashboard!$C$14,'Heat connections'!$R59),0)</f>
        <v>8</v>
      </c>
      <c r="T59" s="513">
        <f>IF(Heat_connections[[#This Row],[Peak Demand, kW]]&lt;&gt;0,'Heat connections'!$G59*Dashboard!$C$21,0)</f>
        <v>2780.2798000000003</v>
      </c>
      <c r="U59" s="514">
        <f>IF(Heat_connections[[#This Row],[Ref]]&lt;&gt;"-",48.436*Heat_connections[[#This Row],[Peak Demand, kW]]+1068.7,0)</f>
        <v>7801.9816196399997</v>
      </c>
      <c r="V59" s="515">
        <f>IF(Heat_connections[[#This Row],[Ref]]&lt;&gt;"-",
_xlfn.XLOOKUP('Heat connections'!$G59,'Technical inputs'!$F$79:$F$94,'Technical inputs'!$I$79:$I$94,0,1,1),0)</f>
        <v>33110</v>
      </c>
      <c r="W59" s="429">
        <f>IF('Heat connections'!$E59="Domestic",1,0)</f>
        <v>0</v>
      </c>
      <c r="X59" s="430">
        <f>IF(AND(Heat_connections[[#This Row],[Ref]]&lt;&gt;"-",'Heat connections'!$E59&lt;&gt;"Domestic"),1,0)</f>
        <v>1</v>
      </c>
      <c r="Y59" s="434">
        <v>5</v>
      </c>
      <c r="Z59" s="438">
        <f>IF(Heat_connections[[#This Row],[Existing/planned development]]&lt;&gt;0,1,0)</f>
        <v>0</v>
      </c>
      <c r="AA59" s="430">
        <f>IF('Heat connections'!$M59=1,1,0)</f>
        <v>1</v>
      </c>
      <c r="AB59" s="430">
        <f>IF('Heat connections'!$M59=2,1,0)</f>
        <v>0</v>
      </c>
      <c r="AC59" s="434">
        <f>IF('Heat connections'!$M59=3,1,0)</f>
        <v>0</v>
      </c>
      <c r="AD59" s="46" t="str">
        <f>IF(AND(Heat_connections[[#This Row],[Connected to heat network]]="Yes",Heat_connections[[#This Row],[Ref]]&lt;&gt;"-"),"Yes","No")</f>
        <v>Yes</v>
      </c>
    </row>
    <row r="60" spans="3:30" ht="12.75" x14ac:dyDescent="0.2">
      <c r="C60" s="208" t="str" cm="1">
        <f t="array" ref="C60">IFERROR(_xlfn.XLOOKUP($C$3,Heat_connections_input[#Headers],Heat_connections_input[#This Row],0,0,),"-")</f>
        <v>yRYOZevo2D6rBNWK</v>
      </c>
      <c r="D60" s="323" cm="1">
        <f t="array" ref="D60">IFERROR(_xlfn.XLOOKUP($D$3,Heat_connections_input[#Headers],Heat_connections_input[#This Row],0,0,),"-")</f>
        <v>0</v>
      </c>
      <c r="E60" s="284" t="str" cm="1">
        <f t="array" ref="E60">IFERROR(_xlfn.XLOOKUP($E$3,Heat_connections_input[#Headers],Heat_connections_input[#This Row],0,0,),"-")</f>
        <v>Retail</v>
      </c>
      <c r="F60" s="259" cm="1">
        <f t="array" ref="F60">IFERROR(_xlfn.XLOOKUP($F$3,Heat_connections_input[#Headers],Heat_connections_input[#This Row],0,0,),0)</f>
        <v>1797234.5</v>
      </c>
      <c r="G60" s="259" cm="1">
        <f t="array" ref="G60">IFERROR(_xlfn.XLOOKUP($G$3,Heat_connections_input[#Headers],Heat_connections_input[#This Row],0,0,),0)</f>
        <v>913.8075</v>
      </c>
      <c r="H60" s="341" cm="1">
        <f t="array" ref="H60">IFERROR(_xlfn.XLOOKUP($H$3,Heat_connections_input[#Headers],Heat_connections_input[#This Row],0,0,),0)</f>
        <v>4</v>
      </c>
      <c r="I60" s="326" t="str" cm="1">
        <f t="array" ref="I60">IFERROR(_xlfn.XLOOKUP($I$3,Heat_connections_input[#Headers],Heat_connections_input[#This Row],0,0,),"-")</f>
        <v>Commercial : Retail : Shop / Showroom</v>
      </c>
      <c r="J60" s="326" t="str" cm="1">
        <f t="array" ref="J60">IFERROR(_xlfn.XLOOKUP($J$3,Heat_connections_input[#Headers],Heat_connections_input[#This Row],0,0,1),"-")</f>
        <v>W12 8PP</v>
      </c>
      <c r="K60" s="260"/>
      <c r="L60" s="261"/>
      <c r="M60" s="262">
        <v>1</v>
      </c>
      <c r="N60" s="263" t="s">
        <v>107</v>
      </c>
      <c r="O60" s="264">
        <f>IF(Heat_connections[[#This Row],[Ref]]&lt;&gt;"-",
IF(M60=1,Dashboard!$C$26,IF(M60=2,Dashboard!$C$27,Dashboard!$C$28)),"-")</f>
        <v>2027</v>
      </c>
      <c r="P60" s="341">
        <f>IF(Heat_connections[[#This Row],[Category]]="Domestic",Heat_connections[[#This Row],[No. of connections]],0)</f>
        <v>0</v>
      </c>
      <c r="Q60" s="341">
        <f>IF(Heat_connections[[#This Row],[Category]]&lt;&gt;"Domestic",Heat_connections[[#This Row],[No. of connections]],0)</f>
        <v>4</v>
      </c>
      <c r="R60" s="209"/>
      <c r="S60" s="512">
        <f>IF(Heat_connections[[#This Row],[TOID]]&lt;&gt;"-",
IF(ISBLANK('Heat connections'!$R60),Dashboard!$C$14,'Heat connections'!$R60),0)</f>
        <v>8</v>
      </c>
      <c r="T60" s="513">
        <f>IF(Heat_connections[[#This Row],[Peak Demand, kW]]&lt;&gt;0,'Heat connections'!$G60*Dashboard!$C$21,0)</f>
        <v>18276.150000000001</v>
      </c>
      <c r="U60" s="514">
        <f>IF(Heat_connections[[#This Row],[Ref]]&lt;&gt;"-",48.436*Heat_connections[[#This Row],[Peak Demand, kW]]+1068.7,0)</f>
        <v>45329.880069999999</v>
      </c>
      <c r="V60" s="515">
        <f>IF(Heat_connections[[#This Row],[Ref]]&lt;&gt;"-",
_xlfn.XLOOKUP('Heat connections'!$G60,'Technical inputs'!$F$79:$F$94,'Technical inputs'!$I$79:$I$94,0,1,1),0)</f>
        <v>60941</v>
      </c>
      <c r="W60" s="429">
        <f>IF('Heat connections'!$E60="Domestic",1,0)</f>
        <v>0</v>
      </c>
      <c r="X60" s="430">
        <f>IF(AND(Heat_connections[[#This Row],[Ref]]&lt;&gt;"-",'Heat connections'!$E60&lt;&gt;"Domestic"),1,0)</f>
        <v>1</v>
      </c>
      <c r="Y60" s="434">
        <v>6</v>
      </c>
      <c r="Z60" s="438">
        <f>IF(Heat_connections[[#This Row],[Existing/planned development]]&lt;&gt;0,1,0)</f>
        <v>0</v>
      </c>
      <c r="AA60" s="430">
        <f>IF('Heat connections'!$M60=1,1,0)</f>
        <v>1</v>
      </c>
      <c r="AB60" s="430">
        <f>IF('Heat connections'!$M60=2,1,0)</f>
        <v>0</v>
      </c>
      <c r="AC60" s="434">
        <f>IF('Heat connections'!$M60=3,1,0)</f>
        <v>0</v>
      </c>
      <c r="AD60" s="46" t="str">
        <f>IF(AND(Heat_connections[[#This Row],[Connected to heat network]]="Yes",Heat_connections[[#This Row],[Ref]]&lt;&gt;"-"),"Yes","No")</f>
        <v>Yes</v>
      </c>
    </row>
    <row r="61" spans="3:30" ht="12.75" x14ac:dyDescent="0.2">
      <c r="C61" s="208" t="str" cm="1">
        <f t="array" ref="C61">IFERROR(_xlfn.XLOOKUP($C$3,Heat_connections_input[#Headers],Heat_connections_input[#This Row],0,0,),"-")</f>
        <v>zykEvrH/6godhvGS</v>
      </c>
      <c r="D61" s="323" cm="1">
        <f t="array" ref="D61">IFERROR(_xlfn.XLOOKUP($D$3,Heat_connections_input[#Headers],Heat_connections_input[#This Row],0,0,),"-")</f>
        <v>0</v>
      </c>
      <c r="E61" s="284" t="str" cm="1">
        <f t="array" ref="E61">IFERROR(_xlfn.XLOOKUP($E$3,Heat_connections_input[#Headers],Heat_connections_input[#This Row],0,0,),"-")</f>
        <v>Offices</v>
      </c>
      <c r="F61" s="259" cm="1">
        <f t="array" ref="F61">IFERROR(_xlfn.XLOOKUP($F$3,Heat_connections_input[#Headers],Heat_connections_input[#This Row],0,0,),0)</f>
        <v>9797834</v>
      </c>
      <c r="G61" s="259" cm="1">
        <f t="array" ref="G61">IFERROR(_xlfn.XLOOKUP($G$3,Heat_connections_input[#Headers],Heat_connections_input[#This Row],0,0,),0)</f>
        <v>4884.5050000000001</v>
      </c>
      <c r="H61" s="341" cm="1">
        <f t="array" ref="H61">IFERROR(_xlfn.XLOOKUP($H$3,Heat_connections_input[#Headers],Heat_connections_input[#This Row],0,0,),0)</f>
        <v>17</v>
      </c>
      <c r="I61" s="326" t="str" cm="1">
        <f t="array" ref="I61">IFERROR(_xlfn.XLOOKUP($I$3,Heat_connections_input[#Headers],Heat_connections_input[#This Row],0,0,),"-")</f>
        <v>Commercial : Office : Office / Work Studio</v>
      </c>
      <c r="J61" s="326" t="str" cm="1">
        <f t="array" ref="J61">IFERROR(_xlfn.XLOOKUP($J$3,Heat_connections_input[#Headers],Heat_connections_input[#This Row],0,0,1),"-")</f>
        <v>W12 7FP</v>
      </c>
      <c r="K61" s="260"/>
      <c r="L61" s="261"/>
      <c r="M61" s="262">
        <v>1</v>
      </c>
      <c r="N61" s="263" t="s">
        <v>107</v>
      </c>
      <c r="O61" s="264">
        <f>IF(Heat_connections[[#This Row],[Ref]]&lt;&gt;"-",
IF(M61=1,Dashboard!$C$26,IF(M61=2,Dashboard!$C$27,Dashboard!$C$28)),"-")</f>
        <v>2027</v>
      </c>
      <c r="P61" s="341">
        <f>IF(Heat_connections[[#This Row],[Category]]="Domestic",Heat_connections[[#This Row],[No. of connections]],0)</f>
        <v>0</v>
      </c>
      <c r="Q61" s="341">
        <f>IF(Heat_connections[[#This Row],[Category]]&lt;&gt;"Domestic",Heat_connections[[#This Row],[No. of connections]],0)</f>
        <v>17</v>
      </c>
      <c r="R61" s="209"/>
      <c r="S61" s="512">
        <f>IF(Heat_connections[[#This Row],[TOID]]&lt;&gt;"-",
IF(ISBLANK('Heat connections'!$R61),Dashboard!$C$14,'Heat connections'!$R61),0)</f>
        <v>8</v>
      </c>
      <c r="T61" s="513">
        <f>IF(Heat_connections[[#This Row],[Peak Demand, kW]]&lt;&gt;0,'Heat connections'!$G61*Dashboard!$C$21,0)</f>
        <v>97690.1</v>
      </c>
      <c r="U61" s="514">
        <f>IF(Heat_connections[[#This Row],[Ref]]&lt;&gt;"-",48.436*Heat_connections[[#This Row],[Peak Demand, kW]]+1068.7,0)</f>
        <v>237654.58418000001</v>
      </c>
      <c r="V61" s="515">
        <f>IF(Heat_connections[[#This Row],[Ref]]&lt;&gt;"-",
_xlfn.XLOOKUP('Heat connections'!$G61,'Technical inputs'!$F$79:$F$94,'Technical inputs'!$I$79:$I$94,0,1,1),0)</f>
        <v>0</v>
      </c>
      <c r="W61" s="429">
        <f>IF('Heat connections'!$E61="Domestic",1,0)</f>
        <v>0</v>
      </c>
      <c r="X61" s="430">
        <f>IF(AND(Heat_connections[[#This Row],[Ref]]&lt;&gt;"-",'Heat connections'!$E61&lt;&gt;"Domestic"),1,0)</f>
        <v>1</v>
      </c>
      <c r="Y61" s="434">
        <v>7</v>
      </c>
      <c r="Z61" s="438">
        <f>IF(Heat_connections[[#This Row],[Existing/planned development]]&lt;&gt;0,1,0)</f>
        <v>0</v>
      </c>
      <c r="AA61" s="430">
        <f>IF('Heat connections'!$M61=1,1,0)</f>
        <v>1</v>
      </c>
      <c r="AB61" s="430">
        <f>IF('Heat connections'!$M61=2,1,0)</f>
        <v>0</v>
      </c>
      <c r="AC61" s="434">
        <f>IF('Heat connections'!$M61=3,1,0)</f>
        <v>0</v>
      </c>
      <c r="AD61" s="46" t="str">
        <f>IF(AND(Heat_connections[[#This Row],[Connected to heat network]]="Yes",Heat_connections[[#This Row],[Ref]]&lt;&gt;"-"),"Yes","No")</f>
        <v>Yes</v>
      </c>
    </row>
    <row r="62" spans="3:30" ht="12.75" x14ac:dyDescent="0.2">
      <c r="C62" s="208" t="str" cm="1">
        <f t="array" ref="C62">IFERROR(_xlfn.XLOOKUP($C$3,Heat_connections_input[#Headers],Heat_connections_input[#This Row],0,0,),"-")</f>
        <v>M6NDebNY+MyocxG1</v>
      </c>
      <c r="D62" s="323" cm="1">
        <f t="array" ref="D62">IFERROR(_xlfn.XLOOKUP($D$3,Heat_connections_input[#Headers],Heat_connections_input[#This Row],0,0,),"-")</f>
        <v>0</v>
      </c>
      <c r="E62" s="284" t="str" cm="1">
        <f t="array" ref="E62">IFERROR(_xlfn.XLOOKUP($E$3,Heat_connections_input[#Headers],Heat_connections_input[#This Row],0,0,),"-")</f>
        <v>Education (schools)</v>
      </c>
      <c r="F62" s="259" cm="1">
        <f t="array" ref="F62">IFERROR(_xlfn.XLOOKUP($F$3,Heat_connections_input[#Headers],Heat_connections_input[#This Row],0,0,),0)</f>
        <v>263405.59999999998</v>
      </c>
      <c r="G62" s="259" cm="1">
        <f t="array" ref="G62">IFERROR(_xlfn.XLOOKUP($G$3,Heat_connections_input[#Headers],Heat_connections_input[#This Row],0,0,),0)</f>
        <v>152.56819999999999</v>
      </c>
      <c r="H62" s="341" cm="1">
        <f t="array" ref="H62">IFERROR(_xlfn.XLOOKUP($H$3,Heat_connections_input[#Headers],Heat_connections_input[#This Row],0,0,),0)</f>
        <v>1</v>
      </c>
      <c r="I62" s="326" t="str" cm="1">
        <f t="array" ref="I62">IFERROR(_xlfn.XLOOKUP($I$3,Heat_connections_input[#Headers],Heat_connections_input[#This Row],0,0,),"-")</f>
        <v>Commercial : Education : Children’s Nursery / Crèche</v>
      </c>
      <c r="J62" s="326" t="str" cm="1">
        <f t="array" ref="J62">IFERROR(_xlfn.XLOOKUP($J$3,Heat_connections_input[#Headers],Heat_connections_input[#This Row],0,0,1),"-")</f>
        <v>W12 7PH</v>
      </c>
      <c r="K62" s="260"/>
      <c r="L62" s="261"/>
      <c r="M62" s="262">
        <v>1</v>
      </c>
      <c r="N62" s="263" t="s">
        <v>107</v>
      </c>
      <c r="O62" s="264">
        <f>IF(Heat_connections[[#This Row],[Ref]]&lt;&gt;"-",
IF(M62=1,Dashboard!$C$26,IF(M62=2,Dashboard!$C$27,Dashboard!$C$28)),"-")</f>
        <v>2027</v>
      </c>
      <c r="P62" s="341">
        <f>IF(Heat_connections[[#This Row],[Category]]="Domestic",Heat_connections[[#This Row],[No. of connections]],0)</f>
        <v>0</v>
      </c>
      <c r="Q62" s="341">
        <f>IF(Heat_connections[[#This Row],[Category]]&lt;&gt;"Domestic",Heat_connections[[#This Row],[No. of connections]],0)</f>
        <v>1</v>
      </c>
      <c r="R62" s="209"/>
      <c r="S62" s="512">
        <f>IF(Heat_connections[[#This Row],[TOID]]&lt;&gt;"-",
IF(ISBLANK('Heat connections'!$R62),Dashboard!$C$14,'Heat connections'!$R62),0)</f>
        <v>8</v>
      </c>
      <c r="T62" s="513">
        <f>IF(Heat_connections[[#This Row],[Peak Demand, kW]]&lt;&gt;0,'Heat connections'!$G62*Dashboard!$C$21,0)</f>
        <v>3051.3639999999996</v>
      </c>
      <c r="U62" s="514">
        <f>IF(Heat_connections[[#This Row],[Ref]]&lt;&gt;"-",48.436*Heat_connections[[#This Row],[Peak Demand, kW]]+1068.7,0)</f>
        <v>8458.4933351999989</v>
      </c>
      <c r="V62" s="515">
        <f>IF(Heat_connections[[#This Row],[Ref]]&lt;&gt;"-",
_xlfn.XLOOKUP('Heat connections'!$G62,'Technical inputs'!$F$79:$F$94,'Technical inputs'!$I$79:$I$94,0,1,1),0)</f>
        <v>33110</v>
      </c>
      <c r="W62" s="429">
        <f>IF('Heat connections'!$E62="Domestic",1,0)</f>
        <v>0</v>
      </c>
      <c r="X62" s="430">
        <f>IF(AND(Heat_connections[[#This Row],[Ref]]&lt;&gt;"-",'Heat connections'!$E62&lt;&gt;"Domestic"),1,0)</f>
        <v>1</v>
      </c>
      <c r="Y62" s="434">
        <v>8</v>
      </c>
      <c r="Z62" s="438">
        <f>IF(Heat_connections[[#This Row],[Existing/planned development]]&lt;&gt;0,1,0)</f>
        <v>0</v>
      </c>
      <c r="AA62" s="430">
        <f>IF('Heat connections'!$M62=1,1,0)</f>
        <v>1</v>
      </c>
      <c r="AB62" s="430">
        <f>IF('Heat connections'!$M62=2,1,0)</f>
        <v>0</v>
      </c>
      <c r="AC62" s="434">
        <f>IF('Heat connections'!$M62=3,1,0)</f>
        <v>0</v>
      </c>
      <c r="AD62" s="46" t="str">
        <f>IF(AND(Heat_connections[[#This Row],[Connected to heat network]]="Yes",Heat_connections[[#This Row],[Ref]]&lt;&gt;"-"),"Yes","No")</f>
        <v>Yes</v>
      </c>
    </row>
    <row r="63" spans="3:30" ht="12.75" x14ac:dyDescent="0.2">
      <c r="C63" s="208" t="str" cm="1">
        <f t="array" ref="C63">IFERROR(_xlfn.XLOOKUP($C$3,Heat_connections_input[#Headers],Heat_connections_input[#This Row],0,0,),"-")</f>
        <v>npJEvLnZ1gWs4lTV</v>
      </c>
      <c r="D63" s="323" cm="1">
        <f t="array" ref="D63">IFERROR(_xlfn.XLOOKUP($D$3,Heat_connections_input[#Headers],Heat_connections_input[#This Row],0,0,),"-")</f>
        <v>0</v>
      </c>
      <c r="E63" s="284" t="str" cm="1">
        <f t="array" ref="E63">IFERROR(_xlfn.XLOOKUP($E$3,Heat_connections_input[#Headers],Heat_connections_input[#This Row],0,0,),"-")</f>
        <v>Local authority buildings</v>
      </c>
      <c r="F63" s="259" cm="1">
        <f t="array" ref="F63">IFERROR(_xlfn.XLOOKUP($F$3,Heat_connections_input[#Headers],Heat_connections_input[#This Row],0,0,),0)</f>
        <v>240600.73</v>
      </c>
      <c r="G63" s="259" cm="1">
        <f t="array" ref="G63">IFERROR(_xlfn.XLOOKUP($G$3,Heat_connections_input[#Headers],Heat_connections_input[#This Row],0,0,),0)</f>
        <v>141.25014999999999</v>
      </c>
      <c r="H63" s="341" cm="1">
        <f t="array" ref="H63">IFERROR(_xlfn.XLOOKUP($H$3,Heat_connections_input[#Headers],Heat_connections_input[#This Row],0,0,),0)</f>
        <v>1</v>
      </c>
      <c r="I63" s="326" t="str" cm="1">
        <f t="array" ref="I63">IFERROR(_xlfn.XLOOKUP($I$3,Heat_connections_input[#Headers],Heat_connections_input[#This Row],0,0,),"-")</f>
        <v>Commercial : Community Services : Public / Village Hall / Other Community Facility</v>
      </c>
      <c r="J63" s="326" t="str" cm="1">
        <f t="array" ref="J63">IFERROR(_xlfn.XLOOKUP($J$3,Heat_connections_input[#Headers],Heat_connections_input[#This Row],0,0,1),"-")</f>
        <v>W14 0LR</v>
      </c>
      <c r="K63" s="260"/>
      <c r="L63" s="261"/>
      <c r="M63" s="262">
        <v>1</v>
      </c>
      <c r="N63" s="263" t="s">
        <v>107</v>
      </c>
      <c r="O63" s="264">
        <f>IF(Heat_connections[[#This Row],[Ref]]&lt;&gt;"-",
IF(M63=1,Dashboard!$C$26,IF(M63=2,Dashboard!$C$27,Dashboard!$C$28)),"-")</f>
        <v>2027</v>
      </c>
      <c r="P63" s="341">
        <f>IF(Heat_connections[[#This Row],[Category]]="Domestic",Heat_connections[[#This Row],[No. of connections]],0)</f>
        <v>0</v>
      </c>
      <c r="Q63" s="341">
        <f>IF(Heat_connections[[#This Row],[Category]]&lt;&gt;"Domestic",Heat_connections[[#This Row],[No. of connections]],0)</f>
        <v>1</v>
      </c>
      <c r="R63" s="209"/>
      <c r="S63" s="512">
        <f>IF(Heat_connections[[#This Row],[TOID]]&lt;&gt;"-",
IF(ISBLANK('Heat connections'!$R63),Dashboard!$C$14,'Heat connections'!$R63),0)</f>
        <v>8</v>
      </c>
      <c r="T63" s="513">
        <f>IF(Heat_connections[[#This Row],[Peak Demand, kW]]&lt;&gt;0,'Heat connections'!$G63*Dashboard!$C$21,0)</f>
        <v>2825.0029999999997</v>
      </c>
      <c r="U63" s="514">
        <f>IF(Heat_connections[[#This Row],[Ref]]&lt;&gt;"-",48.436*Heat_connections[[#This Row],[Peak Demand, kW]]+1068.7,0)</f>
        <v>7910.2922653999995</v>
      </c>
      <c r="V63" s="515">
        <f>IF(Heat_connections[[#This Row],[Ref]]&lt;&gt;"-",
_xlfn.XLOOKUP('Heat connections'!$G63,'Technical inputs'!$F$79:$F$94,'Technical inputs'!$I$79:$I$94,0,1,1),0)</f>
        <v>33110</v>
      </c>
      <c r="W63" s="429">
        <f>IF('Heat connections'!$E63="Domestic",1,0)</f>
        <v>0</v>
      </c>
      <c r="X63" s="430">
        <f>IF(AND(Heat_connections[[#This Row],[Ref]]&lt;&gt;"-",'Heat connections'!$E63&lt;&gt;"Domestic"),1,0)</f>
        <v>1</v>
      </c>
      <c r="Y63" s="434">
        <v>9</v>
      </c>
      <c r="Z63" s="438">
        <f>IF(Heat_connections[[#This Row],[Existing/planned development]]&lt;&gt;0,1,0)</f>
        <v>0</v>
      </c>
      <c r="AA63" s="430">
        <f>IF('Heat connections'!$M63=1,1,0)</f>
        <v>1</v>
      </c>
      <c r="AB63" s="430">
        <f>IF('Heat connections'!$M63=2,1,0)</f>
        <v>0</v>
      </c>
      <c r="AC63" s="434">
        <f>IF('Heat connections'!$M63=3,1,0)</f>
        <v>0</v>
      </c>
      <c r="AD63" s="46" t="str">
        <f>IF(AND(Heat_connections[[#This Row],[Connected to heat network]]="Yes",Heat_connections[[#This Row],[Ref]]&lt;&gt;"-"),"Yes","No")</f>
        <v>Yes</v>
      </c>
    </row>
    <row r="64" spans="3:30" ht="12.75" x14ac:dyDescent="0.2">
      <c r="C64" s="208" t="str" cm="1">
        <f t="array" ref="C64">IFERROR(_xlfn.XLOOKUP($C$3,Heat_connections_input[#Headers],Heat_connections_input[#This Row],0,0,),"-")</f>
        <v>58kY34AP1draSs7Z</v>
      </c>
      <c r="D64" s="323" cm="1">
        <f t="array" ref="D64">IFERROR(_xlfn.XLOOKUP($D$3,Heat_connections_input[#Headers],Heat_connections_input[#This Row],0,0,),"-")</f>
        <v>0</v>
      </c>
      <c r="E64" s="284" cm="1">
        <f t="array" ref="E64">IFERROR(_xlfn.XLOOKUP($E$3,Heat_connections_input[#Headers],Heat_connections_input[#This Row],0,0,),"-")</f>
        <v>0</v>
      </c>
      <c r="F64" s="259" cm="1">
        <f t="array" ref="F64">IFERROR(_xlfn.XLOOKUP($F$3,Heat_connections_input[#Headers],Heat_connections_input[#This Row],0,0,),0)</f>
        <v>7712.5293000000001</v>
      </c>
      <c r="G64" s="259" cm="1">
        <f t="array" ref="G64">IFERROR(_xlfn.XLOOKUP($G$3,Heat_connections_input[#Headers],Heat_connections_input[#This Row],0,0,),0)</f>
        <v>25.667728</v>
      </c>
      <c r="H64" s="341" cm="1">
        <f t="array" ref="H64">IFERROR(_xlfn.XLOOKUP($H$3,Heat_connections_input[#Headers],Heat_connections_input[#This Row],0,0,),0)</f>
        <v>1</v>
      </c>
      <c r="I64" s="326" cm="1">
        <f t="array" ref="I64">IFERROR(_xlfn.XLOOKUP($I$3,Heat_connections_input[#Headers],Heat_connections_input[#This Row],0,0,),"-")</f>
        <v>0</v>
      </c>
      <c r="J64" s="326" cm="1">
        <f t="array" ref="J64">IFERROR(_xlfn.XLOOKUP($J$3,Heat_connections_input[#Headers],Heat_connections_input[#This Row],0,0,1),"-")</f>
        <v>0</v>
      </c>
      <c r="K64" s="260"/>
      <c r="L64" s="261"/>
      <c r="M64" s="262">
        <v>1</v>
      </c>
      <c r="N64" s="263" t="s">
        <v>107</v>
      </c>
      <c r="O64" s="264">
        <f>IF(Heat_connections[[#This Row],[Ref]]&lt;&gt;"-",
IF(M64=1,Dashboard!$C$26,IF(M64=2,Dashboard!$C$27,Dashboard!$C$28)),"-")</f>
        <v>2027</v>
      </c>
      <c r="P64" s="341">
        <f>IF(Heat_connections[[#This Row],[Category]]="Domestic",Heat_connections[[#This Row],[No. of connections]],0)</f>
        <v>0</v>
      </c>
      <c r="Q64" s="341">
        <f>IF(Heat_connections[[#This Row],[Category]]&lt;&gt;"Domestic",Heat_connections[[#This Row],[No. of connections]],0)</f>
        <v>1</v>
      </c>
      <c r="R64" s="209"/>
      <c r="S64" s="512">
        <f>IF(Heat_connections[[#This Row],[TOID]]&lt;&gt;"-",
IF(ISBLANK('Heat connections'!$R64),Dashboard!$C$14,'Heat connections'!$R64),0)</f>
        <v>8</v>
      </c>
      <c r="T64" s="513">
        <f>IF(Heat_connections[[#This Row],[Peak Demand, kW]]&lt;&gt;0,'Heat connections'!$G64*Dashboard!$C$21,0)</f>
        <v>513.35455999999999</v>
      </c>
      <c r="U64" s="514">
        <f>IF(Heat_connections[[#This Row],[Ref]]&lt;&gt;"-",48.436*Heat_connections[[#This Row],[Peak Demand, kW]]+1068.7,0)</f>
        <v>2311.9420734080004</v>
      </c>
      <c r="V64" s="515">
        <f>IF(Heat_connections[[#This Row],[Ref]]&lt;&gt;"-",
_xlfn.XLOOKUP('Heat connections'!$G64,'Technical inputs'!$F$79:$F$94,'Technical inputs'!$I$79:$I$94,0,1,1),0)</f>
        <v>28145</v>
      </c>
      <c r="W64" s="429">
        <f>IF('Heat connections'!$E64="Domestic",1,0)</f>
        <v>0</v>
      </c>
      <c r="X64" s="430">
        <f>IF(AND(Heat_connections[[#This Row],[Ref]]&lt;&gt;"-",'Heat connections'!$E64&lt;&gt;"Domestic"),1,0)</f>
        <v>1</v>
      </c>
      <c r="Y64" s="434">
        <v>10</v>
      </c>
      <c r="Z64" s="438">
        <f>IF(Heat_connections[[#This Row],[Existing/planned development]]&lt;&gt;0,1,0)</f>
        <v>0</v>
      </c>
      <c r="AA64" s="430">
        <f>IF('Heat connections'!$M64=1,1,0)</f>
        <v>1</v>
      </c>
      <c r="AB64" s="430">
        <f>IF('Heat connections'!$M64=2,1,0)</f>
        <v>0</v>
      </c>
      <c r="AC64" s="434">
        <f>IF('Heat connections'!$M64=3,1,0)</f>
        <v>0</v>
      </c>
      <c r="AD64" s="46" t="str">
        <f>IF(AND(Heat_connections[[#This Row],[Connected to heat network]]="Yes",Heat_connections[[#This Row],[Ref]]&lt;&gt;"-"),"Yes","No")</f>
        <v>Yes</v>
      </c>
    </row>
    <row r="65" spans="3:30" ht="12.75" x14ac:dyDescent="0.2">
      <c r="C65" s="208" t="str" cm="1">
        <f t="array" ref="C65">IFERROR(_xlfn.XLOOKUP($C$3,Heat_connections_input[#Headers],Heat_connections_input[#This Row],0,0,),"-")</f>
        <v>MCT//yxFJ4u36j33</v>
      </c>
      <c r="D65" s="323" cm="1">
        <f t="array" ref="D65">IFERROR(_xlfn.XLOOKUP($D$3,Heat_connections_input[#Headers],Heat_connections_input[#This Row],0,0,),"-")</f>
        <v>0</v>
      </c>
      <c r="E65" s="284" t="str" cm="1">
        <f t="array" ref="E65">IFERROR(_xlfn.XLOOKUP($E$3,Heat_connections_input[#Headers],Heat_connections_input[#This Row],0,0,),"-")</f>
        <v>Offices</v>
      </c>
      <c r="F65" s="259" cm="1">
        <f t="array" ref="F65">IFERROR(_xlfn.XLOOKUP($F$3,Heat_connections_input[#Headers],Heat_connections_input[#This Row],0,0,),0)</f>
        <v>370161.06</v>
      </c>
      <c r="G65" s="259" cm="1">
        <f t="array" ref="G65">IFERROR(_xlfn.XLOOKUP($G$3,Heat_connections_input[#Headers],Heat_connections_input[#This Row],0,0,),0)</f>
        <v>205.55092999999999</v>
      </c>
      <c r="H65" s="341" cm="1">
        <f t="array" ref="H65">IFERROR(_xlfn.XLOOKUP($H$3,Heat_connections_input[#Headers],Heat_connections_input[#This Row],0,0,),0)</f>
        <v>6</v>
      </c>
      <c r="I65" s="326" t="str" cm="1">
        <f t="array" ref="I65">IFERROR(_xlfn.XLOOKUP($I$3,Heat_connections_input[#Headers],Heat_connections_input[#This Row],0,0,),"-")</f>
        <v>Commercial</v>
      </c>
      <c r="J65" s="326" t="str" cm="1">
        <f t="array" ref="J65">IFERROR(_xlfn.XLOOKUP($J$3,Heat_connections_input[#Headers],Heat_connections_input[#This Row],0,0,1),"-")</f>
        <v>W14 0DJ</v>
      </c>
      <c r="K65" s="260"/>
      <c r="L65" s="261"/>
      <c r="M65" s="262">
        <v>1</v>
      </c>
      <c r="N65" s="263" t="s">
        <v>107</v>
      </c>
      <c r="O65" s="264">
        <f>IF(Heat_connections[[#This Row],[Ref]]&lt;&gt;"-",
IF(M65=1,Dashboard!$C$26,IF(M65=2,Dashboard!$C$27,Dashboard!$C$28)),"-")</f>
        <v>2027</v>
      </c>
      <c r="P65" s="341">
        <f>IF(Heat_connections[[#This Row],[Category]]="Domestic",Heat_connections[[#This Row],[No. of connections]],0)</f>
        <v>0</v>
      </c>
      <c r="Q65" s="341">
        <f>IF(Heat_connections[[#This Row],[Category]]&lt;&gt;"Domestic",Heat_connections[[#This Row],[No. of connections]],0)</f>
        <v>6</v>
      </c>
      <c r="R65" s="209"/>
      <c r="S65" s="512">
        <f>IF(Heat_connections[[#This Row],[TOID]]&lt;&gt;"-",
IF(ISBLANK('Heat connections'!$R65),Dashboard!$C$14,'Heat connections'!$R65),0)</f>
        <v>8</v>
      </c>
      <c r="T65" s="513">
        <f>IF(Heat_connections[[#This Row],[Peak Demand, kW]]&lt;&gt;0,'Heat connections'!$G65*Dashboard!$C$21,0)</f>
        <v>4111.0185999999994</v>
      </c>
      <c r="U65" s="514">
        <f>IF(Heat_connections[[#This Row],[Ref]]&lt;&gt;"-",48.436*Heat_connections[[#This Row],[Peak Demand, kW]]+1068.7,0)</f>
        <v>11024.76484548</v>
      </c>
      <c r="V65" s="515">
        <f>IF(Heat_connections[[#This Row],[Ref]]&lt;&gt;"-",
_xlfn.XLOOKUP('Heat connections'!$G65,'Technical inputs'!$F$79:$F$94,'Technical inputs'!$I$79:$I$94,0,1,1),0)</f>
        <v>39765</v>
      </c>
      <c r="W65" s="429">
        <f>IF('Heat connections'!$E65="Domestic",1,0)</f>
        <v>0</v>
      </c>
      <c r="X65" s="430">
        <f>IF(AND(Heat_connections[[#This Row],[Ref]]&lt;&gt;"-",'Heat connections'!$E65&lt;&gt;"Domestic"),1,0)</f>
        <v>1</v>
      </c>
      <c r="Y65" s="434">
        <v>11</v>
      </c>
      <c r="Z65" s="438">
        <f>IF(Heat_connections[[#This Row],[Existing/planned development]]&lt;&gt;0,1,0)</f>
        <v>0</v>
      </c>
      <c r="AA65" s="430">
        <f>IF('Heat connections'!$M65=1,1,0)</f>
        <v>1</v>
      </c>
      <c r="AB65" s="430">
        <f>IF('Heat connections'!$M65=2,1,0)</f>
        <v>0</v>
      </c>
      <c r="AC65" s="434">
        <f>IF('Heat connections'!$M65=3,1,0)</f>
        <v>0</v>
      </c>
      <c r="AD65" s="46" t="str">
        <f>IF(AND(Heat_connections[[#This Row],[Connected to heat network]]="Yes",Heat_connections[[#This Row],[Ref]]&lt;&gt;"-"),"Yes","No")</f>
        <v>Yes</v>
      </c>
    </row>
    <row r="66" spans="3:30" ht="12.75" x14ac:dyDescent="0.2">
      <c r="C66" s="208" t="str" cm="1">
        <f t="array" ref="C66">IFERROR(_xlfn.XLOOKUP($C$3,Heat_connections_input[#Headers],Heat_connections_input[#This Row],0,0,),"-")</f>
        <v>rhL2l600hOZ5t4+Z</v>
      </c>
      <c r="D66" s="323" cm="1">
        <f t="array" ref="D66">IFERROR(_xlfn.XLOOKUP($D$3,Heat_connections_input[#Headers],Heat_connections_input[#This Row],0,0,),"-")</f>
        <v>0</v>
      </c>
      <c r="E66" s="284" cm="1">
        <f t="array" ref="E66">IFERROR(_xlfn.XLOOKUP($E$3,Heat_connections_input[#Headers],Heat_connections_input[#This Row],0,0,),"-")</f>
        <v>0</v>
      </c>
      <c r="F66" s="259" cm="1">
        <f t="array" ref="F66">IFERROR(_xlfn.XLOOKUP($F$3,Heat_connections_input[#Headers],Heat_connections_input[#This Row],0,0,),0)</f>
        <v>28019.585999999999</v>
      </c>
      <c r="G66" s="259" cm="1">
        <f t="array" ref="G66">IFERROR(_xlfn.XLOOKUP($G$3,Heat_connections_input[#Headers],Heat_connections_input[#This Row],0,0,),0)</f>
        <v>35.746119999999998</v>
      </c>
      <c r="H66" s="341" cm="1">
        <f t="array" ref="H66">IFERROR(_xlfn.XLOOKUP($H$3,Heat_connections_input[#Headers],Heat_connections_input[#This Row],0,0,),0)</f>
        <v>1</v>
      </c>
      <c r="I66" s="326" cm="1">
        <f t="array" ref="I66">IFERROR(_xlfn.XLOOKUP($I$3,Heat_connections_input[#Headers],Heat_connections_input[#This Row],0,0,),"-")</f>
        <v>0</v>
      </c>
      <c r="J66" s="326" cm="1">
        <f t="array" ref="J66">IFERROR(_xlfn.XLOOKUP($J$3,Heat_connections_input[#Headers],Heat_connections_input[#This Row],0,0,1),"-")</f>
        <v>0</v>
      </c>
      <c r="K66" s="260"/>
      <c r="L66" s="261"/>
      <c r="M66" s="262">
        <v>1</v>
      </c>
      <c r="N66" s="263" t="s">
        <v>107</v>
      </c>
      <c r="O66" s="264">
        <f>IF(Heat_connections[[#This Row],[Ref]]&lt;&gt;"-",
IF(M66=1,Dashboard!$C$26,IF(M66=2,Dashboard!$C$27,Dashboard!$C$28)),"-")</f>
        <v>2027</v>
      </c>
      <c r="P66" s="341">
        <f>IF(Heat_connections[[#This Row],[Category]]="Domestic",Heat_connections[[#This Row],[No. of connections]],0)</f>
        <v>0</v>
      </c>
      <c r="Q66" s="341">
        <f>IF(Heat_connections[[#This Row],[Category]]&lt;&gt;"Domestic",Heat_connections[[#This Row],[No. of connections]],0)</f>
        <v>1</v>
      </c>
      <c r="R66" s="209"/>
      <c r="S66" s="512">
        <f>IF(Heat_connections[[#This Row],[TOID]]&lt;&gt;"-",
IF(ISBLANK('Heat connections'!$R66),Dashboard!$C$14,'Heat connections'!$R66),0)</f>
        <v>8</v>
      </c>
      <c r="T66" s="513">
        <f>IF(Heat_connections[[#This Row],[Peak Demand, kW]]&lt;&gt;0,'Heat connections'!$G66*Dashboard!$C$21,0)</f>
        <v>714.92239999999993</v>
      </c>
      <c r="U66" s="514">
        <f>IF(Heat_connections[[#This Row],[Ref]]&lt;&gt;"-",48.436*Heat_connections[[#This Row],[Peak Demand, kW]]+1068.7,0)</f>
        <v>2800.0990683199998</v>
      </c>
      <c r="V66" s="515">
        <f>IF(Heat_connections[[#This Row],[Ref]]&lt;&gt;"-",
_xlfn.XLOOKUP('Heat connections'!$G66,'Technical inputs'!$F$79:$F$94,'Technical inputs'!$I$79:$I$94,0,1,1),0)</f>
        <v>28145</v>
      </c>
      <c r="W66" s="429">
        <f>IF('Heat connections'!$E66="Domestic",1,0)</f>
        <v>0</v>
      </c>
      <c r="X66" s="430">
        <f>IF(AND(Heat_connections[[#This Row],[Ref]]&lt;&gt;"-",'Heat connections'!$E66&lt;&gt;"Domestic"),1,0)</f>
        <v>1</v>
      </c>
      <c r="Y66" s="434">
        <v>12</v>
      </c>
      <c r="Z66" s="438">
        <f>IF(Heat_connections[[#This Row],[Existing/planned development]]&lt;&gt;0,1,0)</f>
        <v>0</v>
      </c>
      <c r="AA66" s="430">
        <f>IF('Heat connections'!$M66=1,1,0)</f>
        <v>1</v>
      </c>
      <c r="AB66" s="430">
        <f>IF('Heat connections'!$M66=2,1,0)</f>
        <v>0</v>
      </c>
      <c r="AC66" s="434">
        <f>IF('Heat connections'!$M66=3,1,0)</f>
        <v>0</v>
      </c>
      <c r="AD66" s="46" t="str">
        <f>IF(AND(Heat_connections[[#This Row],[Connected to heat network]]="Yes",Heat_connections[[#This Row],[Ref]]&lt;&gt;"-"),"Yes","No")</f>
        <v>Yes</v>
      </c>
    </row>
    <row r="67" spans="3:30" ht="12.75" x14ac:dyDescent="0.2">
      <c r="C67" s="208" t="str" cm="1">
        <f t="array" ref="C67">IFERROR(_xlfn.XLOOKUP($C$3,Heat_connections_input[#Headers],Heat_connections_input[#This Row],0,0,),"-")</f>
        <v>lPwOM2ba/andBCjY</v>
      </c>
      <c r="D67" s="323" cm="1">
        <f t="array" ref="D67">IFERROR(_xlfn.XLOOKUP($D$3,Heat_connections_input[#Headers],Heat_connections_input[#This Row],0,0,),"-")</f>
        <v>0</v>
      </c>
      <c r="E67" s="284" t="str" cm="1">
        <f t="array" ref="E67">IFERROR(_xlfn.XLOOKUP($E$3,Heat_connections_input[#Headers],Heat_connections_input[#This Row],0,0,),"-")</f>
        <v>Local authority buildings</v>
      </c>
      <c r="F67" s="259" cm="1">
        <f t="array" ref="F67">IFERROR(_xlfn.XLOOKUP($F$3,Heat_connections_input[#Headers],Heat_connections_input[#This Row],0,0,),0)</f>
        <v>67435.490000000005</v>
      </c>
      <c r="G67" s="259" cm="1">
        <f t="array" ref="G67">IFERROR(_xlfn.XLOOKUP($G$3,Heat_connections_input[#Headers],Heat_connections_input[#This Row],0,0,),0)</f>
        <v>55.308235000000003</v>
      </c>
      <c r="H67" s="341" cm="1">
        <f t="array" ref="H67">IFERROR(_xlfn.XLOOKUP($H$3,Heat_connections_input[#Headers],Heat_connections_input[#This Row],0,0,),0)</f>
        <v>1</v>
      </c>
      <c r="I67" s="326" t="str" cm="1">
        <f t="array" ref="I67">IFERROR(_xlfn.XLOOKUP($I$3,Heat_connections_input[#Headers],Heat_connections_input[#This Row],0,0,),"-")</f>
        <v>Commercial : Community Services</v>
      </c>
      <c r="J67" s="326" t="str" cm="1">
        <f t="array" ref="J67">IFERROR(_xlfn.XLOOKUP($J$3,Heat_connections_input[#Headers],Heat_connections_input[#This Row],0,0,1),"-")</f>
        <v>W12 0SP</v>
      </c>
      <c r="K67" s="260"/>
      <c r="L67" s="261"/>
      <c r="M67" s="262">
        <v>1</v>
      </c>
      <c r="N67" s="263" t="s">
        <v>107</v>
      </c>
      <c r="O67" s="264">
        <f>IF(Heat_connections[[#This Row],[Ref]]&lt;&gt;"-",
IF(M67=1,Dashboard!$C$26,IF(M67=2,Dashboard!$C$27,Dashboard!$C$28)),"-")</f>
        <v>2027</v>
      </c>
      <c r="P67" s="341">
        <f>IF(Heat_connections[[#This Row],[Category]]="Domestic",Heat_connections[[#This Row],[No. of connections]],0)</f>
        <v>0</v>
      </c>
      <c r="Q67" s="341">
        <f>IF(Heat_connections[[#This Row],[Category]]&lt;&gt;"Domestic",Heat_connections[[#This Row],[No. of connections]],0)</f>
        <v>1</v>
      </c>
      <c r="R67" s="209"/>
      <c r="S67" s="512">
        <f>IF(Heat_connections[[#This Row],[TOID]]&lt;&gt;"-",
IF(ISBLANK('Heat connections'!$R67),Dashboard!$C$14,'Heat connections'!$R67),0)</f>
        <v>8</v>
      </c>
      <c r="T67" s="513">
        <f>IF(Heat_connections[[#This Row],[Peak Demand, kW]]&lt;&gt;0,'Heat connections'!$G67*Dashboard!$C$21,0)</f>
        <v>1106.1647</v>
      </c>
      <c r="U67" s="514">
        <f>IF(Heat_connections[[#This Row],[Ref]]&lt;&gt;"-",48.436*Heat_connections[[#This Row],[Peak Demand, kW]]+1068.7,0)</f>
        <v>3747.6096704600004</v>
      </c>
      <c r="V67" s="515">
        <f>IF(Heat_connections[[#This Row],[Ref]]&lt;&gt;"-",
_xlfn.XLOOKUP('Heat connections'!$G67,'Technical inputs'!$F$79:$F$94,'Technical inputs'!$I$79:$I$94,0,1,1),0)</f>
        <v>28145</v>
      </c>
      <c r="W67" s="429">
        <f>IF('Heat connections'!$E67="Domestic",1,0)</f>
        <v>0</v>
      </c>
      <c r="X67" s="430">
        <f>IF(AND(Heat_connections[[#This Row],[Ref]]&lt;&gt;"-",'Heat connections'!$E67&lt;&gt;"Domestic"),1,0)</f>
        <v>1</v>
      </c>
      <c r="Y67" s="434">
        <v>13</v>
      </c>
      <c r="Z67" s="438">
        <f>IF(Heat_connections[[#This Row],[Existing/planned development]]&lt;&gt;0,1,0)</f>
        <v>0</v>
      </c>
      <c r="AA67" s="430">
        <f>IF('Heat connections'!$M67=1,1,0)</f>
        <v>1</v>
      </c>
      <c r="AB67" s="430">
        <f>IF('Heat connections'!$M67=2,1,0)</f>
        <v>0</v>
      </c>
      <c r="AC67" s="434">
        <f>IF('Heat connections'!$M67=3,1,0)</f>
        <v>0</v>
      </c>
      <c r="AD67" s="46" t="str">
        <f>IF(AND(Heat_connections[[#This Row],[Connected to heat network]]="Yes",Heat_connections[[#This Row],[Ref]]&lt;&gt;"-"),"Yes","No")</f>
        <v>Yes</v>
      </c>
    </row>
    <row r="68" spans="3:30" ht="12.75" x14ac:dyDescent="0.2">
      <c r="C68" s="208" t="str" cm="1">
        <f t="array" ref="C68">IFERROR(_xlfn.XLOOKUP($C$3,Heat_connections_input[#Headers],Heat_connections_input[#This Row],0,0,),"-")</f>
        <v>R/vBDAdqnUkBwEtf</v>
      </c>
      <c r="D68" s="323" cm="1">
        <f t="array" ref="D68">IFERROR(_xlfn.XLOOKUP($D$3,Heat_connections_input[#Headers],Heat_connections_input[#This Row],0,0,),"-")</f>
        <v>0</v>
      </c>
      <c r="E68" s="284" t="str" cm="1">
        <f t="array" ref="E68">IFERROR(_xlfn.XLOOKUP($E$3,Heat_connections_input[#Headers],Heat_connections_input[#This Row],0,0,),"-")</f>
        <v>Education (further and higher)</v>
      </c>
      <c r="F68" s="259" cm="1">
        <f t="array" ref="F68">IFERROR(_xlfn.XLOOKUP($F$3,Heat_connections_input[#Headers],Heat_connections_input[#This Row],0,0,),0)</f>
        <v>137677.47</v>
      </c>
      <c r="G68" s="259" cm="1">
        <f t="array" ref="G68">IFERROR(_xlfn.XLOOKUP($G$3,Heat_connections_input[#Headers],Heat_connections_input[#This Row],0,0,),0)</f>
        <v>90.169330000000002</v>
      </c>
      <c r="H68" s="341" cm="1">
        <f t="array" ref="H68">IFERROR(_xlfn.XLOOKUP($H$3,Heat_connections_input[#Headers],Heat_connections_input[#This Row],0,0,),0)</f>
        <v>1</v>
      </c>
      <c r="I68" s="326" t="str" cm="1">
        <f t="array" ref="I68">IFERROR(_xlfn.XLOOKUP($I$3,Heat_connections_input[#Headers],Heat_connections_input[#This Row],0,0,),"-")</f>
        <v>Commercial : Retail : Public House / Bar / Nightclub</v>
      </c>
      <c r="J68" s="326" t="str" cm="1">
        <f t="array" ref="J68">IFERROR(_xlfn.XLOOKUP($J$3,Heat_connections_input[#Headers],Heat_connections_input[#This Row],0,0,1),"-")</f>
        <v>W12 7PA</v>
      </c>
      <c r="K68" s="260"/>
      <c r="L68" s="261"/>
      <c r="M68" s="262">
        <v>1</v>
      </c>
      <c r="N68" s="263" t="s">
        <v>107</v>
      </c>
      <c r="O68" s="264">
        <f>IF(Heat_connections[[#This Row],[Ref]]&lt;&gt;"-",
IF(M68=1,Dashboard!$C$26,IF(M68=2,Dashboard!$C$27,Dashboard!$C$28)),"-")</f>
        <v>2027</v>
      </c>
      <c r="P68" s="341">
        <f>IF(Heat_connections[[#This Row],[Category]]="Domestic",Heat_connections[[#This Row],[No. of connections]],0)</f>
        <v>0</v>
      </c>
      <c r="Q68" s="341">
        <f>IF(Heat_connections[[#This Row],[Category]]&lt;&gt;"Domestic",Heat_connections[[#This Row],[No. of connections]],0)</f>
        <v>1</v>
      </c>
      <c r="R68" s="209"/>
      <c r="S68" s="512">
        <f>IF(Heat_connections[[#This Row],[TOID]]&lt;&gt;"-",
IF(ISBLANK('Heat connections'!$R68),Dashboard!$C$14,'Heat connections'!$R68),0)</f>
        <v>8</v>
      </c>
      <c r="T68" s="513">
        <f>IF(Heat_connections[[#This Row],[Peak Demand, kW]]&lt;&gt;0,'Heat connections'!$G68*Dashboard!$C$21,0)</f>
        <v>1803.3866</v>
      </c>
      <c r="U68" s="514">
        <f>IF(Heat_connections[[#This Row],[Ref]]&lt;&gt;"-",48.436*Heat_connections[[#This Row],[Peak Demand, kW]]+1068.7,0)</f>
        <v>5436.1416678799997</v>
      </c>
      <c r="V68" s="515">
        <f>IF(Heat_connections[[#This Row],[Ref]]&lt;&gt;"-",
_xlfn.XLOOKUP('Heat connections'!$G68,'Technical inputs'!$F$79:$F$94,'Technical inputs'!$I$79:$I$94,0,1,1),0)</f>
        <v>28145</v>
      </c>
      <c r="W68" s="429">
        <f>IF('Heat connections'!$E68="Domestic",1,0)</f>
        <v>0</v>
      </c>
      <c r="X68" s="430">
        <f>IF(AND(Heat_connections[[#This Row],[Ref]]&lt;&gt;"-",'Heat connections'!$E68&lt;&gt;"Domestic"),1,0)</f>
        <v>1</v>
      </c>
      <c r="Y68" s="434">
        <v>14</v>
      </c>
      <c r="Z68" s="438">
        <f>IF(Heat_connections[[#This Row],[Existing/planned development]]&lt;&gt;0,1,0)</f>
        <v>0</v>
      </c>
      <c r="AA68" s="430">
        <f>IF('Heat connections'!$M68=1,1,0)</f>
        <v>1</v>
      </c>
      <c r="AB68" s="430">
        <f>IF('Heat connections'!$M68=2,1,0)</f>
        <v>0</v>
      </c>
      <c r="AC68" s="434">
        <f>IF('Heat connections'!$M68=3,1,0)</f>
        <v>0</v>
      </c>
      <c r="AD68" s="46" t="str">
        <f>IF(AND(Heat_connections[[#This Row],[Connected to heat network]]="Yes",Heat_connections[[#This Row],[Ref]]&lt;&gt;"-"),"Yes","No")</f>
        <v>Yes</v>
      </c>
    </row>
    <row r="69" spans="3:30" ht="12.75" x14ac:dyDescent="0.2">
      <c r="C69" s="208" t="str" cm="1">
        <f t="array" ref="C69">IFERROR(_xlfn.XLOOKUP($C$3,Heat_connections_input[#Headers],Heat_connections_input[#This Row],0,0,),"-")</f>
        <v>VhV9tapaUB+Kwmb4</v>
      </c>
      <c r="D69" s="323" cm="1">
        <f t="array" ref="D69">IFERROR(_xlfn.XLOOKUP($D$3,Heat_connections_input[#Headers],Heat_connections_input[#This Row],0,0,),"-")</f>
        <v>0</v>
      </c>
      <c r="E69" s="284" t="str" cm="1">
        <f t="array" ref="E69">IFERROR(_xlfn.XLOOKUP($E$3,Heat_connections_input[#Headers],Heat_connections_input[#This Row],0,0,),"-")</f>
        <v>Domestic</v>
      </c>
      <c r="F69" s="259" cm="1">
        <f t="array" ref="F69">IFERROR(_xlfn.XLOOKUP($F$3,Heat_connections_input[#Headers],Heat_connections_input[#This Row],0,0,),0)</f>
        <v>94708.233999999997</v>
      </c>
      <c r="G69" s="259" cm="1">
        <f t="array" ref="G69">IFERROR(_xlfn.XLOOKUP($G$3,Heat_connections_input[#Headers],Heat_connections_input[#This Row],0,0,),0)</f>
        <v>68.843699999999998</v>
      </c>
      <c r="H69" s="341" cm="1">
        <f t="array" ref="H69">IFERROR(_xlfn.XLOOKUP($H$3,Heat_connections_input[#Headers],Heat_connections_input[#This Row],0,0,),0)</f>
        <v>10</v>
      </c>
      <c r="I69" s="326" t="str" cm="1">
        <f t="array" ref="I69">IFERROR(_xlfn.XLOOKUP($I$3,Heat_connections_input[#Headers],Heat_connections_input[#This Row],0,0,),"-")</f>
        <v>Residential : Dwelling : Self Contained Flat (Includes Maisonette / Apartment)</v>
      </c>
      <c r="J69" s="326" t="str" cm="1">
        <f t="array" ref="J69">IFERROR(_xlfn.XLOOKUP($J$3,Heat_connections_input[#Headers],Heat_connections_input[#This Row],0,0,1),"-")</f>
        <v>W12 7JA</v>
      </c>
      <c r="K69" s="260"/>
      <c r="L69" s="261"/>
      <c r="M69" s="262">
        <v>1</v>
      </c>
      <c r="N69" s="263" t="s">
        <v>107</v>
      </c>
      <c r="O69" s="264">
        <f>IF(Heat_connections[[#This Row],[Ref]]&lt;&gt;"-",
IF(M69=1,Dashboard!$C$26,IF(M69=2,Dashboard!$C$27,Dashboard!$C$28)),"-")</f>
        <v>2027</v>
      </c>
      <c r="P69" s="341">
        <f>IF(Heat_connections[[#This Row],[Category]]="Domestic",Heat_connections[[#This Row],[No. of connections]],0)</f>
        <v>10</v>
      </c>
      <c r="Q69" s="341">
        <f>IF(Heat_connections[[#This Row],[Category]]&lt;&gt;"Domestic",Heat_connections[[#This Row],[No. of connections]],0)</f>
        <v>0</v>
      </c>
      <c r="R69" s="209"/>
      <c r="S69" s="512">
        <f>IF(Heat_connections[[#This Row],[TOID]]&lt;&gt;"-",
IF(ISBLANK('Heat connections'!$R69),Dashboard!$C$14,'Heat connections'!$R69),0)</f>
        <v>8</v>
      </c>
      <c r="T69" s="513">
        <f>IF(Heat_connections[[#This Row],[Peak Demand, kW]]&lt;&gt;0,'Heat connections'!$G69*Dashboard!$C$21,0)</f>
        <v>1376.874</v>
      </c>
      <c r="U69" s="514">
        <f>IF(Heat_connections[[#This Row],[Ref]]&lt;&gt;"-",48.436*Heat_connections[[#This Row],[Peak Demand, kW]]+1068.7,0)</f>
        <v>4403.2134532</v>
      </c>
      <c r="V69" s="515">
        <f>IF(Heat_connections[[#This Row],[Ref]]&lt;&gt;"-",
_xlfn.XLOOKUP('Heat connections'!$G69,'Technical inputs'!$F$79:$F$94,'Technical inputs'!$I$79:$I$94,0,1,1),0)</f>
        <v>28145</v>
      </c>
      <c r="W69" s="429">
        <f>IF('Heat connections'!$E69="Domestic",1,0)</f>
        <v>1</v>
      </c>
      <c r="X69" s="430">
        <f>IF(AND(Heat_connections[[#This Row],[Ref]]&lt;&gt;"-",'Heat connections'!$E69&lt;&gt;"Domestic"),1,0)</f>
        <v>0</v>
      </c>
      <c r="Y69" s="434">
        <v>15</v>
      </c>
      <c r="Z69" s="438">
        <f>IF(Heat_connections[[#This Row],[Existing/planned development]]&lt;&gt;0,1,0)</f>
        <v>0</v>
      </c>
      <c r="AA69" s="430">
        <f>IF('Heat connections'!$M69=1,1,0)</f>
        <v>1</v>
      </c>
      <c r="AB69" s="430">
        <f>IF('Heat connections'!$M69=2,1,0)</f>
        <v>0</v>
      </c>
      <c r="AC69" s="434">
        <f>IF('Heat connections'!$M69=3,1,0)</f>
        <v>0</v>
      </c>
      <c r="AD69" s="46" t="str">
        <f>IF(AND(Heat_connections[[#This Row],[Connected to heat network]]="Yes",Heat_connections[[#This Row],[Ref]]&lt;&gt;"-"),"Yes","No")</f>
        <v>Yes</v>
      </c>
    </row>
    <row r="70" spans="3:30" ht="12.75" x14ac:dyDescent="0.2">
      <c r="C70" s="208" t="str" cm="1">
        <f t="array" ref="C70">IFERROR(_xlfn.XLOOKUP($C$3,Heat_connections_input[#Headers],Heat_connections_input[#This Row],0,0,),"-")</f>
        <v>gwPefbvbvR7B7XMp</v>
      </c>
      <c r="D70" s="323" cm="1">
        <f t="array" ref="D70">IFERROR(_xlfn.XLOOKUP($D$3,Heat_connections_input[#Headers],Heat_connections_input[#This Row],0,0,),"-")</f>
        <v>0</v>
      </c>
      <c r="E70" s="284" t="str" cm="1">
        <f t="array" ref="E70">IFERROR(_xlfn.XLOOKUP($E$3,Heat_connections_input[#Headers],Heat_connections_input[#This Row],0,0,),"-")</f>
        <v>Domestic</v>
      </c>
      <c r="F70" s="259" cm="1">
        <f t="array" ref="F70">IFERROR(_xlfn.XLOOKUP($F$3,Heat_connections_input[#Headers],Heat_connections_input[#This Row],0,0,),0)</f>
        <v>14904.642</v>
      </c>
      <c r="G70" s="259" cm="1">
        <f t="array" ref="G70">IFERROR(_xlfn.XLOOKUP($G$3,Heat_connections_input[#Headers],Heat_connections_input[#This Row],0,0,),0)</f>
        <v>29.237172999999999</v>
      </c>
      <c r="H70" s="341" cm="1">
        <f t="array" ref="H70">IFERROR(_xlfn.XLOOKUP($H$3,Heat_connections_input[#Headers],Heat_connections_input[#This Row],0,0,),0)</f>
        <v>1</v>
      </c>
      <c r="I70" s="326" t="str" cm="1">
        <f t="array" ref="I70">IFERROR(_xlfn.XLOOKUP($I$3,Heat_connections_input[#Headers],Heat_connections_input[#This Row],0,0,),"-")</f>
        <v>Residential : Dwelling</v>
      </c>
      <c r="J70" s="326" t="str" cm="1">
        <f t="array" ref="J70">IFERROR(_xlfn.XLOOKUP($J$3,Heat_connections_input[#Headers],Heat_connections_input[#This Row],0,0,1),"-")</f>
        <v>W14 0AB</v>
      </c>
      <c r="K70" s="260"/>
      <c r="L70" s="261"/>
      <c r="M70" s="262">
        <v>1</v>
      </c>
      <c r="N70" s="263" t="s">
        <v>107</v>
      </c>
      <c r="O70" s="264">
        <f>IF(Heat_connections[[#This Row],[Ref]]&lt;&gt;"-",
IF(M70=1,Dashboard!$C$26,IF(M70=2,Dashboard!$C$27,Dashboard!$C$28)),"-")</f>
        <v>2027</v>
      </c>
      <c r="P70" s="341">
        <f>IF(Heat_connections[[#This Row],[Category]]="Domestic",Heat_connections[[#This Row],[No. of connections]],0)</f>
        <v>1</v>
      </c>
      <c r="Q70" s="341">
        <f>IF(Heat_connections[[#This Row],[Category]]&lt;&gt;"Domestic",Heat_connections[[#This Row],[No. of connections]],0)</f>
        <v>0</v>
      </c>
      <c r="R70" s="209"/>
      <c r="S70" s="512">
        <f>IF(Heat_connections[[#This Row],[TOID]]&lt;&gt;"-",
IF(ISBLANK('Heat connections'!$R70),Dashboard!$C$14,'Heat connections'!$R70),0)</f>
        <v>8</v>
      </c>
      <c r="T70" s="513">
        <f>IF(Heat_connections[[#This Row],[Peak Demand, kW]]&lt;&gt;0,'Heat connections'!$G70*Dashboard!$C$21,0)</f>
        <v>584.74345999999991</v>
      </c>
      <c r="U70" s="514">
        <f>IF(Heat_connections[[#This Row],[Ref]]&lt;&gt;"-",48.436*Heat_connections[[#This Row],[Peak Demand, kW]]+1068.7,0)</f>
        <v>2484.8317114279998</v>
      </c>
      <c r="V70" s="515">
        <f>IF(Heat_connections[[#This Row],[Ref]]&lt;&gt;"-",
_xlfn.XLOOKUP('Heat connections'!$G70,'Technical inputs'!$F$79:$F$94,'Technical inputs'!$I$79:$I$94,0,1,1),0)</f>
        <v>28145</v>
      </c>
      <c r="W70" s="429">
        <f>IF('Heat connections'!$E70="Domestic",1,0)</f>
        <v>1</v>
      </c>
      <c r="X70" s="430">
        <f>IF(AND(Heat_connections[[#This Row],[Ref]]&lt;&gt;"-",'Heat connections'!$E70&lt;&gt;"Domestic"),1,0)</f>
        <v>0</v>
      </c>
      <c r="Y70" s="434">
        <v>16</v>
      </c>
      <c r="Z70" s="438">
        <f>IF(Heat_connections[[#This Row],[Existing/planned development]]&lt;&gt;0,1,0)</f>
        <v>0</v>
      </c>
      <c r="AA70" s="430">
        <f>IF('Heat connections'!$M70=1,1,0)</f>
        <v>1</v>
      </c>
      <c r="AB70" s="430">
        <f>IF('Heat connections'!$M70=2,1,0)</f>
        <v>0</v>
      </c>
      <c r="AC70" s="434">
        <f>IF('Heat connections'!$M70=3,1,0)</f>
        <v>0</v>
      </c>
      <c r="AD70" s="46" t="str">
        <f>IF(AND(Heat_connections[[#This Row],[Connected to heat network]]="Yes",Heat_connections[[#This Row],[Ref]]&lt;&gt;"-"),"Yes","No")</f>
        <v>Yes</v>
      </c>
    </row>
    <row r="71" spans="3:30" ht="12.75" x14ac:dyDescent="0.2">
      <c r="C71" s="208" t="str" cm="1">
        <f t="array" ref="C71">IFERROR(_xlfn.XLOOKUP($C$3,Heat_connections_input[#Headers],Heat_connections_input[#This Row],0,0,),"-")</f>
        <v>-</v>
      </c>
      <c r="D71" s="323" t="str" cm="1">
        <f t="array" ref="D71">IFERROR(_xlfn.XLOOKUP($D$3,Heat_connections_input[#Headers],Heat_connections_input[#This Row],0,0,),"-")</f>
        <v>-</v>
      </c>
      <c r="E71" s="284" t="str" cm="1">
        <f t="array" ref="E71">IFERROR(_xlfn.XLOOKUP($E$3,Heat_connections_input[#Headers],Heat_connections_input[#This Row],0,0,),"-")</f>
        <v>-</v>
      </c>
      <c r="F71" s="259" cm="1">
        <f t="array" ref="F71">IFERROR(_xlfn.XLOOKUP($F$3,Heat_connections_input[#Headers],Heat_connections_input[#This Row],0,0,),0)</f>
        <v>0</v>
      </c>
      <c r="G71" s="259" cm="1">
        <f t="array" ref="G71">IFERROR(_xlfn.XLOOKUP($G$3,Heat_connections_input[#Headers],Heat_connections_input[#This Row],0,0,),0)</f>
        <v>0</v>
      </c>
      <c r="H71" s="341" cm="1">
        <f t="array" ref="H71">IFERROR(_xlfn.XLOOKUP($H$3,Heat_connections_input[#Headers],Heat_connections_input[#This Row],0,0,),0)</f>
        <v>0</v>
      </c>
      <c r="I71" s="326" t="str" cm="1">
        <f t="array" ref="I71">IFERROR(_xlfn.XLOOKUP($I$3,Heat_connections_input[#Headers],Heat_connections_input[#This Row],0,0,),"-")</f>
        <v>-</v>
      </c>
      <c r="J71" s="326" t="str" cm="1">
        <f t="array" ref="J71">IFERROR(_xlfn.XLOOKUP($J$3,Heat_connections_input[#Headers],Heat_connections_input[#This Row],0,0,1),"-")</f>
        <v>-</v>
      </c>
      <c r="K71" s="260"/>
      <c r="L71" s="261"/>
      <c r="M71" s="262"/>
      <c r="N71" s="263"/>
      <c r="O71" s="264" t="str">
        <f>IF(Heat_connections[[#This Row],[Ref]]&lt;&gt;"-",
IF(M71=1,Dashboard!$C$26,IF(M71=2,Dashboard!$C$27,Dashboard!$C$28)),"-")</f>
        <v>-</v>
      </c>
      <c r="P71" s="341">
        <f>IF(Heat_connections[[#This Row],[Category]]="Domestic",Heat_connections[[#This Row],[No. of connections]],0)</f>
        <v>0</v>
      </c>
      <c r="Q71" s="341">
        <f>IF(Heat_connections[[#This Row],[Category]]&lt;&gt;"Domestic",Heat_connections[[#This Row],[No. of connections]],0)</f>
        <v>0</v>
      </c>
      <c r="R71" s="209"/>
      <c r="S71" s="512">
        <f>IF(Heat_connections[[#This Row],[TOID]]&lt;&gt;"-",
IF(ISBLANK('Heat connections'!$R71),Dashboard!$C$14,'Heat connections'!$R71),0)</f>
        <v>0</v>
      </c>
      <c r="T71" s="513">
        <f>IF(Heat_connections[[#This Row],[Peak Demand, kW]]&lt;&gt;0,'Heat connections'!$G71*Dashboard!$C$21,0)</f>
        <v>0</v>
      </c>
      <c r="U71" s="514">
        <f>IF(Heat_connections[[#This Row],[Ref]]&lt;&gt;"-",48.436*Heat_connections[[#This Row],[Peak Demand, kW]]+1068.7,0)</f>
        <v>0</v>
      </c>
      <c r="V71" s="515">
        <f>IF(Heat_connections[[#This Row],[Ref]]&lt;&gt;"-",
_xlfn.XLOOKUP('Heat connections'!$G71,'Technical inputs'!$F$79:$F$94,'Technical inputs'!$I$79:$I$94,0,1,1),0)</f>
        <v>0</v>
      </c>
      <c r="W71" s="429">
        <f>IF('Heat connections'!$E71="Domestic",1,0)</f>
        <v>0</v>
      </c>
      <c r="X71" s="430">
        <f>IF(AND(Heat_connections[[#This Row],[Ref]]&lt;&gt;"-",'Heat connections'!$E71&lt;&gt;"Domestic"),1,0)</f>
        <v>0</v>
      </c>
      <c r="Y71" s="434">
        <v>17</v>
      </c>
      <c r="Z71" s="438">
        <f>IF(Heat_connections[[#This Row],[Existing/planned development]]&lt;&gt;0,1,0)</f>
        <v>0</v>
      </c>
      <c r="AA71" s="430">
        <f>IF('Heat connections'!$M71=1,1,0)</f>
        <v>0</v>
      </c>
      <c r="AB71" s="430">
        <f>IF('Heat connections'!$M71=2,1,0)</f>
        <v>0</v>
      </c>
      <c r="AC71" s="434">
        <f>IF('Heat connections'!$M71=3,1,0)</f>
        <v>0</v>
      </c>
      <c r="AD71" s="46" t="str">
        <f>IF(AND(Heat_connections[[#This Row],[Connected to heat network]]="Yes",Heat_connections[[#This Row],[Ref]]&lt;&gt;"-"),"Yes","No")</f>
        <v>No</v>
      </c>
    </row>
    <row r="72" spans="3:30" ht="12.75" x14ac:dyDescent="0.2">
      <c r="C72" s="208" t="str" cm="1">
        <f t="array" ref="C72">IFERROR(_xlfn.XLOOKUP($C$3,Heat_connections_input[#Headers],Heat_connections_input[#This Row],0,0,),"-")</f>
        <v>-</v>
      </c>
      <c r="D72" s="323" t="str" cm="1">
        <f t="array" ref="D72">IFERROR(_xlfn.XLOOKUP($D$3,Heat_connections_input[#Headers],Heat_connections_input[#This Row],0,0,),"-")</f>
        <v>-</v>
      </c>
      <c r="E72" s="284" t="str" cm="1">
        <f t="array" ref="E72">IFERROR(_xlfn.XLOOKUP($E$3,Heat_connections_input[#Headers],Heat_connections_input[#This Row],0,0,),"-")</f>
        <v>-</v>
      </c>
      <c r="F72" s="259" cm="1">
        <f t="array" ref="F72">IFERROR(_xlfn.XLOOKUP($F$3,Heat_connections_input[#Headers],Heat_connections_input[#This Row],0,0,),0)</f>
        <v>0</v>
      </c>
      <c r="G72" s="259" cm="1">
        <f t="array" ref="G72">IFERROR(_xlfn.XLOOKUP($G$3,Heat_connections_input[#Headers],Heat_connections_input[#This Row],0,0,),0)</f>
        <v>0</v>
      </c>
      <c r="H72" s="341" cm="1">
        <f t="array" ref="H72">IFERROR(_xlfn.XLOOKUP($H$3,Heat_connections_input[#Headers],Heat_connections_input[#This Row],0,0,),0)</f>
        <v>0</v>
      </c>
      <c r="I72" s="326" t="str" cm="1">
        <f t="array" ref="I72">IFERROR(_xlfn.XLOOKUP($I$3,Heat_connections_input[#Headers],Heat_connections_input[#This Row],0,0,),"-")</f>
        <v>-</v>
      </c>
      <c r="J72" s="326" t="str" cm="1">
        <f t="array" ref="J72">IFERROR(_xlfn.XLOOKUP($J$3,Heat_connections_input[#Headers],Heat_connections_input[#This Row],0,0,1),"-")</f>
        <v>-</v>
      </c>
      <c r="K72" s="260"/>
      <c r="L72" s="261"/>
      <c r="M72" s="262"/>
      <c r="N72" s="263"/>
      <c r="O72" s="264" t="str">
        <f>IF(Heat_connections[[#This Row],[Ref]]&lt;&gt;"-",
IF(M72=1,Dashboard!$C$26,IF(M72=2,Dashboard!$C$27,Dashboard!$C$28)),"-")</f>
        <v>-</v>
      </c>
      <c r="P72" s="341">
        <f>IF(Heat_connections[[#This Row],[Category]]="Domestic",Heat_connections[[#This Row],[No. of connections]],0)</f>
        <v>0</v>
      </c>
      <c r="Q72" s="341">
        <f>IF(Heat_connections[[#This Row],[Category]]&lt;&gt;"Domestic",Heat_connections[[#This Row],[No. of connections]],0)</f>
        <v>0</v>
      </c>
      <c r="R72" s="209"/>
      <c r="S72" s="512">
        <f>IF(Heat_connections[[#This Row],[TOID]]&lt;&gt;"-",
IF(ISBLANK('Heat connections'!$R72),Dashboard!$C$14,'Heat connections'!$R72),0)</f>
        <v>0</v>
      </c>
      <c r="T72" s="513">
        <f>IF(Heat_connections[[#This Row],[Peak Demand, kW]]&lt;&gt;0,'Heat connections'!$G72*Dashboard!$C$21,0)</f>
        <v>0</v>
      </c>
      <c r="U72" s="514">
        <f>IF(Heat_connections[[#This Row],[Ref]]&lt;&gt;"-",48.436*Heat_connections[[#This Row],[Peak Demand, kW]]+1068.7,0)</f>
        <v>0</v>
      </c>
      <c r="V72" s="515">
        <f>IF(Heat_connections[[#This Row],[Ref]]&lt;&gt;"-",
_xlfn.XLOOKUP('Heat connections'!$G72,'Technical inputs'!$F$79:$F$94,'Technical inputs'!$I$79:$I$94,0,1,1),0)</f>
        <v>0</v>
      </c>
      <c r="W72" s="429">
        <f>IF('Heat connections'!$E72="Domestic",1,0)</f>
        <v>0</v>
      </c>
      <c r="X72" s="430">
        <f>IF(AND(Heat_connections[[#This Row],[Ref]]&lt;&gt;"-",'Heat connections'!$E72&lt;&gt;"Domestic"),1,0)</f>
        <v>0</v>
      </c>
      <c r="Y72" s="434">
        <v>18</v>
      </c>
      <c r="Z72" s="438">
        <f>IF(Heat_connections[[#This Row],[Existing/planned development]]&lt;&gt;0,1,0)</f>
        <v>0</v>
      </c>
      <c r="AA72" s="430">
        <f>IF('Heat connections'!$M72=1,1,0)</f>
        <v>0</v>
      </c>
      <c r="AB72" s="430">
        <f>IF('Heat connections'!$M72=2,1,0)</f>
        <v>0</v>
      </c>
      <c r="AC72" s="434">
        <f>IF('Heat connections'!$M72=3,1,0)</f>
        <v>0</v>
      </c>
      <c r="AD72" s="46" t="str">
        <f>IF(AND(Heat_connections[[#This Row],[Connected to heat network]]="Yes",Heat_connections[[#This Row],[Ref]]&lt;&gt;"-"),"Yes","No")</f>
        <v>No</v>
      </c>
    </row>
    <row r="73" spans="3:30" ht="12.75" x14ac:dyDescent="0.2">
      <c r="C73" s="208" t="str" cm="1">
        <f t="array" ref="C73">IFERROR(_xlfn.XLOOKUP($C$3,Heat_connections_input[#Headers],Heat_connections_input[#This Row],0,0,),"-")</f>
        <v>-</v>
      </c>
      <c r="D73" s="323" t="str" cm="1">
        <f t="array" ref="D73">IFERROR(_xlfn.XLOOKUP($D$3,Heat_connections_input[#Headers],Heat_connections_input[#This Row],0,0,),"-")</f>
        <v>-</v>
      </c>
      <c r="E73" s="284" t="str" cm="1">
        <f t="array" ref="E73">IFERROR(_xlfn.XLOOKUP($E$3,Heat_connections_input[#Headers],Heat_connections_input[#This Row],0,0,),"-")</f>
        <v>-</v>
      </c>
      <c r="F73" s="259" cm="1">
        <f t="array" ref="F73">IFERROR(_xlfn.XLOOKUP($F$3,Heat_connections_input[#Headers],Heat_connections_input[#This Row],0,0,),0)</f>
        <v>0</v>
      </c>
      <c r="G73" s="259" cm="1">
        <f t="array" ref="G73">IFERROR(_xlfn.XLOOKUP($G$3,Heat_connections_input[#Headers],Heat_connections_input[#This Row],0,0,),0)</f>
        <v>0</v>
      </c>
      <c r="H73" s="341" cm="1">
        <f t="array" ref="H73">IFERROR(_xlfn.XLOOKUP($H$3,Heat_connections_input[#Headers],Heat_connections_input[#This Row],0,0,),0)</f>
        <v>0</v>
      </c>
      <c r="I73" s="326" t="str" cm="1">
        <f t="array" ref="I73">IFERROR(_xlfn.XLOOKUP($I$3,Heat_connections_input[#Headers],Heat_connections_input[#This Row],0,0,),"-")</f>
        <v>-</v>
      </c>
      <c r="J73" s="326" t="str" cm="1">
        <f t="array" ref="J73">IFERROR(_xlfn.XLOOKUP($J$3,Heat_connections_input[#Headers],Heat_connections_input[#This Row],0,0,1),"-")</f>
        <v>-</v>
      </c>
      <c r="K73" s="260"/>
      <c r="L73" s="261"/>
      <c r="M73" s="262"/>
      <c r="N73" s="263"/>
      <c r="O73" s="264" t="str">
        <f>IF(Heat_connections[[#This Row],[Ref]]&lt;&gt;"-",
IF(M73=1,Dashboard!$C$26,IF(M73=2,Dashboard!$C$27,Dashboard!$C$28)),"-")</f>
        <v>-</v>
      </c>
      <c r="P73" s="341">
        <f>IF(Heat_connections[[#This Row],[Category]]="Domestic",Heat_connections[[#This Row],[No. of connections]],0)</f>
        <v>0</v>
      </c>
      <c r="Q73" s="341">
        <f>IF(Heat_connections[[#This Row],[Category]]&lt;&gt;"Domestic",Heat_connections[[#This Row],[No. of connections]],0)</f>
        <v>0</v>
      </c>
      <c r="R73" s="209"/>
      <c r="S73" s="512">
        <f>IF(Heat_connections[[#This Row],[TOID]]&lt;&gt;"-",
IF(ISBLANK('Heat connections'!$R73),Dashboard!$C$14,'Heat connections'!$R73),0)</f>
        <v>0</v>
      </c>
      <c r="T73" s="513">
        <f>IF(Heat_connections[[#This Row],[Peak Demand, kW]]&lt;&gt;0,'Heat connections'!$G73*Dashboard!$C$21,0)</f>
        <v>0</v>
      </c>
      <c r="U73" s="514">
        <f>IF(Heat_connections[[#This Row],[Ref]]&lt;&gt;"-",48.436*Heat_connections[[#This Row],[Peak Demand, kW]]+1068.7,0)</f>
        <v>0</v>
      </c>
      <c r="V73" s="515">
        <f>IF(Heat_connections[[#This Row],[Ref]]&lt;&gt;"-",
_xlfn.XLOOKUP('Heat connections'!$G73,'Technical inputs'!$F$79:$F$94,'Technical inputs'!$I$79:$I$94,0,1,1),0)</f>
        <v>0</v>
      </c>
      <c r="W73" s="429">
        <f>IF('Heat connections'!$E73="Domestic",1,0)</f>
        <v>0</v>
      </c>
      <c r="X73" s="430">
        <f>IF(AND(Heat_connections[[#This Row],[Ref]]&lt;&gt;"-",'Heat connections'!$E73&lt;&gt;"Domestic"),1,0)</f>
        <v>0</v>
      </c>
      <c r="Y73" s="434">
        <v>19</v>
      </c>
      <c r="Z73" s="438">
        <f>IF(Heat_connections[[#This Row],[Existing/planned development]]&lt;&gt;0,1,0)</f>
        <v>0</v>
      </c>
      <c r="AA73" s="430">
        <f>IF('Heat connections'!$M73=1,1,0)</f>
        <v>0</v>
      </c>
      <c r="AB73" s="430">
        <f>IF('Heat connections'!$M73=2,1,0)</f>
        <v>0</v>
      </c>
      <c r="AC73" s="434">
        <f>IF('Heat connections'!$M73=3,1,0)</f>
        <v>0</v>
      </c>
      <c r="AD73" s="46" t="str">
        <f>IF(AND(Heat_connections[[#This Row],[Connected to heat network]]="Yes",Heat_connections[[#This Row],[Ref]]&lt;&gt;"-"),"Yes","No")</f>
        <v>No</v>
      </c>
    </row>
    <row r="74" spans="3:30" ht="12.75" x14ac:dyDescent="0.2">
      <c r="C74" s="208" t="str" cm="1">
        <f t="array" ref="C74">IFERROR(_xlfn.XLOOKUP($C$3,Heat_connections_input[#Headers],Heat_connections_input[#This Row],0,0,),"-")</f>
        <v>-</v>
      </c>
      <c r="D74" s="323" t="str" cm="1">
        <f t="array" ref="D74">IFERROR(_xlfn.XLOOKUP($D$3,Heat_connections_input[#Headers],Heat_connections_input[#This Row],0,0,),"-")</f>
        <v>-</v>
      </c>
      <c r="E74" s="284" t="str" cm="1">
        <f t="array" ref="E74">IFERROR(_xlfn.XLOOKUP($E$3,Heat_connections_input[#Headers],Heat_connections_input[#This Row],0,0,),"-")</f>
        <v>-</v>
      </c>
      <c r="F74" s="259" cm="1">
        <f t="array" ref="F74">IFERROR(_xlfn.XLOOKUP($F$3,Heat_connections_input[#Headers],Heat_connections_input[#This Row],0,0,),0)</f>
        <v>0</v>
      </c>
      <c r="G74" s="259" cm="1">
        <f t="array" ref="G74">IFERROR(_xlfn.XLOOKUP($G$3,Heat_connections_input[#Headers],Heat_connections_input[#This Row],0,0,),0)</f>
        <v>0</v>
      </c>
      <c r="H74" s="341" cm="1">
        <f t="array" ref="H74">IFERROR(_xlfn.XLOOKUP($H$3,Heat_connections_input[#Headers],Heat_connections_input[#This Row],0,0,),0)</f>
        <v>0</v>
      </c>
      <c r="I74" s="326" t="str" cm="1">
        <f t="array" ref="I74">IFERROR(_xlfn.XLOOKUP($I$3,Heat_connections_input[#Headers],Heat_connections_input[#This Row],0,0,),"-")</f>
        <v>-</v>
      </c>
      <c r="J74" s="326" t="str" cm="1">
        <f t="array" ref="J74">IFERROR(_xlfn.XLOOKUP($J$3,Heat_connections_input[#Headers],Heat_connections_input[#This Row],0,0,1),"-")</f>
        <v>-</v>
      </c>
      <c r="K74" s="260"/>
      <c r="L74" s="261"/>
      <c r="M74" s="262"/>
      <c r="N74" s="263"/>
      <c r="O74" s="264" t="str">
        <f>IF(Heat_connections[[#This Row],[Ref]]&lt;&gt;"-",
IF(M74=1,Dashboard!$C$26,IF(M74=2,Dashboard!$C$27,Dashboard!$C$28)),"-")</f>
        <v>-</v>
      </c>
      <c r="P74" s="341">
        <f>IF(Heat_connections[[#This Row],[Category]]="Domestic",Heat_connections[[#This Row],[No. of connections]],0)</f>
        <v>0</v>
      </c>
      <c r="Q74" s="341">
        <f>IF(Heat_connections[[#This Row],[Category]]&lt;&gt;"Domestic",Heat_connections[[#This Row],[No. of connections]],0)</f>
        <v>0</v>
      </c>
      <c r="R74" s="209"/>
      <c r="S74" s="512">
        <f>IF(Heat_connections[[#This Row],[TOID]]&lt;&gt;"-",
IF(ISBLANK('Heat connections'!$R74),Dashboard!$C$14,'Heat connections'!$R74),0)</f>
        <v>0</v>
      </c>
      <c r="T74" s="513">
        <f>IF(Heat_connections[[#This Row],[Peak Demand, kW]]&lt;&gt;0,'Heat connections'!$G74*Dashboard!$C$21,0)</f>
        <v>0</v>
      </c>
      <c r="U74" s="514">
        <f>IF(Heat_connections[[#This Row],[Ref]]&lt;&gt;"-",48.436*Heat_connections[[#This Row],[Peak Demand, kW]]+1068.7,0)</f>
        <v>0</v>
      </c>
      <c r="V74" s="515">
        <f>IF(Heat_connections[[#This Row],[Ref]]&lt;&gt;"-",
_xlfn.XLOOKUP('Heat connections'!$G74,'Technical inputs'!$F$79:$F$94,'Technical inputs'!$I$79:$I$94,0,1,1),0)</f>
        <v>0</v>
      </c>
      <c r="W74" s="429">
        <f>IF('Heat connections'!$E74="Domestic",1,0)</f>
        <v>0</v>
      </c>
      <c r="X74" s="430">
        <f>IF(AND(Heat_connections[[#This Row],[Ref]]&lt;&gt;"-",'Heat connections'!$E74&lt;&gt;"Domestic"),1,0)</f>
        <v>0</v>
      </c>
      <c r="Y74" s="434">
        <v>20</v>
      </c>
      <c r="Z74" s="438">
        <f>IF(Heat_connections[[#This Row],[Existing/planned development]]&lt;&gt;0,1,0)</f>
        <v>0</v>
      </c>
      <c r="AA74" s="430">
        <f>IF('Heat connections'!$M74=1,1,0)</f>
        <v>0</v>
      </c>
      <c r="AB74" s="430">
        <f>IF('Heat connections'!$M74=2,1,0)</f>
        <v>0</v>
      </c>
      <c r="AC74" s="434">
        <f>IF('Heat connections'!$M74=3,1,0)</f>
        <v>0</v>
      </c>
      <c r="AD74" s="46" t="str">
        <f>IF(AND(Heat_connections[[#This Row],[Connected to heat network]]="Yes",Heat_connections[[#This Row],[Ref]]&lt;&gt;"-"),"Yes","No")</f>
        <v>No</v>
      </c>
    </row>
    <row r="75" spans="3:30" ht="12.75" x14ac:dyDescent="0.2">
      <c r="C75" s="208" t="str" cm="1">
        <f t="array" ref="C75">IFERROR(_xlfn.XLOOKUP($C$3,Heat_connections_input[#Headers],Heat_connections_input[#This Row],0,0,),"-")</f>
        <v>-</v>
      </c>
      <c r="D75" s="323" t="str" cm="1">
        <f t="array" ref="D75">IFERROR(_xlfn.XLOOKUP($D$3,Heat_connections_input[#Headers],Heat_connections_input[#This Row],0,0,),"-")</f>
        <v>-</v>
      </c>
      <c r="E75" s="284" t="str" cm="1">
        <f t="array" ref="E75">IFERROR(_xlfn.XLOOKUP($E$3,Heat_connections_input[#Headers],Heat_connections_input[#This Row],0,0,),"-")</f>
        <v>-</v>
      </c>
      <c r="F75" s="259" cm="1">
        <f t="array" ref="F75">IFERROR(_xlfn.XLOOKUP($F$3,Heat_connections_input[#Headers],Heat_connections_input[#This Row],0,0,),0)</f>
        <v>0</v>
      </c>
      <c r="G75" s="259" cm="1">
        <f t="array" ref="G75">IFERROR(_xlfn.XLOOKUP($G$3,Heat_connections_input[#Headers],Heat_connections_input[#This Row],0,0,),0)</f>
        <v>0</v>
      </c>
      <c r="H75" s="341" cm="1">
        <f t="array" ref="H75">IFERROR(_xlfn.XLOOKUP($H$3,Heat_connections_input[#Headers],Heat_connections_input[#This Row],0,0,),0)</f>
        <v>0</v>
      </c>
      <c r="I75" s="326" t="str" cm="1">
        <f t="array" ref="I75">IFERROR(_xlfn.XLOOKUP($I$3,Heat_connections_input[#Headers],Heat_connections_input[#This Row],0,0,),"-")</f>
        <v>-</v>
      </c>
      <c r="J75" s="326" t="str" cm="1">
        <f t="array" ref="J75">IFERROR(_xlfn.XLOOKUP($J$3,Heat_connections_input[#Headers],Heat_connections_input[#This Row],0,0,1),"-")</f>
        <v>-</v>
      </c>
      <c r="K75" s="260"/>
      <c r="L75" s="261"/>
      <c r="M75" s="262"/>
      <c r="N75" s="263"/>
      <c r="O75" s="264" t="str">
        <f>IF(Heat_connections[[#This Row],[Ref]]&lt;&gt;"-",
IF(M75=1,Dashboard!$C$26,IF(M75=2,Dashboard!$C$27,Dashboard!$C$28)),"-")</f>
        <v>-</v>
      </c>
      <c r="P75" s="341">
        <f>IF(Heat_connections[[#This Row],[Category]]="Domestic",Heat_connections[[#This Row],[No. of connections]],0)</f>
        <v>0</v>
      </c>
      <c r="Q75" s="341">
        <f>IF(Heat_connections[[#This Row],[Category]]&lt;&gt;"Domestic",Heat_connections[[#This Row],[No. of connections]],0)</f>
        <v>0</v>
      </c>
      <c r="R75" s="209"/>
      <c r="S75" s="512">
        <f>IF(Heat_connections[[#This Row],[TOID]]&lt;&gt;"-",
IF(ISBLANK('Heat connections'!$R75),Dashboard!$C$14,'Heat connections'!$R75),0)</f>
        <v>0</v>
      </c>
      <c r="T75" s="513">
        <f>IF(Heat_connections[[#This Row],[Peak Demand, kW]]&lt;&gt;0,'Heat connections'!$G75*Dashboard!$C$21,0)</f>
        <v>0</v>
      </c>
      <c r="U75" s="514">
        <f>IF(Heat_connections[[#This Row],[Ref]]&lt;&gt;"-",48.436*Heat_connections[[#This Row],[Peak Demand, kW]]+1068.7,0)</f>
        <v>0</v>
      </c>
      <c r="V75" s="515">
        <f>IF(Heat_connections[[#This Row],[Ref]]&lt;&gt;"-",
_xlfn.XLOOKUP('Heat connections'!$G75,'Technical inputs'!$F$79:$F$94,'Technical inputs'!$I$79:$I$94,0,1,1),0)</f>
        <v>0</v>
      </c>
      <c r="W75" s="429">
        <f>IF('Heat connections'!$E75="Domestic",1,0)</f>
        <v>0</v>
      </c>
      <c r="X75" s="430">
        <f>IF(AND(Heat_connections[[#This Row],[Ref]]&lt;&gt;"-",'Heat connections'!$E75&lt;&gt;"Domestic"),1,0)</f>
        <v>0</v>
      </c>
      <c r="Y75" s="434">
        <v>21</v>
      </c>
      <c r="Z75" s="438">
        <f>IF(Heat_connections[[#This Row],[Existing/planned development]]&lt;&gt;0,1,0)</f>
        <v>0</v>
      </c>
      <c r="AA75" s="430">
        <f>IF('Heat connections'!$M75=1,1,0)</f>
        <v>0</v>
      </c>
      <c r="AB75" s="430">
        <f>IF('Heat connections'!$M75=2,1,0)</f>
        <v>0</v>
      </c>
      <c r="AC75" s="434">
        <f>IF('Heat connections'!$M75=3,1,0)</f>
        <v>0</v>
      </c>
      <c r="AD75" s="46" t="str">
        <f>IF(AND(Heat_connections[[#This Row],[Connected to heat network]]="Yes",Heat_connections[[#This Row],[Ref]]&lt;&gt;"-"),"Yes","No")</f>
        <v>No</v>
      </c>
    </row>
    <row r="76" spans="3:30" ht="12.75" x14ac:dyDescent="0.2">
      <c r="C76" s="208" t="str" cm="1">
        <f t="array" ref="C76">IFERROR(_xlfn.XLOOKUP($C$3,Heat_connections_input[#Headers],Heat_connections_input[#This Row],0,0,),"-")</f>
        <v>-</v>
      </c>
      <c r="D76" s="323" t="str" cm="1">
        <f t="array" ref="D76">IFERROR(_xlfn.XLOOKUP($D$3,Heat_connections_input[#Headers],Heat_connections_input[#This Row],0,0,),"-")</f>
        <v>-</v>
      </c>
      <c r="E76" s="284" t="str" cm="1">
        <f t="array" ref="E76">IFERROR(_xlfn.XLOOKUP($E$3,Heat_connections_input[#Headers],Heat_connections_input[#This Row],0,0,),"-")</f>
        <v>-</v>
      </c>
      <c r="F76" s="259" cm="1">
        <f t="array" ref="F76">IFERROR(_xlfn.XLOOKUP($F$3,Heat_connections_input[#Headers],Heat_connections_input[#This Row],0,0,),0)</f>
        <v>0</v>
      </c>
      <c r="G76" s="259" cm="1">
        <f t="array" ref="G76">IFERROR(_xlfn.XLOOKUP($G$3,Heat_connections_input[#Headers],Heat_connections_input[#This Row],0,0,),0)</f>
        <v>0</v>
      </c>
      <c r="H76" s="341" cm="1">
        <f t="array" ref="H76">IFERROR(_xlfn.XLOOKUP($H$3,Heat_connections_input[#Headers],Heat_connections_input[#This Row],0,0,),0)</f>
        <v>0</v>
      </c>
      <c r="I76" s="326" t="str" cm="1">
        <f t="array" ref="I76">IFERROR(_xlfn.XLOOKUP($I$3,Heat_connections_input[#Headers],Heat_connections_input[#This Row],0,0,),"-")</f>
        <v>-</v>
      </c>
      <c r="J76" s="326" t="str" cm="1">
        <f t="array" ref="J76">IFERROR(_xlfn.XLOOKUP($J$3,Heat_connections_input[#Headers],Heat_connections_input[#This Row],0,0,1),"-")</f>
        <v>-</v>
      </c>
      <c r="K76" s="260"/>
      <c r="L76" s="261"/>
      <c r="M76" s="262"/>
      <c r="N76" s="263"/>
      <c r="O76" s="264" t="str">
        <f>IF(Heat_connections[[#This Row],[Ref]]&lt;&gt;"-",
IF(M76=1,Dashboard!$C$26,IF(M76=2,Dashboard!$C$27,Dashboard!$C$28)),"-")</f>
        <v>-</v>
      </c>
      <c r="P76" s="341">
        <f>IF(Heat_connections[[#This Row],[Category]]="Domestic",Heat_connections[[#This Row],[No. of connections]],0)</f>
        <v>0</v>
      </c>
      <c r="Q76" s="341">
        <f>IF(Heat_connections[[#This Row],[Category]]&lt;&gt;"Domestic",Heat_connections[[#This Row],[No. of connections]],0)</f>
        <v>0</v>
      </c>
      <c r="R76" s="209"/>
      <c r="S76" s="512">
        <f>IF(Heat_connections[[#This Row],[TOID]]&lt;&gt;"-",
IF(ISBLANK('Heat connections'!$R76),Dashboard!$C$14,'Heat connections'!$R76),0)</f>
        <v>0</v>
      </c>
      <c r="T76" s="513">
        <f>IF(Heat_connections[[#This Row],[Peak Demand, kW]]&lt;&gt;0,'Heat connections'!$G76*Dashboard!$C$21,0)</f>
        <v>0</v>
      </c>
      <c r="U76" s="514">
        <f>IF(Heat_connections[[#This Row],[Ref]]&lt;&gt;"-",48.436*Heat_connections[[#This Row],[Peak Demand, kW]]+1068.7,0)</f>
        <v>0</v>
      </c>
      <c r="V76" s="515">
        <f>IF(Heat_connections[[#This Row],[Ref]]&lt;&gt;"-",
_xlfn.XLOOKUP('Heat connections'!$G76,'Technical inputs'!$F$79:$F$94,'Technical inputs'!$I$79:$I$94,0,1,1),0)</f>
        <v>0</v>
      </c>
      <c r="W76" s="429">
        <f>IF('Heat connections'!$E76="Domestic",1,0)</f>
        <v>0</v>
      </c>
      <c r="X76" s="430">
        <f>IF(AND(Heat_connections[[#This Row],[Ref]]&lt;&gt;"-",'Heat connections'!$E76&lt;&gt;"Domestic"),1,0)</f>
        <v>0</v>
      </c>
      <c r="Y76" s="434">
        <v>22</v>
      </c>
      <c r="Z76" s="438">
        <f>IF(Heat_connections[[#This Row],[Existing/planned development]]&lt;&gt;0,1,0)</f>
        <v>0</v>
      </c>
      <c r="AA76" s="430">
        <f>IF('Heat connections'!$M76=1,1,0)</f>
        <v>0</v>
      </c>
      <c r="AB76" s="430">
        <f>IF('Heat connections'!$M76=2,1,0)</f>
        <v>0</v>
      </c>
      <c r="AC76" s="434">
        <f>IF('Heat connections'!$M76=3,1,0)</f>
        <v>0</v>
      </c>
      <c r="AD76" s="46" t="str">
        <f>IF(AND(Heat_connections[[#This Row],[Connected to heat network]]="Yes",Heat_connections[[#This Row],[Ref]]&lt;&gt;"-"),"Yes","No")</f>
        <v>No</v>
      </c>
    </row>
    <row r="77" spans="3:30" ht="12.75" x14ac:dyDescent="0.2">
      <c r="C77" s="208" t="str" cm="1">
        <f t="array" ref="C77">IFERROR(_xlfn.XLOOKUP($C$3,Heat_connections_input[#Headers],Heat_connections_input[#This Row],0,0,),"-")</f>
        <v>-</v>
      </c>
      <c r="D77" s="323" t="str" cm="1">
        <f t="array" ref="D77">IFERROR(_xlfn.XLOOKUP($D$3,Heat_connections_input[#Headers],Heat_connections_input[#This Row],0,0,),"-")</f>
        <v>-</v>
      </c>
      <c r="E77" s="284" t="str" cm="1">
        <f t="array" ref="E77">IFERROR(_xlfn.XLOOKUP($E$3,Heat_connections_input[#Headers],Heat_connections_input[#This Row],0,0,),"-")</f>
        <v>-</v>
      </c>
      <c r="F77" s="259" cm="1">
        <f t="array" ref="F77">IFERROR(_xlfn.XLOOKUP($F$3,Heat_connections_input[#Headers],Heat_connections_input[#This Row],0,0,),0)</f>
        <v>0</v>
      </c>
      <c r="G77" s="259" cm="1">
        <f t="array" ref="G77">IFERROR(_xlfn.XLOOKUP($G$3,Heat_connections_input[#Headers],Heat_connections_input[#This Row],0,0,),0)</f>
        <v>0</v>
      </c>
      <c r="H77" s="341" cm="1">
        <f t="array" ref="H77">IFERROR(_xlfn.XLOOKUP($H$3,Heat_connections_input[#Headers],Heat_connections_input[#This Row],0,0,),0)</f>
        <v>0</v>
      </c>
      <c r="I77" s="326" t="str" cm="1">
        <f t="array" ref="I77">IFERROR(_xlfn.XLOOKUP($I$3,Heat_connections_input[#Headers],Heat_connections_input[#This Row],0,0,),"-")</f>
        <v>-</v>
      </c>
      <c r="J77" s="326" t="str" cm="1">
        <f t="array" ref="J77">IFERROR(_xlfn.XLOOKUP($J$3,Heat_connections_input[#Headers],Heat_connections_input[#This Row],0,0,1),"-")</f>
        <v>-</v>
      </c>
      <c r="K77" s="260"/>
      <c r="L77" s="261"/>
      <c r="M77" s="262"/>
      <c r="N77" s="263"/>
      <c r="O77" s="264" t="str">
        <f>IF(Heat_connections[[#This Row],[Ref]]&lt;&gt;"-",
IF(M77=1,Dashboard!$C$26,IF(M77=2,Dashboard!$C$27,Dashboard!$C$28)),"-")</f>
        <v>-</v>
      </c>
      <c r="P77" s="341">
        <f>IF(Heat_connections[[#This Row],[Category]]="Domestic",Heat_connections[[#This Row],[No. of connections]],0)</f>
        <v>0</v>
      </c>
      <c r="Q77" s="341">
        <f>IF(Heat_connections[[#This Row],[Category]]&lt;&gt;"Domestic",Heat_connections[[#This Row],[No. of connections]],0)</f>
        <v>0</v>
      </c>
      <c r="R77" s="209"/>
      <c r="S77" s="512">
        <f>IF(Heat_connections[[#This Row],[TOID]]&lt;&gt;"-",
IF(ISBLANK('Heat connections'!$R77),Dashboard!$C$14,'Heat connections'!$R77),0)</f>
        <v>0</v>
      </c>
      <c r="T77" s="513">
        <f>IF(Heat_connections[[#This Row],[Peak Demand, kW]]&lt;&gt;0,'Heat connections'!$G77*Dashboard!$C$21,0)</f>
        <v>0</v>
      </c>
      <c r="U77" s="514">
        <f>IF(Heat_connections[[#This Row],[Ref]]&lt;&gt;"-",48.436*Heat_connections[[#This Row],[Peak Demand, kW]]+1068.7,0)</f>
        <v>0</v>
      </c>
      <c r="V77" s="515">
        <f>IF(Heat_connections[[#This Row],[Ref]]&lt;&gt;"-",
_xlfn.XLOOKUP('Heat connections'!$G77,'Technical inputs'!$F$79:$F$94,'Technical inputs'!$I$79:$I$94,0,1,1),0)</f>
        <v>0</v>
      </c>
      <c r="W77" s="429">
        <f>IF('Heat connections'!$E77="Domestic",1,0)</f>
        <v>0</v>
      </c>
      <c r="X77" s="430">
        <f>IF(AND(Heat_connections[[#This Row],[Ref]]&lt;&gt;"-",'Heat connections'!$E77&lt;&gt;"Domestic"),1,0)</f>
        <v>0</v>
      </c>
      <c r="Y77" s="434">
        <v>23</v>
      </c>
      <c r="Z77" s="438">
        <f>IF(Heat_connections[[#This Row],[Existing/planned development]]&lt;&gt;0,1,0)</f>
        <v>0</v>
      </c>
      <c r="AA77" s="430">
        <f>IF('Heat connections'!$M77=1,1,0)</f>
        <v>0</v>
      </c>
      <c r="AB77" s="430">
        <f>IF('Heat connections'!$M77=2,1,0)</f>
        <v>0</v>
      </c>
      <c r="AC77" s="434">
        <f>IF('Heat connections'!$M77=3,1,0)</f>
        <v>0</v>
      </c>
      <c r="AD77" s="46" t="str">
        <f>IF(AND(Heat_connections[[#This Row],[Connected to heat network]]="Yes",Heat_connections[[#This Row],[Ref]]&lt;&gt;"-"),"Yes","No")</f>
        <v>No</v>
      </c>
    </row>
    <row r="78" spans="3:30" ht="12.75" x14ac:dyDescent="0.2">
      <c r="C78" s="208" t="str" cm="1">
        <f t="array" ref="C78">IFERROR(_xlfn.XLOOKUP($C$3,Heat_connections_input[#Headers],Heat_connections_input[#This Row],0,0,),"-")</f>
        <v>-</v>
      </c>
      <c r="D78" s="323" t="str" cm="1">
        <f t="array" ref="D78">IFERROR(_xlfn.XLOOKUP($D$3,Heat_connections_input[#Headers],Heat_connections_input[#This Row],0,0,),"-")</f>
        <v>-</v>
      </c>
      <c r="E78" s="284" t="str" cm="1">
        <f t="array" ref="E78">IFERROR(_xlfn.XLOOKUP($E$3,Heat_connections_input[#Headers],Heat_connections_input[#This Row],0,0,),"-")</f>
        <v>-</v>
      </c>
      <c r="F78" s="259" cm="1">
        <f t="array" ref="F78">IFERROR(_xlfn.XLOOKUP($F$3,Heat_connections_input[#Headers],Heat_connections_input[#This Row],0,0,),0)</f>
        <v>0</v>
      </c>
      <c r="G78" s="259" cm="1">
        <f t="array" ref="G78">IFERROR(_xlfn.XLOOKUP($G$3,Heat_connections_input[#Headers],Heat_connections_input[#This Row],0,0,),0)</f>
        <v>0</v>
      </c>
      <c r="H78" s="341" cm="1">
        <f t="array" ref="H78">IFERROR(_xlfn.XLOOKUP($H$3,Heat_connections_input[#Headers],Heat_connections_input[#This Row],0,0,),0)</f>
        <v>0</v>
      </c>
      <c r="I78" s="326" t="str" cm="1">
        <f t="array" ref="I78">IFERROR(_xlfn.XLOOKUP($I$3,Heat_connections_input[#Headers],Heat_connections_input[#This Row],0,0,),"-")</f>
        <v>-</v>
      </c>
      <c r="J78" s="326" t="str" cm="1">
        <f t="array" ref="J78">IFERROR(_xlfn.XLOOKUP($J$3,Heat_connections_input[#Headers],Heat_connections_input[#This Row],0,0,1),"-")</f>
        <v>-</v>
      </c>
      <c r="K78" s="260"/>
      <c r="L78" s="261"/>
      <c r="M78" s="262"/>
      <c r="N78" s="263"/>
      <c r="O78" s="264" t="str">
        <f>IF(Heat_connections[[#This Row],[Ref]]&lt;&gt;"-",
IF(M78=1,Dashboard!$C$26,IF(M78=2,Dashboard!$C$27,Dashboard!$C$28)),"-")</f>
        <v>-</v>
      </c>
      <c r="P78" s="341">
        <f>IF(Heat_connections[[#This Row],[Category]]="Domestic",Heat_connections[[#This Row],[No. of connections]],0)</f>
        <v>0</v>
      </c>
      <c r="Q78" s="341">
        <f>IF(Heat_connections[[#This Row],[Category]]&lt;&gt;"Domestic",Heat_connections[[#This Row],[No. of connections]],0)</f>
        <v>0</v>
      </c>
      <c r="R78" s="209"/>
      <c r="S78" s="512">
        <f>IF(Heat_connections[[#This Row],[TOID]]&lt;&gt;"-",
IF(ISBLANK('Heat connections'!$R78),Dashboard!$C$14,'Heat connections'!$R78),0)</f>
        <v>0</v>
      </c>
      <c r="T78" s="513">
        <f>IF(Heat_connections[[#This Row],[Peak Demand, kW]]&lt;&gt;0,'Heat connections'!$G78*Dashboard!$C$21,0)</f>
        <v>0</v>
      </c>
      <c r="U78" s="514">
        <f>IF(Heat_connections[[#This Row],[Ref]]&lt;&gt;"-",48.436*Heat_connections[[#This Row],[Peak Demand, kW]]+1068.7,0)</f>
        <v>0</v>
      </c>
      <c r="V78" s="515">
        <f>IF(Heat_connections[[#This Row],[Ref]]&lt;&gt;"-",
_xlfn.XLOOKUP('Heat connections'!$G78,'Technical inputs'!$F$79:$F$94,'Technical inputs'!$I$79:$I$94,0,1,1),0)</f>
        <v>0</v>
      </c>
      <c r="W78" s="429">
        <f>IF('Heat connections'!$E78="Domestic",1,0)</f>
        <v>0</v>
      </c>
      <c r="X78" s="430">
        <f>IF(AND(Heat_connections[[#This Row],[Ref]]&lt;&gt;"-",'Heat connections'!$E78&lt;&gt;"Domestic"),1,0)</f>
        <v>0</v>
      </c>
      <c r="Y78" s="434">
        <v>24</v>
      </c>
      <c r="Z78" s="438">
        <f>IF(Heat_connections[[#This Row],[Existing/planned development]]&lt;&gt;0,1,0)</f>
        <v>0</v>
      </c>
      <c r="AA78" s="430">
        <f>IF('Heat connections'!$M78=1,1,0)</f>
        <v>0</v>
      </c>
      <c r="AB78" s="430">
        <f>IF('Heat connections'!$M78=2,1,0)</f>
        <v>0</v>
      </c>
      <c r="AC78" s="434">
        <f>IF('Heat connections'!$M78=3,1,0)</f>
        <v>0</v>
      </c>
      <c r="AD78" s="46" t="str">
        <f>IF(AND(Heat_connections[[#This Row],[Connected to heat network]]="Yes",Heat_connections[[#This Row],[Ref]]&lt;&gt;"-"),"Yes","No")</f>
        <v>No</v>
      </c>
    </row>
    <row r="79" spans="3:30" ht="12.75" x14ac:dyDescent="0.2">
      <c r="C79" s="208" t="str" cm="1">
        <f t="array" ref="C79">IFERROR(_xlfn.XLOOKUP($C$3,Heat_connections_input[#Headers],Heat_connections_input[#This Row],0,0,),"-")</f>
        <v>-</v>
      </c>
      <c r="D79" s="323" t="str" cm="1">
        <f t="array" ref="D79">IFERROR(_xlfn.XLOOKUP($D$3,Heat_connections_input[#Headers],Heat_connections_input[#This Row],0,0,),"-")</f>
        <v>-</v>
      </c>
      <c r="E79" s="284" t="str" cm="1">
        <f t="array" ref="E79">IFERROR(_xlfn.XLOOKUP($E$3,Heat_connections_input[#Headers],Heat_connections_input[#This Row],0,0,),"-")</f>
        <v>-</v>
      </c>
      <c r="F79" s="259" cm="1">
        <f t="array" ref="F79">IFERROR(_xlfn.XLOOKUP($F$3,Heat_connections_input[#Headers],Heat_connections_input[#This Row],0,0,),0)</f>
        <v>0</v>
      </c>
      <c r="G79" s="259" cm="1">
        <f t="array" ref="G79">IFERROR(_xlfn.XLOOKUP($G$3,Heat_connections_input[#Headers],Heat_connections_input[#This Row],0,0,),0)</f>
        <v>0</v>
      </c>
      <c r="H79" s="341" cm="1">
        <f t="array" ref="H79">IFERROR(_xlfn.XLOOKUP($H$3,Heat_connections_input[#Headers],Heat_connections_input[#This Row],0,0,),0)</f>
        <v>0</v>
      </c>
      <c r="I79" s="326" t="str" cm="1">
        <f t="array" ref="I79">IFERROR(_xlfn.XLOOKUP($I$3,Heat_connections_input[#Headers],Heat_connections_input[#This Row],0,0,),"-")</f>
        <v>-</v>
      </c>
      <c r="J79" s="326" t="str" cm="1">
        <f t="array" ref="J79">IFERROR(_xlfn.XLOOKUP($J$3,Heat_connections_input[#Headers],Heat_connections_input[#This Row],0,0,1),"-")</f>
        <v>-</v>
      </c>
      <c r="K79" s="260"/>
      <c r="L79" s="261"/>
      <c r="M79" s="262"/>
      <c r="N79" s="263"/>
      <c r="O79" s="264" t="str">
        <f>IF(Heat_connections[[#This Row],[Ref]]&lt;&gt;"-",
IF(M79=1,Dashboard!$C$26,IF(M79=2,Dashboard!$C$27,Dashboard!$C$28)),"-")</f>
        <v>-</v>
      </c>
      <c r="P79" s="341">
        <f>IF(Heat_connections[[#This Row],[Category]]="Domestic",Heat_connections[[#This Row],[No. of connections]],0)</f>
        <v>0</v>
      </c>
      <c r="Q79" s="341">
        <f>IF(Heat_connections[[#This Row],[Category]]&lt;&gt;"Domestic",Heat_connections[[#This Row],[No. of connections]],0)</f>
        <v>0</v>
      </c>
      <c r="R79" s="209"/>
      <c r="S79" s="512">
        <f>IF(Heat_connections[[#This Row],[TOID]]&lt;&gt;"-",
IF(ISBLANK('Heat connections'!$R79),Dashboard!$C$14,'Heat connections'!$R79),0)</f>
        <v>0</v>
      </c>
      <c r="T79" s="513">
        <f>IF(Heat_connections[[#This Row],[Peak Demand, kW]]&lt;&gt;0,'Heat connections'!$G79*Dashboard!$C$21,0)</f>
        <v>0</v>
      </c>
      <c r="U79" s="514">
        <f>IF(Heat_connections[[#This Row],[Ref]]&lt;&gt;"-",48.436*Heat_connections[[#This Row],[Peak Demand, kW]]+1068.7,0)</f>
        <v>0</v>
      </c>
      <c r="V79" s="515">
        <f>IF(Heat_connections[[#This Row],[Ref]]&lt;&gt;"-",
_xlfn.XLOOKUP('Heat connections'!$G79,'Technical inputs'!$F$79:$F$94,'Technical inputs'!$I$79:$I$94,0,1,1),0)</f>
        <v>0</v>
      </c>
      <c r="W79" s="429">
        <f>IF('Heat connections'!$E79="Domestic",1,0)</f>
        <v>0</v>
      </c>
      <c r="X79" s="430">
        <f>IF(AND(Heat_connections[[#This Row],[Ref]]&lt;&gt;"-",'Heat connections'!$E79&lt;&gt;"Domestic"),1,0)</f>
        <v>0</v>
      </c>
      <c r="Y79" s="434">
        <v>25</v>
      </c>
      <c r="Z79" s="438">
        <f>IF(Heat_connections[[#This Row],[Existing/planned development]]&lt;&gt;0,1,0)</f>
        <v>0</v>
      </c>
      <c r="AA79" s="430">
        <f>IF('Heat connections'!$M79=1,1,0)</f>
        <v>0</v>
      </c>
      <c r="AB79" s="430">
        <f>IF('Heat connections'!$M79=2,1,0)</f>
        <v>0</v>
      </c>
      <c r="AC79" s="434">
        <f>IF('Heat connections'!$M79=3,1,0)</f>
        <v>0</v>
      </c>
      <c r="AD79" s="46" t="str">
        <f>IF(AND(Heat_connections[[#This Row],[Connected to heat network]]="Yes",Heat_connections[[#This Row],[Ref]]&lt;&gt;"-"),"Yes","No")</f>
        <v>No</v>
      </c>
    </row>
    <row r="80" spans="3:30" ht="12.75" x14ac:dyDescent="0.2">
      <c r="C80" s="208" t="str" cm="1">
        <f t="array" ref="C80">IFERROR(_xlfn.XLOOKUP($C$3,Heat_connections_input[#Headers],Heat_connections_input[#This Row],0,0,),"-")</f>
        <v>-</v>
      </c>
      <c r="D80" s="323" t="str" cm="1">
        <f t="array" ref="D80">IFERROR(_xlfn.XLOOKUP($D$3,Heat_connections_input[#Headers],Heat_connections_input[#This Row],0,0,),"-")</f>
        <v>-</v>
      </c>
      <c r="E80" s="284" t="str" cm="1">
        <f t="array" ref="E80">IFERROR(_xlfn.XLOOKUP($E$3,Heat_connections_input[#Headers],Heat_connections_input[#This Row],0,0,),"-")</f>
        <v>-</v>
      </c>
      <c r="F80" s="259" cm="1">
        <f t="array" ref="F80">IFERROR(_xlfn.XLOOKUP($F$3,Heat_connections_input[#Headers],Heat_connections_input[#This Row],0,0,),0)</f>
        <v>0</v>
      </c>
      <c r="G80" s="259" cm="1">
        <f t="array" ref="G80">IFERROR(_xlfn.XLOOKUP($G$3,Heat_connections_input[#Headers],Heat_connections_input[#This Row],0,0,),0)</f>
        <v>0</v>
      </c>
      <c r="H80" s="341" cm="1">
        <f t="array" ref="H80">IFERROR(_xlfn.XLOOKUP($H$3,Heat_connections_input[#Headers],Heat_connections_input[#This Row],0,0,),0)</f>
        <v>0</v>
      </c>
      <c r="I80" s="326" t="str" cm="1">
        <f t="array" ref="I80">IFERROR(_xlfn.XLOOKUP($I$3,Heat_connections_input[#Headers],Heat_connections_input[#This Row],0,0,),"-")</f>
        <v>-</v>
      </c>
      <c r="J80" s="326" t="str" cm="1">
        <f t="array" ref="J80">IFERROR(_xlfn.XLOOKUP($J$3,Heat_connections_input[#Headers],Heat_connections_input[#This Row],0,0,1),"-")</f>
        <v>-</v>
      </c>
      <c r="K80" s="260"/>
      <c r="L80" s="261"/>
      <c r="M80" s="262"/>
      <c r="N80" s="263"/>
      <c r="O80" s="264" t="str">
        <f>IF(Heat_connections[[#This Row],[Ref]]&lt;&gt;"-",
IF(M80=1,Dashboard!$C$26,IF(M80=2,Dashboard!$C$27,Dashboard!$C$28)),"-")</f>
        <v>-</v>
      </c>
      <c r="P80" s="341">
        <f>IF(Heat_connections[[#This Row],[Category]]="Domestic",Heat_connections[[#This Row],[No. of connections]],0)</f>
        <v>0</v>
      </c>
      <c r="Q80" s="341">
        <f>IF(Heat_connections[[#This Row],[Category]]&lt;&gt;"Domestic",Heat_connections[[#This Row],[No. of connections]],0)</f>
        <v>0</v>
      </c>
      <c r="R80" s="209"/>
      <c r="S80" s="512">
        <f>IF(Heat_connections[[#This Row],[TOID]]&lt;&gt;"-",
IF(ISBLANK('Heat connections'!$R80),Dashboard!$C$14,'Heat connections'!$R80),0)</f>
        <v>0</v>
      </c>
      <c r="T80" s="513">
        <f>IF(Heat_connections[[#This Row],[Peak Demand, kW]]&lt;&gt;0,'Heat connections'!$G80*Dashboard!$C$21,0)</f>
        <v>0</v>
      </c>
      <c r="U80" s="514">
        <f>IF(Heat_connections[[#This Row],[Ref]]&lt;&gt;"-",48.436*Heat_connections[[#This Row],[Peak Demand, kW]]+1068.7,0)</f>
        <v>0</v>
      </c>
      <c r="V80" s="515">
        <f>IF(Heat_connections[[#This Row],[Ref]]&lt;&gt;"-",
_xlfn.XLOOKUP('Heat connections'!$G80,'Technical inputs'!$F$79:$F$94,'Technical inputs'!$I$79:$I$94,0,1,1),0)</f>
        <v>0</v>
      </c>
      <c r="W80" s="429">
        <f>IF('Heat connections'!$E80="Domestic",1,0)</f>
        <v>0</v>
      </c>
      <c r="X80" s="430">
        <f>IF(AND(Heat_connections[[#This Row],[Ref]]&lt;&gt;"-",'Heat connections'!$E80&lt;&gt;"Domestic"),1,0)</f>
        <v>0</v>
      </c>
      <c r="Y80" s="434">
        <v>26</v>
      </c>
      <c r="Z80" s="438">
        <f>IF(Heat_connections[[#This Row],[Existing/planned development]]&lt;&gt;0,1,0)</f>
        <v>0</v>
      </c>
      <c r="AA80" s="430">
        <f>IF('Heat connections'!$M80=1,1,0)</f>
        <v>0</v>
      </c>
      <c r="AB80" s="430">
        <f>IF('Heat connections'!$M80=2,1,0)</f>
        <v>0</v>
      </c>
      <c r="AC80" s="434">
        <f>IF('Heat connections'!$M80=3,1,0)</f>
        <v>0</v>
      </c>
      <c r="AD80" s="46" t="str">
        <f>IF(AND(Heat_connections[[#This Row],[Connected to heat network]]="Yes",Heat_connections[[#This Row],[Ref]]&lt;&gt;"-"),"Yes","No")</f>
        <v>No</v>
      </c>
    </row>
    <row r="81" spans="3:30" ht="12.75" x14ac:dyDescent="0.2">
      <c r="C81" s="208" t="str" cm="1">
        <f t="array" ref="C81">IFERROR(_xlfn.XLOOKUP($C$3,Heat_connections_input[#Headers],Heat_connections_input[#This Row],0,0,),"-")</f>
        <v>-</v>
      </c>
      <c r="D81" s="323" t="str" cm="1">
        <f t="array" ref="D81">IFERROR(_xlfn.XLOOKUP($D$3,Heat_connections_input[#Headers],Heat_connections_input[#This Row],0,0,),"-")</f>
        <v>-</v>
      </c>
      <c r="E81" s="284" t="str" cm="1">
        <f t="array" ref="E81">IFERROR(_xlfn.XLOOKUP($E$3,Heat_connections_input[#Headers],Heat_connections_input[#This Row],0,0,),"-")</f>
        <v>-</v>
      </c>
      <c r="F81" s="259" cm="1">
        <f t="array" ref="F81">IFERROR(_xlfn.XLOOKUP($F$3,Heat_connections_input[#Headers],Heat_connections_input[#This Row],0,0,),0)</f>
        <v>0</v>
      </c>
      <c r="G81" s="259" cm="1">
        <f t="array" ref="G81">IFERROR(_xlfn.XLOOKUP($G$3,Heat_connections_input[#Headers],Heat_connections_input[#This Row],0,0,),0)</f>
        <v>0</v>
      </c>
      <c r="H81" s="341" cm="1">
        <f t="array" ref="H81">IFERROR(_xlfn.XLOOKUP($H$3,Heat_connections_input[#Headers],Heat_connections_input[#This Row],0,0,),0)</f>
        <v>0</v>
      </c>
      <c r="I81" s="326" t="str" cm="1">
        <f t="array" ref="I81">IFERROR(_xlfn.XLOOKUP($I$3,Heat_connections_input[#Headers],Heat_connections_input[#This Row],0,0,),"-")</f>
        <v>-</v>
      </c>
      <c r="J81" s="326" t="str" cm="1">
        <f t="array" ref="J81">IFERROR(_xlfn.XLOOKUP($J$3,Heat_connections_input[#Headers],Heat_connections_input[#This Row],0,0,1),"-")</f>
        <v>-</v>
      </c>
      <c r="K81" s="260"/>
      <c r="L81" s="261"/>
      <c r="M81" s="262"/>
      <c r="N81" s="263"/>
      <c r="O81" s="264" t="str">
        <f>IF(Heat_connections[[#This Row],[Ref]]&lt;&gt;"-",
IF(M81=1,Dashboard!$C$26,IF(M81=2,Dashboard!$C$27,Dashboard!$C$28)),"-")</f>
        <v>-</v>
      </c>
      <c r="P81" s="341">
        <f>IF(Heat_connections[[#This Row],[Category]]="Domestic",Heat_connections[[#This Row],[No. of connections]],0)</f>
        <v>0</v>
      </c>
      <c r="Q81" s="341">
        <f>IF(Heat_connections[[#This Row],[Category]]&lt;&gt;"Domestic",Heat_connections[[#This Row],[No. of connections]],0)</f>
        <v>0</v>
      </c>
      <c r="R81" s="209"/>
      <c r="S81" s="512">
        <f>IF(Heat_connections[[#This Row],[TOID]]&lt;&gt;"-",
IF(ISBLANK('Heat connections'!$R81),Dashboard!$C$14,'Heat connections'!$R81),0)</f>
        <v>0</v>
      </c>
      <c r="T81" s="513">
        <f>IF(Heat_connections[[#This Row],[Peak Demand, kW]]&lt;&gt;0,'Heat connections'!$G81*Dashboard!$C$21,0)</f>
        <v>0</v>
      </c>
      <c r="U81" s="514">
        <f>IF(Heat_connections[[#This Row],[Ref]]&lt;&gt;"-",48.436*Heat_connections[[#This Row],[Peak Demand, kW]]+1068.7,0)</f>
        <v>0</v>
      </c>
      <c r="V81" s="515">
        <f>IF(Heat_connections[[#This Row],[Ref]]&lt;&gt;"-",
_xlfn.XLOOKUP('Heat connections'!$G81,'Technical inputs'!$F$79:$F$94,'Technical inputs'!$I$79:$I$94,0,1,1),0)</f>
        <v>0</v>
      </c>
      <c r="W81" s="429">
        <f>IF('Heat connections'!$E81="Domestic",1,0)</f>
        <v>0</v>
      </c>
      <c r="X81" s="430">
        <f>IF(AND(Heat_connections[[#This Row],[Ref]]&lt;&gt;"-",'Heat connections'!$E81&lt;&gt;"Domestic"),1,0)</f>
        <v>0</v>
      </c>
      <c r="Y81" s="434">
        <v>27</v>
      </c>
      <c r="Z81" s="438">
        <f>IF(Heat_connections[[#This Row],[Existing/planned development]]&lt;&gt;0,1,0)</f>
        <v>0</v>
      </c>
      <c r="AA81" s="430">
        <f>IF('Heat connections'!$M81=1,1,0)</f>
        <v>0</v>
      </c>
      <c r="AB81" s="430">
        <f>IF('Heat connections'!$M81=2,1,0)</f>
        <v>0</v>
      </c>
      <c r="AC81" s="434">
        <f>IF('Heat connections'!$M81=3,1,0)</f>
        <v>0</v>
      </c>
      <c r="AD81" s="46" t="str">
        <f>IF(AND(Heat_connections[[#This Row],[Connected to heat network]]="Yes",Heat_connections[[#This Row],[Ref]]&lt;&gt;"-"),"Yes","No")</f>
        <v>No</v>
      </c>
    </row>
    <row r="82" spans="3:30" ht="12.75" x14ac:dyDescent="0.2">
      <c r="C82" s="208" t="str" cm="1">
        <f t="array" ref="C82">IFERROR(_xlfn.XLOOKUP($C$3,Heat_connections_input[#Headers],Heat_connections_input[#This Row],0,0,),"-")</f>
        <v>-</v>
      </c>
      <c r="D82" s="323" t="str" cm="1">
        <f t="array" ref="D82">IFERROR(_xlfn.XLOOKUP($D$3,Heat_connections_input[#Headers],Heat_connections_input[#This Row],0,0,),"-")</f>
        <v>-</v>
      </c>
      <c r="E82" s="284" t="str" cm="1">
        <f t="array" ref="E82">IFERROR(_xlfn.XLOOKUP($E$3,Heat_connections_input[#Headers],Heat_connections_input[#This Row],0,0,),"-")</f>
        <v>-</v>
      </c>
      <c r="F82" s="259" cm="1">
        <f t="array" ref="F82">IFERROR(_xlfn.XLOOKUP($F$3,Heat_connections_input[#Headers],Heat_connections_input[#This Row],0,0,),0)</f>
        <v>0</v>
      </c>
      <c r="G82" s="259" cm="1">
        <f t="array" ref="G82">IFERROR(_xlfn.XLOOKUP($G$3,Heat_connections_input[#Headers],Heat_connections_input[#This Row],0,0,),0)</f>
        <v>0</v>
      </c>
      <c r="H82" s="341" cm="1">
        <f t="array" ref="H82">IFERROR(_xlfn.XLOOKUP($H$3,Heat_connections_input[#Headers],Heat_connections_input[#This Row],0,0,),0)</f>
        <v>0</v>
      </c>
      <c r="I82" s="326" t="str" cm="1">
        <f t="array" ref="I82">IFERROR(_xlfn.XLOOKUP($I$3,Heat_connections_input[#Headers],Heat_connections_input[#This Row],0,0,),"-")</f>
        <v>-</v>
      </c>
      <c r="J82" s="326" t="str" cm="1">
        <f t="array" ref="J82">IFERROR(_xlfn.XLOOKUP($J$3,Heat_connections_input[#Headers],Heat_connections_input[#This Row],0,0,1),"-")</f>
        <v>-</v>
      </c>
      <c r="K82" s="260"/>
      <c r="L82" s="261"/>
      <c r="M82" s="262"/>
      <c r="N82" s="263"/>
      <c r="O82" s="264" t="str">
        <f>IF(Heat_connections[[#This Row],[Ref]]&lt;&gt;"-",
IF(M82=1,Dashboard!$C$26,IF(M82=2,Dashboard!$C$27,Dashboard!$C$28)),"-")</f>
        <v>-</v>
      </c>
      <c r="P82" s="341">
        <f>IF(Heat_connections[[#This Row],[Category]]="Domestic",Heat_connections[[#This Row],[No. of connections]],0)</f>
        <v>0</v>
      </c>
      <c r="Q82" s="341">
        <f>IF(Heat_connections[[#This Row],[Category]]&lt;&gt;"Domestic",Heat_connections[[#This Row],[No. of connections]],0)</f>
        <v>0</v>
      </c>
      <c r="R82" s="209"/>
      <c r="S82" s="512">
        <f>IF(Heat_connections[[#This Row],[TOID]]&lt;&gt;"-",
IF(ISBLANK('Heat connections'!$R82),Dashboard!$C$14,'Heat connections'!$R82),0)</f>
        <v>0</v>
      </c>
      <c r="T82" s="513">
        <f>IF(Heat_connections[[#This Row],[Peak Demand, kW]]&lt;&gt;0,'Heat connections'!$G82*Dashboard!$C$21,0)</f>
        <v>0</v>
      </c>
      <c r="U82" s="514">
        <f>IF(Heat_connections[[#This Row],[Ref]]&lt;&gt;"-",48.436*Heat_connections[[#This Row],[Peak Demand, kW]]+1068.7,0)</f>
        <v>0</v>
      </c>
      <c r="V82" s="515">
        <f>IF(Heat_connections[[#This Row],[Ref]]&lt;&gt;"-",
_xlfn.XLOOKUP('Heat connections'!$G82,'Technical inputs'!$F$79:$F$94,'Technical inputs'!$I$79:$I$94,0,1,1),0)</f>
        <v>0</v>
      </c>
      <c r="W82" s="429">
        <f>IF('Heat connections'!$E82="Domestic",1,0)</f>
        <v>0</v>
      </c>
      <c r="X82" s="430">
        <f>IF(AND(Heat_connections[[#This Row],[Ref]]&lt;&gt;"-",'Heat connections'!$E82&lt;&gt;"Domestic"),1,0)</f>
        <v>0</v>
      </c>
      <c r="Y82" s="434">
        <v>28</v>
      </c>
      <c r="Z82" s="438">
        <f>IF(Heat_connections[[#This Row],[Existing/planned development]]&lt;&gt;0,1,0)</f>
        <v>0</v>
      </c>
      <c r="AA82" s="430">
        <f>IF('Heat connections'!$M82=1,1,0)</f>
        <v>0</v>
      </c>
      <c r="AB82" s="430">
        <f>IF('Heat connections'!$M82=2,1,0)</f>
        <v>0</v>
      </c>
      <c r="AC82" s="434">
        <f>IF('Heat connections'!$M82=3,1,0)</f>
        <v>0</v>
      </c>
      <c r="AD82" s="46" t="str">
        <f>IF(AND(Heat_connections[[#This Row],[Connected to heat network]]="Yes",Heat_connections[[#This Row],[Ref]]&lt;&gt;"-"),"Yes","No")</f>
        <v>No</v>
      </c>
    </row>
    <row r="83" spans="3:30" ht="12.75" x14ac:dyDescent="0.2">
      <c r="C83" s="208" t="str" cm="1">
        <f t="array" ref="C83">IFERROR(_xlfn.XLOOKUP($C$3,Heat_connections_input[#Headers],Heat_connections_input[#This Row],0,0,),"-")</f>
        <v>-</v>
      </c>
      <c r="D83" s="323" t="str" cm="1">
        <f t="array" ref="D83">IFERROR(_xlfn.XLOOKUP($D$3,Heat_connections_input[#Headers],Heat_connections_input[#This Row],0,0,),"-")</f>
        <v>-</v>
      </c>
      <c r="E83" s="284" t="str" cm="1">
        <f t="array" ref="E83">IFERROR(_xlfn.XLOOKUP($E$3,Heat_connections_input[#Headers],Heat_connections_input[#This Row],0,0,),"-")</f>
        <v>-</v>
      </c>
      <c r="F83" s="259" cm="1">
        <f t="array" ref="F83">IFERROR(_xlfn.XLOOKUP($F$3,Heat_connections_input[#Headers],Heat_connections_input[#This Row],0,0,),0)</f>
        <v>0</v>
      </c>
      <c r="G83" s="259" cm="1">
        <f t="array" ref="G83">IFERROR(_xlfn.XLOOKUP($G$3,Heat_connections_input[#Headers],Heat_connections_input[#This Row],0,0,),0)</f>
        <v>0</v>
      </c>
      <c r="H83" s="341" cm="1">
        <f t="array" ref="H83">IFERROR(_xlfn.XLOOKUP($H$3,Heat_connections_input[#Headers],Heat_connections_input[#This Row],0,0,),0)</f>
        <v>0</v>
      </c>
      <c r="I83" s="326" t="str" cm="1">
        <f t="array" ref="I83">IFERROR(_xlfn.XLOOKUP($I$3,Heat_connections_input[#Headers],Heat_connections_input[#This Row],0,0,),"-")</f>
        <v>-</v>
      </c>
      <c r="J83" s="326" t="str" cm="1">
        <f t="array" ref="J83">IFERROR(_xlfn.XLOOKUP($J$3,Heat_connections_input[#Headers],Heat_connections_input[#This Row],0,0,1),"-")</f>
        <v>-</v>
      </c>
      <c r="K83" s="260"/>
      <c r="L83" s="261"/>
      <c r="M83" s="262"/>
      <c r="N83" s="263"/>
      <c r="O83" s="264" t="str">
        <f>IF(Heat_connections[[#This Row],[Ref]]&lt;&gt;"-",
IF(M83=1,Dashboard!$C$26,IF(M83=2,Dashboard!$C$27,Dashboard!$C$28)),"-")</f>
        <v>-</v>
      </c>
      <c r="P83" s="341">
        <f>IF(Heat_connections[[#This Row],[Category]]="Domestic",Heat_connections[[#This Row],[No. of connections]],0)</f>
        <v>0</v>
      </c>
      <c r="Q83" s="341">
        <f>IF(Heat_connections[[#This Row],[Category]]&lt;&gt;"Domestic",Heat_connections[[#This Row],[No. of connections]],0)</f>
        <v>0</v>
      </c>
      <c r="R83" s="209"/>
      <c r="S83" s="512">
        <f>IF(Heat_connections[[#This Row],[TOID]]&lt;&gt;"-",
IF(ISBLANK('Heat connections'!$R83),Dashboard!$C$14,'Heat connections'!$R83),0)</f>
        <v>0</v>
      </c>
      <c r="T83" s="513">
        <f>IF(Heat_connections[[#This Row],[Peak Demand, kW]]&lt;&gt;0,'Heat connections'!$G83*Dashboard!$C$21,0)</f>
        <v>0</v>
      </c>
      <c r="U83" s="514">
        <f>IF(Heat_connections[[#This Row],[Ref]]&lt;&gt;"-",48.436*Heat_connections[[#This Row],[Peak Demand, kW]]+1068.7,0)</f>
        <v>0</v>
      </c>
      <c r="V83" s="515">
        <f>IF(Heat_connections[[#This Row],[Ref]]&lt;&gt;"-",
_xlfn.XLOOKUP('Heat connections'!$G83,'Technical inputs'!$F$79:$F$94,'Technical inputs'!$I$79:$I$94,0,1,1),0)</f>
        <v>0</v>
      </c>
      <c r="W83" s="429">
        <f>IF('Heat connections'!$E83="Domestic",1,0)</f>
        <v>0</v>
      </c>
      <c r="X83" s="430">
        <f>IF(AND(Heat_connections[[#This Row],[Ref]]&lt;&gt;"-",'Heat connections'!$E83&lt;&gt;"Domestic"),1,0)</f>
        <v>0</v>
      </c>
      <c r="Y83" s="434">
        <v>29</v>
      </c>
      <c r="Z83" s="438">
        <f>IF(Heat_connections[[#This Row],[Existing/planned development]]&lt;&gt;0,1,0)</f>
        <v>0</v>
      </c>
      <c r="AA83" s="430">
        <f>IF('Heat connections'!$M83=1,1,0)</f>
        <v>0</v>
      </c>
      <c r="AB83" s="430">
        <f>IF('Heat connections'!$M83=2,1,0)</f>
        <v>0</v>
      </c>
      <c r="AC83" s="434">
        <f>IF('Heat connections'!$M83=3,1,0)</f>
        <v>0</v>
      </c>
      <c r="AD83" s="46" t="str">
        <f>IF(AND(Heat_connections[[#This Row],[Connected to heat network]]="Yes",Heat_connections[[#This Row],[Ref]]&lt;&gt;"-"),"Yes","No")</f>
        <v>No</v>
      </c>
    </row>
    <row r="84" spans="3:30" ht="12.75" x14ac:dyDescent="0.2">
      <c r="C84" s="208" t="str" cm="1">
        <f t="array" ref="C84">IFERROR(_xlfn.XLOOKUP($C$3,Heat_connections_input[#Headers],Heat_connections_input[#This Row],0,0,),"-")</f>
        <v>-</v>
      </c>
      <c r="D84" s="323" t="str" cm="1">
        <f t="array" ref="D84">IFERROR(_xlfn.XLOOKUP($D$3,Heat_connections_input[#Headers],Heat_connections_input[#This Row],0,0,),"-")</f>
        <v>-</v>
      </c>
      <c r="E84" s="284" t="str" cm="1">
        <f t="array" ref="E84">IFERROR(_xlfn.XLOOKUP($E$3,Heat_connections_input[#Headers],Heat_connections_input[#This Row],0,0,),"-")</f>
        <v>-</v>
      </c>
      <c r="F84" s="259" cm="1">
        <f t="array" ref="F84">IFERROR(_xlfn.XLOOKUP($F$3,Heat_connections_input[#Headers],Heat_connections_input[#This Row],0,0,),0)</f>
        <v>0</v>
      </c>
      <c r="G84" s="259" cm="1">
        <f t="array" ref="G84">IFERROR(_xlfn.XLOOKUP($G$3,Heat_connections_input[#Headers],Heat_connections_input[#This Row],0,0,),0)</f>
        <v>0</v>
      </c>
      <c r="H84" s="341" cm="1">
        <f t="array" ref="H84">IFERROR(_xlfn.XLOOKUP($H$3,Heat_connections_input[#Headers],Heat_connections_input[#This Row],0,0,),0)</f>
        <v>0</v>
      </c>
      <c r="I84" s="326" t="str" cm="1">
        <f t="array" ref="I84">IFERROR(_xlfn.XLOOKUP($I$3,Heat_connections_input[#Headers],Heat_connections_input[#This Row],0,0,),"-")</f>
        <v>-</v>
      </c>
      <c r="J84" s="326" t="str" cm="1">
        <f t="array" ref="J84">IFERROR(_xlfn.XLOOKUP($J$3,Heat_connections_input[#Headers],Heat_connections_input[#This Row],0,0,1),"-")</f>
        <v>-</v>
      </c>
      <c r="K84" s="260"/>
      <c r="L84" s="261"/>
      <c r="M84" s="262"/>
      <c r="N84" s="263"/>
      <c r="O84" s="264" t="str">
        <f>IF(Heat_connections[[#This Row],[Ref]]&lt;&gt;"-",
IF(M84=1,Dashboard!$C$26,IF(M84=2,Dashboard!$C$27,Dashboard!$C$28)),"-")</f>
        <v>-</v>
      </c>
      <c r="P84" s="341">
        <f>IF(Heat_connections[[#This Row],[Category]]="Domestic",Heat_connections[[#This Row],[No. of connections]],0)</f>
        <v>0</v>
      </c>
      <c r="Q84" s="341">
        <f>IF(Heat_connections[[#This Row],[Category]]&lt;&gt;"Domestic",Heat_connections[[#This Row],[No. of connections]],0)</f>
        <v>0</v>
      </c>
      <c r="R84" s="209"/>
      <c r="S84" s="512">
        <f>IF(Heat_connections[[#This Row],[TOID]]&lt;&gt;"-",
IF(ISBLANK('Heat connections'!$R84),Dashboard!$C$14,'Heat connections'!$R84),0)</f>
        <v>0</v>
      </c>
      <c r="T84" s="513">
        <f>IF(Heat_connections[[#This Row],[Peak Demand, kW]]&lt;&gt;0,'Heat connections'!$G84*Dashboard!$C$21,0)</f>
        <v>0</v>
      </c>
      <c r="U84" s="514">
        <f>IF(Heat_connections[[#This Row],[Ref]]&lt;&gt;"-",48.436*Heat_connections[[#This Row],[Peak Demand, kW]]+1068.7,0)</f>
        <v>0</v>
      </c>
      <c r="V84" s="515">
        <f>IF(Heat_connections[[#This Row],[Ref]]&lt;&gt;"-",
_xlfn.XLOOKUP('Heat connections'!$G84,'Technical inputs'!$F$79:$F$94,'Technical inputs'!$I$79:$I$94,0,1,1),0)</f>
        <v>0</v>
      </c>
      <c r="W84" s="429">
        <f>IF('Heat connections'!$E84="Domestic",1,0)</f>
        <v>0</v>
      </c>
      <c r="X84" s="430">
        <f>IF(AND(Heat_connections[[#This Row],[Ref]]&lt;&gt;"-",'Heat connections'!$E84&lt;&gt;"Domestic"),1,0)</f>
        <v>0</v>
      </c>
      <c r="Y84" s="434">
        <v>30</v>
      </c>
      <c r="Z84" s="438">
        <f>IF(Heat_connections[[#This Row],[Existing/planned development]]&lt;&gt;0,1,0)</f>
        <v>0</v>
      </c>
      <c r="AA84" s="430">
        <f>IF('Heat connections'!$M84=1,1,0)</f>
        <v>0</v>
      </c>
      <c r="AB84" s="430">
        <f>IF('Heat connections'!$M84=2,1,0)</f>
        <v>0</v>
      </c>
      <c r="AC84" s="434">
        <f>IF('Heat connections'!$M84=3,1,0)</f>
        <v>0</v>
      </c>
      <c r="AD84" s="46" t="str">
        <f>IF(AND(Heat_connections[[#This Row],[Connected to heat network]]="Yes",Heat_connections[[#This Row],[Ref]]&lt;&gt;"-"),"Yes","No")</f>
        <v>No</v>
      </c>
    </row>
    <row r="85" spans="3:30" ht="12.75" x14ac:dyDescent="0.2">
      <c r="C85" s="208" t="str" cm="1">
        <f t="array" ref="C85">IFERROR(_xlfn.XLOOKUP($C$3,Heat_connections_input[#Headers],Heat_connections_input[#This Row],0,0,),"-")</f>
        <v>-</v>
      </c>
      <c r="D85" s="323" t="str" cm="1">
        <f t="array" ref="D85">IFERROR(_xlfn.XLOOKUP($D$3,Heat_connections_input[#Headers],Heat_connections_input[#This Row],0,0,),"-")</f>
        <v>-</v>
      </c>
      <c r="E85" s="284" t="str" cm="1">
        <f t="array" ref="E85">IFERROR(_xlfn.XLOOKUP($E$3,Heat_connections_input[#Headers],Heat_connections_input[#This Row],0,0,),"-")</f>
        <v>-</v>
      </c>
      <c r="F85" s="259" cm="1">
        <f t="array" ref="F85">IFERROR(_xlfn.XLOOKUP($F$3,Heat_connections_input[#Headers],Heat_connections_input[#This Row],0,0,),0)</f>
        <v>0</v>
      </c>
      <c r="G85" s="259" cm="1">
        <f t="array" ref="G85">IFERROR(_xlfn.XLOOKUP($G$3,Heat_connections_input[#Headers],Heat_connections_input[#This Row],0,0,),0)</f>
        <v>0</v>
      </c>
      <c r="H85" s="341" cm="1">
        <f t="array" ref="H85">IFERROR(_xlfn.XLOOKUP($H$3,Heat_connections_input[#Headers],Heat_connections_input[#This Row],0,0,),0)</f>
        <v>0</v>
      </c>
      <c r="I85" s="326" t="str" cm="1">
        <f t="array" ref="I85">IFERROR(_xlfn.XLOOKUP($I$3,Heat_connections_input[#Headers],Heat_connections_input[#This Row],0,0,),"-")</f>
        <v>-</v>
      </c>
      <c r="J85" s="326" t="str" cm="1">
        <f t="array" ref="J85">IFERROR(_xlfn.XLOOKUP($J$3,Heat_connections_input[#Headers],Heat_connections_input[#This Row],0,0,1),"-")</f>
        <v>-</v>
      </c>
      <c r="K85" s="260"/>
      <c r="L85" s="261"/>
      <c r="M85" s="262"/>
      <c r="N85" s="263"/>
      <c r="O85" s="264" t="str">
        <f>IF(Heat_connections[[#This Row],[Ref]]&lt;&gt;"-",
IF(M85=1,Dashboard!$C$26,IF(M85=2,Dashboard!$C$27,Dashboard!$C$28)),"-")</f>
        <v>-</v>
      </c>
      <c r="P85" s="341">
        <f>IF(Heat_connections[[#This Row],[Category]]="Domestic",Heat_connections[[#This Row],[No. of connections]],0)</f>
        <v>0</v>
      </c>
      <c r="Q85" s="341">
        <f>IF(Heat_connections[[#This Row],[Category]]&lt;&gt;"Domestic",Heat_connections[[#This Row],[No. of connections]],0)</f>
        <v>0</v>
      </c>
      <c r="R85" s="209"/>
      <c r="S85" s="512">
        <f>IF(Heat_connections[[#This Row],[TOID]]&lt;&gt;"-",
IF(ISBLANK('Heat connections'!$R85),Dashboard!$C$14,'Heat connections'!$R85),0)</f>
        <v>0</v>
      </c>
      <c r="T85" s="513">
        <f>IF(Heat_connections[[#This Row],[Peak Demand, kW]]&lt;&gt;0,'Heat connections'!$G85*Dashboard!$C$21,0)</f>
        <v>0</v>
      </c>
      <c r="U85" s="514">
        <f>IF(Heat_connections[[#This Row],[Ref]]&lt;&gt;"-",48.436*Heat_connections[[#This Row],[Peak Demand, kW]]+1068.7,0)</f>
        <v>0</v>
      </c>
      <c r="V85" s="515">
        <f>IF(Heat_connections[[#This Row],[Ref]]&lt;&gt;"-",
_xlfn.XLOOKUP('Heat connections'!$G85,'Technical inputs'!$F$79:$F$94,'Technical inputs'!$I$79:$I$94,0,1,1),0)</f>
        <v>0</v>
      </c>
      <c r="W85" s="429">
        <f>IF('Heat connections'!$E85="Domestic",1,0)</f>
        <v>0</v>
      </c>
      <c r="X85" s="430">
        <f>IF(AND(Heat_connections[[#This Row],[Ref]]&lt;&gt;"-",'Heat connections'!$E85&lt;&gt;"Domestic"),1,0)</f>
        <v>0</v>
      </c>
      <c r="Y85" s="434">
        <v>31</v>
      </c>
      <c r="Z85" s="438">
        <f>IF(Heat_connections[[#This Row],[Existing/planned development]]&lt;&gt;0,1,0)</f>
        <v>0</v>
      </c>
      <c r="AA85" s="430">
        <f>IF('Heat connections'!$M85=1,1,0)</f>
        <v>0</v>
      </c>
      <c r="AB85" s="430">
        <f>IF('Heat connections'!$M85=2,1,0)</f>
        <v>0</v>
      </c>
      <c r="AC85" s="434">
        <f>IF('Heat connections'!$M85=3,1,0)</f>
        <v>0</v>
      </c>
      <c r="AD85" s="46" t="str">
        <f>IF(AND(Heat_connections[[#This Row],[Connected to heat network]]="Yes",Heat_connections[[#This Row],[Ref]]&lt;&gt;"-"),"Yes","No")</f>
        <v>No</v>
      </c>
    </row>
    <row r="86" spans="3:30" ht="12.75" x14ac:dyDescent="0.2">
      <c r="C86" s="208" t="str" cm="1">
        <f t="array" ref="C86">IFERROR(_xlfn.XLOOKUP($C$3,Heat_connections_input[#Headers],Heat_connections_input[#This Row],0,0,),"-")</f>
        <v>-</v>
      </c>
      <c r="D86" s="323" t="str" cm="1">
        <f t="array" ref="D86">IFERROR(_xlfn.XLOOKUP($D$3,Heat_connections_input[#Headers],Heat_connections_input[#This Row],0,0,),"-")</f>
        <v>-</v>
      </c>
      <c r="E86" s="284" t="str" cm="1">
        <f t="array" ref="E86">IFERROR(_xlfn.XLOOKUP($E$3,Heat_connections_input[#Headers],Heat_connections_input[#This Row],0,0,),"-")</f>
        <v>-</v>
      </c>
      <c r="F86" s="259" cm="1">
        <f t="array" ref="F86">IFERROR(_xlfn.XLOOKUP($F$3,Heat_connections_input[#Headers],Heat_connections_input[#This Row],0,0,),0)</f>
        <v>0</v>
      </c>
      <c r="G86" s="259" cm="1">
        <f t="array" ref="G86">IFERROR(_xlfn.XLOOKUP($G$3,Heat_connections_input[#Headers],Heat_connections_input[#This Row],0,0,),0)</f>
        <v>0</v>
      </c>
      <c r="H86" s="341" cm="1">
        <f t="array" ref="H86">IFERROR(_xlfn.XLOOKUP($H$3,Heat_connections_input[#Headers],Heat_connections_input[#This Row],0,0,),0)</f>
        <v>0</v>
      </c>
      <c r="I86" s="326" t="str" cm="1">
        <f t="array" ref="I86">IFERROR(_xlfn.XLOOKUP($I$3,Heat_connections_input[#Headers],Heat_connections_input[#This Row],0,0,),"-")</f>
        <v>-</v>
      </c>
      <c r="J86" s="326" t="str" cm="1">
        <f t="array" ref="J86">IFERROR(_xlfn.XLOOKUP($J$3,Heat_connections_input[#Headers],Heat_connections_input[#This Row],0,0,1),"-")</f>
        <v>-</v>
      </c>
      <c r="K86" s="260"/>
      <c r="L86" s="261"/>
      <c r="M86" s="262"/>
      <c r="N86" s="263"/>
      <c r="O86" s="264" t="str">
        <f>IF(Heat_connections[[#This Row],[Ref]]&lt;&gt;"-",
IF(M86=1,Dashboard!$C$26,IF(M86=2,Dashboard!$C$27,Dashboard!$C$28)),"-")</f>
        <v>-</v>
      </c>
      <c r="P86" s="341">
        <f>IF(Heat_connections[[#This Row],[Category]]="Domestic",Heat_connections[[#This Row],[No. of connections]],0)</f>
        <v>0</v>
      </c>
      <c r="Q86" s="341">
        <f>IF(Heat_connections[[#This Row],[Category]]&lt;&gt;"Domestic",Heat_connections[[#This Row],[No. of connections]],0)</f>
        <v>0</v>
      </c>
      <c r="R86" s="209"/>
      <c r="S86" s="512">
        <f>IF(Heat_connections[[#This Row],[TOID]]&lt;&gt;"-",
IF(ISBLANK('Heat connections'!$R86),Dashboard!$C$14,'Heat connections'!$R86),0)</f>
        <v>0</v>
      </c>
      <c r="T86" s="513">
        <f>IF(Heat_connections[[#This Row],[Peak Demand, kW]]&lt;&gt;0,'Heat connections'!$G86*Dashboard!$C$21,0)</f>
        <v>0</v>
      </c>
      <c r="U86" s="514">
        <f>IF(Heat_connections[[#This Row],[Ref]]&lt;&gt;"-",48.436*Heat_connections[[#This Row],[Peak Demand, kW]]+1068.7,0)</f>
        <v>0</v>
      </c>
      <c r="V86" s="515">
        <f>IF(Heat_connections[[#This Row],[Ref]]&lt;&gt;"-",
_xlfn.XLOOKUP('Heat connections'!$G86,'Technical inputs'!$F$79:$F$94,'Technical inputs'!$I$79:$I$94,0,1,1),0)</f>
        <v>0</v>
      </c>
      <c r="W86" s="429">
        <f>IF('Heat connections'!$E86="Domestic",1,0)</f>
        <v>0</v>
      </c>
      <c r="X86" s="430">
        <f>IF(AND(Heat_connections[[#This Row],[Ref]]&lt;&gt;"-",'Heat connections'!$E86&lt;&gt;"Domestic"),1,0)</f>
        <v>0</v>
      </c>
      <c r="Y86" s="434">
        <v>32</v>
      </c>
      <c r="Z86" s="438">
        <f>IF(Heat_connections[[#This Row],[Existing/planned development]]&lt;&gt;0,1,0)</f>
        <v>0</v>
      </c>
      <c r="AA86" s="430">
        <f>IF('Heat connections'!$M86=1,1,0)</f>
        <v>0</v>
      </c>
      <c r="AB86" s="430">
        <f>IF('Heat connections'!$M86=2,1,0)</f>
        <v>0</v>
      </c>
      <c r="AC86" s="434">
        <f>IF('Heat connections'!$M86=3,1,0)</f>
        <v>0</v>
      </c>
      <c r="AD86" s="46" t="str">
        <f>IF(AND(Heat_connections[[#This Row],[Connected to heat network]]="Yes",Heat_connections[[#This Row],[Ref]]&lt;&gt;"-"),"Yes","No")</f>
        <v>No</v>
      </c>
    </row>
    <row r="87" spans="3:30" ht="12.75" x14ac:dyDescent="0.2">
      <c r="C87" s="208" t="str" cm="1">
        <f t="array" ref="C87">IFERROR(_xlfn.XLOOKUP($C$3,Heat_connections_input[#Headers],Heat_connections_input[#This Row],0,0,),"-")</f>
        <v>-</v>
      </c>
      <c r="D87" s="323" t="str" cm="1">
        <f t="array" ref="D87">IFERROR(_xlfn.XLOOKUP($D$3,Heat_connections_input[#Headers],Heat_connections_input[#This Row],0,0,),"-")</f>
        <v>-</v>
      </c>
      <c r="E87" s="284" t="str" cm="1">
        <f t="array" ref="E87">IFERROR(_xlfn.XLOOKUP($E$3,Heat_connections_input[#Headers],Heat_connections_input[#This Row],0,0,),"-")</f>
        <v>-</v>
      </c>
      <c r="F87" s="259" cm="1">
        <f t="array" ref="F87">IFERROR(_xlfn.XLOOKUP($F$3,Heat_connections_input[#Headers],Heat_connections_input[#This Row],0,0,),0)</f>
        <v>0</v>
      </c>
      <c r="G87" s="259" cm="1">
        <f t="array" ref="G87">IFERROR(_xlfn.XLOOKUP($G$3,Heat_connections_input[#Headers],Heat_connections_input[#This Row],0,0,),0)</f>
        <v>0</v>
      </c>
      <c r="H87" s="341" cm="1">
        <f t="array" ref="H87">IFERROR(_xlfn.XLOOKUP($H$3,Heat_connections_input[#Headers],Heat_connections_input[#This Row],0,0,),0)</f>
        <v>0</v>
      </c>
      <c r="I87" s="326" t="str" cm="1">
        <f t="array" ref="I87">IFERROR(_xlfn.XLOOKUP($I$3,Heat_connections_input[#Headers],Heat_connections_input[#This Row],0,0,),"-")</f>
        <v>-</v>
      </c>
      <c r="J87" s="326" t="str" cm="1">
        <f t="array" ref="J87">IFERROR(_xlfn.XLOOKUP($J$3,Heat_connections_input[#Headers],Heat_connections_input[#This Row],0,0,1),"-")</f>
        <v>-</v>
      </c>
      <c r="K87" s="260"/>
      <c r="L87" s="261"/>
      <c r="M87" s="262"/>
      <c r="N87" s="263"/>
      <c r="O87" s="264" t="str">
        <f>IF(Heat_connections[[#This Row],[Ref]]&lt;&gt;"-",
IF(M87=1,Dashboard!$C$26,IF(M87=2,Dashboard!$C$27,Dashboard!$C$28)),"-")</f>
        <v>-</v>
      </c>
      <c r="P87" s="341">
        <f>IF(Heat_connections[[#This Row],[Category]]="Domestic",Heat_connections[[#This Row],[No. of connections]],0)</f>
        <v>0</v>
      </c>
      <c r="Q87" s="341">
        <f>IF(Heat_connections[[#This Row],[Category]]&lt;&gt;"Domestic",Heat_connections[[#This Row],[No. of connections]],0)</f>
        <v>0</v>
      </c>
      <c r="R87" s="209"/>
      <c r="S87" s="512">
        <f>IF(Heat_connections[[#This Row],[TOID]]&lt;&gt;"-",
IF(ISBLANK('Heat connections'!$R87),Dashboard!$C$14,'Heat connections'!$R87),0)</f>
        <v>0</v>
      </c>
      <c r="T87" s="513">
        <f>IF(Heat_connections[[#This Row],[Peak Demand, kW]]&lt;&gt;0,'Heat connections'!$G87*Dashboard!$C$21,0)</f>
        <v>0</v>
      </c>
      <c r="U87" s="514">
        <f>IF(Heat_connections[[#This Row],[Ref]]&lt;&gt;"-",48.436*Heat_connections[[#This Row],[Peak Demand, kW]]+1068.7,0)</f>
        <v>0</v>
      </c>
      <c r="V87" s="515">
        <f>IF(Heat_connections[[#This Row],[Ref]]&lt;&gt;"-",
_xlfn.XLOOKUP('Heat connections'!$G87,'Technical inputs'!$F$79:$F$94,'Technical inputs'!$I$79:$I$94,0,1,1),0)</f>
        <v>0</v>
      </c>
      <c r="W87" s="429">
        <f>IF('Heat connections'!$E87="Domestic",1,0)</f>
        <v>0</v>
      </c>
      <c r="X87" s="430">
        <f>IF(AND(Heat_connections[[#This Row],[Ref]]&lt;&gt;"-",'Heat connections'!$E87&lt;&gt;"Domestic"),1,0)</f>
        <v>0</v>
      </c>
      <c r="Y87" s="434">
        <v>33</v>
      </c>
      <c r="Z87" s="438">
        <f>IF(Heat_connections[[#This Row],[Existing/planned development]]&lt;&gt;0,1,0)</f>
        <v>0</v>
      </c>
      <c r="AA87" s="430">
        <f>IF('Heat connections'!$M87=1,1,0)</f>
        <v>0</v>
      </c>
      <c r="AB87" s="430">
        <f>IF('Heat connections'!$M87=2,1,0)</f>
        <v>0</v>
      </c>
      <c r="AC87" s="434">
        <f>IF('Heat connections'!$M87=3,1,0)</f>
        <v>0</v>
      </c>
      <c r="AD87" s="46" t="str">
        <f>IF(AND(Heat_connections[[#This Row],[Connected to heat network]]="Yes",Heat_connections[[#This Row],[Ref]]&lt;&gt;"-"),"Yes","No")</f>
        <v>No</v>
      </c>
    </row>
    <row r="88" spans="3:30" ht="12.75" x14ac:dyDescent="0.2">
      <c r="C88" s="208" t="str" cm="1">
        <f t="array" ref="C88">IFERROR(_xlfn.XLOOKUP($C$3,Heat_connections_input[#Headers],Heat_connections_input[#This Row],0,0,),"-")</f>
        <v>-</v>
      </c>
      <c r="D88" s="323" t="str" cm="1">
        <f t="array" ref="D88">IFERROR(_xlfn.XLOOKUP($D$3,Heat_connections_input[#Headers],Heat_connections_input[#This Row],0,0,),"-")</f>
        <v>-</v>
      </c>
      <c r="E88" s="284" t="str" cm="1">
        <f t="array" ref="E88">IFERROR(_xlfn.XLOOKUP($E$3,Heat_connections_input[#Headers],Heat_connections_input[#This Row],0,0,),"-")</f>
        <v>-</v>
      </c>
      <c r="F88" s="259" cm="1">
        <f t="array" ref="F88">IFERROR(_xlfn.XLOOKUP($F$3,Heat_connections_input[#Headers],Heat_connections_input[#This Row],0,0,),0)</f>
        <v>0</v>
      </c>
      <c r="G88" s="259" cm="1">
        <f t="array" ref="G88">IFERROR(_xlfn.XLOOKUP($G$3,Heat_connections_input[#Headers],Heat_connections_input[#This Row],0,0,),0)</f>
        <v>0</v>
      </c>
      <c r="H88" s="341" cm="1">
        <f t="array" ref="H88">IFERROR(_xlfn.XLOOKUP($H$3,Heat_connections_input[#Headers],Heat_connections_input[#This Row],0,0,),0)</f>
        <v>0</v>
      </c>
      <c r="I88" s="326" t="str" cm="1">
        <f t="array" ref="I88">IFERROR(_xlfn.XLOOKUP($I$3,Heat_connections_input[#Headers],Heat_connections_input[#This Row],0,0,),"-")</f>
        <v>-</v>
      </c>
      <c r="J88" s="326" t="str" cm="1">
        <f t="array" ref="J88">IFERROR(_xlfn.XLOOKUP($J$3,Heat_connections_input[#Headers],Heat_connections_input[#This Row],0,0,1),"-")</f>
        <v>-</v>
      </c>
      <c r="K88" s="260"/>
      <c r="L88" s="261"/>
      <c r="M88" s="262"/>
      <c r="N88" s="263"/>
      <c r="O88" s="264" t="str">
        <f>IF(Heat_connections[[#This Row],[Ref]]&lt;&gt;"-",
IF(M88=1,Dashboard!$C$26,IF(M88=2,Dashboard!$C$27,Dashboard!$C$28)),"-")</f>
        <v>-</v>
      </c>
      <c r="P88" s="341">
        <f>IF(Heat_connections[[#This Row],[Category]]="Domestic",Heat_connections[[#This Row],[No. of connections]],0)</f>
        <v>0</v>
      </c>
      <c r="Q88" s="341">
        <f>IF(Heat_connections[[#This Row],[Category]]&lt;&gt;"Domestic",Heat_connections[[#This Row],[No. of connections]],0)</f>
        <v>0</v>
      </c>
      <c r="R88" s="209"/>
      <c r="S88" s="512">
        <f>IF(Heat_connections[[#This Row],[TOID]]&lt;&gt;"-",
IF(ISBLANK('Heat connections'!$R88),Dashboard!$C$14,'Heat connections'!$R88),0)</f>
        <v>0</v>
      </c>
      <c r="T88" s="513">
        <f>IF(Heat_connections[[#This Row],[Peak Demand, kW]]&lt;&gt;0,'Heat connections'!$G88*Dashboard!$C$21,0)</f>
        <v>0</v>
      </c>
      <c r="U88" s="514">
        <f>IF(Heat_connections[[#This Row],[Ref]]&lt;&gt;"-",48.436*Heat_connections[[#This Row],[Peak Demand, kW]]+1068.7,0)</f>
        <v>0</v>
      </c>
      <c r="V88" s="515">
        <f>IF(Heat_connections[[#This Row],[Ref]]&lt;&gt;"-",
_xlfn.XLOOKUP('Heat connections'!$G88,'Technical inputs'!$F$79:$F$94,'Technical inputs'!$I$79:$I$94,0,1,1),0)</f>
        <v>0</v>
      </c>
      <c r="W88" s="429">
        <f>IF('Heat connections'!$E88="Domestic",1,0)</f>
        <v>0</v>
      </c>
      <c r="X88" s="430">
        <f>IF(AND(Heat_connections[[#This Row],[Ref]]&lt;&gt;"-",'Heat connections'!$E88&lt;&gt;"Domestic"),1,0)</f>
        <v>0</v>
      </c>
      <c r="Y88" s="434">
        <v>34</v>
      </c>
      <c r="Z88" s="438">
        <f>IF(Heat_connections[[#This Row],[Existing/planned development]]&lt;&gt;0,1,0)</f>
        <v>0</v>
      </c>
      <c r="AA88" s="430">
        <f>IF('Heat connections'!$M88=1,1,0)</f>
        <v>0</v>
      </c>
      <c r="AB88" s="430">
        <f>IF('Heat connections'!$M88=2,1,0)</f>
        <v>0</v>
      </c>
      <c r="AC88" s="434">
        <f>IF('Heat connections'!$M88=3,1,0)</f>
        <v>0</v>
      </c>
      <c r="AD88" s="46" t="str">
        <f>IF(AND(Heat_connections[[#This Row],[Connected to heat network]]="Yes",Heat_connections[[#This Row],[Ref]]&lt;&gt;"-"),"Yes","No")</f>
        <v>No</v>
      </c>
    </row>
    <row r="89" spans="3:30" ht="12.75" x14ac:dyDescent="0.2">
      <c r="C89" s="208" t="str" cm="1">
        <f t="array" ref="C89">IFERROR(_xlfn.XLOOKUP($C$3,Heat_connections_input[#Headers],Heat_connections_input[#This Row],0,0,),"-")</f>
        <v>-</v>
      </c>
      <c r="D89" s="323" t="str" cm="1">
        <f t="array" ref="D89">IFERROR(_xlfn.XLOOKUP($D$3,Heat_connections_input[#Headers],Heat_connections_input[#This Row],0,0,),"-")</f>
        <v>-</v>
      </c>
      <c r="E89" s="284" t="str" cm="1">
        <f t="array" ref="E89">IFERROR(_xlfn.XLOOKUP($E$3,Heat_connections_input[#Headers],Heat_connections_input[#This Row],0,0,),"-")</f>
        <v>-</v>
      </c>
      <c r="F89" s="259" cm="1">
        <f t="array" ref="F89">IFERROR(_xlfn.XLOOKUP($F$3,Heat_connections_input[#Headers],Heat_connections_input[#This Row],0,0,),0)</f>
        <v>0</v>
      </c>
      <c r="G89" s="259" cm="1">
        <f t="array" ref="G89">IFERROR(_xlfn.XLOOKUP($G$3,Heat_connections_input[#Headers],Heat_connections_input[#This Row],0,0,),0)</f>
        <v>0</v>
      </c>
      <c r="H89" s="341" cm="1">
        <f t="array" ref="H89">IFERROR(_xlfn.XLOOKUP($H$3,Heat_connections_input[#Headers],Heat_connections_input[#This Row],0,0,),0)</f>
        <v>0</v>
      </c>
      <c r="I89" s="326" t="str" cm="1">
        <f t="array" ref="I89">IFERROR(_xlfn.XLOOKUP($I$3,Heat_connections_input[#Headers],Heat_connections_input[#This Row],0,0,),"-")</f>
        <v>-</v>
      </c>
      <c r="J89" s="326" t="str" cm="1">
        <f t="array" ref="J89">IFERROR(_xlfn.XLOOKUP($J$3,Heat_connections_input[#Headers],Heat_connections_input[#This Row],0,0,1),"-")</f>
        <v>-</v>
      </c>
      <c r="K89" s="260"/>
      <c r="L89" s="261"/>
      <c r="M89" s="262"/>
      <c r="N89" s="263"/>
      <c r="O89" s="264" t="str">
        <f>IF(Heat_connections[[#This Row],[Ref]]&lt;&gt;"-",
IF(M89=1,Dashboard!$C$26,IF(M89=2,Dashboard!$C$27,Dashboard!$C$28)),"-")</f>
        <v>-</v>
      </c>
      <c r="P89" s="341">
        <f>IF(Heat_connections[[#This Row],[Category]]="Domestic",Heat_connections[[#This Row],[No. of connections]],0)</f>
        <v>0</v>
      </c>
      <c r="Q89" s="341">
        <f>IF(Heat_connections[[#This Row],[Category]]&lt;&gt;"Domestic",Heat_connections[[#This Row],[No. of connections]],0)</f>
        <v>0</v>
      </c>
      <c r="R89" s="209"/>
      <c r="S89" s="512">
        <f>IF(Heat_connections[[#This Row],[TOID]]&lt;&gt;"-",
IF(ISBLANK('Heat connections'!$R89),Dashboard!$C$14,'Heat connections'!$R89),0)</f>
        <v>0</v>
      </c>
      <c r="T89" s="513">
        <f>IF(Heat_connections[[#This Row],[Peak Demand, kW]]&lt;&gt;0,'Heat connections'!$G89*Dashboard!$C$21,0)</f>
        <v>0</v>
      </c>
      <c r="U89" s="514">
        <f>IF(Heat_connections[[#This Row],[Ref]]&lt;&gt;"-",48.436*Heat_connections[[#This Row],[Peak Demand, kW]]+1068.7,0)</f>
        <v>0</v>
      </c>
      <c r="V89" s="515">
        <f>IF(Heat_connections[[#This Row],[Ref]]&lt;&gt;"-",
_xlfn.XLOOKUP('Heat connections'!$G89,'Technical inputs'!$F$79:$F$94,'Technical inputs'!$I$79:$I$94,0,1,1),0)</f>
        <v>0</v>
      </c>
      <c r="W89" s="429">
        <f>IF('Heat connections'!$E89="Domestic",1,0)</f>
        <v>0</v>
      </c>
      <c r="X89" s="430">
        <f>IF(AND(Heat_connections[[#This Row],[Ref]]&lt;&gt;"-",'Heat connections'!$E89&lt;&gt;"Domestic"),1,0)</f>
        <v>0</v>
      </c>
      <c r="Y89" s="434">
        <v>35</v>
      </c>
      <c r="Z89" s="438">
        <f>IF(Heat_connections[[#This Row],[Existing/planned development]]&lt;&gt;0,1,0)</f>
        <v>0</v>
      </c>
      <c r="AA89" s="430">
        <f>IF('Heat connections'!$M89=1,1,0)</f>
        <v>0</v>
      </c>
      <c r="AB89" s="430">
        <f>IF('Heat connections'!$M89=2,1,0)</f>
        <v>0</v>
      </c>
      <c r="AC89" s="434">
        <f>IF('Heat connections'!$M89=3,1,0)</f>
        <v>0</v>
      </c>
      <c r="AD89" s="46" t="str">
        <f>IF(AND(Heat_connections[[#This Row],[Connected to heat network]]="Yes",Heat_connections[[#This Row],[Ref]]&lt;&gt;"-"),"Yes","No")</f>
        <v>No</v>
      </c>
    </row>
    <row r="90" spans="3:30" ht="12.75" x14ac:dyDescent="0.2">
      <c r="C90" s="208" t="str" cm="1">
        <f t="array" ref="C90">IFERROR(_xlfn.XLOOKUP($C$3,Heat_connections_input[#Headers],Heat_connections_input[#This Row],0,0,),"-")</f>
        <v>-</v>
      </c>
      <c r="D90" s="323" t="str" cm="1">
        <f t="array" ref="D90">IFERROR(_xlfn.XLOOKUP($D$3,Heat_connections_input[#Headers],Heat_connections_input[#This Row],0,0,),"-")</f>
        <v>-</v>
      </c>
      <c r="E90" s="284" t="str" cm="1">
        <f t="array" ref="E90">IFERROR(_xlfn.XLOOKUP($E$3,Heat_connections_input[#Headers],Heat_connections_input[#This Row],0,0,),"-")</f>
        <v>-</v>
      </c>
      <c r="F90" s="259" cm="1">
        <f t="array" ref="F90">IFERROR(_xlfn.XLOOKUP($F$3,Heat_connections_input[#Headers],Heat_connections_input[#This Row],0,0,),0)</f>
        <v>0</v>
      </c>
      <c r="G90" s="259" cm="1">
        <f t="array" ref="G90">IFERROR(_xlfn.XLOOKUP($G$3,Heat_connections_input[#Headers],Heat_connections_input[#This Row],0,0,),0)</f>
        <v>0</v>
      </c>
      <c r="H90" s="341" cm="1">
        <f t="array" ref="H90">IFERROR(_xlfn.XLOOKUP($H$3,Heat_connections_input[#Headers],Heat_connections_input[#This Row],0,0,),0)</f>
        <v>0</v>
      </c>
      <c r="I90" s="326" t="str" cm="1">
        <f t="array" ref="I90">IFERROR(_xlfn.XLOOKUP($I$3,Heat_connections_input[#Headers],Heat_connections_input[#This Row],0,0,),"-")</f>
        <v>-</v>
      </c>
      <c r="J90" s="326" t="str" cm="1">
        <f t="array" ref="J90">IFERROR(_xlfn.XLOOKUP($J$3,Heat_connections_input[#Headers],Heat_connections_input[#This Row],0,0,1),"-")</f>
        <v>-</v>
      </c>
      <c r="K90" s="260"/>
      <c r="L90" s="261"/>
      <c r="M90" s="262"/>
      <c r="N90" s="263"/>
      <c r="O90" s="264" t="str">
        <f>IF(Heat_connections[[#This Row],[Ref]]&lt;&gt;"-",
IF(M90=1,Dashboard!$C$26,IF(M90=2,Dashboard!$C$27,Dashboard!$C$28)),"-")</f>
        <v>-</v>
      </c>
      <c r="P90" s="341">
        <f>IF(Heat_connections[[#This Row],[Category]]="Domestic",Heat_connections[[#This Row],[No. of connections]],0)</f>
        <v>0</v>
      </c>
      <c r="Q90" s="341">
        <f>IF(Heat_connections[[#This Row],[Category]]&lt;&gt;"Domestic",Heat_connections[[#This Row],[No. of connections]],0)</f>
        <v>0</v>
      </c>
      <c r="R90" s="209"/>
      <c r="S90" s="512">
        <f>IF(Heat_connections[[#This Row],[TOID]]&lt;&gt;"-",
IF(ISBLANK('Heat connections'!$R90),Dashboard!$C$14,'Heat connections'!$R90),0)</f>
        <v>0</v>
      </c>
      <c r="T90" s="513">
        <f>IF(Heat_connections[[#This Row],[Peak Demand, kW]]&lt;&gt;0,'Heat connections'!$G90*Dashboard!$C$21,0)</f>
        <v>0</v>
      </c>
      <c r="U90" s="514">
        <f>IF(Heat_connections[[#This Row],[Ref]]&lt;&gt;"-",48.436*Heat_connections[[#This Row],[Peak Demand, kW]]+1068.7,0)</f>
        <v>0</v>
      </c>
      <c r="V90" s="515">
        <f>IF(Heat_connections[[#This Row],[Ref]]&lt;&gt;"-",
_xlfn.XLOOKUP('Heat connections'!$G90,'Technical inputs'!$F$79:$F$94,'Technical inputs'!$I$79:$I$94,0,1,1),0)</f>
        <v>0</v>
      </c>
      <c r="W90" s="429">
        <f>IF('Heat connections'!$E90="Domestic",1,0)</f>
        <v>0</v>
      </c>
      <c r="X90" s="430">
        <f>IF(AND(Heat_connections[[#This Row],[Ref]]&lt;&gt;"-",'Heat connections'!$E90&lt;&gt;"Domestic"),1,0)</f>
        <v>0</v>
      </c>
      <c r="Y90" s="434">
        <v>36</v>
      </c>
      <c r="Z90" s="438">
        <f>IF(Heat_connections[[#This Row],[Existing/planned development]]&lt;&gt;0,1,0)</f>
        <v>0</v>
      </c>
      <c r="AA90" s="430">
        <f>IF('Heat connections'!$M90=1,1,0)</f>
        <v>0</v>
      </c>
      <c r="AB90" s="430">
        <f>IF('Heat connections'!$M90=2,1,0)</f>
        <v>0</v>
      </c>
      <c r="AC90" s="434">
        <f>IF('Heat connections'!$M90=3,1,0)</f>
        <v>0</v>
      </c>
      <c r="AD90" s="46" t="str">
        <f>IF(AND(Heat_connections[[#This Row],[Connected to heat network]]="Yes",Heat_connections[[#This Row],[Ref]]&lt;&gt;"-"),"Yes","No")</f>
        <v>No</v>
      </c>
    </row>
    <row r="91" spans="3:30" ht="12.75" x14ac:dyDescent="0.2">
      <c r="C91" s="208" t="str" cm="1">
        <f t="array" ref="C91">IFERROR(_xlfn.XLOOKUP($C$3,Heat_connections_input[#Headers],Heat_connections_input[#This Row],0,0,),"-")</f>
        <v>-</v>
      </c>
      <c r="D91" s="323" t="str" cm="1">
        <f t="array" ref="D91">IFERROR(_xlfn.XLOOKUP($D$3,Heat_connections_input[#Headers],Heat_connections_input[#This Row],0,0,),"-")</f>
        <v>-</v>
      </c>
      <c r="E91" s="284" t="str" cm="1">
        <f t="array" ref="E91">IFERROR(_xlfn.XLOOKUP($E$3,Heat_connections_input[#Headers],Heat_connections_input[#This Row],0,0,),"-")</f>
        <v>-</v>
      </c>
      <c r="F91" s="259" cm="1">
        <f t="array" ref="F91">IFERROR(_xlfn.XLOOKUP($F$3,Heat_connections_input[#Headers],Heat_connections_input[#This Row],0,0,),0)</f>
        <v>0</v>
      </c>
      <c r="G91" s="259" cm="1">
        <f t="array" ref="G91">IFERROR(_xlfn.XLOOKUP($G$3,Heat_connections_input[#Headers],Heat_connections_input[#This Row],0,0,),0)</f>
        <v>0</v>
      </c>
      <c r="H91" s="341" cm="1">
        <f t="array" ref="H91">IFERROR(_xlfn.XLOOKUP($H$3,Heat_connections_input[#Headers],Heat_connections_input[#This Row],0,0,),0)</f>
        <v>0</v>
      </c>
      <c r="I91" s="326" t="str" cm="1">
        <f t="array" ref="I91">IFERROR(_xlfn.XLOOKUP($I$3,Heat_connections_input[#Headers],Heat_connections_input[#This Row],0,0,),"-")</f>
        <v>-</v>
      </c>
      <c r="J91" s="326" t="str" cm="1">
        <f t="array" ref="J91">IFERROR(_xlfn.XLOOKUP($J$3,Heat_connections_input[#Headers],Heat_connections_input[#This Row],0,0,1),"-")</f>
        <v>-</v>
      </c>
      <c r="K91" s="260"/>
      <c r="L91" s="261"/>
      <c r="M91" s="262"/>
      <c r="N91" s="263"/>
      <c r="O91" s="264" t="str">
        <f>IF(Heat_connections[[#This Row],[Ref]]&lt;&gt;"-",
IF(M91=1,Dashboard!$C$26,IF(M91=2,Dashboard!$C$27,Dashboard!$C$28)),"-")</f>
        <v>-</v>
      </c>
      <c r="P91" s="341">
        <f>IF(Heat_connections[[#This Row],[Category]]="Domestic",Heat_connections[[#This Row],[No. of connections]],0)</f>
        <v>0</v>
      </c>
      <c r="Q91" s="341">
        <f>IF(Heat_connections[[#This Row],[Category]]&lt;&gt;"Domestic",Heat_connections[[#This Row],[No. of connections]],0)</f>
        <v>0</v>
      </c>
      <c r="R91" s="209"/>
      <c r="S91" s="512">
        <f>IF(Heat_connections[[#This Row],[TOID]]&lt;&gt;"-",
IF(ISBLANK('Heat connections'!$R91),Dashboard!$C$14,'Heat connections'!$R91),0)</f>
        <v>0</v>
      </c>
      <c r="T91" s="513">
        <f>IF(Heat_connections[[#This Row],[Peak Demand, kW]]&lt;&gt;0,'Heat connections'!$G91*Dashboard!$C$21,0)</f>
        <v>0</v>
      </c>
      <c r="U91" s="514">
        <f>IF(Heat_connections[[#This Row],[Ref]]&lt;&gt;"-",48.436*Heat_connections[[#This Row],[Peak Demand, kW]]+1068.7,0)</f>
        <v>0</v>
      </c>
      <c r="V91" s="515">
        <f>IF(Heat_connections[[#This Row],[Ref]]&lt;&gt;"-",
_xlfn.XLOOKUP('Heat connections'!$G91,'Technical inputs'!$F$79:$F$94,'Technical inputs'!$I$79:$I$94,0,1,1),0)</f>
        <v>0</v>
      </c>
      <c r="W91" s="429">
        <f>IF('Heat connections'!$E91="Domestic",1,0)</f>
        <v>0</v>
      </c>
      <c r="X91" s="430">
        <f>IF(AND(Heat_connections[[#This Row],[Ref]]&lt;&gt;"-",'Heat connections'!$E91&lt;&gt;"Domestic"),1,0)</f>
        <v>0</v>
      </c>
      <c r="Y91" s="434">
        <v>37</v>
      </c>
      <c r="Z91" s="438">
        <f>IF(Heat_connections[[#This Row],[Existing/planned development]]&lt;&gt;0,1,0)</f>
        <v>0</v>
      </c>
      <c r="AA91" s="430">
        <f>IF('Heat connections'!$M91=1,1,0)</f>
        <v>0</v>
      </c>
      <c r="AB91" s="430">
        <f>IF('Heat connections'!$M91=2,1,0)</f>
        <v>0</v>
      </c>
      <c r="AC91" s="434">
        <f>IF('Heat connections'!$M91=3,1,0)</f>
        <v>0</v>
      </c>
      <c r="AD91" s="46" t="str">
        <f>IF(AND(Heat_connections[[#This Row],[Connected to heat network]]="Yes",Heat_connections[[#This Row],[Ref]]&lt;&gt;"-"),"Yes","No")</f>
        <v>No</v>
      </c>
    </row>
    <row r="92" spans="3:30" ht="12.75" x14ac:dyDescent="0.2">
      <c r="C92" s="208" t="str" cm="1">
        <f t="array" ref="C92">IFERROR(_xlfn.XLOOKUP($C$3,Heat_connections_input[#Headers],Heat_connections_input[#This Row],0,0,),"-")</f>
        <v>-</v>
      </c>
      <c r="D92" s="323" t="str" cm="1">
        <f t="array" ref="D92">IFERROR(_xlfn.XLOOKUP($D$3,Heat_connections_input[#Headers],Heat_connections_input[#This Row],0,0,),"-")</f>
        <v>-</v>
      </c>
      <c r="E92" s="284" t="str" cm="1">
        <f t="array" ref="E92">IFERROR(_xlfn.XLOOKUP($E$3,Heat_connections_input[#Headers],Heat_connections_input[#This Row],0,0,),"-")</f>
        <v>-</v>
      </c>
      <c r="F92" s="259" cm="1">
        <f t="array" ref="F92">IFERROR(_xlfn.XLOOKUP($F$3,Heat_connections_input[#Headers],Heat_connections_input[#This Row],0,0,),0)</f>
        <v>0</v>
      </c>
      <c r="G92" s="259" cm="1">
        <f t="array" ref="G92">IFERROR(_xlfn.XLOOKUP($G$3,Heat_connections_input[#Headers],Heat_connections_input[#This Row],0,0,),0)</f>
        <v>0</v>
      </c>
      <c r="H92" s="341" cm="1">
        <f t="array" ref="H92">IFERROR(_xlfn.XLOOKUP($H$3,Heat_connections_input[#Headers],Heat_connections_input[#This Row],0,0,),0)</f>
        <v>0</v>
      </c>
      <c r="I92" s="326" t="str" cm="1">
        <f t="array" ref="I92">IFERROR(_xlfn.XLOOKUP($I$3,Heat_connections_input[#Headers],Heat_connections_input[#This Row],0,0,),"-")</f>
        <v>-</v>
      </c>
      <c r="J92" s="326" t="str" cm="1">
        <f t="array" ref="J92">IFERROR(_xlfn.XLOOKUP($J$3,Heat_connections_input[#Headers],Heat_connections_input[#This Row],0,0,1),"-")</f>
        <v>-</v>
      </c>
      <c r="K92" s="260"/>
      <c r="L92" s="261"/>
      <c r="M92" s="262"/>
      <c r="N92" s="263"/>
      <c r="O92" s="264" t="str">
        <f>IF(Heat_connections[[#This Row],[Ref]]&lt;&gt;"-",
IF(M92=1,Dashboard!$C$26,IF(M92=2,Dashboard!$C$27,Dashboard!$C$28)),"-")</f>
        <v>-</v>
      </c>
      <c r="P92" s="341">
        <f>IF(Heat_connections[[#This Row],[Category]]="Domestic",Heat_connections[[#This Row],[No. of connections]],0)</f>
        <v>0</v>
      </c>
      <c r="Q92" s="341">
        <f>IF(Heat_connections[[#This Row],[Category]]&lt;&gt;"Domestic",Heat_connections[[#This Row],[No. of connections]],0)</f>
        <v>0</v>
      </c>
      <c r="R92" s="209"/>
      <c r="S92" s="512">
        <f>IF(Heat_connections[[#This Row],[TOID]]&lt;&gt;"-",
IF(ISBLANK('Heat connections'!$R92),Dashboard!$C$14,'Heat connections'!$R92),0)</f>
        <v>0</v>
      </c>
      <c r="T92" s="513">
        <f>IF(Heat_connections[[#This Row],[Peak Demand, kW]]&lt;&gt;0,'Heat connections'!$G92*Dashboard!$C$21,0)</f>
        <v>0</v>
      </c>
      <c r="U92" s="514">
        <f>IF(Heat_connections[[#This Row],[Ref]]&lt;&gt;"-",48.436*Heat_connections[[#This Row],[Peak Demand, kW]]+1068.7,0)</f>
        <v>0</v>
      </c>
      <c r="V92" s="515">
        <f>IF(Heat_connections[[#This Row],[Ref]]&lt;&gt;"-",
_xlfn.XLOOKUP('Heat connections'!$G92,'Technical inputs'!$F$79:$F$94,'Technical inputs'!$I$79:$I$94,0,1,1),0)</f>
        <v>0</v>
      </c>
      <c r="W92" s="429">
        <f>IF('Heat connections'!$E92="Domestic",1,0)</f>
        <v>0</v>
      </c>
      <c r="X92" s="430">
        <f>IF(AND(Heat_connections[[#This Row],[Ref]]&lt;&gt;"-",'Heat connections'!$E92&lt;&gt;"Domestic"),1,0)</f>
        <v>0</v>
      </c>
      <c r="Y92" s="434">
        <v>38</v>
      </c>
      <c r="Z92" s="438">
        <f>IF(Heat_connections[[#This Row],[Existing/planned development]]&lt;&gt;0,1,0)</f>
        <v>0</v>
      </c>
      <c r="AA92" s="430">
        <f>IF('Heat connections'!$M92=1,1,0)</f>
        <v>0</v>
      </c>
      <c r="AB92" s="430">
        <f>IF('Heat connections'!$M92=2,1,0)</f>
        <v>0</v>
      </c>
      <c r="AC92" s="434">
        <f>IF('Heat connections'!$M92=3,1,0)</f>
        <v>0</v>
      </c>
      <c r="AD92" s="46" t="str">
        <f>IF(AND(Heat_connections[[#This Row],[Connected to heat network]]="Yes",Heat_connections[[#This Row],[Ref]]&lt;&gt;"-"),"Yes","No")</f>
        <v>No</v>
      </c>
    </row>
    <row r="93" spans="3:30" ht="12.75" x14ac:dyDescent="0.2">
      <c r="C93" s="208" t="str" cm="1">
        <f t="array" ref="C93">IFERROR(_xlfn.XLOOKUP($C$3,Heat_connections_input[#Headers],Heat_connections_input[#This Row],0,0,),"-")</f>
        <v>-</v>
      </c>
      <c r="D93" s="323" t="str" cm="1">
        <f t="array" ref="D93">IFERROR(_xlfn.XLOOKUP($D$3,Heat_connections_input[#Headers],Heat_connections_input[#This Row],0,0,),"-")</f>
        <v>-</v>
      </c>
      <c r="E93" s="284" t="str" cm="1">
        <f t="array" ref="E93">IFERROR(_xlfn.XLOOKUP($E$3,Heat_connections_input[#Headers],Heat_connections_input[#This Row],0,0,),"-")</f>
        <v>-</v>
      </c>
      <c r="F93" s="259" cm="1">
        <f t="array" ref="F93">IFERROR(_xlfn.XLOOKUP($F$3,Heat_connections_input[#Headers],Heat_connections_input[#This Row],0,0,),0)</f>
        <v>0</v>
      </c>
      <c r="G93" s="259" cm="1">
        <f t="array" ref="G93">IFERROR(_xlfn.XLOOKUP($G$3,Heat_connections_input[#Headers],Heat_connections_input[#This Row],0,0,),0)</f>
        <v>0</v>
      </c>
      <c r="H93" s="341" cm="1">
        <f t="array" ref="H93">IFERROR(_xlfn.XLOOKUP($H$3,Heat_connections_input[#Headers],Heat_connections_input[#This Row],0,0,),0)</f>
        <v>0</v>
      </c>
      <c r="I93" s="326" t="str" cm="1">
        <f t="array" ref="I93">IFERROR(_xlfn.XLOOKUP($I$3,Heat_connections_input[#Headers],Heat_connections_input[#This Row],0,0,),"-")</f>
        <v>-</v>
      </c>
      <c r="J93" s="326" t="str" cm="1">
        <f t="array" ref="J93">IFERROR(_xlfn.XLOOKUP($J$3,Heat_connections_input[#Headers],Heat_connections_input[#This Row],0,0,1),"-")</f>
        <v>-</v>
      </c>
      <c r="K93" s="260"/>
      <c r="L93" s="261"/>
      <c r="M93" s="262"/>
      <c r="N93" s="263"/>
      <c r="O93" s="264" t="str">
        <f>IF(Heat_connections[[#This Row],[Ref]]&lt;&gt;"-",
IF(M93=1,Dashboard!$C$26,IF(M93=2,Dashboard!$C$27,Dashboard!$C$28)),"-")</f>
        <v>-</v>
      </c>
      <c r="P93" s="341">
        <f>IF(Heat_connections[[#This Row],[Category]]="Domestic",Heat_connections[[#This Row],[No. of connections]],0)</f>
        <v>0</v>
      </c>
      <c r="Q93" s="341">
        <f>IF(Heat_connections[[#This Row],[Category]]&lt;&gt;"Domestic",Heat_connections[[#This Row],[No. of connections]],0)</f>
        <v>0</v>
      </c>
      <c r="R93" s="209"/>
      <c r="S93" s="512">
        <f>IF(Heat_connections[[#This Row],[TOID]]&lt;&gt;"-",
IF(ISBLANK('Heat connections'!$R93),Dashboard!$C$14,'Heat connections'!$R93),0)</f>
        <v>0</v>
      </c>
      <c r="T93" s="513">
        <f>IF(Heat_connections[[#This Row],[Peak Demand, kW]]&lt;&gt;0,'Heat connections'!$G93*Dashboard!$C$21,0)</f>
        <v>0</v>
      </c>
      <c r="U93" s="514">
        <f>IF(Heat_connections[[#This Row],[Ref]]&lt;&gt;"-",48.436*Heat_connections[[#This Row],[Peak Demand, kW]]+1068.7,0)</f>
        <v>0</v>
      </c>
      <c r="V93" s="515">
        <f>IF(Heat_connections[[#This Row],[Ref]]&lt;&gt;"-",
_xlfn.XLOOKUP('Heat connections'!$G93,'Technical inputs'!$F$79:$F$94,'Technical inputs'!$I$79:$I$94,0,1,1),0)</f>
        <v>0</v>
      </c>
      <c r="W93" s="429">
        <f>IF('Heat connections'!$E93="Domestic",1,0)</f>
        <v>0</v>
      </c>
      <c r="X93" s="430">
        <f>IF(AND(Heat_connections[[#This Row],[Ref]]&lt;&gt;"-",'Heat connections'!$E93&lt;&gt;"Domestic"),1,0)</f>
        <v>0</v>
      </c>
      <c r="Y93" s="434">
        <v>39</v>
      </c>
      <c r="Z93" s="438">
        <f>IF(Heat_connections[[#This Row],[Existing/planned development]]&lt;&gt;0,1,0)</f>
        <v>0</v>
      </c>
      <c r="AA93" s="430">
        <f>IF('Heat connections'!$M93=1,1,0)</f>
        <v>0</v>
      </c>
      <c r="AB93" s="430">
        <f>IF('Heat connections'!$M93=2,1,0)</f>
        <v>0</v>
      </c>
      <c r="AC93" s="434">
        <f>IF('Heat connections'!$M93=3,1,0)</f>
        <v>0</v>
      </c>
      <c r="AD93" s="46" t="str">
        <f>IF(AND(Heat_connections[[#This Row],[Connected to heat network]]="Yes",Heat_connections[[#This Row],[Ref]]&lt;&gt;"-"),"Yes","No")</f>
        <v>No</v>
      </c>
    </row>
    <row r="94" spans="3:30" ht="12.75" x14ac:dyDescent="0.2">
      <c r="C94" s="208" t="str" cm="1">
        <f t="array" ref="C94">IFERROR(_xlfn.XLOOKUP($C$3,Heat_connections_input[#Headers],Heat_connections_input[#This Row],0,0,),"-")</f>
        <v>-</v>
      </c>
      <c r="D94" s="323" t="str" cm="1">
        <f t="array" ref="D94">IFERROR(_xlfn.XLOOKUP($D$3,Heat_connections_input[#Headers],Heat_connections_input[#This Row],0,0,),"-")</f>
        <v>-</v>
      </c>
      <c r="E94" s="284" t="str" cm="1">
        <f t="array" ref="E94">IFERROR(_xlfn.XLOOKUP($E$3,Heat_connections_input[#Headers],Heat_connections_input[#This Row],0,0,),"-")</f>
        <v>-</v>
      </c>
      <c r="F94" s="259" cm="1">
        <f t="array" ref="F94">IFERROR(_xlfn.XLOOKUP($F$3,Heat_connections_input[#Headers],Heat_connections_input[#This Row],0,0,),0)</f>
        <v>0</v>
      </c>
      <c r="G94" s="259" cm="1">
        <f t="array" ref="G94">IFERROR(_xlfn.XLOOKUP($G$3,Heat_connections_input[#Headers],Heat_connections_input[#This Row],0,0,),0)</f>
        <v>0</v>
      </c>
      <c r="H94" s="341" cm="1">
        <f t="array" ref="H94">IFERROR(_xlfn.XLOOKUP($H$3,Heat_connections_input[#Headers],Heat_connections_input[#This Row],0,0,),0)</f>
        <v>0</v>
      </c>
      <c r="I94" s="326" t="str" cm="1">
        <f t="array" ref="I94">IFERROR(_xlfn.XLOOKUP($I$3,Heat_connections_input[#Headers],Heat_connections_input[#This Row],0,0,),"-")</f>
        <v>-</v>
      </c>
      <c r="J94" s="326" t="str" cm="1">
        <f t="array" ref="J94">IFERROR(_xlfn.XLOOKUP($J$3,Heat_connections_input[#Headers],Heat_connections_input[#This Row],0,0,1),"-")</f>
        <v>-</v>
      </c>
      <c r="K94" s="260"/>
      <c r="L94" s="261"/>
      <c r="M94" s="262"/>
      <c r="N94" s="263"/>
      <c r="O94" s="264" t="str">
        <f>IF(Heat_connections[[#This Row],[Ref]]&lt;&gt;"-",
IF(M94=1,Dashboard!$C$26,IF(M94=2,Dashboard!$C$27,Dashboard!$C$28)),"-")</f>
        <v>-</v>
      </c>
      <c r="P94" s="341">
        <f>IF(Heat_connections[[#This Row],[Category]]="Domestic",Heat_connections[[#This Row],[No. of connections]],0)</f>
        <v>0</v>
      </c>
      <c r="Q94" s="341">
        <f>IF(Heat_connections[[#This Row],[Category]]&lt;&gt;"Domestic",Heat_connections[[#This Row],[No. of connections]],0)</f>
        <v>0</v>
      </c>
      <c r="R94" s="209"/>
      <c r="S94" s="512">
        <f>IF(Heat_connections[[#This Row],[TOID]]&lt;&gt;"-",
IF(ISBLANK('Heat connections'!$R94),Dashboard!$C$14,'Heat connections'!$R94),0)</f>
        <v>0</v>
      </c>
      <c r="T94" s="513">
        <f>IF(Heat_connections[[#This Row],[Peak Demand, kW]]&lt;&gt;0,'Heat connections'!$G94*Dashboard!$C$21,0)</f>
        <v>0</v>
      </c>
      <c r="U94" s="514">
        <f>IF(Heat_connections[[#This Row],[Ref]]&lt;&gt;"-",48.436*Heat_connections[[#This Row],[Peak Demand, kW]]+1068.7,0)</f>
        <v>0</v>
      </c>
      <c r="V94" s="515">
        <f>IF(Heat_connections[[#This Row],[Ref]]&lt;&gt;"-",
_xlfn.XLOOKUP('Heat connections'!$G94,'Technical inputs'!$F$79:$F$94,'Technical inputs'!$I$79:$I$94,0,1,1),0)</f>
        <v>0</v>
      </c>
      <c r="W94" s="429">
        <f>IF('Heat connections'!$E94="Domestic",1,0)</f>
        <v>0</v>
      </c>
      <c r="X94" s="430">
        <f>IF(AND(Heat_connections[[#This Row],[Ref]]&lt;&gt;"-",'Heat connections'!$E94&lt;&gt;"Domestic"),1,0)</f>
        <v>0</v>
      </c>
      <c r="Y94" s="434">
        <v>40</v>
      </c>
      <c r="Z94" s="438">
        <f>IF(Heat_connections[[#This Row],[Existing/planned development]]&lt;&gt;0,1,0)</f>
        <v>0</v>
      </c>
      <c r="AA94" s="430">
        <f>IF('Heat connections'!$M94=1,1,0)</f>
        <v>0</v>
      </c>
      <c r="AB94" s="430">
        <f>IF('Heat connections'!$M94=2,1,0)</f>
        <v>0</v>
      </c>
      <c r="AC94" s="434">
        <f>IF('Heat connections'!$M94=3,1,0)</f>
        <v>0</v>
      </c>
      <c r="AD94" s="46" t="str">
        <f>IF(AND(Heat_connections[[#This Row],[Connected to heat network]]="Yes",Heat_connections[[#This Row],[Ref]]&lt;&gt;"-"),"Yes","No")</f>
        <v>No</v>
      </c>
    </row>
    <row r="95" spans="3:30" ht="12.75" x14ac:dyDescent="0.2">
      <c r="C95" s="208" t="str" cm="1">
        <f t="array" ref="C95">IFERROR(_xlfn.XLOOKUP($C$3,Heat_connections_input[#Headers],Heat_connections_input[#This Row],0,0,),"-")</f>
        <v>-</v>
      </c>
      <c r="D95" s="323" t="str" cm="1">
        <f t="array" ref="D95">IFERROR(_xlfn.XLOOKUP($D$3,Heat_connections_input[#Headers],Heat_connections_input[#This Row],0,0,),"-")</f>
        <v>-</v>
      </c>
      <c r="E95" s="284" t="str" cm="1">
        <f t="array" ref="E95">IFERROR(_xlfn.XLOOKUP($E$3,Heat_connections_input[#Headers],Heat_connections_input[#This Row],0,0,),"-")</f>
        <v>-</v>
      </c>
      <c r="F95" s="259" cm="1">
        <f t="array" ref="F95">IFERROR(_xlfn.XLOOKUP($F$3,Heat_connections_input[#Headers],Heat_connections_input[#This Row],0,0,),0)</f>
        <v>0</v>
      </c>
      <c r="G95" s="259" cm="1">
        <f t="array" ref="G95">IFERROR(_xlfn.XLOOKUP($G$3,Heat_connections_input[#Headers],Heat_connections_input[#This Row],0,0,),0)</f>
        <v>0</v>
      </c>
      <c r="H95" s="341" cm="1">
        <f t="array" ref="H95">IFERROR(_xlfn.XLOOKUP($H$3,Heat_connections_input[#Headers],Heat_connections_input[#This Row],0,0,),0)</f>
        <v>0</v>
      </c>
      <c r="I95" s="326" t="str" cm="1">
        <f t="array" ref="I95">IFERROR(_xlfn.XLOOKUP($I$3,Heat_connections_input[#Headers],Heat_connections_input[#This Row],0,0,),"-")</f>
        <v>-</v>
      </c>
      <c r="J95" s="326" t="str" cm="1">
        <f t="array" ref="J95">IFERROR(_xlfn.XLOOKUP($J$3,Heat_connections_input[#Headers],Heat_connections_input[#This Row],0,0,1),"-")</f>
        <v>-</v>
      </c>
      <c r="K95" s="260"/>
      <c r="L95" s="261"/>
      <c r="M95" s="262"/>
      <c r="N95" s="263"/>
      <c r="O95" s="264" t="str">
        <f>IF(Heat_connections[[#This Row],[Ref]]&lt;&gt;"-",
IF(M95=1,Dashboard!$C$26,IF(M95=2,Dashboard!$C$27,Dashboard!$C$28)),"-")</f>
        <v>-</v>
      </c>
      <c r="P95" s="341">
        <f>IF(Heat_connections[[#This Row],[Category]]="Domestic",Heat_connections[[#This Row],[No. of connections]],0)</f>
        <v>0</v>
      </c>
      <c r="Q95" s="341">
        <f>IF(Heat_connections[[#This Row],[Category]]&lt;&gt;"Domestic",Heat_connections[[#This Row],[No. of connections]],0)</f>
        <v>0</v>
      </c>
      <c r="R95" s="209"/>
      <c r="S95" s="512">
        <f>IF(Heat_connections[[#This Row],[TOID]]&lt;&gt;"-",
IF(ISBLANK('Heat connections'!$R95),Dashboard!$C$14,'Heat connections'!$R95),0)</f>
        <v>0</v>
      </c>
      <c r="T95" s="513">
        <f>IF(Heat_connections[[#This Row],[Peak Demand, kW]]&lt;&gt;0,'Heat connections'!$G95*Dashboard!$C$21,0)</f>
        <v>0</v>
      </c>
      <c r="U95" s="514">
        <f>IF(Heat_connections[[#This Row],[Ref]]&lt;&gt;"-",48.436*Heat_connections[[#This Row],[Peak Demand, kW]]+1068.7,0)</f>
        <v>0</v>
      </c>
      <c r="V95" s="515">
        <f>IF(Heat_connections[[#This Row],[Ref]]&lt;&gt;"-",
_xlfn.XLOOKUP('Heat connections'!$G95,'Technical inputs'!$F$79:$F$94,'Technical inputs'!$I$79:$I$94,0,1,1),0)</f>
        <v>0</v>
      </c>
      <c r="W95" s="429">
        <f>IF('Heat connections'!$E95="Domestic",1,0)</f>
        <v>0</v>
      </c>
      <c r="X95" s="430">
        <f>IF(AND(Heat_connections[[#This Row],[Ref]]&lt;&gt;"-",'Heat connections'!$E95&lt;&gt;"Domestic"),1,0)</f>
        <v>0</v>
      </c>
      <c r="Y95" s="434">
        <v>41</v>
      </c>
      <c r="Z95" s="438">
        <f>IF(Heat_connections[[#This Row],[Existing/planned development]]&lt;&gt;0,1,0)</f>
        <v>0</v>
      </c>
      <c r="AA95" s="430">
        <f>IF('Heat connections'!$M95=1,1,0)</f>
        <v>0</v>
      </c>
      <c r="AB95" s="430">
        <f>IF('Heat connections'!$M95=2,1,0)</f>
        <v>0</v>
      </c>
      <c r="AC95" s="434">
        <f>IF('Heat connections'!$M95=3,1,0)</f>
        <v>0</v>
      </c>
      <c r="AD95" s="46" t="str">
        <f>IF(AND(Heat_connections[[#This Row],[Connected to heat network]]="Yes",Heat_connections[[#This Row],[Ref]]&lt;&gt;"-"),"Yes","No")</f>
        <v>No</v>
      </c>
    </row>
    <row r="96" spans="3:30" ht="12.75" x14ac:dyDescent="0.2">
      <c r="C96" s="208" t="str" cm="1">
        <f t="array" ref="C96">IFERROR(_xlfn.XLOOKUP($C$3,Heat_connections_input[#Headers],Heat_connections_input[#This Row],0,0,),"-")</f>
        <v>-</v>
      </c>
      <c r="D96" s="323" t="str" cm="1">
        <f t="array" ref="D96">IFERROR(_xlfn.XLOOKUP($D$3,Heat_connections_input[#Headers],Heat_connections_input[#This Row],0,0,),"-")</f>
        <v>-</v>
      </c>
      <c r="E96" s="284" t="str" cm="1">
        <f t="array" ref="E96">IFERROR(_xlfn.XLOOKUP($E$3,Heat_connections_input[#Headers],Heat_connections_input[#This Row],0,0,),"-")</f>
        <v>-</v>
      </c>
      <c r="F96" s="259" cm="1">
        <f t="array" ref="F96">IFERROR(_xlfn.XLOOKUP($F$3,Heat_connections_input[#Headers],Heat_connections_input[#This Row],0,0,),0)</f>
        <v>0</v>
      </c>
      <c r="G96" s="259" cm="1">
        <f t="array" ref="G96">IFERROR(_xlfn.XLOOKUP($G$3,Heat_connections_input[#Headers],Heat_connections_input[#This Row],0,0,),0)</f>
        <v>0</v>
      </c>
      <c r="H96" s="341" cm="1">
        <f t="array" ref="H96">IFERROR(_xlfn.XLOOKUP($H$3,Heat_connections_input[#Headers],Heat_connections_input[#This Row],0,0,),0)</f>
        <v>0</v>
      </c>
      <c r="I96" s="326" t="str" cm="1">
        <f t="array" ref="I96">IFERROR(_xlfn.XLOOKUP($I$3,Heat_connections_input[#Headers],Heat_connections_input[#This Row],0,0,),"-")</f>
        <v>-</v>
      </c>
      <c r="J96" s="326" t="str" cm="1">
        <f t="array" ref="J96">IFERROR(_xlfn.XLOOKUP($J$3,Heat_connections_input[#Headers],Heat_connections_input[#This Row],0,0,1),"-")</f>
        <v>-</v>
      </c>
      <c r="K96" s="260"/>
      <c r="L96" s="261"/>
      <c r="M96" s="262"/>
      <c r="N96" s="263"/>
      <c r="O96" s="264" t="str">
        <f>IF(Heat_connections[[#This Row],[Ref]]&lt;&gt;"-",
IF(M96=1,Dashboard!$C$26,IF(M96=2,Dashboard!$C$27,Dashboard!$C$28)),"-")</f>
        <v>-</v>
      </c>
      <c r="P96" s="341">
        <f>IF(Heat_connections[[#This Row],[Category]]="Domestic",Heat_connections[[#This Row],[No. of connections]],0)</f>
        <v>0</v>
      </c>
      <c r="Q96" s="341">
        <f>IF(Heat_connections[[#This Row],[Category]]&lt;&gt;"Domestic",Heat_connections[[#This Row],[No. of connections]],0)</f>
        <v>0</v>
      </c>
      <c r="R96" s="209"/>
      <c r="S96" s="512">
        <f>IF(Heat_connections[[#This Row],[TOID]]&lt;&gt;"-",
IF(ISBLANK('Heat connections'!$R96),Dashboard!$C$14,'Heat connections'!$R96),0)</f>
        <v>0</v>
      </c>
      <c r="T96" s="513">
        <f>IF(Heat_connections[[#This Row],[Peak Demand, kW]]&lt;&gt;0,'Heat connections'!$G96*Dashboard!$C$21,0)</f>
        <v>0</v>
      </c>
      <c r="U96" s="514">
        <f>IF(Heat_connections[[#This Row],[Ref]]&lt;&gt;"-",48.436*Heat_connections[[#This Row],[Peak Demand, kW]]+1068.7,0)</f>
        <v>0</v>
      </c>
      <c r="V96" s="515">
        <f>IF(Heat_connections[[#This Row],[Ref]]&lt;&gt;"-",
_xlfn.XLOOKUP('Heat connections'!$G96,'Technical inputs'!$F$79:$F$94,'Technical inputs'!$I$79:$I$94,0,1,1),0)</f>
        <v>0</v>
      </c>
      <c r="W96" s="429">
        <f>IF('Heat connections'!$E96="Domestic",1,0)</f>
        <v>0</v>
      </c>
      <c r="X96" s="430">
        <f>IF(AND(Heat_connections[[#This Row],[Ref]]&lt;&gt;"-",'Heat connections'!$E96&lt;&gt;"Domestic"),1,0)</f>
        <v>0</v>
      </c>
      <c r="Y96" s="434">
        <v>42</v>
      </c>
      <c r="Z96" s="438">
        <f>IF(Heat_connections[[#This Row],[Existing/planned development]]&lt;&gt;0,1,0)</f>
        <v>0</v>
      </c>
      <c r="AA96" s="430">
        <f>IF('Heat connections'!$M96=1,1,0)</f>
        <v>0</v>
      </c>
      <c r="AB96" s="430">
        <f>IF('Heat connections'!$M96=2,1,0)</f>
        <v>0</v>
      </c>
      <c r="AC96" s="434">
        <f>IF('Heat connections'!$M96=3,1,0)</f>
        <v>0</v>
      </c>
      <c r="AD96" s="46" t="str">
        <f>IF(AND(Heat_connections[[#This Row],[Connected to heat network]]="Yes",Heat_connections[[#This Row],[Ref]]&lt;&gt;"-"),"Yes","No")</f>
        <v>No</v>
      </c>
    </row>
    <row r="97" spans="3:30" ht="12.75" x14ac:dyDescent="0.2">
      <c r="C97" s="208" t="str" cm="1">
        <f t="array" ref="C97">IFERROR(_xlfn.XLOOKUP($C$3,Heat_connections_input[#Headers],Heat_connections_input[#This Row],0,0,),"-")</f>
        <v>-</v>
      </c>
      <c r="D97" s="323" t="str" cm="1">
        <f t="array" ref="D97">IFERROR(_xlfn.XLOOKUP($D$3,Heat_connections_input[#Headers],Heat_connections_input[#This Row],0,0,),"-")</f>
        <v>-</v>
      </c>
      <c r="E97" s="284" t="str" cm="1">
        <f t="array" ref="E97">IFERROR(_xlfn.XLOOKUP($E$3,Heat_connections_input[#Headers],Heat_connections_input[#This Row],0,0,),"-")</f>
        <v>-</v>
      </c>
      <c r="F97" s="259" cm="1">
        <f t="array" ref="F97">IFERROR(_xlfn.XLOOKUP($F$3,Heat_connections_input[#Headers],Heat_connections_input[#This Row],0,0,),0)</f>
        <v>0</v>
      </c>
      <c r="G97" s="259" cm="1">
        <f t="array" ref="G97">IFERROR(_xlfn.XLOOKUP($G$3,Heat_connections_input[#Headers],Heat_connections_input[#This Row],0,0,),0)</f>
        <v>0</v>
      </c>
      <c r="H97" s="341" cm="1">
        <f t="array" ref="H97">IFERROR(_xlfn.XLOOKUP($H$3,Heat_connections_input[#Headers],Heat_connections_input[#This Row],0,0,),0)</f>
        <v>0</v>
      </c>
      <c r="I97" s="326" t="str" cm="1">
        <f t="array" ref="I97">IFERROR(_xlfn.XLOOKUP($I$3,Heat_connections_input[#Headers],Heat_connections_input[#This Row],0,0,),"-")</f>
        <v>-</v>
      </c>
      <c r="J97" s="326" t="str" cm="1">
        <f t="array" ref="J97">IFERROR(_xlfn.XLOOKUP($J$3,Heat_connections_input[#Headers],Heat_connections_input[#This Row],0,0,1),"-")</f>
        <v>-</v>
      </c>
      <c r="K97" s="260"/>
      <c r="L97" s="261"/>
      <c r="M97" s="262"/>
      <c r="N97" s="263"/>
      <c r="O97" s="264" t="str">
        <f>IF(Heat_connections[[#This Row],[Ref]]&lt;&gt;"-",
IF(M97=1,Dashboard!$C$26,IF(M97=2,Dashboard!$C$27,Dashboard!$C$28)),"-")</f>
        <v>-</v>
      </c>
      <c r="P97" s="341">
        <f>IF(Heat_connections[[#This Row],[Category]]="Domestic",Heat_connections[[#This Row],[No. of connections]],0)</f>
        <v>0</v>
      </c>
      <c r="Q97" s="341">
        <f>IF(Heat_connections[[#This Row],[Category]]&lt;&gt;"Domestic",Heat_connections[[#This Row],[No. of connections]],0)</f>
        <v>0</v>
      </c>
      <c r="R97" s="209"/>
      <c r="S97" s="512">
        <f>IF(Heat_connections[[#This Row],[TOID]]&lt;&gt;"-",
IF(ISBLANK('Heat connections'!$R97),Dashboard!$C$14,'Heat connections'!$R97),0)</f>
        <v>0</v>
      </c>
      <c r="T97" s="513">
        <f>IF(Heat_connections[[#This Row],[Peak Demand, kW]]&lt;&gt;0,'Heat connections'!$G97*Dashboard!$C$21,0)</f>
        <v>0</v>
      </c>
      <c r="U97" s="514">
        <f>IF(Heat_connections[[#This Row],[Ref]]&lt;&gt;"-",48.436*Heat_connections[[#This Row],[Peak Demand, kW]]+1068.7,0)</f>
        <v>0</v>
      </c>
      <c r="V97" s="515">
        <f>IF(Heat_connections[[#This Row],[Ref]]&lt;&gt;"-",
_xlfn.XLOOKUP('Heat connections'!$G97,'Technical inputs'!$F$79:$F$94,'Technical inputs'!$I$79:$I$94,0,1,1),0)</f>
        <v>0</v>
      </c>
      <c r="W97" s="429">
        <f>IF('Heat connections'!$E97="Domestic",1,0)</f>
        <v>0</v>
      </c>
      <c r="X97" s="430">
        <f>IF(AND(Heat_connections[[#This Row],[Ref]]&lt;&gt;"-",'Heat connections'!$E97&lt;&gt;"Domestic"),1,0)</f>
        <v>0</v>
      </c>
      <c r="Y97" s="434">
        <v>43</v>
      </c>
      <c r="Z97" s="438">
        <f>IF(Heat_connections[[#This Row],[Existing/planned development]]&lt;&gt;0,1,0)</f>
        <v>0</v>
      </c>
      <c r="AA97" s="430">
        <f>IF('Heat connections'!$M97=1,1,0)</f>
        <v>0</v>
      </c>
      <c r="AB97" s="430">
        <f>IF('Heat connections'!$M97=2,1,0)</f>
        <v>0</v>
      </c>
      <c r="AC97" s="434">
        <f>IF('Heat connections'!$M97=3,1,0)</f>
        <v>0</v>
      </c>
      <c r="AD97" s="46" t="str">
        <f>IF(AND(Heat_connections[[#This Row],[Connected to heat network]]="Yes",Heat_connections[[#This Row],[Ref]]&lt;&gt;"-"),"Yes","No")</f>
        <v>No</v>
      </c>
    </row>
    <row r="98" spans="3:30" ht="12.75" x14ac:dyDescent="0.2">
      <c r="C98" s="208" t="str" cm="1">
        <f t="array" ref="C98">IFERROR(_xlfn.XLOOKUP($C$3,Heat_connections_input[#Headers],Heat_connections_input[#This Row],0,0,),"-")</f>
        <v>-</v>
      </c>
      <c r="D98" s="323" t="str" cm="1">
        <f t="array" ref="D98">IFERROR(_xlfn.XLOOKUP($D$3,Heat_connections_input[#Headers],Heat_connections_input[#This Row],0,0,),"-")</f>
        <v>-</v>
      </c>
      <c r="E98" s="284" t="str" cm="1">
        <f t="array" ref="E98">IFERROR(_xlfn.XLOOKUP($E$3,Heat_connections_input[#Headers],Heat_connections_input[#This Row],0,0,),"-")</f>
        <v>-</v>
      </c>
      <c r="F98" s="259" cm="1">
        <f t="array" ref="F98">IFERROR(_xlfn.XLOOKUP($F$3,Heat_connections_input[#Headers],Heat_connections_input[#This Row],0,0,),0)</f>
        <v>0</v>
      </c>
      <c r="G98" s="259" cm="1">
        <f t="array" ref="G98">IFERROR(_xlfn.XLOOKUP($G$3,Heat_connections_input[#Headers],Heat_connections_input[#This Row],0,0,),0)</f>
        <v>0</v>
      </c>
      <c r="H98" s="341" cm="1">
        <f t="array" ref="H98">IFERROR(_xlfn.XLOOKUP($H$3,Heat_connections_input[#Headers],Heat_connections_input[#This Row],0,0,),0)</f>
        <v>0</v>
      </c>
      <c r="I98" s="326" t="str" cm="1">
        <f t="array" ref="I98">IFERROR(_xlfn.XLOOKUP($I$3,Heat_connections_input[#Headers],Heat_connections_input[#This Row],0,0,),"-")</f>
        <v>-</v>
      </c>
      <c r="J98" s="326" t="str" cm="1">
        <f t="array" ref="J98">IFERROR(_xlfn.XLOOKUP($J$3,Heat_connections_input[#Headers],Heat_connections_input[#This Row],0,0,1),"-")</f>
        <v>-</v>
      </c>
      <c r="K98" s="260"/>
      <c r="L98" s="261"/>
      <c r="M98" s="262"/>
      <c r="N98" s="263"/>
      <c r="O98" s="264" t="str">
        <f>IF(Heat_connections[[#This Row],[Ref]]&lt;&gt;"-",
IF(M98=1,Dashboard!$C$26,IF(M98=2,Dashboard!$C$27,Dashboard!$C$28)),"-")</f>
        <v>-</v>
      </c>
      <c r="P98" s="341">
        <f>IF(Heat_connections[[#This Row],[Category]]="Domestic",Heat_connections[[#This Row],[No. of connections]],0)</f>
        <v>0</v>
      </c>
      <c r="Q98" s="341">
        <f>IF(Heat_connections[[#This Row],[Category]]&lt;&gt;"Domestic",Heat_connections[[#This Row],[No. of connections]],0)</f>
        <v>0</v>
      </c>
      <c r="R98" s="209"/>
      <c r="S98" s="512">
        <f>IF(Heat_connections[[#This Row],[TOID]]&lt;&gt;"-",
IF(ISBLANK('Heat connections'!$R98),Dashboard!$C$14,'Heat connections'!$R98),0)</f>
        <v>0</v>
      </c>
      <c r="T98" s="513">
        <f>IF(Heat_connections[[#This Row],[Peak Demand, kW]]&lt;&gt;0,'Heat connections'!$G98*Dashboard!$C$21,0)</f>
        <v>0</v>
      </c>
      <c r="U98" s="514">
        <f>IF(Heat_connections[[#This Row],[Ref]]&lt;&gt;"-",48.436*Heat_connections[[#This Row],[Peak Demand, kW]]+1068.7,0)</f>
        <v>0</v>
      </c>
      <c r="V98" s="515">
        <f>IF(Heat_connections[[#This Row],[Ref]]&lt;&gt;"-",
_xlfn.XLOOKUP('Heat connections'!$G98,'Technical inputs'!$F$79:$F$94,'Technical inputs'!$I$79:$I$94,0,1,1),0)</f>
        <v>0</v>
      </c>
      <c r="W98" s="429">
        <f>IF('Heat connections'!$E98="Domestic",1,0)</f>
        <v>0</v>
      </c>
      <c r="X98" s="430">
        <f>IF(AND(Heat_connections[[#This Row],[Ref]]&lt;&gt;"-",'Heat connections'!$E98&lt;&gt;"Domestic"),1,0)</f>
        <v>0</v>
      </c>
      <c r="Y98" s="434">
        <v>44</v>
      </c>
      <c r="Z98" s="438">
        <f>IF(Heat_connections[[#This Row],[Existing/planned development]]&lt;&gt;0,1,0)</f>
        <v>0</v>
      </c>
      <c r="AA98" s="430">
        <f>IF('Heat connections'!$M98=1,1,0)</f>
        <v>0</v>
      </c>
      <c r="AB98" s="430">
        <f>IF('Heat connections'!$M98=2,1,0)</f>
        <v>0</v>
      </c>
      <c r="AC98" s="434">
        <f>IF('Heat connections'!$M98=3,1,0)</f>
        <v>0</v>
      </c>
      <c r="AD98" s="46" t="str">
        <f>IF(AND(Heat_connections[[#This Row],[Connected to heat network]]="Yes",Heat_connections[[#This Row],[Ref]]&lt;&gt;"-"),"Yes","No")</f>
        <v>No</v>
      </c>
    </row>
    <row r="99" spans="3:30" ht="12.75" x14ac:dyDescent="0.2">
      <c r="C99" s="208" t="str" cm="1">
        <f t="array" ref="C99">IFERROR(_xlfn.XLOOKUP($C$3,Heat_connections_input[#Headers],Heat_connections_input[#This Row],0,0,),"-")</f>
        <v>-</v>
      </c>
      <c r="D99" s="323" t="str" cm="1">
        <f t="array" ref="D99">IFERROR(_xlfn.XLOOKUP($D$3,Heat_connections_input[#Headers],Heat_connections_input[#This Row],0,0,),"-")</f>
        <v>-</v>
      </c>
      <c r="E99" s="284" t="str" cm="1">
        <f t="array" ref="E99">IFERROR(_xlfn.XLOOKUP($E$3,Heat_connections_input[#Headers],Heat_connections_input[#This Row],0,0,),"-")</f>
        <v>-</v>
      </c>
      <c r="F99" s="259" cm="1">
        <f t="array" ref="F99">IFERROR(_xlfn.XLOOKUP($F$3,Heat_connections_input[#Headers],Heat_connections_input[#This Row],0,0,),0)</f>
        <v>0</v>
      </c>
      <c r="G99" s="259" cm="1">
        <f t="array" ref="G99">IFERROR(_xlfn.XLOOKUP($G$3,Heat_connections_input[#Headers],Heat_connections_input[#This Row],0,0,),0)</f>
        <v>0</v>
      </c>
      <c r="H99" s="341" cm="1">
        <f t="array" ref="H99">IFERROR(_xlfn.XLOOKUP($H$3,Heat_connections_input[#Headers],Heat_connections_input[#This Row],0,0,),0)</f>
        <v>0</v>
      </c>
      <c r="I99" s="326" t="str" cm="1">
        <f t="array" ref="I99">IFERROR(_xlfn.XLOOKUP($I$3,Heat_connections_input[#Headers],Heat_connections_input[#This Row],0,0,),"-")</f>
        <v>-</v>
      </c>
      <c r="J99" s="326" t="str" cm="1">
        <f t="array" ref="J99">IFERROR(_xlfn.XLOOKUP($J$3,Heat_connections_input[#Headers],Heat_connections_input[#This Row],0,0,1),"-")</f>
        <v>-</v>
      </c>
      <c r="K99" s="260"/>
      <c r="L99" s="261"/>
      <c r="M99" s="262"/>
      <c r="N99" s="263"/>
      <c r="O99" s="264" t="str">
        <f>IF(Heat_connections[[#This Row],[Ref]]&lt;&gt;"-",
IF(M99=1,Dashboard!$C$26,IF(M99=2,Dashboard!$C$27,Dashboard!$C$28)),"-")</f>
        <v>-</v>
      </c>
      <c r="P99" s="341">
        <f>IF(Heat_connections[[#This Row],[Category]]="Domestic",Heat_connections[[#This Row],[No. of connections]],0)</f>
        <v>0</v>
      </c>
      <c r="Q99" s="341">
        <f>IF(Heat_connections[[#This Row],[Category]]&lt;&gt;"Domestic",Heat_connections[[#This Row],[No. of connections]],0)</f>
        <v>0</v>
      </c>
      <c r="R99" s="209"/>
      <c r="S99" s="512">
        <f>IF(Heat_connections[[#This Row],[TOID]]&lt;&gt;"-",
IF(ISBLANK('Heat connections'!$R99),Dashboard!$C$14,'Heat connections'!$R99),0)</f>
        <v>0</v>
      </c>
      <c r="T99" s="513">
        <f>IF(Heat_connections[[#This Row],[Peak Demand, kW]]&lt;&gt;0,'Heat connections'!$G99*Dashboard!$C$21,0)</f>
        <v>0</v>
      </c>
      <c r="U99" s="514">
        <f>IF(Heat_connections[[#This Row],[Ref]]&lt;&gt;"-",48.436*Heat_connections[[#This Row],[Peak Demand, kW]]+1068.7,0)</f>
        <v>0</v>
      </c>
      <c r="V99" s="515">
        <f>IF(Heat_connections[[#This Row],[Ref]]&lt;&gt;"-",
_xlfn.XLOOKUP('Heat connections'!$G99,'Technical inputs'!$F$79:$F$94,'Technical inputs'!$I$79:$I$94,0,1,1),0)</f>
        <v>0</v>
      </c>
      <c r="W99" s="429">
        <f>IF('Heat connections'!$E99="Domestic",1,0)</f>
        <v>0</v>
      </c>
      <c r="X99" s="430">
        <f>IF(AND(Heat_connections[[#This Row],[Ref]]&lt;&gt;"-",'Heat connections'!$E99&lt;&gt;"Domestic"),1,0)</f>
        <v>0</v>
      </c>
      <c r="Y99" s="434">
        <v>45</v>
      </c>
      <c r="Z99" s="438">
        <f>IF(Heat_connections[[#This Row],[Existing/planned development]]&lt;&gt;0,1,0)</f>
        <v>0</v>
      </c>
      <c r="AA99" s="430">
        <f>IF('Heat connections'!$M99=1,1,0)</f>
        <v>0</v>
      </c>
      <c r="AB99" s="430">
        <f>IF('Heat connections'!$M99=2,1,0)</f>
        <v>0</v>
      </c>
      <c r="AC99" s="434">
        <f>IF('Heat connections'!$M99=3,1,0)</f>
        <v>0</v>
      </c>
      <c r="AD99" s="46" t="str">
        <f>IF(AND(Heat_connections[[#This Row],[Connected to heat network]]="Yes",Heat_connections[[#This Row],[Ref]]&lt;&gt;"-"),"Yes","No")</f>
        <v>No</v>
      </c>
    </row>
    <row r="100" spans="3:30" ht="12.75" x14ac:dyDescent="0.2">
      <c r="C100" s="208" t="str" cm="1">
        <f t="array" ref="C100">IFERROR(_xlfn.XLOOKUP($C$3,Heat_connections_input[#Headers],Heat_connections_input[#This Row],0,0,),"-")</f>
        <v>-</v>
      </c>
      <c r="D100" s="323" t="str" cm="1">
        <f t="array" ref="D100">IFERROR(_xlfn.XLOOKUP($D$3,Heat_connections_input[#Headers],Heat_connections_input[#This Row],0,0,),"-")</f>
        <v>-</v>
      </c>
      <c r="E100" s="284" t="str" cm="1">
        <f t="array" ref="E100">IFERROR(_xlfn.XLOOKUP($E$3,Heat_connections_input[#Headers],Heat_connections_input[#This Row],0,0,),"-")</f>
        <v>-</v>
      </c>
      <c r="F100" s="259" cm="1">
        <f t="array" ref="F100">IFERROR(_xlfn.XLOOKUP($F$3,Heat_connections_input[#Headers],Heat_connections_input[#This Row],0,0,),0)</f>
        <v>0</v>
      </c>
      <c r="G100" s="259" cm="1">
        <f t="array" ref="G100">IFERROR(_xlfn.XLOOKUP($G$3,Heat_connections_input[#Headers],Heat_connections_input[#This Row],0,0,),0)</f>
        <v>0</v>
      </c>
      <c r="H100" s="341" cm="1">
        <f t="array" ref="H100">IFERROR(_xlfn.XLOOKUP($H$3,Heat_connections_input[#Headers],Heat_connections_input[#This Row],0,0,),0)</f>
        <v>0</v>
      </c>
      <c r="I100" s="326" t="str" cm="1">
        <f t="array" ref="I100">IFERROR(_xlfn.XLOOKUP($I$3,Heat_connections_input[#Headers],Heat_connections_input[#This Row],0,0,),"-")</f>
        <v>-</v>
      </c>
      <c r="J100" s="326" t="str" cm="1">
        <f t="array" ref="J100">IFERROR(_xlfn.XLOOKUP($J$3,Heat_connections_input[#Headers],Heat_connections_input[#This Row],0,0,1),"-")</f>
        <v>-</v>
      </c>
      <c r="K100" s="260"/>
      <c r="L100" s="261"/>
      <c r="M100" s="262"/>
      <c r="N100" s="263"/>
      <c r="O100" s="264" t="str">
        <f>IF(Heat_connections[[#This Row],[Ref]]&lt;&gt;"-",
IF(M100=1,Dashboard!$C$26,IF(M100=2,Dashboard!$C$27,Dashboard!$C$28)),"-")</f>
        <v>-</v>
      </c>
      <c r="P100" s="341">
        <f>IF(Heat_connections[[#This Row],[Category]]="Domestic",Heat_connections[[#This Row],[No. of connections]],0)</f>
        <v>0</v>
      </c>
      <c r="Q100" s="341">
        <f>IF(Heat_connections[[#This Row],[Category]]&lt;&gt;"Domestic",Heat_connections[[#This Row],[No. of connections]],0)</f>
        <v>0</v>
      </c>
      <c r="R100" s="209"/>
      <c r="S100" s="512">
        <f>IF(Heat_connections[[#This Row],[TOID]]&lt;&gt;"-",
IF(ISBLANK('Heat connections'!$R100),Dashboard!$C$14,'Heat connections'!$R100),0)</f>
        <v>0</v>
      </c>
      <c r="T100" s="513">
        <f>IF(Heat_connections[[#This Row],[Peak Demand, kW]]&lt;&gt;0,'Heat connections'!$G100*Dashboard!$C$21,0)</f>
        <v>0</v>
      </c>
      <c r="U100" s="514">
        <f>IF(Heat_connections[[#This Row],[Ref]]&lt;&gt;"-",48.436*Heat_connections[[#This Row],[Peak Demand, kW]]+1068.7,0)</f>
        <v>0</v>
      </c>
      <c r="V100" s="515">
        <f>IF(Heat_connections[[#This Row],[Ref]]&lt;&gt;"-",
_xlfn.XLOOKUP('Heat connections'!$G100,'Technical inputs'!$F$79:$F$94,'Technical inputs'!$I$79:$I$94,0,1,1),0)</f>
        <v>0</v>
      </c>
      <c r="W100" s="429">
        <f>IF('Heat connections'!$E100="Domestic",1,0)</f>
        <v>0</v>
      </c>
      <c r="X100" s="430">
        <f>IF(AND(Heat_connections[[#This Row],[Ref]]&lt;&gt;"-",'Heat connections'!$E100&lt;&gt;"Domestic"),1,0)</f>
        <v>0</v>
      </c>
      <c r="Y100" s="434">
        <v>46</v>
      </c>
      <c r="Z100" s="438">
        <f>IF(Heat_connections[[#This Row],[Existing/planned development]]&lt;&gt;0,1,0)</f>
        <v>0</v>
      </c>
      <c r="AA100" s="430">
        <f>IF('Heat connections'!$M100=1,1,0)</f>
        <v>0</v>
      </c>
      <c r="AB100" s="430">
        <f>IF('Heat connections'!$M100=2,1,0)</f>
        <v>0</v>
      </c>
      <c r="AC100" s="434">
        <f>IF('Heat connections'!$M100=3,1,0)</f>
        <v>0</v>
      </c>
      <c r="AD100" s="46" t="str">
        <f>IF(AND(Heat_connections[[#This Row],[Connected to heat network]]="Yes",Heat_connections[[#This Row],[Ref]]&lt;&gt;"-"),"Yes","No")</f>
        <v>No</v>
      </c>
    </row>
    <row r="101" spans="3:30" ht="12.75" x14ac:dyDescent="0.2">
      <c r="C101" s="208" t="str" cm="1">
        <f t="array" ref="C101">IFERROR(_xlfn.XLOOKUP($C$3,Heat_connections_input[#Headers],Heat_connections_input[#This Row],0,0,),"-")</f>
        <v>-</v>
      </c>
      <c r="D101" s="323" t="str" cm="1">
        <f t="array" ref="D101">IFERROR(_xlfn.XLOOKUP($D$3,Heat_connections_input[#Headers],Heat_connections_input[#This Row],0,0,),"-")</f>
        <v>-</v>
      </c>
      <c r="E101" s="284" t="str" cm="1">
        <f t="array" ref="E101">IFERROR(_xlfn.XLOOKUP($E$3,Heat_connections_input[#Headers],Heat_connections_input[#This Row],0,0,),"-")</f>
        <v>-</v>
      </c>
      <c r="F101" s="259" cm="1">
        <f t="array" ref="F101">IFERROR(_xlfn.XLOOKUP($F$3,Heat_connections_input[#Headers],Heat_connections_input[#This Row],0,0,),0)</f>
        <v>0</v>
      </c>
      <c r="G101" s="259" cm="1">
        <f t="array" ref="G101">IFERROR(_xlfn.XLOOKUP($G$3,Heat_connections_input[#Headers],Heat_connections_input[#This Row],0,0,),0)</f>
        <v>0</v>
      </c>
      <c r="H101" s="341" cm="1">
        <f t="array" ref="H101">IFERROR(_xlfn.XLOOKUP($H$3,Heat_connections_input[#Headers],Heat_connections_input[#This Row],0,0,),0)</f>
        <v>0</v>
      </c>
      <c r="I101" s="326" t="str" cm="1">
        <f t="array" ref="I101">IFERROR(_xlfn.XLOOKUP($I$3,Heat_connections_input[#Headers],Heat_connections_input[#This Row],0,0,),"-")</f>
        <v>-</v>
      </c>
      <c r="J101" s="326" t="str" cm="1">
        <f t="array" ref="J101">IFERROR(_xlfn.XLOOKUP($J$3,Heat_connections_input[#Headers],Heat_connections_input[#This Row],0,0,1),"-")</f>
        <v>-</v>
      </c>
      <c r="K101" s="260"/>
      <c r="L101" s="261"/>
      <c r="M101" s="262"/>
      <c r="N101" s="263"/>
      <c r="O101" s="264" t="str">
        <f>IF(Heat_connections[[#This Row],[Ref]]&lt;&gt;"-",
IF(M101=1,Dashboard!$C$26,IF(M101=2,Dashboard!$C$27,Dashboard!$C$28)),"-")</f>
        <v>-</v>
      </c>
      <c r="P101" s="341">
        <f>IF(Heat_connections[[#This Row],[Category]]="Domestic",Heat_connections[[#This Row],[No. of connections]],0)</f>
        <v>0</v>
      </c>
      <c r="Q101" s="341">
        <f>IF(Heat_connections[[#This Row],[Category]]&lt;&gt;"Domestic",Heat_connections[[#This Row],[No. of connections]],0)</f>
        <v>0</v>
      </c>
      <c r="R101" s="209"/>
      <c r="S101" s="512">
        <f>IF(Heat_connections[[#This Row],[TOID]]&lt;&gt;"-",
IF(ISBLANK('Heat connections'!$R101),Dashboard!$C$14,'Heat connections'!$R101),0)</f>
        <v>0</v>
      </c>
      <c r="T101" s="513">
        <f>IF(Heat_connections[[#This Row],[Peak Demand, kW]]&lt;&gt;0,'Heat connections'!$G101*Dashboard!$C$21,0)</f>
        <v>0</v>
      </c>
      <c r="U101" s="514">
        <f>IF(Heat_connections[[#This Row],[Ref]]&lt;&gt;"-",48.436*Heat_connections[[#This Row],[Peak Demand, kW]]+1068.7,0)</f>
        <v>0</v>
      </c>
      <c r="V101" s="515">
        <f>IF(Heat_connections[[#This Row],[Ref]]&lt;&gt;"-",
_xlfn.XLOOKUP('Heat connections'!$G101,'Technical inputs'!$F$79:$F$94,'Technical inputs'!$I$79:$I$94,0,1,1),0)</f>
        <v>0</v>
      </c>
      <c r="W101" s="429">
        <f>IF('Heat connections'!$E101="Domestic",1,0)</f>
        <v>0</v>
      </c>
      <c r="X101" s="430">
        <f>IF(AND(Heat_connections[[#This Row],[Ref]]&lt;&gt;"-",'Heat connections'!$E101&lt;&gt;"Domestic"),1,0)</f>
        <v>0</v>
      </c>
      <c r="Y101" s="434">
        <v>47</v>
      </c>
      <c r="Z101" s="438">
        <f>IF(Heat_connections[[#This Row],[Existing/planned development]]&lt;&gt;0,1,0)</f>
        <v>0</v>
      </c>
      <c r="AA101" s="430">
        <f>IF('Heat connections'!$M101=1,1,0)</f>
        <v>0</v>
      </c>
      <c r="AB101" s="430">
        <f>IF('Heat connections'!$M101=2,1,0)</f>
        <v>0</v>
      </c>
      <c r="AC101" s="434">
        <f>IF('Heat connections'!$M101=3,1,0)</f>
        <v>0</v>
      </c>
      <c r="AD101" s="46" t="str">
        <f>IF(AND(Heat_connections[[#This Row],[Connected to heat network]]="Yes",Heat_connections[[#This Row],[Ref]]&lt;&gt;"-"),"Yes","No")</f>
        <v>No</v>
      </c>
    </row>
    <row r="102" spans="3:30" ht="12.75" x14ac:dyDescent="0.2">
      <c r="C102" s="208" t="str" cm="1">
        <f t="array" ref="C102">IFERROR(_xlfn.XLOOKUP($C$3,Heat_connections_input[#Headers],Heat_connections_input[#This Row],0,0,),"-")</f>
        <v>-</v>
      </c>
      <c r="D102" s="323" t="str" cm="1">
        <f t="array" ref="D102">IFERROR(_xlfn.XLOOKUP($D$3,Heat_connections_input[#Headers],Heat_connections_input[#This Row],0,0,),"-")</f>
        <v>-</v>
      </c>
      <c r="E102" s="284" t="str" cm="1">
        <f t="array" ref="E102">IFERROR(_xlfn.XLOOKUP($E$3,Heat_connections_input[#Headers],Heat_connections_input[#This Row],0,0,),"-")</f>
        <v>-</v>
      </c>
      <c r="F102" s="259" cm="1">
        <f t="array" ref="F102">IFERROR(_xlfn.XLOOKUP($F$3,Heat_connections_input[#Headers],Heat_connections_input[#This Row],0,0,),0)</f>
        <v>0</v>
      </c>
      <c r="G102" s="259" cm="1">
        <f t="array" ref="G102">IFERROR(_xlfn.XLOOKUP($G$3,Heat_connections_input[#Headers],Heat_connections_input[#This Row],0,0,),0)</f>
        <v>0</v>
      </c>
      <c r="H102" s="341" cm="1">
        <f t="array" ref="H102">IFERROR(_xlfn.XLOOKUP($H$3,Heat_connections_input[#Headers],Heat_connections_input[#This Row],0,0,),0)</f>
        <v>0</v>
      </c>
      <c r="I102" s="326" t="str" cm="1">
        <f t="array" ref="I102">IFERROR(_xlfn.XLOOKUP($I$3,Heat_connections_input[#Headers],Heat_connections_input[#This Row],0,0,),"-")</f>
        <v>-</v>
      </c>
      <c r="J102" s="326" t="str" cm="1">
        <f t="array" ref="J102">IFERROR(_xlfn.XLOOKUP($J$3,Heat_connections_input[#Headers],Heat_connections_input[#This Row],0,0,1),"-")</f>
        <v>-</v>
      </c>
      <c r="K102" s="260"/>
      <c r="L102" s="261"/>
      <c r="M102" s="262"/>
      <c r="N102" s="263"/>
      <c r="O102" s="264" t="str">
        <f>IF(Heat_connections[[#This Row],[Ref]]&lt;&gt;"-",
IF(M102=1,Dashboard!$C$26,IF(M102=2,Dashboard!$C$27,Dashboard!$C$28)),"-")</f>
        <v>-</v>
      </c>
      <c r="P102" s="341">
        <f>IF(Heat_connections[[#This Row],[Category]]="Domestic",Heat_connections[[#This Row],[No. of connections]],0)</f>
        <v>0</v>
      </c>
      <c r="Q102" s="341">
        <f>IF(Heat_connections[[#This Row],[Category]]&lt;&gt;"Domestic",Heat_connections[[#This Row],[No. of connections]],0)</f>
        <v>0</v>
      </c>
      <c r="R102" s="209"/>
      <c r="S102" s="512">
        <f>IF(Heat_connections[[#This Row],[TOID]]&lt;&gt;"-",
IF(ISBLANK('Heat connections'!$R102),Dashboard!$C$14,'Heat connections'!$R102),0)</f>
        <v>0</v>
      </c>
      <c r="T102" s="513">
        <f>IF(Heat_connections[[#This Row],[Peak Demand, kW]]&lt;&gt;0,'Heat connections'!$G102*Dashboard!$C$21,0)</f>
        <v>0</v>
      </c>
      <c r="U102" s="514">
        <f>IF(Heat_connections[[#This Row],[Ref]]&lt;&gt;"-",48.436*Heat_connections[[#This Row],[Peak Demand, kW]]+1068.7,0)</f>
        <v>0</v>
      </c>
      <c r="V102" s="515">
        <f>IF(Heat_connections[[#This Row],[Ref]]&lt;&gt;"-",
_xlfn.XLOOKUP('Heat connections'!$G102,'Technical inputs'!$F$79:$F$94,'Technical inputs'!$I$79:$I$94,0,1,1),0)</f>
        <v>0</v>
      </c>
      <c r="W102" s="429">
        <f>IF('Heat connections'!$E102="Domestic",1,0)</f>
        <v>0</v>
      </c>
      <c r="X102" s="430">
        <f>IF(AND(Heat_connections[[#This Row],[Ref]]&lt;&gt;"-",'Heat connections'!$E102&lt;&gt;"Domestic"),1,0)</f>
        <v>0</v>
      </c>
      <c r="Y102" s="434">
        <v>48</v>
      </c>
      <c r="Z102" s="438">
        <f>IF(Heat_connections[[#This Row],[Existing/planned development]]&lt;&gt;0,1,0)</f>
        <v>0</v>
      </c>
      <c r="AA102" s="430">
        <f>IF('Heat connections'!$M102=1,1,0)</f>
        <v>0</v>
      </c>
      <c r="AB102" s="430">
        <f>IF('Heat connections'!$M102=2,1,0)</f>
        <v>0</v>
      </c>
      <c r="AC102" s="434">
        <f>IF('Heat connections'!$M102=3,1,0)</f>
        <v>0</v>
      </c>
      <c r="AD102" s="46" t="str">
        <f>IF(AND(Heat_connections[[#This Row],[Connected to heat network]]="Yes",Heat_connections[[#This Row],[Ref]]&lt;&gt;"-"),"Yes","No")</f>
        <v>No</v>
      </c>
    </row>
    <row r="103" spans="3:30" ht="12.75" x14ac:dyDescent="0.2">
      <c r="C103" s="208" t="str" cm="1">
        <f t="array" ref="C103">IFERROR(_xlfn.XLOOKUP($C$3,Heat_connections_input[#Headers],Heat_connections_input[#This Row],0,0,),"-")</f>
        <v>-</v>
      </c>
      <c r="D103" s="323" t="str" cm="1">
        <f t="array" ref="D103">IFERROR(_xlfn.XLOOKUP($D$3,Heat_connections_input[#Headers],Heat_connections_input[#This Row],0,0,),"-")</f>
        <v>-</v>
      </c>
      <c r="E103" s="284" t="str" cm="1">
        <f t="array" ref="E103">IFERROR(_xlfn.XLOOKUP($E$3,Heat_connections_input[#Headers],Heat_connections_input[#This Row],0,0,),"-")</f>
        <v>-</v>
      </c>
      <c r="F103" s="259" cm="1">
        <f t="array" ref="F103">IFERROR(_xlfn.XLOOKUP($F$3,Heat_connections_input[#Headers],Heat_connections_input[#This Row],0,0,),0)</f>
        <v>0</v>
      </c>
      <c r="G103" s="259" cm="1">
        <f t="array" ref="G103">IFERROR(_xlfn.XLOOKUP($G$3,Heat_connections_input[#Headers],Heat_connections_input[#This Row],0,0,),0)</f>
        <v>0</v>
      </c>
      <c r="H103" s="341" cm="1">
        <f t="array" ref="H103">IFERROR(_xlfn.XLOOKUP($H$3,Heat_connections_input[#Headers],Heat_connections_input[#This Row],0,0,),0)</f>
        <v>0</v>
      </c>
      <c r="I103" s="326" t="str" cm="1">
        <f t="array" ref="I103">IFERROR(_xlfn.XLOOKUP($I$3,Heat_connections_input[#Headers],Heat_connections_input[#This Row],0,0,),"-")</f>
        <v>-</v>
      </c>
      <c r="J103" s="326" t="str" cm="1">
        <f t="array" ref="J103">IFERROR(_xlfn.XLOOKUP($J$3,Heat_connections_input[#Headers],Heat_connections_input[#This Row],0,0,1),"-")</f>
        <v>-</v>
      </c>
      <c r="K103" s="260"/>
      <c r="L103" s="261"/>
      <c r="M103" s="262"/>
      <c r="N103" s="263"/>
      <c r="O103" s="264" t="str">
        <f>IF(Heat_connections[[#This Row],[Ref]]&lt;&gt;"-",
IF(M103=1,Dashboard!$C$26,IF(M103=2,Dashboard!$C$27,Dashboard!$C$28)),"-")</f>
        <v>-</v>
      </c>
      <c r="P103" s="341">
        <f>IF(Heat_connections[[#This Row],[Category]]="Domestic",Heat_connections[[#This Row],[No. of connections]],0)</f>
        <v>0</v>
      </c>
      <c r="Q103" s="341">
        <f>IF(Heat_connections[[#This Row],[Category]]&lt;&gt;"Domestic",Heat_connections[[#This Row],[No. of connections]],0)</f>
        <v>0</v>
      </c>
      <c r="R103" s="209"/>
      <c r="S103" s="512">
        <f>IF(Heat_connections[[#This Row],[TOID]]&lt;&gt;"-",
IF(ISBLANK('Heat connections'!$R103),Dashboard!$C$14,'Heat connections'!$R103),0)</f>
        <v>0</v>
      </c>
      <c r="T103" s="513">
        <f>IF(Heat_connections[[#This Row],[Peak Demand, kW]]&lt;&gt;0,'Heat connections'!$G103*Dashboard!$C$21,0)</f>
        <v>0</v>
      </c>
      <c r="U103" s="514">
        <f>IF(Heat_connections[[#This Row],[Ref]]&lt;&gt;"-",48.436*Heat_connections[[#This Row],[Peak Demand, kW]]+1068.7,0)</f>
        <v>0</v>
      </c>
      <c r="V103" s="515">
        <f>IF(Heat_connections[[#This Row],[Ref]]&lt;&gt;"-",
_xlfn.XLOOKUP('Heat connections'!$G103,'Technical inputs'!$F$79:$F$94,'Technical inputs'!$I$79:$I$94,0,1,1),0)</f>
        <v>0</v>
      </c>
      <c r="W103" s="429">
        <f>IF('Heat connections'!$E103="Domestic",1,0)</f>
        <v>0</v>
      </c>
      <c r="X103" s="430">
        <f>IF(AND(Heat_connections[[#This Row],[Ref]]&lt;&gt;"-",'Heat connections'!$E103&lt;&gt;"Domestic"),1,0)</f>
        <v>0</v>
      </c>
      <c r="Y103" s="434">
        <v>49</v>
      </c>
      <c r="Z103" s="438">
        <f>IF(Heat_connections[[#This Row],[Existing/planned development]]&lt;&gt;0,1,0)</f>
        <v>0</v>
      </c>
      <c r="AA103" s="430">
        <f>IF('Heat connections'!$M103=1,1,0)</f>
        <v>0</v>
      </c>
      <c r="AB103" s="430">
        <f>IF('Heat connections'!$M103=2,1,0)</f>
        <v>0</v>
      </c>
      <c r="AC103" s="434">
        <f>IF('Heat connections'!$M103=3,1,0)</f>
        <v>0</v>
      </c>
      <c r="AD103" s="46" t="str">
        <f>IF(AND(Heat_connections[[#This Row],[Connected to heat network]]="Yes",Heat_connections[[#This Row],[Ref]]&lt;&gt;"-"),"Yes","No")</f>
        <v>No</v>
      </c>
    </row>
    <row r="104" spans="3:30" ht="12.75" x14ac:dyDescent="0.2">
      <c r="C104" s="208" t="str" cm="1">
        <f t="array" ref="C104">IFERROR(_xlfn.XLOOKUP($C$3,Heat_connections_input[#Headers],Heat_connections_input[#This Row],0,0,),"-")</f>
        <v>-</v>
      </c>
      <c r="D104" s="323" t="str" cm="1">
        <f t="array" ref="D104">IFERROR(_xlfn.XLOOKUP($D$3,Heat_connections_input[#Headers],Heat_connections_input[#This Row],0,0,),"-")</f>
        <v>-</v>
      </c>
      <c r="E104" s="284" t="str" cm="1">
        <f t="array" ref="E104">IFERROR(_xlfn.XLOOKUP($E$3,Heat_connections_input[#Headers],Heat_connections_input[#This Row],0,0,),"-")</f>
        <v>-</v>
      </c>
      <c r="F104" s="259" cm="1">
        <f t="array" ref="F104">IFERROR(_xlfn.XLOOKUP($F$3,Heat_connections_input[#Headers],Heat_connections_input[#This Row],0,0,),0)</f>
        <v>0</v>
      </c>
      <c r="G104" s="259" cm="1">
        <f t="array" ref="G104">IFERROR(_xlfn.XLOOKUP($G$3,Heat_connections_input[#Headers],Heat_connections_input[#This Row],0,0,),0)</f>
        <v>0</v>
      </c>
      <c r="H104" s="341" cm="1">
        <f t="array" ref="H104">IFERROR(_xlfn.XLOOKUP($H$3,Heat_connections_input[#Headers],Heat_connections_input[#This Row],0,0,),0)</f>
        <v>0</v>
      </c>
      <c r="I104" s="326" t="str" cm="1">
        <f t="array" ref="I104">IFERROR(_xlfn.XLOOKUP($I$3,Heat_connections_input[#Headers],Heat_connections_input[#This Row],0,0,),"-")</f>
        <v>-</v>
      </c>
      <c r="J104" s="326" t="str" cm="1">
        <f t="array" ref="J104">IFERROR(_xlfn.XLOOKUP($J$3,Heat_connections_input[#Headers],Heat_connections_input[#This Row],0,0,1),"-")</f>
        <v>-</v>
      </c>
      <c r="K104" s="260"/>
      <c r="L104" s="261"/>
      <c r="M104" s="262"/>
      <c r="N104" s="263"/>
      <c r="O104" s="264" t="str">
        <f>IF(Heat_connections[[#This Row],[Ref]]&lt;&gt;"-",
IF(M104=1,Dashboard!$C$26,IF(M104=2,Dashboard!$C$27,Dashboard!$C$28)),"-")</f>
        <v>-</v>
      </c>
      <c r="P104" s="341">
        <f>IF(Heat_connections[[#This Row],[Category]]="Domestic",Heat_connections[[#This Row],[No. of connections]],0)</f>
        <v>0</v>
      </c>
      <c r="Q104" s="341">
        <f>IF(Heat_connections[[#This Row],[Category]]&lt;&gt;"Domestic",Heat_connections[[#This Row],[No. of connections]],0)</f>
        <v>0</v>
      </c>
      <c r="R104" s="209"/>
      <c r="S104" s="512">
        <f>IF(Heat_connections[[#This Row],[TOID]]&lt;&gt;"-",
IF(ISBLANK('Heat connections'!$R104),Dashboard!$C$14,'Heat connections'!$R104),0)</f>
        <v>0</v>
      </c>
      <c r="T104" s="513">
        <f>IF(Heat_connections[[#This Row],[Peak Demand, kW]]&lt;&gt;0,'Heat connections'!$G104*Dashboard!$C$21,0)</f>
        <v>0</v>
      </c>
      <c r="U104" s="514">
        <f>IF(Heat_connections[[#This Row],[Ref]]&lt;&gt;"-",48.436*Heat_connections[[#This Row],[Peak Demand, kW]]+1068.7,0)</f>
        <v>0</v>
      </c>
      <c r="V104" s="515">
        <f>IF(Heat_connections[[#This Row],[Ref]]&lt;&gt;"-",
_xlfn.XLOOKUP('Heat connections'!$G104,'Technical inputs'!$F$79:$F$94,'Technical inputs'!$I$79:$I$94,0,1,1),0)</f>
        <v>0</v>
      </c>
      <c r="W104" s="429">
        <f>IF('Heat connections'!$E104="Domestic",1,0)</f>
        <v>0</v>
      </c>
      <c r="X104" s="430">
        <f>IF(AND(Heat_connections[[#This Row],[Ref]]&lt;&gt;"-",'Heat connections'!$E104&lt;&gt;"Domestic"),1,0)</f>
        <v>0</v>
      </c>
      <c r="Y104" s="434">
        <v>50</v>
      </c>
      <c r="Z104" s="438">
        <f>IF(Heat_connections[[#This Row],[Existing/planned development]]&lt;&gt;0,1,0)</f>
        <v>0</v>
      </c>
      <c r="AA104" s="430">
        <f>IF('Heat connections'!$M104=1,1,0)</f>
        <v>0</v>
      </c>
      <c r="AB104" s="430">
        <f>IF('Heat connections'!$M104=2,1,0)</f>
        <v>0</v>
      </c>
      <c r="AC104" s="434">
        <f>IF('Heat connections'!$M104=3,1,0)</f>
        <v>0</v>
      </c>
      <c r="AD104" s="46" t="str">
        <f>IF(AND(Heat_connections[[#This Row],[Connected to heat network]]="Yes",Heat_connections[[#This Row],[Ref]]&lt;&gt;"-"),"Yes","No")</f>
        <v>No</v>
      </c>
    </row>
    <row r="105" spans="3:30" ht="12.75" x14ac:dyDescent="0.2">
      <c r="C105" s="208" t="str" cm="1">
        <f t="array" ref="C105">IFERROR(_xlfn.XLOOKUP($C$3,Heat_connections_input[#Headers],Heat_connections_input[#This Row],0,0,),"-")</f>
        <v>-</v>
      </c>
      <c r="D105" s="323" t="str" cm="1">
        <f t="array" ref="D105">IFERROR(_xlfn.XLOOKUP($D$3,Heat_connections_input[#Headers],Heat_connections_input[#This Row],0,0,),"-")</f>
        <v>-</v>
      </c>
      <c r="E105" s="284" t="str" cm="1">
        <f t="array" ref="E105">IFERROR(_xlfn.XLOOKUP($E$3,Heat_connections_input[#Headers],Heat_connections_input[#This Row],0,0,),"-")</f>
        <v>-</v>
      </c>
      <c r="F105" s="259" cm="1">
        <f t="array" ref="F105">IFERROR(_xlfn.XLOOKUP($F$3,Heat_connections_input[#Headers],Heat_connections_input[#This Row],0,0,),0)</f>
        <v>0</v>
      </c>
      <c r="G105" s="259" cm="1">
        <f t="array" ref="G105">IFERROR(_xlfn.XLOOKUP($G$3,Heat_connections_input[#Headers],Heat_connections_input[#This Row],0,0,),0)</f>
        <v>0</v>
      </c>
      <c r="H105" s="341" cm="1">
        <f t="array" ref="H105">IFERROR(_xlfn.XLOOKUP($H$3,Heat_connections_input[#Headers],Heat_connections_input[#This Row],0,0,),0)</f>
        <v>0</v>
      </c>
      <c r="I105" s="326" t="str" cm="1">
        <f t="array" ref="I105">IFERROR(_xlfn.XLOOKUP($I$3,Heat_connections_input[#Headers],Heat_connections_input[#This Row],0,0,),"-")</f>
        <v>-</v>
      </c>
      <c r="J105" s="326" t="str" cm="1">
        <f t="array" ref="J105">IFERROR(_xlfn.XLOOKUP($J$3,Heat_connections_input[#Headers],Heat_connections_input[#This Row],0,0,1),"-")</f>
        <v>-</v>
      </c>
      <c r="K105" s="260"/>
      <c r="L105" s="261"/>
      <c r="M105" s="262"/>
      <c r="N105" s="263"/>
      <c r="O105" s="264" t="str">
        <f>IF(Heat_connections[[#This Row],[Ref]]&lt;&gt;"-",
IF(M105=1,Dashboard!$C$26,IF(M105=2,Dashboard!$C$27,Dashboard!$C$28)),"-")</f>
        <v>-</v>
      </c>
      <c r="P105" s="341">
        <f>IF(Heat_connections[[#This Row],[Category]]="Domestic",Heat_connections[[#This Row],[No. of connections]],0)</f>
        <v>0</v>
      </c>
      <c r="Q105" s="341">
        <f>IF(Heat_connections[[#This Row],[Category]]&lt;&gt;"Domestic",Heat_connections[[#This Row],[No. of connections]],0)</f>
        <v>0</v>
      </c>
      <c r="R105" s="209"/>
      <c r="S105" s="512">
        <f>IF(Heat_connections[[#This Row],[TOID]]&lt;&gt;"-",
IF(ISBLANK('Heat connections'!$R105),Dashboard!$C$14,'Heat connections'!$R105),0)</f>
        <v>0</v>
      </c>
      <c r="T105" s="513">
        <f>IF(Heat_connections[[#This Row],[Peak Demand, kW]]&lt;&gt;0,'Heat connections'!$G105*Dashboard!$C$21,0)</f>
        <v>0</v>
      </c>
      <c r="U105" s="514">
        <f>IF(Heat_connections[[#This Row],[Ref]]&lt;&gt;"-",48.436*Heat_connections[[#This Row],[Peak Demand, kW]]+1068.7,0)</f>
        <v>0</v>
      </c>
      <c r="V105" s="515">
        <f>IF(Heat_connections[[#This Row],[Ref]]&lt;&gt;"-",
_xlfn.XLOOKUP('Heat connections'!$G105,'Technical inputs'!$F$79:$F$94,'Technical inputs'!$I$79:$I$94,0,1,1),0)</f>
        <v>0</v>
      </c>
      <c r="W105" s="429">
        <f>IF('Heat connections'!$E105="Domestic",1,0)</f>
        <v>0</v>
      </c>
      <c r="X105" s="430">
        <f>IF(AND(Heat_connections[[#This Row],[Ref]]&lt;&gt;"-",'Heat connections'!$E105&lt;&gt;"Domestic"),1,0)</f>
        <v>0</v>
      </c>
      <c r="Y105" s="434">
        <v>51</v>
      </c>
      <c r="Z105" s="438">
        <f>IF(Heat_connections[[#This Row],[Existing/planned development]]&lt;&gt;0,1,0)</f>
        <v>0</v>
      </c>
      <c r="AA105" s="430">
        <f>IF('Heat connections'!$M105=1,1,0)</f>
        <v>0</v>
      </c>
      <c r="AB105" s="430">
        <f>IF('Heat connections'!$M105=2,1,0)</f>
        <v>0</v>
      </c>
      <c r="AC105" s="434">
        <f>IF('Heat connections'!$M105=3,1,0)</f>
        <v>0</v>
      </c>
      <c r="AD105" s="46" t="str">
        <f>IF(AND(Heat_connections[[#This Row],[Connected to heat network]]="Yes",Heat_connections[[#This Row],[Ref]]&lt;&gt;"-"),"Yes","No")</f>
        <v>No</v>
      </c>
    </row>
    <row r="106" spans="3:30" ht="12.75" x14ac:dyDescent="0.2">
      <c r="C106" s="208" t="str" cm="1">
        <f t="array" ref="C106">IFERROR(_xlfn.XLOOKUP($C$3,Heat_connections_input[#Headers],Heat_connections_input[#This Row],0,0,),"-")</f>
        <v>-</v>
      </c>
      <c r="D106" s="323" t="str" cm="1">
        <f t="array" ref="D106">IFERROR(_xlfn.XLOOKUP($D$3,Heat_connections_input[#Headers],Heat_connections_input[#This Row],0,0,),"-")</f>
        <v>-</v>
      </c>
      <c r="E106" s="284" t="str" cm="1">
        <f t="array" ref="E106">IFERROR(_xlfn.XLOOKUP($E$3,Heat_connections_input[#Headers],Heat_connections_input[#This Row],0,0,),"-")</f>
        <v>-</v>
      </c>
      <c r="F106" s="259" cm="1">
        <f t="array" ref="F106">IFERROR(_xlfn.XLOOKUP($F$3,Heat_connections_input[#Headers],Heat_connections_input[#This Row],0,0,),0)</f>
        <v>0</v>
      </c>
      <c r="G106" s="259" cm="1">
        <f t="array" ref="G106">IFERROR(_xlfn.XLOOKUP($G$3,Heat_connections_input[#Headers],Heat_connections_input[#This Row],0,0,),0)</f>
        <v>0</v>
      </c>
      <c r="H106" s="341" cm="1">
        <f t="array" ref="H106">IFERROR(_xlfn.XLOOKUP($H$3,Heat_connections_input[#Headers],Heat_connections_input[#This Row],0,0,),0)</f>
        <v>0</v>
      </c>
      <c r="I106" s="326" t="str" cm="1">
        <f t="array" ref="I106">IFERROR(_xlfn.XLOOKUP($I$3,Heat_connections_input[#Headers],Heat_connections_input[#This Row],0,0,),"-")</f>
        <v>-</v>
      </c>
      <c r="J106" s="326" t="str" cm="1">
        <f t="array" ref="J106">IFERROR(_xlfn.XLOOKUP($J$3,Heat_connections_input[#Headers],Heat_connections_input[#This Row],0,0,1),"-")</f>
        <v>-</v>
      </c>
      <c r="K106" s="260"/>
      <c r="L106" s="261"/>
      <c r="M106" s="262"/>
      <c r="N106" s="263"/>
      <c r="O106" s="264" t="str">
        <f>IF(Heat_connections[[#This Row],[Ref]]&lt;&gt;"-",
IF(M106=1,Dashboard!$C$26,IF(M106=2,Dashboard!$C$27,Dashboard!$C$28)),"-")</f>
        <v>-</v>
      </c>
      <c r="P106" s="341">
        <f>IF(Heat_connections[[#This Row],[Category]]="Domestic",Heat_connections[[#This Row],[No. of connections]],0)</f>
        <v>0</v>
      </c>
      <c r="Q106" s="341">
        <f>IF(Heat_connections[[#This Row],[Category]]&lt;&gt;"Domestic",Heat_connections[[#This Row],[No. of connections]],0)</f>
        <v>0</v>
      </c>
      <c r="R106" s="209"/>
      <c r="S106" s="512">
        <f>IF(Heat_connections[[#This Row],[TOID]]&lt;&gt;"-",
IF(ISBLANK('Heat connections'!$R106),Dashboard!$C$14,'Heat connections'!$R106),0)</f>
        <v>0</v>
      </c>
      <c r="T106" s="513">
        <f>IF(Heat_connections[[#This Row],[Peak Demand, kW]]&lt;&gt;0,'Heat connections'!$G106*Dashboard!$C$21,0)</f>
        <v>0</v>
      </c>
      <c r="U106" s="514">
        <f>IF(Heat_connections[[#This Row],[Ref]]&lt;&gt;"-",48.436*Heat_connections[[#This Row],[Peak Demand, kW]]+1068.7,0)</f>
        <v>0</v>
      </c>
      <c r="V106" s="515">
        <f>IF(Heat_connections[[#This Row],[Ref]]&lt;&gt;"-",
_xlfn.XLOOKUP('Heat connections'!$G106,'Technical inputs'!$F$79:$F$94,'Technical inputs'!$I$79:$I$94,0,1,1),0)</f>
        <v>0</v>
      </c>
      <c r="W106" s="429">
        <f>IF('Heat connections'!$E106="Domestic",1,0)</f>
        <v>0</v>
      </c>
      <c r="X106" s="430">
        <f>IF(AND(Heat_connections[[#This Row],[Ref]]&lt;&gt;"-",'Heat connections'!$E106&lt;&gt;"Domestic"),1,0)</f>
        <v>0</v>
      </c>
      <c r="Y106" s="434">
        <v>52</v>
      </c>
      <c r="Z106" s="438">
        <f>IF(Heat_connections[[#This Row],[Existing/planned development]]&lt;&gt;0,1,0)</f>
        <v>0</v>
      </c>
      <c r="AA106" s="430">
        <f>IF('Heat connections'!$M106=1,1,0)</f>
        <v>0</v>
      </c>
      <c r="AB106" s="430">
        <f>IF('Heat connections'!$M106=2,1,0)</f>
        <v>0</v>
      </c>
      <c r="AC106" s="434">
        <f>IF('Heat connections'!$M106=3,1,0)</f>
        <v>0</v>
      </c>
      <c r="AD106" s="46" t="str">
        <f>IF(AND(Heat_connections[[#This Row],[Connected to heat network]]="Yes",Heat_connections[[#This Row],[Ref]]&lt;&gt;"-"),"Yes","No")</f>
        <v>No</v>
      </c>
    </row>
    <row r="107" spans="3:30" ht="12.75" x14ac:dyDescent="0.2">
      <c r="C107" s="208" t="str" cm="1">
        <f t="array" ref="C107">IFERROR(_xlfn.XLOOKUP($C$3,Heat_connections_input[#Headers],Heat_connections_input[#This Row],0,0,),"-")</f>
        <v>-</v>
      </c>
      <c r="D107" s="323" t="str" cm="1">
        <f t="array" ref="D107">IFERROR(_xlfn.XLOOKUP($D$3,Heat_connections_input[#Headers],Heat_connections_input[#This Row],0,0,),"-")</f>
        <v>-</v>
      </c>
      <c r="E107" s="284" t="str" cm="1">
        <f t="array" ref="E107">IFERROR(_xlfn.XLOOKUP($E$3,Heat_connections_input[#Headers],Heat_connections_input[#This Row],0,0,),"-")</f>
        <v>-</v>
      </c>
      <c r="F107" s="259" cm="1">
        <f t="array" ref="F107">IFERROR(_xlfn.XLOOKUP($F$3,Heat_connections_input[#Headers],Heat_connections_input[#This Row],0,0,),0)</f>
        <v>0</v>
      </c>
      <c r="G107" s="259" cm="1">
        <f t="array" ref="G107">IFERROR(_xlfn.XLOOKUP($G$3,Heat_connections_input[#Headers],Heat_connections_input[#This Row],0,0,),0)</f>
        <v>0</v>
      </c>
      <c r="H107" s="341" cm="1">
        <f t="array" ref="H107">IFERROR(_xlfn.XLOOKUP($H$3,Heat_connections_input[#Headers],Heat_connections_input[#This Row],0,0,),0)</f>
        <v>0</v>
      </c>
      <c r="I107" s="326" t="str" cm="1">
        <f t="array" ref="I107">IFERROR(_xlfn.XLOOKUP($I$3,Heat_connections_input[#Headers],Heat_connections_input[#This Row],0,0,),"-")</f>
        <v>-</v>
      </c>
      <c r="J107" s="326" t="str" cm="1">
        <f t="array" ref="J107">IFERROR(_xlfn.XLOOKUP($J$3,Heat_connections_input[#Headers],Heat_connections_input[#This Row],0,0,1),"-")</f>
        <v>-</v>
      </c>
      <c r="K107" s="260"/>
      <c r="L107" s="261"/>
      <c r="M107" s="262"/>
      <c r="N107" s="263"/>
      <c r="O107" s="264" t="str">
        <f>IF(Heat_connections[[#This Row],[Ref]]&lt;&gt;"-",
IF(M107=1,Dashboard!$C$26,IF(M107=2,Dashboard!$C$27,Dashboard!$C$28)),"-")</f>
        <v>-</v>
      </c>
      <c r="P107" s="341">
        <f>IF(Heat_connections[[#This Row],[Category]]="Domestic",Heat_connections[[#This Row],[No. of connections]],0)</f>
        <v>0</v>
      </c>
      <c r="Q107" s="341">
        <f>IF(Heat_connections[[#This Row],[Category]]&lt;&gt;"Domestic",Heat_connections[[#This Row],[No. of connections]],0)</f>
        <v>0</v>
      </c>
      <c r="R107" s="209"/>
      <c r="S107" s="512">
        <f>IF(Heat_connections[[#This Row],[TOID]]&lt;&gt;"-",
IF(ISBLANK('Heat connections'!$R107),Dashboard!$C$14,'Heat connections'!$R107),0)</f>
        <v>0</v>
      </c>
      <c r="T107" s="513">
        <f>IF(Heat_connections[[#This Row],[Peak Demand, kW]]&lt;&gt;0,'Heat connections'!$G107*Dashboard!$C$21,0)</f>
        <v>0</v>
      </c>
      <c r="U107" s="514">
        <f>IF(Heat_connections[[#This Row],[Ref]]&lt;&gt;"-",48.436*Heat_connections[[#This Row],[Peak Demand, kW]]+1068.7,0)</f>
        <v>0</v>
      </c>
      <c r="V107" s="515">
        <f>IF(Heat_connections[[#This Row],[Ref]]&lt;&gt;"-",
_xlfn.XLOOKUP('Heat connections'!$G107,'Technical inputs'!$F$79:$F$94,'Technical inputs'!$I$79:$I$94,0,1,1),0)</f>
        <v>0</v>
      </c>
      <c r="W107" s="429">
        <f>IF('Heat connections'!$E107="Domestic",1,0)</f>
        <v>0</v>
      </c>
      <c r="X107" s="430">
        <f>IF(AND(Heat_connections[[#This Row],[Ref]]&lt;&gt;"-",'Heat connections'!$E107&lt;&gt;"Domestic"),1,0)</f>
        <v>0</v>
      </c>
      <c r="Y107" s="434">
        <v>53</v>
      </c>
      <c r="Z107" s="438">
        <f>IF(Heat_connections[[#This Row],[Existing/planned development]]&lt;&gt;0,1,0)</f>
        <v>0</v>
      </c>
      <c r="AA107" s="430">
        <f>IF('Heat connections'!$M107=1,1,0)</f>
        <v>0</v>
      </c>
      <c r="AB107" s="430">
        <f>IF('Heat connections'!$M107=2,1,0)</f>
        <v>0</v>
      </c>
      <c r="AC107" s="434">
        <f>IF('Heat connections'!$M107=3,1,0)</f>
        <v>0</v>
      </c>
      <c r="AD107" s="46" t="str">
        <f>IF(AND(Heat_connections[[#This Row],[Connected to heat network]]="Yes",Heat_connections[[#This Row],[Ref]]&lt;&gt;"-"),"Yes","No")</f>
        <v>No</v>
      </c>
    </row>
    <row r="108" spans="3:30" ht="12.75" x14ac:dyDescent="0.2">
      <c r="C108" s="208" t="str" cm="1">
        <f t="array" ref="C108">IFERROR(_xlfn.XLOOKUP($C$3,Heat_connections_input[#Headers],Heat_connections_input[#This Row],0,0,),"-")</f>
        <v>-</v>
      </c>
      <c r="D108" s="323" t="str" cm="1">
        <f t="array" ref="D108">IFERROR(_xlfn.XLOOKUP($D$3,Heat_connections_input[#Headers],Heat_connections_input[#This Row],0,0,),"-")</f>
        <v>-</v>
      </c>
      <c r="E108" s="284" t="str" cm="1">
        <f t="array" ref="E108">IFERROR(_xlfn.XLOOKUP($E$3,Heat_connections_input[#Headers],Heat_connections_input[#This Row],0,0,),"-")</f>
        <v>-</v>
      </c>
      <c r="F108" s="259" cm="1">
        <f t="array" ref="F108">IFERROR(_xlfn.XLOOKUP($F$3,Heat_connections_input[#Headers],Heat_connections_input[#This Row],0,0,),0)</f>
        <v>0</v>
      </c>
      <c r="G108" s="259" cm="1">
        <f t="array" ref="G108">IFERROR(_xlfn.XLOOKUP($G$3,Heat_connections_input[#Headers],Heat_connections_input[#This Row],0,0,),0)</f>
        <v>0</v>
      </c>
      <c r="H108" s="341" cm="1">
        <f t="array" ref="H108">IFERROR(_xlfn.XLOOKUP($H$3,Heat_connections_input[#Headers],Heat_connections_input[#This Row],0,0,),0)</f>
        <v>0</v>
      </c>
      <c r="I108" s="326" t="str" cm="1">
        <f t="array" ref="I108">IFERROR(_xlfn.XLOOKUP($I$3,Heat_connections_input[#Headers],Heat_connections_input[#This Row],0,0,),"-")</f>
        <v>-</v>
      </c>
      <c r="J108" s="326" t="str" cm="1">
        <f t="array" ref="J108">IFERROR(_xlfn.XLOOKUP($J$3,Heat_connections_input[#Headers],Heat_connections_input[#This Row],0,0,1),"-")</f>
        <v>-</v>
      </c>
      <c r="K108" s="260"/>
      <c r="L108" s="261"/>
      <c r="M108" s="262"/>
      <c r="N108" s="263"/>
      <c r="O108" s="264" t="str">
        <f>IF(Heat_connections[[#This Row],[Ref]]&lt;&gt;"-",
IF(M108=1,Dashboard!$C$26,IF(M108=2,Dashboard!$C$27,Dashboard!$C$28)),"-")</f>
        <v>-</v>
      </c>
      <c r="P108" s="341">
        <f>IF(Heat_connections[[#This Row],[Category]]="Domestic",Heat_connections[[#This Row],[No. of connections]],0)</f>
        <v>0</v>
      </c>
      <c r="Q108" s="341">
        <f>IF(Heat_connections[[#This Row],[Category]]&lt;&gt;"Domestic",Heat_connections[[#This Row],[No. of connections]],0)</f>
        <v>0</v>
      </c>
      <c r="R108" s="209"/>
      <c r="S108" s="512">
        <f>IF(Heat_connections[[#This Row],[TOID]]&lt;&gt;"-",
IF(ISBLANK('Heat connections'!$R108),Dashboard!$C$14,'Heat connections'!$R108),0)</f>
        <v>0</v>
      </c>
      <c r="T108" s="513">
        <f>IF(Heat_connections[[#This Row],[Peak Demand, kW]]&lt;&gt;0,'Heat connections'!$G108*Dashboard!$C$21,0)</f>
        <v>0</v>
      </c>
      <c r="U108" s="514">
        <f>IF(Heat_connections[[#This Row],[Ref]]&lt;&gt;"-",48.436*Heat_connections[[#This Row],[Peak Demand, kW]]+1068.7,0)</f>
        <v>0</v>
      </c>
      <c r="V108" s="515">
        <f>IF(Heat_connections[[#This Row],[Ref]]&lt;&gt;"-",
_xlfn.XLOOKUP('Heat connections'!$G108,'Technical inputs'!$F$79:$F$94,'Technical inputs'!$I$79:$I$94,0,1,1),0)</f>
        <v>0</v>
      </c>
      <c r="W108" s="429">
        <f>IF('Heat connections'!$E108="Domestic",1,0)</f>
        <v>0</v>
      </c>
      <c r="X108" s="430">
        <f>IF(AND(Heat_connections[[#This Row],[Ref]]&lt;&gt;"-",'Heat connections'!$E108&lt;&gt;"Domestic"),1,0)</f>
        <v>0</v>
      </c>
      <c r="Y108" s="434">
        <v>54</v>
      </c>
      <c r="Z108" s="438">
        <f>IF(Heat_connections[[#This Row],[Existing/planned development]]&lt;&gt;0,1,0)</f>
        <v>0</v>
      </c>
      <c r="AA108" s="430">
        <f>IF('Heat connections'!$M108=1,1,0)</f>
        <v>0</v>
      </c>
      <c r="AB108" s="430">
        <f>IF('Heat connections'!$M108=2,1,0)</f>
        <v>0</v>
      </c>
      <c r="AC108" s="434">
        <f>IF('Heat connections'!$M108=3,1,0)</f>
        <v>0</v>
      </c>
      <c r="AD108" s="46" t="str">
        <f>IF(AND(Heat_connections[[#This Row],[Connected to heat network]]="Yes",Heat_connections[[#This Row],[Ref]]&lt;&gt;"-"),"Yes","No")</f>
        <v>No</v>
      </c>
    </row>
    <row r="109" spans="3:30" ht="12.75" x14ac:dyDescent="0.2">
      <c r="C109" s="208" t="str" cm="1">
        <f t="array" ref="C109">IFERROR(_xlfn.XLOOKUP($C$3,Heat_connections_input[#Headers],Heat_connections_input[#This Row],0,0,),"-")</f>
        <v>-</v>
      </c>
      <c r="D109" s="323" t="str" cm="1">
        <f t="array" ref="D109">IFERROR(_xlfn.XLOOKUP($D$3,Heat_connections_input[#Headers],Heat_connections_input[#This Row],0,0,),"-")</f>
        <v>-</v>
      </c>
      <c r="E109" s="284" t="str" cm="1">
        <f t="array" ref="E109">IFERROR(_xlfn.XLOOKUP($E$3,Heat_connections_input[#Headers],Heat_connections_input[#This Row],0,0,),"-")</f>
        <v>-</v>
      </c>
      <c r="F109" s="259" cm="1">
        <f t="array" ref="F109">IFERROR(_xlfn.XLOOKUP($F$3,Heat_connections_input[#Headers],Heat_connections_input[#This Row],0,0,),0)</f>
        <v>0</v>
      </c>
      <c r="G109" s="259" cm="1">
        <f t="array" ref="G109">IFERROR(_xlfn.XLOOKUP($G$3,Heat_connections_input[#Headers],Heat_connections_input[#This Row],0,0,),0)</f>
        <v>0</v>
      </c>
      <c r="H109" s="341" cm="1">
        <f t="array" ref="H109">IFERROR(_xlfn.XLOOKUP($H$3,Heat_connections_input[#Headers],Heat_connections_input[#This Row],0,0,),0)</f>
        <v>0</v>
      </c>
      <c r="I109" s="326" t="str" cm="1">
        <f t="array" ref="I109">IFERROR(_xlfn.XLOOKUP($I$3,Heat_connections_input[#Headers],Heat_connections_input[#This Row],0,0,),"-")</f>
        <v>-</v>
      </c>
      <c r="J109" s="326" t="str" cm="1">
        <f t="array" ref="J109">IFERROR(_xlfn.XLOOKUP($J$3,Heat_connections_input[#Headers],Heat_connections_input[#This Row],0,0,1),"-")</f>
        <v>-</v>
      </c>
      <c r="K109" s="260"/>
      <c r="L109" s="261"/>
      <c r="M109" s="262"/>
      <c r="N109" s="263"/>
      <c r="O109" s="264" t="str">
        <f>IF(Heat_connections[[#This Row],[Ref]]&lt;&gt;"-",
IF(M109=1,Dashboard!$C$26,IF(M109=2,Dashboard!$C$27,Dashboard!$C$28)),"-")</f>
        <v>-</v>
      </c>
      <c r="P109" s="341">
        <f>IF(Heat_connections[[#This Row],[Category]]="Domestic",Heat_connections[[#This Row],[No. of connections]],0)</f>
        <v>0</v>
      </c>
      <c r="Q109" s="341">
        <f>IF(Heat_connections[[#This Row],[Category]]&lt;&gt;"Domestic",Heat_connections[[#This Row],[No. of connections]],0)</f>
        <v>0</v>
      </c>
      <c r="R109" s="209"/>
      <c r="S109" s="512">
        <f>IF(Heat_connections[[#This Row],[TOID]]&lt;&gt;"-",
IF(ISBLANK('Heat connections'!$R109),Dashboard!$C$14,'Heat connections'!$R109),0)</f>
        <v>0</v>
      </c>
      <c r="T109" s="513">
        <f>IF(Heat_connections[[#This Row],[Peak Demand, kW]]&lt;&gt;0,'Heat connections'!$G109*Dashboard!$C$21,0)</f>
        <v>0</v>
      </c>
      <c r="U109" s="514">
        <f>IF(Heat_connections[[#This Row],[Ref]]&lt;&gt;"-",48.436*Heat_connections[[#This Row],[Peak Demand, kW]]+1068.7,0)</f>
        <v>0</v>
      </c>
      <c r="V109" s="515">
        <f>IF(Heat_connections[[#This Row],[Ref]]&lt;&gt;"-",
_xlfn.XLOOKUP('Heat connections'!$G109,'Technical inputs'!$F$79:$F$94,'Technical inputs'!$I$79:$I$94,0,1,1),0)</f>
        <v>0</v>
      </c>
      <c r="W109" s="429">
        <f>IF('Heat connections'!$E109="Domestic",1,0)</f>
        <v>0</v>
      </c>
      <c r="X109" s="430">
        <f>IF(AND(Heat_connections[[#This Row],[Ref]]&lt;&gt;"-",'Heat connections'!$E109&lt;&gt;"Domestic"),1,0)</f>
        <v>0</v>
      </c>
      <c r="Y109" s="434">
        <v>55</v>
      </c>
      <c r="Z109" s="438">
        <f>IF(Heat_connections[[#This Row],[Existing/planned development]]&lt;&gt;0,1,0)</f>
        <v>0</v>
      </c>
      <c r="AA109" s="430">
        <f>IF('Heat connections'!$M109=1,1,0)</f>
        <v>0</v>
      </c>
      <c r="AB109" s="430">
        <f>IF('Heat connections'!$M109=2,1,0)</f>
        <v>0</v>
      </c>
      <c r="AC109" s="434">
        <f>IF('Heat connections'!$M109=3,1,0)</f>
        <v>0</v>
      </c>
      <c r="AD109" s="46" t="str">
        <f>IF(AND(Heat_connections[[#This Row],[Connected to heat network]]="Yes",Heat_connections[[#This Row],[Ref]]&lt;&gt;"-"),"Yes","No")</f>
        <v>No</v>
      </c>
    </row>
    <row r="110" spans="3:30" ht="12.75" x14ac:dyDescent="0.2">
      <c r="C110" s="208" t="str" cm="1">
        <f t="array" ref="C110">IFERROR(_xlfn.XLOOKUP($C$3,Heat_connections_input[#Headers],Heat_connections_input[#This Row],0,0,),"-")</f>
        <v>-</v>
      </c>
      <c r="D110" s="323" t="str" cm="1">
        <f t="array" ref="D110">IFERROR(_xlfn.XLOOKUP($D$3,Heat_connections_input[#Headers],Heat_connections_input[#This Row],0,0,),"-")</f>
        <v>-</v>
      </c>
      <c r="E110" s="284" t="str" cm="1">
        <f t="array" ref="E110">IFERROR(_xlfn.XLOOKUP($E$3,Heat_connections_input[#Headers],Heat_connections_input[#This Row],0,0,),"-")</f>
        <v>-</v>
      </c>
      <c r="F110" s="259" cm="1">
        <f t="array" ref="F110">IFERROR(_xlfn.XLOOKUP($F$3,Heat_connections_input[#Headers],Heat_connections_input[#This Row],0,0,),0)</f>
        <v>0</v>
      </c>
      <c r="G110" s="259" cm="1">
        <f t="array" ref="G110">IFERROR(_xlfn.XLOOKUP($G$3,Heat_connections_input[#Headers],Heat_connections_input[#This Row],0,0,),0)</f>
        <v>0</v>
      </c>
      <c r="H110" s="341" cm="1">
        <f t="array" ref="H110">IFERROR(_xlfn.XLOOKUP($H$3,Heat_connections_input[#Headers],Heat_connections_input[#This Row],0,0,),0)</f>
        <v>0</v>
      </c>
      <c r="I110" s="326" t="str" cm="1">
        <f t="array" ref="I110">IFERROR(_xlfn.XLOOKUP($I$3,Heat_connections_input[#Headers],Heat_connections_input[#This Row],0,0,),"-")</f>
        <v>-</v>
      </c>
      <c r="J110" s="326" t="str" cm="1">
        <f t="array" ref="J110">IFERROR(_xlfn.XLOOKUP($J$3,Heat_connections_input[#Headers],Heat_connections_input[#This Row],0,0,1),"-")</f>
        <v>-</v>
      </c>
      <c r="K110" s="260"/>
      <c r="L110" s="261"/>
      <c r="M110" s="262"/>
      <c r="N110" s="263"/>
      <c r="O110" s="264" t="str">
        <f>IF(Heat_connections[[#This Row],[Ref]]&lt;&gt;"-",
IF(M110=1,Dashboard!$C$26,IF(M110=2,Dashboard!$C$27,Dashboard!$C$28)),"-")</f>
        <v>-</v>
      </c>
      <c r="P110" s="341">
        <f>IF(Heat_connections[[#This Row],[Category]]="Domestic",Heat_connections[[#This Row],[No. of connections]],0)</f>
        <v>0</v>
      </c>
      <c r="Q110" s="341">
        <f>IF(Heat_connections[[#This Row],[Category]]&lt;&gt;"Domestic",Heat_connections[[#This Row],[No. of connections]],0)</f>
        <v>0</v>
      </c>
      <c r="R110" s="209"/>
      <c r="S110" s="512">
        <f>IF(Heat_connections[[#This Row],[TOID]]&lt;&gt;"-",
IF(ISBLANK('Heat connections'!$R110),Dashboard!$C$14,'Heat connections'!$R110),0)</f>
        <v>0</v>
      </c>
      <c r="T110" s="513">
        <f>IF(Heat_connections[[#This Row],[Peak Demand, kW]]&lt;&gt;0,'Heat connections'!$G110*Dashboard!$C$21,0)</f>
        <v>0</v>
      </c>
      <c r="U110" s="514">
        <f>IF(Heat_connections[[#This Row],[Ref]]&lt;&gt;"-",48.436*Heat_connections[[#This Row],[Peak Demand, kW]]+1068.7,0)</f>
        <v>0</v>
      </c>
      <c r="V110" s="515">
        <f>IF(Heat_connections[[#This Row],[Ref]]&lt;&gt;"-",
_xlfn.XLOOKUP('Heat connections'!$G110,'Technical inputs'!$F$79:$F$94,'Technical inputs'!$I$79:$I$94,0,1,1),0)</f>
        <v>0</v>
      </c>
      <c r="W110" s="429">
        <f>IF('Heat connections'!$E110="Domestic",1,0)</f>
        <v>0</v>
      </c>
      <c r="X110" s="430">
        <f>IF(AND(Heat_connections[[#This Row],[Ref]]&lt;&gt;"-",'Heat connections'!$E110&lt;&gt;"Domestic"),1,0)</f>
        <v>0</v>
      </c>
      <c r="Y110" s="434">
        <v>56</v>
      </c>
      <c r="Z110" s="438">
        <f>IF(Heat_connections[[#This Row],[Existing/planned development]]&lt;&gt;0,1,0)</f>
        <v>0</v>
      </c>
      <c r="AA110" s="430">
        <f>IF('Heat connections'!$M110=1,1,0)</f>
        <v>0</v>
      </c>
      <c r="AB110" s="430">
        <f>IF('Heat connections'!$M110=2,1,0)</f>
        <v>0</v>
      </c>
      <c r="AC110" s="434">
        <f>IF('Heat connections'!$M110=3,1,0)</f>
        <v>0</v>
      </c>
      <c r="AD110" s="46" t="str">
        <f>IF(AND(Heat_connections[[#This Row],[Connected to heat network]]="Yes",Heat_connections[[#This Row],[Ref]]&lt;&gt;"-"),"Yes","No")</f>
        <v>No</v>
      </c>
    </row>
    <row r="111" spans="3:30" ht="12.75" x14ac:dyDescent="0.2">
      <c r="C111" s="208" t="str" cm="1">
        <f t="array" ref="C111">IFERROR(_xlfn.XLOOKUP($C$3,Heat_connections_input[#Headers],Heat_connections_input[#This Row],0,0,),"-")</f>
        <v>-</v>
      </c>
      <c r="D111" s="323" t="str" cm="1">
        <f t="array" ref="D111">IFERROR(_xlfn.XLOOKUP($D$3,Heat_connections_input[#Headers],Heat_connections_input[#This Row],0,0,),"-")</f>
        <v>-</v>
      </c>
      <c r="E111" s="284" t="str" cm="1">
        <f t="array" ref="E111">IFERROR(_xlfn.XLOOKUP($E$3,Heat_connections_input[#Headers],Heat_connections_input[#This Row],0,0,),"-")</f>
        <v>-</v>
      </c>
      <c r="F111" s="259" cm="1">
        <f t="array" ref="F111">IFERROR(_xlfn.XLOOKUP($F$3,Heat_connections_input[#Headers],Heat_connections_input[#This Row],0,0,),0)</f>
        <v>0</v>
      </c>
      <c r="G111" s="259" cm="1">
        <f t="array" ref="G111">IFERROR(_xlfn.XLOOKUP($G$3,Heat_connections_input[#Headers],Heat_connections_input[#This Row],0,0,),0)</f>
        <v>0</v>
      </c>
      <c r="H111" s="341" cm="1">
        <f t="array" ref="H111">IFERROR(_xlfn.XLOOKUP($H$3,Heat_connections_input[#Headers],Heat_connections_input[#This Row],0,0,),0)</f>
        <v>0</v>
      </c>
      <c r="I111" s="326" t="str" cm="1">
        <f t="array" ref="I111">IFERROR(_xlfn.XLOOKUP($I$3,Heat_connections_input[#Headers],Heat_connections_input[#This Row],0,0,),"-")</f>
        <v>-</v>
      </c>
      <c r="J111" s="326" t="str" cm="1">
        <f t="array" ref="J111">IFERROR(_xlfn.XLOOKUP($J$3,Heat_connections_input[#Headers],Heat_connections_input[#This Row],0,0,1),"-")</f>
        <v>-</v>
      </c>
      <c r="K111" s="260"/>
      <c r="L111" s="261"/>
      <c r="M111" s="262"/>
      <c r="N111" s="263"/>
      <c r="O111" s="264" t="str">
        <f>IF(Heat_connections[[#This Row],[Ref]]&lt;&gt;"-",
IF(M111=1,Dashboard!$C$26,IF(M111=2,Dashboard!$C$27,Dashboard!$C$28)),"-")</f>
        <v>-</v>
      </c>
      <c r="P111" s="341">
        <f>IF(Heat_connections[[#This Row],[Category]]="Domestic",Heat_connections[[#This Row],[No. of connections]],0)</f>
        <v>0</v>
      </c>
      <c r="Q111" s="341">
        <f>IF(Heat_connections[[#This Row],[Category]]&lt;&gt;"Domestic",Heat_connections[[#This Row],[No. of connections]],0)</f>
        <v>0</v>
      </c>
      <c r="R111" s="209"/>
      <c r="S111" s="512">
        <f>IF(Heat_connections[[#This Row],[TOID]]&lt;&gt;"-",
IF(ISBLANK('Heat connections'!$R111),Dashboard!$C$14,'Heat connections'!$R111),0)</f>
        <v>0</v>
      </c>
      <c r="T111" s="513">
        <f>IF(Heat_connections[[#This Row],[Peak Demand, kW]]&lt;&gt;0,'Heat connections'!$G111*Dashboard!$C$21,0)</f>
        <v>0</v>
      </c>
      <c r="U111" s="514">
        <f>IF(Heat_connections[[#This Row],[Ref]]&lt;&gt;"-",48.436*Heat_connections[[#This Row],[Peak Demand, kW]]+1068.7,0)</f>
        <v>0</v>
      </c>
      <c r="V111" s="515">
        <f>IF(Heat_connections[[#This Row],[Ref]]&lt;&gt;"-",
_xlfn.XLOOKUP('Heat connections'!$G111,'Technical inputs'!$F$79:$F$94,'Technical inputs'!$I$79:$I$94,0,1,1),0)</f>
        <v>0</v>
      </c>
      <c r="W111" s="429">
        <f>IF('Heat connections'!$E111="Domestic",1,0)</f>
        <v>0</v>
      </c>
      <c r="X111" s="430">
        <f>IF(AND(Heat_connections[[#This Row],[Ref]]&lt;&gt;"-",'Heat connections'!$E111&lt;&gt;"Domestic"),1,0)</f>
        <v>0</v>
      </c>
      <c r="Y111" s="434">
        <v>57</v>
      </c>
      <c r="Z111" s="438">
        <f>IF(Heat_connections[[#This Row],[Existing/planned development]]&lt;&gt;0,1,0)</f>
        <v>0</v>
      </c>
      <c r="AA111" s="430">
        <f>IF('Heat connections'!$M111=1,1,0)</f>
        <v>0</v>
      </c>
      <c r="AB111" s="430">
        <f>IF('Heat connections'!$M111=2,1,0)</f>
        <v>0</v>
      </c>
      <c r="AC111" s="434">
        <f>IF('Heat connections'!$M111=3,1,0)</f>
        <v>0</v>
      </c>
      <c r="AD111" s="46" t="str">
        <f>IF(AND(Heat_connections[[#This Row],[Connected to heat network]]="Yes",Heat_connections[[#This Row],[Ref]]&lt;&gt;"-"),"Yes","No")</f>
        <v>No</v>
      </c>
    </row>
    <row r="112" spans="3:30" ht="12.75" x14ac:dyDescent="0.2">
      <c r="C112" s="208" t="str" cm="1">
        <f t="array" ref="C112">IFERROR(_xlfn.XLOOKUP($C$3,Heat_connections_input[#Headers],Heat_connections_input[#This Row],0,0,),"-")</f>
        <v>-</v>
      </c>
      <c r="D112" s="323" t="str" cm="1">
        <f t="array" ref="D112">IFERROR(_xlfn.XLOOKUP($D$3,Heat_connections_input[#Headers],Heat_connections_input[#This Row],0,0,),"-")</f>
        <v>-</v>
      </c>
      <c r="E112" s="284" t="str" cm="1">
        <f t="array" ref="E112">IFERROR(_xlfn.XLOOKUP($E$3,Heat_connections_input[#Headers],Heat_connections_input[#This Row],0,0,),"-")</f>
        <v>-</v>
      </c>
      <c r="F112" s="259" cm="1">
        <f t="array" ref="F112">IFERROR(_xlfn.XLOOKUP($F$3,Heat_connections_input[#Headers],Heat_connections_input[#This Row],0,0,),0)</f>
        <v>0</v>
      </c>
      <c r="G112" s="259" cm="1">
        <f t="array" ref="G112">IFERROR(_xlfn.XLOOKUP($G$3,Heat_connections_input[#Headers],Heat_connections_input[#This Row],0,0,),0)</f>
        <v>0</v>
      </c>
      <c r="H112" s="341" cm="1">
        <f t="array" ref="H112">IFERROR(_xlfn.XLOOKUP($H$3,Heat_connections_input[#Headers],Heat_connections_input[#This Row],0,0,),0)</f>
        <v>0</v>
      </c>
      <c r="I112" s="326" t="str" cm="1">
        <f t="array" ref="I112">IFERROR(_xlfn.XLOOKUP($I$3,Heat_connections_input[#Headers],Heat_connections_input[#This Row],0,0,),"-")</f>
        <v>-</v>
      </c>
      <c r="J112" s="326" t="str" cm="1">
        <f t="array" ref="J112">IFERROR(_xlfn.XLOOKUP($J$3,Heat_connections_input[#Headers],Heat_connections_input[#This Row],0,0,1),"-")</f>
        <v>-</v>
      </c>
      <c r="K112" s="260"/>
      <c r="L112" s="261"/>
      <c r="M112" s="262"/>
      <c r="N112" s="263"/>
      <c r="O112" s="264" t="str">
        <f>IF(Heat_connections[[#This Row],[Ref]]&lt;&gt;"-",
IF(M112=1,Dashboard!$C$26,IF(M112=2,Dashboard!$C$27,Dashboard!$C$28)),"-")</f>
        <v>-</v>
      </c>
      <c r="P112" s="341">
        <f>IF(Heat_connections[[#This Row],[Category]]="Domestic",Heat_connections[[#This Row],[No. of connections]],0)</f>
        <v>0</v>
      </c>
      <c r="Q112" s="341">
        <f>IF(Heat_connections[[#This Row],[Category]]&lt;&gt;"Domestic",Heat_connections[[#This Row],[No. of connections]],0)</f>
        <v>0</v>
      </c>
      <c r="R112" s="209"/>
      <c r="S112" s="512">
        <f>IF(Heat_connections[[#This Row],[TOID]]&lt;&gt;"-",
IF(ISBLANK('Heat connections'!$R112),Dashboard!$C$14,'Heat connections'!$R112),0)</f>
        <v>0</v>
      </c>
      <c r="T112" s="513">
        <f>IF(Heat_connections[[#This Row],[Peak Demand, kW]]&lt;&gt;0,'Heat connections'!$G112*Dashboard!$C$21,0)</f>
        <v>0</v>
      </c>
      <c r="U112" s="514">
        <f>IF(Heat_connections[[#This Row],[Ref]]&lt;&gt;"-",48.436*Heat_connections[[#This Row],[Peak Demand, kW]]+1068.7,0)</f>
        <v>0</v>
      </c>
      <c r="V112" s="515">
        <f>IF(Heat_connections[[#This Row],[Ref]]&lt;&gt;"-",
_xlfn.XLOOKUP('Heat connections'!$G112,'Technical inputs'!$F$79:$F$94,'Technical inputs'!$I$79:$I$94,0,1,1),0)</f>
        <v>0</v>
      </c>
      <c r="W112" s="429">
        <f>IF('Heat connections'!$E112="Domestic",1,0)</f>
        <v>0</v>
      </c>
      <c r="X112" s="430">
        <f>IF(AND(Heat_connections[[#This Row],[Ref]]&lt;&gt;"-",'Heat connections'!$E112&lt;&gt;"Domestic"),1,0)</f>
        <v>0</v>
      </c>
      <c r="Y112" s="434">
        <v>58</v>
      </c>
      <c r="Z112" s="438">
        <f>IF(Heat_connections[[#This Row],[Existing/planned development]]&lt;&gt;0,1,0)</f>
        <v>0</v>
      </c>
      <c r="AA112" s="430">
        <f>IF('Heat connections'!$M112=1,1,0)</f>
        <v>0</v>
      </c>
      <c r="AB112" s="430">
        <f>IF('Heat connections'!$M112=2,1,0)</f>
        <v>0</v>
      </c>
      <c r="AC112" s="434">
        <f>IF('Heat connections'!$M112=3,1,0)</f>
        <v>0</v>
      </c>
      <c r="AD112" s="46" t="str">
        <f>IF(AND(Heat_connections[[#This Row],[Connected to heat network]]="Yes",Heat_connections[[#This Row],[Ref]]&lt;&gt;"-"),"Yes","No")</f>
        <v>No</v>
      </c>
    </row>
    <row r="113" spans="3:30" ht="12.75" x14ac:dyDescent="0.2">
      <c r="C113" s="208" t="str" cm="1">
        <f t="array" ref="C113">IFERROR(_xlfn.XLOOKUP($C$3,Heat_connections_input[#Headers],Heat_connections_input[#This Row],0,0,),"-")</f>
        <v>-</v>
      </c>
      <c r="D113" s="323" t="str" cm="1">
        <f t="array" ref="D113">IFERROR(_xlfn.XLOOKUP($D$3,Heat_connections_input[#Headers],Heat_connections_input[#This Row],0,0,),"-")</f>
        <v>-</v>
      </c>
      <c r="E113" s="284" t="str" cm="1">
        <f t="array" ref="E113">IFERROR(_xlfn.XLOOKUP($E$3,Heat_connections_input[#Headers],Heat_connections_input[#This Row],0,0,),"-")</f>
        <v>-</v>
      </c>
      <c r="F113" s="259" cm="1">
        <f t="array" ref="F113">IFERROR(_xlfn.XLOOKUP($F$3,Heat_connections_input[#Headers],Heat_connections_input[#This Row],0,0,),0)</f>
        <v>0</v>
      </c>
      <c r="G113" s="259" cm="1">
        <f t="array" ref="G113">IFERROR(_xlfn.XLOOKUP($G$3,Heat_connections_input[#Headers],Heat_connections_input[#This Row],0,0,),0)</f>
        <v>0</v>
      </c>
      <c r="H113" s="341" cm="1">
        <f t="array" ref="H113">IFERROR(_xlfn.XLOOKUP($H$3,Heat_connections_input[#Headers],Heat_connections_input[#This Row],0,0,),0)</f>
        <v>0</v>
      </c>
      <c r="I113" s="326" t="str" cm="1">
        <f t="array" ref="I113">IFERROR(_xlfn.XLOOKUP($I$3,Heat_connections_input[#Headers],Heat_connections_input[#This Row],0,0,),"-")</f>
        <v>-</v>
      </c>
      <c r="J113" s="326" t="str" cm="1">
        <f t="array" ref="J113">IFERROR(_xlfn.XLOOKUP($J$3,Heat_connections_input[#Headers],Heat_connections_input[#This Row],0,0,1),"-")</f>
        <v>-</v>
      </c>
      <c r="K113" s="260"/>
      <c r="L113" s="261"/>
      <c r="M113" s="262"/>
      <c r="N113" s="263"/>
      <c r="O113" s="264" t="str">
        <f>IF(Heat_connections[[#This Row],[Ref]]&lt;&gt;"-",
IF(M113=1,Dashboard!$C$26,IF(M113=2,Dashboard!$C$27,Dashboard!$C$28)),"-")</f>
        <v>-</v>
      </c>
      <c r="P113" s="341">
        <f>IF(Heat_connections[[#This Row],[Category]]="Domestic",Heat_connections[[#This Row],[No. of connections]],0)</f>
        <v>0</v>
      </c>
      <c r="Q113" s="341">
        <f>IF(Heat_connections[[#This Row],[Category]]&lt;&gt;"Domestic",Heat_connections[[#This Row],[No. of connections]],0)</f>
        <v>0</v>
      </c>
      <c r="R113" s="209"/>
      <c r="S113" s="512">
        <f>IF(Heat_connections[[#This Row],[TOID]]&lt;&gt;"-",
IF(ISBLANK('Heat connections'!$R113),Dashboard!$C$14,'Heat connections'!$R113),0)</f>
        <v>0</v>
      </c>
      <c r="T113" s="513">
        <f>IF(Heat_connections[[#This Row],[Peak Demand, kW]]&lt;&gt;0,'Heat connections'!$G113*Dashboard!$C$21,0)</f>
        <v>0</v>
      </c>
      <c r="U113" s="514">
        <f>IF(Heat_connections[[#This Row],[Ref]]&lt;&gt;"-",48.436*Heat_connections[[#This Row],[Peak Demand, kW]]+1068.7,0)</f>
        <v>0</v>
      </c>
      <c r="V113" s="515">
        <f>IF(Heat_connections[[#This Row],[Ref]]&lt;&gt;"-",
_xlfn.XLOOKUP('Heat connections'!$G113,'Technical inputs'!$F$79:$F$94,'Technical inputs'!$I$79:$I$94,0,1,1),0)</f>
        <v>0</v>
      </c>
      <c r="W113" s="429">
        <f>IF('Heat connections'!$E113="Domestic",1,0)</f>
        <v>0</v>
      </c>
      <c r="X113" s="430">
        <f>IF(AND(Heat_connections[[#This Row],[Ref]]&lt;&gt;"-",'Heat connections'!$E113&lt;&gt;"Domestic"),1,0)</f>
        <v>0</v>
      </c>
      <c r="Y113" s="434">
        <v>59</v>
      </c>
      <c r="Z113" s="438">
        <f>IF(Heat_connections[[#This Row],[Existing/planned development]]&lt;&gt;0,1,0)</f>
        <v>0</v>
      </c>
      <c r="AA113" s="430">
        <f>IF('Heat connections'!$M113=1,1,0)</f>
        <v>0</v>
      </c>
      <c r="AB113" s="430">
        <f>IF('Heat connections'!$M113=2,1,0)</f>
        <v>0</v>
      </c>
      <c r="AC113" s="434">
        <f>IF('Heat connections'!$M113=3,1,0)</f>
        <v>0</v>
      </c>
      <c r="AD113" s="46" t="str">
        <f>IF(AND(Heat_connections[[#This Row],[Connected to heat network]]="Yes",Heat_connections[[#This Row],[Ref]]&lt;&gt;"-"),"Yes","No")</f>
        <v>No</v>
      </c>
    </row>
    <row r="114" spans="3:30" ht="12.75" x14ac:dyDescent="0.2">
      <c r="C114" s="208" t="str" cm="1">
        <f t="array" ref="C114">IFERROR(_xlfn.XLOOKUP($C$3,Heat_connections_input[#Headers],Heat_connections_input[#This Row],0,0,),"-")</f>
        <v>-</v>
      </c>
      <c r="D114" s="323" t="str" cm="1">
        <f t="array" ref="D114">IFERROR(_xlfn.XLOOKUP($D$3,Heat_connections_input[#Headers],Heat_connections_input[#This Row],0,0,),"-")</f>
        <v>-</v>
      </c>
      <c r="E114" s="284" t="str" cm="1">
        <f t="array" ref="E114">IFERROR(_xlfn.XLOOKUP($E$3,Heat_connections_input[#Headers],Heat_connections_input[#This Row],0,0,),"-")</f>
        <v>-</v>
      </c>
      <c r="F114" s="259" cm="1">
        <f t="array" ref="F114">IFERROR(_xlfn.XLOOKUP($F$3,Heat_connections_input[#Headers],Heat_connections_input[#This Row],0,0,),0)</f>
        <v>0</v>
      </c>
      <c r="G114" s="259" cm="1">
        <f t="array" ref="G114">IFERROR(_xlfn.XLOOKUP($G$3,Heat_connections_input[#Headers],Heat_connections_input[#This Row],0,0,),0)</f>
        <v>0</v>
      </c>
      <c r="H114" s="341" cm="1">
        <f t="array" ref="H114">IFERROR(_xlfn.XLOOKUP($H$3,Heat_connections_input[#Headers],Heat_connections_input[#This Row],0,0,),0)</f>
        <v>0</v>
      </c>
      <c r="I114" s="326" t="str" cm="1">
        <f t="array" ref="I114">IFERROR(_xlfn.XLOOKUP($I$3,Heat_connections_input[#Headers],Heat_connections_input[#This Row],0,0,),"-")</f>
        <v>-</v>
      </c>
      <c r="J114" s="326" t="str" cm="1">
        <f t="array" ref="J114">IFERROR(_xlfn.XLOOKUP($J$3,Heat_connections_input[#Headers],Heat_connections_input[#This Row],0,0,1),"-")</f>
        <v>-</v>
      </c>
      <c r="K114" s="260"/>
      <c r="L114" s="261"/>
      <c r="M114" s="262"/>
      <c r="N114" s="263"/>
      <c r="O114" s="264" t="str">
        <f>IF(Heat_connections[[#This Row],[Ref]]&lt;&gt;"-",
IF(M114=1,Dashboard!$C$26,IF(M114=2,Dashboard!$C$27,Dashboard!$C$28)),"-")</f>
        <v>-</v>
      </c>
      <c r="P114" s="341">
        <f>IF(Heat_connections[[#This Row],[Category]]="Domestic",Heat_connections[[#This Row],[No. of connections]],0)</f>
        <v>0</v>
      </c>
      <c r="Q114" s="341">
        <f>IF(Heat_connections[[#This Row],[Category]]&lt;&gt;"Domestic",Heat_connections[[#This Row],[No. of connections]],0)</f>
        <v>0</v>
      </c>
      <c r="R114" s="209"/>
      <c r="S114" s="512">
        <f>IF(Heat_connections[[#This Row],[TOID]]&lt;&gt;"-",
IF(ISBLANK('Heat connections'!$R114),Dashboard!$C$14,'Heat connections'!$R114),0)</f>
        <v>0</v>
      </c>
      <c r="T114" s="513">
        <f>IF(Heat_connections[[#This Row],[Peak Demand, kW]]&lt;&gt;0,'Heat connections'!$G114*Dashboard!$C$21,0)</f>
        <v>0</v>
      </c>
      <c r="U114" s="514">
        <f>IF(Heat_connections[[#This Row],[Ref]]&lt;&gt;"-",48.436*Heat_connections[[#This Row],[Peak Demand, kW]]+1068.7,0)</f>
        <v>0</v>
      </c>
      <c r="V114" s="515">
        <f>IF(Heat_connections[[#This Row],[Ref]]&lt;&gt;"-",
_xlfn.XLOOKUP('Heat connections'!$G114,'Technical inputs'!$F$79:$F$94,'Technical inputs'!$I$79:$I$94,0,1,1),0)</f>
        <v>0</v>
      </c>
      <c r="W114" s="429">
        <f>IF('Heat connections'!$E114="Domestic",1,0)</f>
        <v>0</v>
      </c>
      <c r="X114" s="430">
        <f>IF(AND(Heat_connections[[#This Row],[Ref]]&lt;&gt;"-",'Heat connections'!$E114&lt;&gt;"Domestic"),1,0)</f>
        <v>0</v>
      </c>
      <c r="Y114" s="434">
        <v>60</v>
      </c>
      <c r="Z114" s="438">
        <f>IF(Heat_connections[[#This Row],[Existing/planned development]]&lt;&gt;0,1,0)</f>
        <v>0</v>
      </c>
      <c r="AA114" s="430">
        <f>IF('Heat connections'!$M114=1,1,0)</f>
        <v>0</v>
      </c>
      <c r="AB114" s="430">
        <f>IF('Heat connections'!$M114=2,1,0)</f>
        <v>0</v>
      </c>
      <c r="AC114" s="434">
        <f>IF('Heat connections'!$M114=3,1,0)</f>
        <v>0</v>
      </c>
      <c r="AD114" s="46" t="str">
        <f>IF(AND(Heat_connections[[#This Row],[Connected to heat network]]="Yes",Heat_connections[[#This Row],[Ref]]&lt;&gt;"-"),"Yes","No")</f>
        <v>No</v>
      </c>
    </row>
    <row r="115" spans="3:30" ht="12.75" x14ac:dyDescent="0.2">
      <c r="C115" s="208" t="str" cm="1">
        <f t="array" ref="C115">IFERROR(_xlfn.XLOOKUP($C$3,Heat_connections_input[#Headers],Heat_connections_input[#This Row],0,0,),"-")</f>
        <v>-</v>
      </c>
      <c r="D115" s="323" t="str" cm="1">
        <f t="array" ref="D115">IFERROR(_xlfn.XLOOKUP($D$3,Heat_connections_input[#Headers],Heat_connections_input[#This Row],0,0,),"-")</f>
        <v>-</v>
      </c>
      <c r="E115" s="284" t="str" cm="1">
        <f t="array" ref="E115">IFERROR(_xlfn.XLOOKUP($E$3,Heat_connections_input[#Headers],Heat_connections_input[#This Row],0,0,),"-")</f>
        <v>-</v>
      </c>
      <c r="F115" s="259" cm="1">
        <f t="array" ref="F115">IFERROR(_xlfn.XLOOKUP($F$3,Heat_connections_input[#Headers],Heat_connections_input[#This Row],0,0,),0)</f>
        <v>0</v>
      </c>
      <c r="G115" s="259" cm="1">
        <f t="array" ref="G115">IFERROR(_xlfn.XLOOKUP($G$3,Heat_connections_input[#Headers],Heat_connections_input[#This Row],0,0,),0)</f>
        <v>0</v>
      </c>
      <c r="H115" s="341" cm="1">
        <f t="array" ref="H115">IFERROR(_xlfn.XLOOKUP($H$3,Heat_connections_input[#Headers],Heat_connections_input[#This Row],0,0,),0)</f>
        <v>0</v>
      </c>
      <c r="I115" s="326" t="str" cm="1">
        <f t="array" ref="I115">IFERROR(_xlfn.XLOOKUP($I$3,Heat_connections_input[#Headers],Heat_connections_input[#This Row],0,0,),"-")</f>
        <v>-</v>
      </c>
      <c r="J115" s="326" t="str" cm="1">
        <f t="array" ref="J115">IFERROR(_xlfn.XLOOKUP($J$3,Heat_connections_input[#Headers],Heat_connections_input[#This Row],0,0,1),"-")</f>
        <v>-</v>
      </c>
      <c r="K115" s="260"/>
      <c r="L115" s="261"/>
      <c r="M115" s="262"/>
      <c r="N115" s="263"/>
      <c r="O115" s="264" t="str">
        <f>IF(Heat_connections[[#This Row],[Ref]]&lt;&gt;"-",
IF(M115=1,Dashboard!$C$26,IF(M115=2,Dashboard!$C$27,Dashboard!$C$28)),"-")</f>
        <v>-</v>
      </c>
      <c r="P115" s="341">
        <f>IF(Heat_connections[[#This Row],[Category]]="Domestic",Heat_connections[[#This Row],[No. of connections]],0)</f>
        <v>0</v>
      </c>
      <c r="Q115" s="341">
        <f>IF(Heat_connections[[#This Row],[Category]]&lt;&gt;"Domestic",Heat_connections[[#This Row],[No. of connections]],0)</f>
        <v>0</v>
      </c>
      <c r="R115" s="209"/>
      <c r="S115" s="512">
        <f>IF(Heat_connections[[#This Row],[TOID]]&lt;&gt;"-",
IF(ISBLANK('Heat connections'!$R115),Dashboard!$C$14,'Heat connections'!$R115),0)</f>
        <v>0</v>
      </c>
      <c r="T115" s="513">
        <f>IF(Heat_connections[[#This Row],[Peak Demand, kW]]&lt;&gt;0,'Heat connections'!$G115*Dashboard!$C$21,0)</f>
        <v>0</v>
      </c>
      <c r="U115" s="514">
        <f>IF(Heat_connections[[#This Row],[Ref]]&lt;&gt;"-",48.436*Heat_connections[[#This Row],[Peak Demand, kW]]+1068.7,0)</f>
        <v>0</v>
      </c>
      <c r="V115" s="515">
        <f>IF(Heat_connections[[#This Row],[Ref]]&lt;&gt;"-",
_xlfn.XLOOKUP('Heat connections'!$G115,'Technical inputs'!$F$79:$F$94,'Technical inputs'!$I$79:$I$94,0,1,1),0)</f>
        <v>0</v>
      </c>
      <c r="W115" s="429">
        <f>IF('Heat connections'!$E115="Domestic",1,0)</f>
        <v>0</v>
      </c>
      <c r="X115" s="430">
        <f>IF(AND(Heat_connections[[#This Row],[Ref]]&lt;&gt;"-",'Heat connections'!$E115&lt;&gt;"Domestic"),1,0)</f>
        <v>0</v>
      </c>
      <c r="Y115" s="434">
        <v>61</v>
      </c>
      <c r="Z115" s="438">
        <f>IF(Heat_connections[[#This Row],[Existing/planned development]]&lt;&gt;0,1,0)</f>
        <v>0</v>
      </c>
      <c r="AA115" s="430">
        <f>IF('Heat connections'!$M115=1,1,0)</f>
        <v>0</v>
      </c>
      <c r="AB115" s="430">
        <f>IF('Heat connections'!$M115=2,1,0)</f>
        <v>0</v>
      </c>
      <c r="AC115" s="434">
        <f>IF('Heat connections'!$M115=3,1,0)</f>
        <v>0</v>
      </c>
      <c r="AD115" s="46" t="str">
        <f>IF(AND(Heat_connections[[#This Row],[Connected to heat network]]="Yes",Heat_connections[[#This Row],[Ref]]&lt;&gt;"-"),"Yes","No")</f>
        <v>No</v>
      </c>
    </row>
    <row r="116" spans="3:30" ht="12.75" x14ac:dyDescent="0.2">
      <c r="C116" s="208" t="str" cm="1">
        <f t="array" ref="C116">IFERROR(_xlfn.XLOOKUP($C$3,Heat_connections_input[#Headers],Heat_connections_input[#This Row],0,0,),"-")</f>
        <v>-</v>
      </c>
      <c r="D116" s="323" t="str" cm="1">
        <f t="array" ref="D116">IFERROR(_xlfn.XLOOKUP($D$3,Heat_connections_input[#Headers],Heat_connections_input[#This Row],0,0,),"-")</f>
        <v>-</v>
      </c>
      <c r="E116" s="284" t="str" cm="1">
        <f t="array" ref="E116">IFERROR(_xlfn.XLOOKUP($E$3,Heat_connections_input[#Headers],Heat_connections_input[#This Row],0,0,),"-")</f>
        <v>-</v>
      </c>
      <c r="F116" s="259" cm="1">
        <f t="array" ref="F116">IFERROR(_xlfn.XLOOKUP($F$3,Heat_connections_input[#Headers],Heat_connections_input[#This Row],0,0,),0)</f>
        <v>0</v>
      </c>
      <c r="G116" s="259" cm="1">
        <f t="array" ref="G116">IFERROR(_xlfn.XLOOKUP($G$3,Heat_connections_input[#Headers],Heat_connections_input[#This Row],0,0,),0)</f>
        <v>0</v>
      </c>
      <c r="H116" s="341" cm="1">
        <f t="array" ref="H116">IFERROR(_xlfn.XLOOKUP($H$3,Heat_connections_input[#Headers],Heat_connections_input[#This Row],0,0,),0)</f>
        <v>0</v>
      </c>
      <c r="I116" s="326" t="str" cm="1">
        <f t="array" ref="I116">IFERROR(_xlfn.XLOOKUP($I$3,Heat_connections_input[#Headers],Heat_connections_input[#This Row],0,0,),"-")</f>
        <v>-</v>
      </c>
      <c r="J116" s="326" t="str" cm="1">
        <f t="array" ref="J116">IFERROR(_xlfn.XLOOKUP($J$3,Heat_connections_input[#Headers],Heat_connections_input[#This Row],0,0,1),"-")</f>
        <v>-</v>
      </c>
      <c r="K116" s="260"/>
      <c r="L116" s="261"/>
      <c r="M116" s="262"/>
      <c r="N116" s="263"/>
      <c r="O116" s="264" t="str">
        <f>IF(Heat_connections[[#This Row],[Ref]]&lt;&gt;"-",
IF(M116=1,Dashboard!$C$26,IF(M116=2,Dashboard!$C$27,Dashboard!$C$28)),"-")</f>
        <v>-</v>
      </c>
      <c r="P116" s="341">
        <f>IF(Heat_connections[[#This Row],[Category]]="Domestic",Heat_connections[[#This Row],[No. of connections]],0)</f>
        <v>0</v>
      </c>
      <c r="Q116" s="341">
        <f>IF(Heat_connections[[#This Row],[Category]]&lt;&gt;"Domestic",Heat_connections[[#This Row],[No. of connections]],0)</f>
        <v>0</v>
      </c>
      <c r="R116" s="209"/>
      <c r="S116" s="512">
        <f>IF(Heat_connections[[#This Row],[TOID]]&lt;&gt;"-",
IF(ISBLANK('Heat connections'!$R116),Dashboard!$C$14,'Heat connections'!$R116),0)</f>
        <v>0</v>
      </c>
      <c r="T116" s="513">
        <f>IF(Heat_connections[[#This Row],[Peak Demand, kW]]&lt;&gt;0,'Heat connections'!$G116*Dashboard!$C$21,0)</f>
        <v>0</v>
      </c>
      <c r="U116" s="514">
        <f>IF(Heat_connections[[#This Row],[Ref]]&lt;&gt;"-",48.436*Heat_connections[[#This Row],[Peak Demand, kW]]+1068.7,0)</f>
        <v>0</v>
      </c>
      <c r="V116" s="515">
        <f>IF(Heat_connections[[#This Row],[Ref]]&lt;&gt;"-",
_xlfn.XLOOKUP('Heat connections'!$G116,'Technical inputs'!$F$79:$F$94,'Technical inputs'!$I$79:$I$94,0,1,1),0)</f>
        <v>0</v>
      </c>
      <c r="W116" s="429">
        <f>IF('Heat connections'!$E116="Domestic",1,0)</f>
        <v>0</v>
      </c>
      <c r="X116" s="430">
        <f>IF(AND(Heat_connections[[#This Row],[Ref]]&lt;&gt;"-",'Heat connections'!$E116&lt;&gt;"Domestic"),1,0)</f>
        <v>0</v>
      </c>
      <c r="Y116" s="434">
        <v>62</v>
      </c>
      <c r="Z116" s="438">
        <f>IF(Heat_connections[[#This Row],[Existing/planned development]]&lt;&gt;0,1,0)</f>
        <v>0</v>
      </c>
      <c r="AA116" s="430">
        <f>IF('Heat connections'!$M116=1,1,0)</f>
        <v>0</v>
      </c>
      <c r="AB116" s="430">
        <f>IF('Heat connections'!$M116=2,1,0)</f>
        <v>0</v>
      </c>
      <c r="AC116" s="434">
        <f>IF('Heat connections'!$M116=3,1,0)</f>
        <v>0</v>
      </c>
      <c r="AD116" s="46" t="str">
        <f>IF(AND(Heat_connections[[#This Row],[Connected to heat network]]="Yes",Heat_connections[[#This Row],[Ref]]&lt;&gt;"-"),"Yes","No")</f>
        <v>No</v>
      </c>
    </row>
    <row r="117" spans="3:30" ht="12.75" x14ac:dyDescent="0.2">
      <c r="C117" s="208" t="str" cm="1">
        <f t="array" ref="C117">IFERROR(_xlfn.XLOOKUP($C$3,Heat_connections_input[#Headers],Heat_connections_input[#This Row],0,0,),"-")</f>
        <v>-</v>
      </c>
      <c r="D117" s="323" t="str" cm="1">
        <f t="array" ref="D117">IFERROR(_xlfn.XLOOKUP($D$3,Heat_connections_input[#Headers],Heat_connections_input[#This Row],0,0,),"-")</f>
        <v>-</v>
      </c>
      <c r="E117" s="284" t="str" cm="1">
        <f t="array" ref="E117">IFERROR(_xlfn.XLOOKUP($E$3,Heat_connections_input[#Headers],Heat_connections_input[#This Row],0,0,),"-")</f>
        <v>-</v>
      </c>
      <c r="F117" s="259" cm="1">
        <f t="array" ref="F117">IFERROR(_xlfn.XLOOKUP($F$3,Heat_connections_input[#Headers],Heat_connections_input[#This Row],0,0,),0)</f>
        <v>0</v>
      </c>
      <c r="G117" s="259" cm="1">
        <f t="array" ref="G117">IFERROR(_xlfn.XLOOKUP($G$3,Heat_connections_input[#Headers],Heat_connections_input[#This Row],0,0,),0)</f>
        <v>0</v>
      </c>
      <c r="H117" s="341" cm="1">
        <f t="array" ref="H117">IFERROR(_xlfn.XLOOKUP($H$3,Heat_connections_input[#Headers],Heat_connections_input[#This Row],0,0,),0)</f>
        <v>0</v>
      </c>
      <c r="I117" s="326" t="str" cm="1">
        <f t="array" ref="I117">IFERROR(_xlfn.XLOOKUP($I$3,Heat_connections_input[#Headers],Heat_connections_input[#This Row],0,0,),"-")</f>
        <v>-</v>
      </c>
      <c r="J117" s="326" t="str" cm="1">
        <f t="array" ref="J117">IFERROR(_xlfn.XLOOKUP($J$3,Heat_connections_input[#Headers],Heat_connections_input[#This Row],0,0,1),"-")</f>
        <v>-</v>
      </c>
      <c r="K117" s="260"/>
      <c r="L117" s="261"/>
      <c r="M117" s="262"/>
      <c r="N117" s="263"/>
      <c r="O117" s="264" t="str">
        <f>IF(Heat_connections[[#This Row],[Ref]]&lt;&gt;"-",
IF(M117=1,Dashboard!$C$26,IF(M117=2,Dashboard!$C$27,Dashboard!$C$28)),"-")</f>
        <v>-</v>
      </c>
      <c r="P117" s="341">
        <f>IF(Heat_connections[[#This Row],[Category]]="Domestic",Heat_connections[[#This Row],[No. of connections]],0)</f>
        <v>0</v>
      </c>
      <c r="Q117" s="341">
        <f>IF(Heat_connections[[#This Row],[Category]]&lt;&gt;"Domestic",Heat_connections[[#This Row],[No. of connections]],0)</f>
        <v>0</v>
      </c>
      <c r="R117" s="209"/>
      <c r="S117" s="512">
        <f>IF(Heat_connections[[#This Row],[TOID]]&lt;&gt;"-",
IF(ISBLANK('Heat connections'!$R117),Dashboard!$C$14,'Heat connections'!$R117),0)</f>
        <v>0</v>
      </c>
      <c r="T117" s="513">
        <f>IF(Heat_connections[[#This Row],[Peak Demand, kW]]&lt;&gt;0,'Heat connections'!$G117*Dashboard!$C$21,0)</f>
        <v>0</v>
      </c>
      <c r="U117" s="514">
        <f>IF(Heat_connections[[#This Row],[Ref]]&lt;&gt;"-",48.436*Heat_connections[[#This Row],[Peak Demand, kW]]+1068.7,0)</f>
        <v>0</v>
      </c>
      <c r="V117" s="515">
        <f>IF(Heat_connections[[#This Row],[Ref]]&lt;&gt;"-",
_xlfn.XLOOKUP('Heat connections'!$G117,'Technical inputs'!$F$79:$F$94,'Technical inputs'!$I$79:$I$94,0,1,1),0)</f>
        <v>0</v>
      </c>
      <c r="W117" s="429">
        <f>IF('Heat connections'!$E117="Domestic",1,0)</f>
        <v>0</v>
      </c>
      <c r="X117" s="430">
        <f>IF(AND(Heat_connections[[#This Row],[Ref]]&lt;&gt;"-",'Heat connections'!$E117&lt;&gt;"Domestic"),1,0)</f>
        <v>0</v>
      </c>
      <c r="Y117" s="434">
        <v>63</v>
      </c>
      <c r="Z117" s="438">
        <f>IF(Heat_connections[[#This Row],[Existing/planned development]]&lt;&gt;0,1,0)</f>
        <v>0</v>
      </c>
      <c r="AA117" s="430">
        <f>IF('Heat connections'!$M117=1,1,0)</f>
        <v>0</v>
      </c>
      <c r="AB117" s="430">
        <f>IF('Heat connections'!$M117=2,1,0)</f>
        <v>0</v>
      </c>
      <c r="AC117" s="434">
        <f>IF('Heat connections'!$M117=3,1,0)</f>
        <v>0</v>
      </c>
      <c r="AD117" s="46" t="str">
        <f>IF(AND(Heat_connections[[#This Row],[Connected to heat network]]="Yes",Heat_connections[[#This Row],[Ref]]&lt;&gt;"-"),"Yes","No")</f>
        <v>No</v>
      </c>
    </row>
    <row r="118" spans="3:30" ht="12.75" x14ac:dyDescent="0.2">
      <c r="C118" s="208" t="str" cm="1">
        <f t="array" ref="C118">IFERROR(_xlfn.XLOOKUP($C$3,Heat_connections_input[#Headers],Heat_connections_input[#This Row],0,0,),"-")</f>
        <v>-</v>
      </c>
      <c r="D118" s="323" t="str" cm="1">
        <f t="array" ref="D118">IFERROR(_xlfn.XLOOKUP($D$3,Heat_connections_input[#Headers],Heat_connections_input[#This Row],0,0,),"-")</f>
        <v>-</v>
      </c>
      <c r="E118" s="284" t="str" cm="1">
        <f t="array" ref="E118">IFERROR(_xlfn.XLOOKUP($E$3,Heat_connections_input[#Headers],Heat_connections_input[#This Row],0,0,),"-")</f>
        <v>-</v>
      </c>
      <c r="F118" s="259" cm="1">
        <f t="array" ref="F118">IFERROR(_xlfn.XLOOKUP($F$3,Heat_connections_input[#Headers],Heat_connections_input[#This Row],0,0,),0)</f>
        <v>0</v>
      </c>
      <c r="G118" s="259" cm="1">
        <f t="array" ref="G118">IFERROR(_xlfn.XLOOKUP($G$3,Heat_connections_input[#Headers],Heat_connections_input[#This Row],0,0,),0)</f>
        <v>0</v>
      </c>
      <c r="H118" s="341" cm="1">
        <f t="array" ref="H118">IFERROR(_xlfn.XLOOKUP($H$3,Heat_connections_input[#Headers],Heat_connections_input[#This Row],0,0,),0)</f>
        <v>0</v>
      </c>
      <c r="I118" s="326" t="str" cm="1">
        <f t="array" ref="I118">IFERROR(_xlfn.XLOOKUP($I$3,Heat_connections_input[#Headers],Heat_connections_input[#This Row],0,0,),"-")</f>
        <v>-</v>
      </c>
      <c r="J118" s="326" t="str" cm="1">
        <f t="array" ref="J118">IFERROR(_xlfn.XLOOKUP($J$3,Heat_connections_input[#Headers],Heat_connections_input[#This Row],0,0,1),"-")</f>
        <v>-</v>
      </c>
      <c r="K118" s="260"/>
      <c r="L118" s="261"/>
      <c r="M118" s="262"/>
      <c r="N118" s="263"/>
      <c r="O118" s="264" t="str">
        <f>IF(Heat_connections[[#This Row],[Ref]]&lt;&gt;"-",
IF(M118=1,Dashboard!$C$26,IF(M118=2,Dashboard!$C$27,Dashboard!$C$28)),"-")</f>
        <v>-</v>
      </c>
      <c r="P118" s="341">
        <f>IF(Heat_connections[[#This Row],[Category]]="Domestic",Heat_connections[[#This Row],[No. of connections]],0)</f>
        <v>0</v>
      </c>
      <c r="Q118" s="341">
        <f>IF(Heat_connections[[#This Row],[Category]]&lt;&gt;"Domestic",Heat_connections[[#This Row],[No. of connections]],0)</f>
        <v>0</v>
      </c>
      <c r="R118" s="209"/>
      <c r="S118" s="512">
        <f>IF(Heat_connections[[#This Row],[TOID]]&lt;&gt;"-",
IF(ISBLANK('Heat connections'!$R118),Dashboard!$C$14,'Heat connections'!$R118),0)</f>
        <v>0</v>
      </c>
      <c r="T118" s="513">
        <f>IF(Heat_connections[[#This Row],[Peak Demand, kW]]&lt;&gt;0,'Heat connections'!$G118*Dashboard!$C$21,0)</f>
        <v>0</v>
      </c>
      <c r="U118" s="514">
        <f>IF(Heat_connections[[#This Row],[Ref]]&lt;&gt;"-",48.436*Heat_connections[[#This Row],[Peak Demand, kW]]+1068.7,0)</f>
        <v>0</v>
      </c>
      <c r="V118" s="515">
        <f>IF(Heat_connections[[#This Row],[Ref]]&lt;&gt;"-",
_xlfn.XLOOKUP('Heat connections'!$G118,'Technical inputs'!$F$79:$F$94,'Technical inputs'!$I$79:$I$94,0,1,1),0)</f>
        <v>0</v>
      </c>
      <c r="W118" s="429">
        <f>IF('Heat connections'!$E118="Domestic",1,0)</f>
        <v>0</v>
      </c>
      <c r="X118" s="430">
        <f>IF(AND(Heat_connections[[#This Row],[Ref]]&lt;&gt;"-",'Heat connections'!$E118&lt;&gt;"Domestic"),1,0)</f>
        <v>0</v>
      </c>
      <c r="Y118" s="434">
        <v>64</v>
      </c>
      <c r="Z118" s="438">
        <f>IF(Heat_connections[[#This Row],[Existing/planned development]]&lt;&gt;0,1,0)</f>
        <v>0</v>
      </c>
      <c r="AA118" s="430">
        <f>IF('Heat connections'!$M118=1,1,0)</f>
        <v>0</v>
      </c>
      <c r="AB118" s="430">
        <f>IF('Heat connections'!$M118=2,1,0)</f>
        <v>0</v>
      </c>
      <c r="AC118" s="434">
        <f>IF('Heat connections'!$M118=3,1,0)</f>
        <v>0</v>
      </c>
      <c r="AD118" s="46" t="str">
        <f>IF(AND(Heat_connections[[#This Row],[Connected to heat network]]="Yes",Heat_connections[[#This Row],[Ref]]&lt;&gt;"-"),"Yes","No")</f>
        <v>No</v>
      </c>
    </row>
    <row r="119" spans="3:30" ht="12.75" x14ac:dyDescent="0.2">
      <c r="C119" s="208" t="str" cm="1">
        <f t="array" ref="C119">IFERROR(_xlfn.XLOOKUP($C$3,Heat_connections_input[#Headers],Heat_connections_input[#This Row],0,0,),"-")</f>
        <v>-</v>
      </c>
      <c r="D119" s="323" t="str" cm="1">
        <f t="array" ref="D119">IFERROR(_xlfn.XLOOKUP($D$3,Heat_connections_input[#Headers],Heat_connections_input[#This Row],0,0,),"-")</f>
        <v>-</v>
      </c>
      <c r="E119" s="284" t="str" cm="1">
        <f t="array" ref="E119">IFERROR(_xlfn.XLOOKUP($E$3,Heat_connections_input[#Headers],Heat_connections_input[#This Row],0,0,),"-")</f>
        <v>-</v>
      </c>
      <c r="F119" s="259" cm="1">
        <f t="array" ref="F119">IFERROR(_xlfn.XLOOKUP($F$3,Heat_connections_input[#Headers],Heat_connections_input[#This Row],0,0,),0)</f>
        <v>0</v>
      </c>
      <c r="G119" s="259" cm="1">
        <f t="array" ref="G119">IFERROR(_xlfn.XLOOKUP($G$3,Heat_connections_input[#Headers],Heat_connections_input[#This Row],0,0,),0)</f>
        <v>0</v>
      </c>
      <c r="H119" s="341" cm="1">
        <f t="array" ref="H119">IFERROR(_xlfn.XLOOKUP($H$3,Heat_connections_input[#Headers],Heat_connections_input[#This Row],0,0,),0)</f>
        <v>0</v>
      </c>
      <c r="I119" s="326" t="str" cm="1">
        <f t="array" ref="I119">IFERROR(_xlfn.XLOOKUP($I$3,Heat_connections_input[#Headers],Heat_connections_input[#This Row],0,0,),"-")</f>
        <v>-</v>
      </c>
      <c r="J119" s="326" t="str" cm="1">
        <f t="array" ref="J119">IFERROR(_xlfn.XLOOKUP($J$3,Heat_connections_input[#Headers],Heat_connections_input[#This Row],0,0,1),"-")</f>
        <v>-</v>
      </c>
      <c r="K119" s="260"/>
      <c r="L119" s="261"/>
      <c r="M119" s="262"/>
      <c r="N119" s="263"/>
      <c r="O119" s="264" t="str">
        <f>IF(Heat_connections[[#This Row],[Ref]]&lt;&gt;"-",
IF(M119=1,Dashboard!$C$26,IF(M119=2,Dashboard!$C$27,Dashboard!$C$28)),"-")</f>
        <v>-</v>
      </c>
      <c r="P119" s="341">
        <f>IF(Heat_connections[[#This Row],[Category]]="Domestic",Heat_connections[[#This Row],[No. of connections]],0)</f>
        <v>0</v>
      </c>
      <c r="Q119" s="341">
        <f>IF(Heat_connections[[#This Row],[Category]]&lt;&gt;"Domestic",Heat_connections[[#This Row],[No. of connections]],0)</f>
        <v>0</v>
      </c>
      <c r="R119" s="209"/>
      <c r="S119" s="512">
        <f>IF(Heat_connections[[#This Row],[TOID]]&lt;&gt;"-",
IF(ISBLANK('Heat connections'!$R119),Dashboard!$C$14,'Heat connections'!$R119),0)</f>
        <v>0</v>
      </c>
      <c r="T119" s="513">
        <f>IF(Heat_connections[[#This Row],[Peak Demand, kW]]&lt;&gt;0,'Heat connections'!$G119*Dashboard!$C$21,0)</f>
        <v>0</v>
      </c>
      <c r="U119" s="514">
        <f>IF(Heat_connections[[#This Row],[Ref]]&lt;&gt;"-",48.436*Heat_connections[[#This Row],[Peak Demand, kW]]+1068.7,0)</f>
        <v>0</v>
      </c>
      <c r="V119" s="515">
        <f>IF(Heat_connections[[#This Row],[Ref]]&lt;&gt;"-",
_xlfn.XLOOKUP('Heat connections'!$G119,'Technical inputs'!$F$79:$F$94,'Technical inputs'!$I$79:$I$94,0,1,1),0)</f>
        <v>0</v>
      </c>
      <c r="W119" s="429">
        <f>IF('Heat connections'!$E119="Domestic",1,0)</f>
        <v>0</v>
      </c>
      <c r="X119" s="430">
        <f>IF(AND(Heat_connections[[#This Row],[Ref]]&lt;&gt;"-",'Heat connections'!$E119&lt;&gt;"Domestic"),1,0)</f>
        <v>0</v>
      </c>
      <c r="Y119" s="434">
        <v>65</v>
      </c>
      <c r="Z119" s="438">
        <f>IF(Heat_connections[[#This Row],[Existing/planned development]]&lt;&gt;0,1,0)</f>
        <v>0</v>
      </c>
      <c r="AA119" s="430">
        <f>IF('Heat connections'!$M119=1,1,0)</f>
        <v>0</v>
      </c>
      <c r="AB119" s="430">
        <f>IF('Heat connections'!$M119=2,1,0)</f>
        <v>0</v>
      </c>
      <c r="AC119" s="434">
        <f>IF('Heat connections'!$M119=3,1,0)</f>
        <v>0</v>
      </c>
      <c r="AD119" s="46" t="str">
        <f>IF(AND(Heat_connections[[#This Row],[Connected to heat network]]="Yes",Heat_connections[[#This Row],[Ref]]&lt;&gt;"-"),"Yes","No")</f>
        <v>No</v>
      </c>
    </row>
    <row r="120" spans="3:30" ht="12.75" x14ac:dyDescent="0.2">
      <c r="C120" s="208" t="str" cm="1">
        <f t="array" ref="C120">IFERROR(_xlfn.XLOOKUP($C$3,Heat_connections_input[#Headers],Heat_connections_input[#This Row],0,0,),"-")</f>
        <v>-</v>
      </c>
      <c r="D120" s="323" t="str" cm="1">
        <f t="array" ref="D120">IFERROR(_xlfn.XLOOKUP($D$3,Heat_connections_input[#Headers],Heat_connections_input[#This Row],0,0,),"-")</f>
        <v>-</v>
      </c>
      <c r="E120" s="284" t="str" cm="1">
        <f t="array" ref="E120">IFERROR(_xlfn.XLOOKUP($E$3,Heat_connections_input[#Headers],Heat_connections_input[#This Row],0,0,),"-")</f>
        <v>-</v>
      </c>
      <c r="F120" s="259" cm="1">
        <f t="array" ref="F120">IFERROR(_xlfn.XLOOKUP($F$3,Heat_connections_input[#Headers],Heat_connections_input[#This Row],0,0,),0)</f>
        <v>0</v>
      </c>
      <c r="G120" s="259" cm="1">
        <f t="array" ref="G120">IFERROR(_xlfn.XLOOKUP($G$3,Heat_connections_input[#Headers],Heat_connections_input[#This Row],0,0,),0)</f>
        <v>0</v>
      </c>
      <c r="H120" s="341" cm="1">
        <f t="array" ref="H120">IFERROR(_xlfn.XLOOKUP($H$3,Heat_connections_input[#Headers],Heat_connections_input[#This Row],0,0,),0)</f>
        <v>0</v>
      </c>
      <c r="I120" s="326" t="str" cm="1">
        <f t="array" ref="I120">IFERROR(_xlfn.XLOOKUP($I$3,Heat_connections_input[#Headers],Heat_connections_input[#This Row],0,0,),"-")</f>
        <v>-</v>
      </c>
      <c r="J120" s="326" t="str" cm="1">
        <f t="array" ref="J120">IFERROR(_xlfn.XLOOKUP($J$3,Heat_connections_input[#Headers],Heat_connections_input[#This Row],0,0,1),"-")</f>
        <v>-</v>
      </c>
      <c r="K120" s="260"/>
      <c r="L120" s="261"/>
      <c r="M120" s="262"/>
      <c r="N120" s="263"/>
      <c r="O120" s="264" t="str">
        <f>IF(Heat_connections[[#This Row],[Ref]]&lt;&gt;"-",
IF(M120=1,Dashboard!$C$26,IF(M120=2,Dashboard!$C$27,Dashboard!$C$28)),"-")</f>
        <v>-</v>
      </c>
      <c r="P120" s="341">
        <f>IF(Heat_connections[[#This Row],[Category]]="Domestic",Heat_connections[[#This Row],[No. of connections]],0)</f>
        <v>0</v>
      </c>
      <c r="Q120" s="341">
        <f>IF(Heat_connections[[#This Row],[Category]]&lt;&gt;"Domestic",Heat_connections[[#This Row],[No. of connections]],0)</f>
        <v>0</v>
      </c>
      <c r="R120" s="209"/>
      <c r="S120" s="512">
        <f>IF(Heat_connections[[#This Row],[TOID]]&lt;&gt;"-",
IF(ISBLANK('Heat connections'!$R120),Dashboard!$C$14,'Heat connections'!$R120),0)</f>
        <v>0</v>
      </c>
      <c r="T120" s="513">
        <f>IF(Heat_connections[[#This Row],[Peak Demand, kW]]&lt;&gt;0,'Heat connections'!$G120*Dashboard!$C$21,0)</f>
        <v>0</v>
      </c>
      <c r="U120" s="514">
        <f>IF(Heat_connections[[#This Row],[Ref]]&lt;&gt;"-",48.436*Heat_connections[[#This Row],[Peak Demand, kW]]+1068.7,0)</f>
        <v>0</v>
      </c>
      <c r="V120" s="515">
        <f>IF(Heat_connections[[#This Row],[Ref]]&lt;&gt;"-",
_xlfn.XLOOKUP('Heat connections'!$G120,'Technical inputs'!$F$79:$F$94,'Technical inputs'!$I$79:$I$94,0,1,1),0)</f>
        <v>0</v>
      </c>
      <c r="W120" s="429">
        <f>IF('Heat connections'!$E120="Domestic",1,0)</f>
        <v>0</v>
      </c>
      <c r="X120" s="430">
        <f>IF(AND(Heat_connections[[#This Row],[Ref]]&lt;&gt;"-",'Heat connections'!$E120&lt;&gt;"Domestic"),1,0)</f>
        <v>0</v>
      </c>
      <c r="Y120" s="434">
        <v>66</v>
      </c>
      <c r="Z120" s="438">
        <f>IF(Heat_connections[[#This Row],[Existing/planned development]]&lt;&gt;0,1,0)</f>
        <v>0</v>
      </c>
      <c r="AA120" s="430">
        <f>IF('Heat connections'!$M120=1,1,0)</f>
        <v>0</v>
      </c>
      <c r="AB120" s="430">
        <f>IF('Heat connections'!$M120=2,1,0)</f>
        <v>0</v>
      </c>
      <c r="AC120" s="434">
        <f>IF('Heat connections'!$M120=3,1,0)</f>
        <v>0</v>
      </c>
      <c r="AD120" s="46" t="str">
        <f>IF(AND(Heat_connections[[#This Row],[Connected to heat network]]="Yes",Heat_connections[[#This Row],[Ref]]&lt;&gt;"-"),"Yes","No")</f>
        <v>No</v>
      </c>
    </row>
    <row r="121" spans="3:30" ht="12.75" x14ac:dyDescent="0.2">
      <c r="C121" s="208" t="str" cm="1">
        <f t="array" ref="C121">IFERROR(_xlfn.XLOOKUP($C$3,Heat_connections_input[#Headers],Heat_connections_input[#This Row],0,0,),"-")</f>
        <v>-</v>
      </c>
      <c r="D121" s="323" t="str" cm="1">
        <f t="array" ref="D121">IFERROR(_xlfn.XLOOKUP($D$3,Heat_connections_input[#Headers],Heat_connections_input[#This Row],0,0,),"-")</f>
        <v>-</v>
      </c>
      <c r="E121" s="284" t="str" cm="1">
        <f t="array" ref="E121">IFERROR(_xlfn.XLOOKUP($E$3,Heat_connections_input[#Headers],Heat_connections_input[#This Row],0,0,),"-")</f>
        <v>-</v>
      </c>
      <c r="F121" s="259" cm="1">
        <f t="array" ref="F121">IFERROR(_xlfn.XLOOKUP($F$3,Heat_connections_input[#Headers],Heat_connections_input[#This Row],0,0,),0)</f>
        <v>0</v>
      </c>
      <c r="G121" s="259" cm="1">
        <f t="array" ref="G121">IFERROR(_xlfn.XLOOKUP($G$3,Heat_connections_input[#Headers],Heat_connections_input[#This Row],0,0,),0)</f>
        <v>0</v>
      </c>
      <c r="H121" s="341" cm="1">
        <f t="array" ref="H121">IFERROR(_xlfn.XLOOKUP($H$3,Heat_connections_input[#Headers],Heat_connections_input[#This Row],0,0,),0)</f>
        <v>0</v>
      </c>
      <c r="I121" s="326" t="str" cm="1">
        <f t="array" ref="I121">IFERROR(_xlfn.XLOOKUP($I$3,Heat_connections_input[#Headers],Heat_connections_input[#This Row],0,0,),"-")</f>
        <v>-</v>
      </c>
      <c r="J121" s="326" t="str" cm="1">
        <f t="array" ref="J121">IFERROR(_xlfn.XLOOKUP($J$3,Heat_connections_input[#Headers],Heat_connections_input[#This Row],0,0,1),"-")</f>
        <v>-</v>
      </c>
      <c r="K121" s="260"/>
      <c r="L121" s="261"/>
      <c r="M121" s="262"/>
      <c r="N121" s="263"/>
      <c r="O121" s="264" t="str">
        <f>IF(Heat_connections[[#This Row],[Ref]]&lt;&gt;"-",
IF(M121=1,Dashboard!$C$26,IF(M121=2,Dashboard!$C$27,Dashboard!$C$28)),"-")</f>
        <v>-</v>
      </c>
      <c r="P121" s="341">
        <f>IF(Heat_connections[[#This Row],[Category]]="Domestic",Heat_connections[[#This Row],[No. of connections]],0)</f>
        <v>0</v>
      </c>
      <c r="Q121" s="341">
        <f>IF(Heat_connections[[#This Row],[Category]]&lt;&gt;"Domestic",Heat_connections[[#This Row],[No. of connections]],0)</f>
        <v>0</v>
      </c>
      <c r="R121" s="209"/>
      <c r="S121" s="512">
        <f>IF(Heat_connections[[#This Row],[TOID]]&lt;&gt;"-",
IF(ISBLANK('Heat connections'!$R121),Dashboard!$C$14,'Heat connections'!$R121),0)</f>
        <v>0</v>
      </c>
      <c r="T121" s="513">
        <f>IF(Heat_connections[[#This Row],[Peak Demand, kW]]&lt;&gt;0,'Heat connections'!$G121*Dashboard!$C$21,0)</f>
        <v>0</v>
      </c>
      <c r="U121" s="514">
        <f>IF(Heat_connections[[#This Row],[Ref]]&lt;&gt;"-",48.436*Heat_connections[[#This Row],[Peak Demand, kW]]+1068.7,0)</f>
        <v>0</v>
      </c>
      <c r="V121" s="515">
        <f>IF(Heat_connections[[#This Row],[Ref]]&lt;&gt;"-",
_xlfn.XLOOKUP('Heat connections'!$G121,'Technical inputs'!$F$79:$F$94,'Technical inputs'!$I$79:$I$94,0,1,1),0)</f>
        <v>0</v>
      </c>
      <c r="W121" s="429">
        <f>IF('Heat connections'!$E121="Domestic",1,0)</f>
        <v>0</v>
      </c>
      <c r="X121" s="430">
        <f>IF(AND(Heat_connections[[#This Row],[Ref]]&lt;&gt;"-",'Heat connections'!$E121&lt;&gt;"Domestic"),1,0)</f>
        <v>0</v>
      </c>
      <c r="Y121" s="434">
        <v>67</v>
      </c>
      <c r="Z121" s="438">
        <f>IF(Heat_connections[[#This Row],[Existing/planned development]]&lt;&gt;0,1,0)</f>
        <v>0</v>
      </c>
      <c r="AA121" s="430">
        <f>IF('Heat connections'!$M121=1,1,0)</f>
        <v>0</v>
      </c>
      <c r="AB121" s="430">
        <f>IF('Heat connections'!$M121=2,1,0)</f>
        <v>0</v>
      </c>
      <c r="AC121" s="434">
        <f>IF('Heat connections'!$M121=3,1,0)</f>
        <v>0</v>
      </c>
      <c r="AD121" s="46" t="str">
        <f>IF(AND(Heat_connections[[#This Row],[Connected to heat network]]="Yes",Heat_connections[[#This Row],[Ref]]&lt;&gt;"-"),"Yes","No")</f>
        <v>No</v>
      </c>
    </row>
    <row r="122" spans="3:30" ht="12.75" x14ac:dyDescent="0.2">
      <c r="C122" s="208" t="str" cm="1">
        <f t="array" ref="C122">IFERROR(_xlfn.XLOOKUP($C$3,Heat_connections_input[#Headers],Heat_connections_input[#This Row],0,0,),"-")</f>
        <v>-</v>
      </c>
      <c r="D122" s="323" t="str" cm="1">
        <f t="array" ref="D122">IFERROR(_xlfn.XLOOKUP($D$3,Heat_connections_input[#Headers],Heat_connections_input[#This Row],0,0,),"-")</f>
        <v>-</v>
      </c>
      <c r="E122" s="284" t="str" cm="1">
        <f t="array" ref="E122">IFERROR(_xlfn.XLOOKUP($E$3,Heat_connections_input[#Headers],Heat_connections_input[#This Row],0,0,),"-")</f>
        <v>-</v>
      </c>
      <c r="F122" s="259" cm="1">
        <f t="array" ref="F122">IFERROR(_xlfn.XLOOKUP($F$3,Heat_connections_input[#Headers],Heat_connections_input[#This Row],0,0,),0)</f>
        <v>0</v>
      </c>
      <c r="G122" s="259" cm="1">
        <f t="array" ref="G122">IFERROR(_xlfn.XLOOKUP($G$3,Heat_connections_input[#Headers],Heat_connections_input[#This Row],0,0,),0)</f>
        <v>0</v>
      </c>
      <c r="H122" s="341" cm="1">
        <f t="array" ref="H122">IFERROR(_xlfn.XLOOKUP($H$3,Heat_connections_input[#Headers],Heat_connections_input[#This Row],0,0,),0)</f>
        <v>0</v>
      </c>
      <c r="I122" s="326" t="str" cm="1">
        <f t="array" ref="I122">IFERROR(_xlfn.XLOOKUP($I$3,Heat_connections_input[#Headers],Heat_connections_input[#This Row],0,0,),"-")</f>
        <v>-</v>
      </c>
      <c r="J122" s="326" t="str" cm="1">
        <f t="array" ref="J122">IFERROR(_xlfn.XLOOKUP($J$3,Heat_connections_input[#Headers],Heat_connections_input[#This Row],0,0,1),"-")</f>
        <v>-</v>
      </c>
      <c r="K122" s="260"/>
      <c r="L122" s="261"/>
      <c r="M122" s="262"/>
      <c r="N122" s="263"/>
      <c r="O122" s="264" t="str">
        <f>IF(Heat_connections[[#This Row],[Ref]]&lt;&gt;"-",
IF(M122=1,Dashboard!$C$26,IF(M122=2,Dashboard!$C$27,Dashboard!$C$28)),"-")</f>
        <v>-</v>
      </c>
      <c r="P122" s="341">
        <f>IF(Heat_connections[[#This Row],[Category]]="Domestic",Heat_connections[[#This Row],[No. of connections]],0)</f>
        <v>0</v>
      </c>
      <c r="Q122" s="341">
        <f>IF(Heat_connections[[#This Row],[Category]]&lt;&gt;"Domestic",Heat_connections[[#This Row],[No. of connections]],0)</f>
        <v>0</v>
      </c>
      <c r="R122" s="209"/>
      <c r="S122" s="512">
        <f>IF(Heat_connections[[#This Row],[TOID]]&lt;&gt;"-",
IF(ISBLANK('Heat connections'!$R122),Dashboard!$C$14,'Heat connections'!$R122),0)</f>
        <v>0</v>
      </c>
      <c r="T122" s="513">
        <f>IF(Heat_connections[[#This Row],[Peak Demand, kW]]&lt;&gt;0,'Heat connections'!$G122*Dashboard!$C$21,0)</f>
        <v>0</v>
      </c>
      <c r="U122" s="514">
        <f>IF(Heat_connections[[#This Row],[Ref]]&lt;&gt;"-",48.436*Heat_connections[[#This Row],[Peak Demand, kW]]+1068.7,0)</f>
        <v>0</v>
      </c>
      <c r="V122" s="515">
        <f>IF(Heat_connections[[#This Row],[Ref]]&lt;&gt;"-",
_xlfn.XLOOKUP('Heat connections'!$G122,'Technical inputs'!$F$79:$F$94,'Technical inputs'!$I$79:$I$94,0,1,1),0)</f>
        <v>0</v>
      </c>
      <c r="W122" s="429">
        <f>IF('Heat connections'!$E122="Domestic",1,0)</f>
        <v>0</v>
      </c>
      <c r="X122" s="430">
        <f>IF(AND(Heat_connections[[#This Row],[Ref]]&lt;&gt;"-",'Heat connections'!$E122&lt;&gt;"Domestic"),1,0)</f>
        <v>0</v>
      </c>
      <c r="Y122" s="434">
        <v>68</v>
      </c>
      <c r="Z122" s="438">
        <f>IF(Heat_connections[[#This Row],[Existing/planned development]]&lt;&gt;0,1,0)</f>
        <v>0</v>
      </c>
      <c r="AA122" s="430">
        <f>IF('Heat connections'!$M122=1,1,0)</f>
        <v>0</v>
      </c>
      <c r="AB122" s="430">
        <f>IF('Heat connections'!$M122=2,1,0)</f>
        <v>0</v>
      </c>
      <c r="AC122" s="434">
        <f>IF('Heat connections'!$M122=3,1,0)</f>
        <v>0</v>
      </c>
      <c r="AD122" s="46" t="str">
        <f>IF(AND(Heat_connections[[#This Row],[Connected to heat network]]="Yes",Heat_connections[[#This Row],[Ref]]&lt;&gt;"-"),"Yes","No")</f>
        <v>No</v>
      </c>
    </row>
    <row r="123" spans="3:30" ht="12.75" x14ac:dyDescent="0.2">
      <c r="C123" s="208" t="str" cm="1">
        <f t="array" ref="C123">IFERROR(_xlfn.XLOOKUP($C$3,Heat_connections_input[#Headers],Heat_connections_input[#This Row],0,0,),"-")</f>
        <v>-</v>
      </c>
      <c r="D123" s="323" t="str" cm="1">
        <f t="array" ref="D123">IFERROR(_xlfn.XLOOKUP($D$3,Heat_connections_input[#Headers],Heat_connections_input[#This Row],0,0,),"-")</f>
        <v>-</v>
      </c>
      <c r="E123" s="284" t="str" cm="1">
        <f t="array" ref="E123">IFERROR(_xlfn.XLOOKUP($E$3,Heat_connections_input[#Headers],Heat_connections_input[#This Row],0,0,),"-")</f>
        <v>-</v>
      </c>
      <c r="F123" s="259" cm="1">
        <f t="array" ref="F123">IFERROR(_xlfn.XLOOKUP($F$3,Heat_connections_input[#Headers],Heat_connections_input[#This Row],0,0,),0)</f>
        <v>0</v>
      </c>
      <c r="G123" s="259" cm="1">
        <f t="array" ref="G123">IFERROR(_xlfn.XLOOKUP($G$3,Heat_connections_input[#Headers],Heat_connections_input[#This Row],0,0,),0)</f>
        <v>0</v>
      </c>
      <c r="H123" s="341" cm="1">
        <f t="array" ref="H123">IFERROR(_xlfn.XLOOKUP($H$3,Heat_connections_input[#Headers],Heat_connections_input[#This Row],0,0,),0)</f>
        <v>0</v>
      </c>
      <c r="I123" s="326" t="str" cm="1">
        <f t="array" ref="I123">IFERROR(_xlfn.XLOOKUP($I$3,Heat_connections_input[#Headers],Heat_connections_input[#This Row],0,0,),"-")</f>
        <v>-</v>
      </c>
      <c r="J123" s="326" t="str" cm="1">
        <f t="array" ref="J123">IFERROR(_xlfn.XLOOKUP($J$3,Heat_connections_input[#Headers],Heat_connections_input[#This Row],0,0,1),"-")</f>
        <v>-</v>
      </c>
      <c r="K123" s="260"/>
      <c r="L123" s="261"/>
      <c r="M123" s="262"/>
      <c r="N123" s="263"/>
      <c r="O123" s="264" t="str">
        <f>IF(Heat_connections[[#This Row],[Ref]]&lt;&gt;"-",
IF(M123=1,Dashboard!$C$26,IF(M123=2,Dashboard!$C$27,Dashboard!$C$28)),"-")</f>
        <v>-</v>
      </c>
      <c r="P123" s="341">
        <f>IF(Heat_connections[[#This Row],[Category]]="Domestic",Heat_connections[[#This Row],[No. of connections]],0)</f>
        <v>0</v>
      </c>
      <c r="Q123" s="341">
        <f>IF(Heat_connections[[#This Row],[Category]]&lt;&gt;"Domestic",Heat_connections[[#This Row],[No. of connections]],0)</f>
        <v>0</v>
      </c>
      <c r="R123" s="209"/>
      <c r="S123" s="512">
        <f>IF(Heat_connections[[#This Row],[TOID]]&lt;&gt;"-",
IF(ISBLANK('Heat connections'!$R123),Dashboard!$C$14,'Heat connections'!$R123),0)</f>
        <v>0</v>
      </c>
      <c r="T123" s="513">
        <f>IF(Heat_connections[[#This Row],[Peak Demand, kW]]&lt;&gt;0,'Heat connections'!$G123*Dashboard!$C$21,0)</f>
        <v>0</v>
      </c>
      <c r="U123" s="514">
        <f>IF(Heat_connections[[#This Row],[Ref]]&lt;&gt;"-",48.436*Heat_connections[[#This Row],[Peak Demand, kW]]+1068.7,0)</f>
        <v>0</v>
      </c>
      <c r="V123" s="515">
        <f>IF(Heat_connections[[#This Row],[Ref]]&lt;&gt;"-",
_xlfn.XLOOKUP('Heat connections'!$G123,'Technical inputs'!$F$79:$F$94,'Technical inputs'!$I$79:$I$94,0,1,1),0)</f>
        <v>0</v>
      </c>
      <c r="W123" s="429">
        <f>IF('Heat connections'!$E123="Domestic",1,0)</f>
        <v>0</v>
      </c>
      <c r="X123" s="430">
        <f>IF(AND(Heat_connections[[#This Row],[Ref]]&lt;&gt;"-",'Heat connections'!$E123&lt;&gt;"Domestic"),1,0)</f>
        <v>0</v>
      </c>
      <c r="Y123" s="434">
        <v>69</v>
      </c>
      <c r="Z123" s="438">
        <f>IF(Heat_connections[[#This Row],[Existing/planned development]]&lt;&gt;0,1,0)</f>
        <v>0</v>
      </c>
      <c r="AA123" s="430">
        <f>IF('Heat connections'!$M123=1,1,0)</f>
        <v>0</v>
      </c>
      <c r="AB123" s="430">
        <f>IF('Heat connections'!$M123=2,1,0)</f>
        <v>0</v>
      </c>
      <c r="AC123" s="434">
        <f>IF('Heat connections'!$M123=3,1,0)</f>
        <v>0</v>
      </c>
      <c r="AD123" s="46" t="str">
        <f>IF(AND(Heat_connections[[#This Row],[Connected to heat network]]="Yes",Heat_connections[[#This Row],[Ref]]&lt;&gt;"-"),"Yes","No")</f>
        <v>No</v>
      </c>
    </row>
    <row r="124" spans="3:30" ht="12.75" x14ac:dyDescent="0.2">
      <c r="C124" s="208" t="str" cm="1">
        <f t="array" ref="C124">IFERROR(_xlfn.XLOOKUP($C$3,Heat_connections_input[#Headers],Heat_connections_input[#This Row],0,0,),"-")</f>
        <v>-</v>
      </c>
      <c r="D124" s="323" t="str" cm="1">
        <f t="array" ref="D124">IFERROR(_xlfn.XLOOKUP($D$3,Heat_connections_input[#Headers],Heat_connections_input[#This Row],0,0,),"-")</f>
        <v>-</v>
      </c>
      <c r="E124" s="284" t="str" cm="1">
        <f t="array" ref="E124">IFERROR(_xlfn.XLOOKUP($E$3,Heat_connections_input[#Headers],Heat_connections_input[#This Row],0,0,),"-")</f>
        <v>-</v>
      </c>
      <c r="F124" s="259" cm="1">
        <f t="array" ref="F124">IFERROR(_xlfn.XLOOKUP($F$3,Heat_connections_input[#Headers],Heat_connections_input[#This Row],0,0,),0)</f>
        <v>0</v>
      </c>
      <c r="G124" s="259" cm="1">
        <f t="array" ref="G124">IFERROR(_xlfn.XLOOKUP($G$3,Heat_connections_input[#Headers],Heat_connections_input[#This Row],0,0,),0)</f>
        <v>0</v>
      </c>
      <c r="H124" s="341" cm="1">
        <f t="array" ref="H124">IFERROR(_xlfn.XLOOKUP($H$3,Heat_connections_input[#Headers],Heat_connections_input[#This Row],0,0,),0)</f>
        <v>0</v>
      </c>
      <c r="I124" s="326" t="str" cm="1">
        <f t="array" ref="I124">IFERROR(_xlfn.XLOOKUP($I$3,Heat_connections_input[#Headers],Heat_connections_input[#This Row],0,0,),"-")</f>
        <v>-</v>
      </c>
      <c r="J124" s="326" t="str" cm="1">
        <f t="array" ref="J124">IFERROR(_xlfn.XLOOKUP($J$3,Heat_connections_input[#Headers],Heat_connections_input[#This Row],0,0,1),"-")</f>
        <v>-</v>
      </c>
      <c r="K124" s="260"/>
      <c r="L124" s="261"/>
      <c r="M124" s="262"/>
      <c r="N124" s="263"/>
      <c r="O124" s="264" t="str">
        <f>IF(Heat_connections[[#This Row],[Ref]]&lt;&gt;"-",
IF(M124=1,Dashboard!$C$26,IF(M124=2,Dashboard!$C$27,Dashboard!$C$28)),"-")</f>
        <v>-</v>
      </c>
      <c r="P124" s="341">
        <f>IF(Heat_connections[[#This Row],[Category]]="Domestic",Heat_connections[[#This Row],[No. of connections]],0)</f>
        <v>0</v>
      </c>
      <c r="Q124" s="341">
        <f>IF(Heat_connections[[#This Row],[Category]]&lt;&gt;"Domestic",Heat_connections[[#This Row],[No. of connections]],0)</f>
        <v>0</v>
      </c>
      <c r="R124" s="209"/>
      <c r="S124" s="512">
        <f>IF(Heat_connections[[#This Row],[TOID]]&lt;&gt;"-",
IF(ISBLANK('Heat connections'!$R124),Dashboard!$C$14,'Heat connections'!$R124),0)</f>
        <v>0</v>
      </c>
      <c r="T124" s="513">
        <f>IF(Heat_connections[[#This Row],[Peak Demand, kW]]&lt;&gt;0,'Heat connections'!$G124*Dashboard!$C$21,0)</f>
        <v>0</v>
      </c>
      <c r="U124" s="514">
        <f>IF(Heat_connections[[#This Row],[Ref]]&lt;&gt;"-",48.436*Heat_connections[[#This Row],[Peak Demand, kW]]+1068.7,0)</f>
        <v>0</v>
      </c>
      <c r="V124" s="515">
        <f>IF(Heat_connections[[#This Row],[Ref]]&lt;&gt;"-",
_xlfn.XLOOKUP('Heat connections'!$G124,'Technical inputs'!$F$79:$F$94,'Technical inputs'!$I$79:$I$94,0,1,1),0)</f>
        <v>0</v>
      </c>
      <c r="W124" s="429">
        <f>IF('Heat connections'!$E124="Domestic",1,0)</f>
        <v>0</v>
      </c>
      <c r="X124" s="430">
        <f>IF(AND(Heat_connections[[#This Row],[Ref]]&lt;&gt;"-",'Heat connections'!$E124&lt;&gt;"Domestic"),1,0)</f>
        <v>0</v>
      </c>
      <c r="Y124" s="434">
        <v>70</v>
      </c>
      <c r="Z124" s="438">
        <f>IF(Heat_connections[[#This Row],[Existing/planned development]]&lt;&gt;0,1,0)</f>
        <v>0</v>
      </c>
      <c r="AA124" s="430">
        <f>IF('Heat connections'!$M124=1,1,0)</f>
        <v>0</v>
      </c>
      <c r="AB124" s="430">
        <f>IF('Heat connections'!$M124=2,1,0)</f>
        <v>0</v>
      </c>
      <c r="AC124" s="434">
        <f>IF('Heat connections'!$M124=3,1,0)</f>
        <v>0</v>
      </c>
      <c r="AD124" s="46" t="str">
        <f>IF(AND(Heat_connections[[#This Row],[Connected to heat network]]="Yes",Heat_connections[[#This Row],[Ref]]&lt;&gt;"-"),"Yes","No")</f>
        <v>No</v>
      </c>
    </row>
    <row r="125" spans="3:30" ht="12.75" x14ac:dyDescent="0.2">
      <c r="C125" s="208" t="str" cm="1">
        <f t="array" ref="C125">IFERROR(_xlfn.XLOOKUP($C$3,Heat_connections_input[#Headers],Heat_connections_input[#This Row],0,0,),"-")</f>
        <v>-</v>
      </c>
      <c r="D125" s="323" t="str" cm="1">
        <f t="array" ref="D125">IFERROR(_xlfn.XLOOKUP($D$3,Heat_connections_input[#Headers],Heat_connections_input[#This Row],0,0,),"-")</f>
        <v>-</v>
      </c>
      <c r="E125" s="284" t="str" cm="1">
        <f t="array" ref="E125">IFERROR(_xlfn.XLOOKUP($E$3,Heat_connections_input[#Headers],Heat_connections_input[#This Row],0,0,),"-")</f>
        <v>-</v>
      </c>
      <c r="F125" s="259" cm="1">
        <f t="array" ref="F125">IFERROR(_xlfn.XLOOKUP($F$3,Heat_connections_input[#Headers],Heat_connections_input[#This Row],0,0,),0)</f>
        <v>0</v>
      </c>
      <c r="G125" s="259" cm="1">
        <f t="array" ref="G125">IFERROR(_xlfn.XLOOKUP($G$3,Heat_connections_input[#Headers],Heat_connections_input[#This Row],0,0,),0)</f>
        <v>0</v>
      </c>
      <c r="H125" s="341" cm="1">
        <f t="array" ref="H125">IFERROR(_xlfn.XLOOKUP($H$3,Heat_connections_input[#Headers],Heat_connections_input[#This Row],0,0,),0)</f>
        <v>0</v>
      </c>
      <c r="I125" s="326" t="str" cm="1">
        <f t="array" ref="I125">IFERROR(_xlfn.XLOOKUP($I$3,Heat_connections_input[#Headers],Heat_connections_input[#This Row],0,0,),"-")</f>
        <v>-</v>
      </c>
      <c r="J125" s="326" t="str" cm="1">
        <f t="array" ref="J125">IFERROR(_xlfn.XLOOKUP($J$3,Heat_connections_input[#Headers],Heat_connections_input[#This Row],0,0,1),"-")</f>
        <v>-</v>
      </c>
      <c r="K125" s="260"/>
      <c r="L125" s="261"/>
      <c r="M125" s="262"/>
      <c r="N125" s="263"/>
      <c r="O125" s="264" t="str">
        <f>IF(Heat_connections[[#This Row],[Ref]]&lt;&gt;"-",
IF(M125=1,Dashboard!$C$26,IF(M125=2,Dashboard!$C$27,Dashboard!$C$28)),"-")</f>
        <v>-</v>
      </c>
      <c r="P125" s="341">
        <f>IF(Heat_connections[[#This Row],[Category]]="Domestic",Heat_connections[[#This Row],[No. of connections]],0)</f>
        <v>0</v>
      </c>
      <c r="Q125" s="341">
        <f>IF(Heat_connections[[#This Row],[Category]]&lt;&gt;"Domestic",Heat_connections[[#This Row],[No. of connections]],0)</f>
        <v>0</v>
      </c>
      <c r="R125" s="209"/>
      <c r="S125" s="512">
        <f>IF(Heat_connections[[#This Row],[TOID]]&lt;&gt;"-",
IF(ISBLANK('Heat connections'!$R125),Dashboard!$C$14,'Heat connections'!$R125),0)</f>
        <v>0</v>
      </c>
      <c r="T125" s="513">
        <f>IF(Heat_connections[[#This Row],[Peak Demand, kW]]&lt;&gt;0,'Heat connections'!$G125*Dashboard!$C$21,0)</f>
        <v>0</v>
      </c>
      <c r="U125" s="514">
        <f>IF(Heat_connections[[#This Row],[Ref]]&lt;&gt;"-",48.436*Heat_connections[[#This Row],[Peak Demand, kW]]+1068.7,0)</f>
        <v>0</v>
      </c>
      <c r="V125" s="515">
        <f>IF(Heat_connections[[#This Row],[Ref]]&lt;&gt;"-",
_xlfn.XLOOKUP('Heat connections'!$G125,'Technical inputs'!$F$79:$F$94,'Technical inputs'!$I$79:$I$94,0,1,1),0)</f>
        <v>0</v>
      </c>
      <c r="W125" s="429">
        <f>IF('Heat connections'!$E125="Domestic",1,0)</f>
        <v>0</v>
      </c>
      <c r="X125" s="430">
        <f>IF(AND(Heat_connections[[#This Row],[Ref]]&lt;&gt;"-",'Heat connections'!$E125&lt;&gt;"Domestic"),1,0)</f>
        <v>0</v>
      </c>
      <c r="Y125" s="434">
        <v>71</v>
      </c>
      <c r="Z125" s="438">
        <f>IF(Heat_connections[[#This Row],[Existing/planned development]]&lt;&gt;0,1,0)</f>
        <v>0</v>
      </c>
      <c r="AA125" s="430">
        <f>IF('Heat connections'!$M125=1,1,0)</f>
        <v>0</v>
      </c>
      <c r="AB125" s="430">
        <f>IF('Heat connections'!$M125=2,1,0)</f>
        <v>0</v>
      </c>
      <c r="AC125" s="434">
        <f>IF('Heat connections'!$M125=3,1,0)</f>
        <v>0</v>
      </c>
      <c r="AD125" s="46" t="str">
        <f>IF(AND(Heat_connections[[#This Row],[Connected to heat network]]="Yes",Heat_connections[[#This Row],[Ref]]&lt;&gt;"-"),"Yes","No")</f>
        <v>No</v>
      </c>
    </row>
    <row r="126" spans="3:30" ht="12.75" x14ac:dyDescent="0.2">
      <c r="C126" s="208" t="str" cm="1">
        <f t="array" ref="C126">IFERROR(_xlfn.XLOOKUP($C$3,Heat_connections_input[#Headers],Heat_connections_input[#This Row],0,0,),"-")</f>
        <v>-</v>
      </c>
      <c r="D126" s="323" t="str" cm="1">
        <f t="array" ref="D126">IFERROR(_xlfn.XLOOKUP($D$3,Heat_connections_input[#Headers],Heat_connections_input[#This Row],0,0,),"-")</f>
        <v>-</v>
      </c>
      <c r="E126" s="284" t="str" cm="1">
        <f t="array" ref="E126">IFERROR(_xlfn.XLOOKUP($E$3,Heat_connections_input[#Headers],Heat_connections_input[#This Row],0,0,),"-")</f>
        <v>-</v>
      </c>
      <c r="F126" s="259" cm="1">
        <f t="array" ref="F126">IFERROR(_xlfn.XLOOKUP($F$3,Heat_connections_input[#Headers],Heat_connections_input[#This Row],0,0,),0)</f>
        <v>0</v>
      </c>
      <c r="G126" s="259" cm="1">
        <f t="array" ref="G126">IFERROR(_xlfn.XLOOKUP($G$3,Heat_connections_input[#Headers],Heat_connections_input[#This Row],0,0,),0)</f>
        <v>0</v>
      </c>
      <c r="H126" s="341" cm="1">
        <f t="array" ref="H126">IFERROR(_xlfn.XLOOKUP($H$3,Heat_connections_input[#Headers],Heat_connections_input[#This Row],0,0,),0)</f>
        <v>0</v>
      </c>
      <c r="I126" s="326" t="str" cm="1">
        <f t="array" ref="I126">IFERROR(_xlfn.XLOOKUP($I$3,Heat_connections_input[#Headers],Heat_connections_input[#This Row],0,0,),"-")</f>
        <v>-</v>
      </c>
      <c r="J126" s="326" t="str" cm="1">
        <f t="array" ref="J126">IFERROR(_xlfn.XLOOKUP($J$3,Heat_connections_input[#Headers],Heat_connections_input[#This Row],0,0,1),"-")</f>
        <v>-</v>
      </c>
      <c r="K126" s="260"/>
      <c r="L126" s="261"/>
      <c r="M126" s="262"/>
      <c r="N126" s="263"/>
      <c r="O126" s="264" t="str">
        <f>IF(Heat_connections[[#This Row],[Ref]]&lt;&gt;"-",
IF(M126=1,Dashboard!$C$26,IF(M126=2,Dashboard!$C$27,Dashboard!$C$28)),"-")</f>
        <v>-</v>
      </c>
      <c r="P126" s="341">
        <f>IF(Heat_connections[[#This Row],[Category]]="Domestic",Heat_connections[[#This Row],[No. of connections]],0)</f>
        <v>0</v>
      </c>
      <c r="Q126" s="341">
        <f>IF(Heat_connections[[#This Row],[Category]]&lt;&gt;"Domestic",Heat_connections[[#This Row],[No. of connections]],0)</f>
        <v>0</v>
      </c>
      <c r="R126" s="209"/>
      <c r="S126" s="512">
        <f>IF(Heat_connections[[#This Row],[TOID]]&lt;&gt;"-",
IF(ISBLANK('Heat connections'!$R126),Dashboard!$C$14,'Heat connections'!$R126),0)</f>
        <v>0</v>
      </c>
      <c r="T126" s="513">
        <f>IF(Heat_connections[[#This Row],[Peak Demand, kW]]&lt;&gt;0,'Heat connections'!$G126*Dashboard!$C$21,0)</f>
        <v>0</v>
      </c>
      <c r="U126" s="514">
        <f>IF(Heat_connections[[#This Row],[Ref]]&lt;&gt;"-",48.436*Heat_connections[[#This Row],[Peak Demand, kW]]+1068.7,0)</f>
        <v>0</v>
      </c>
      <c r="V126" s="515">
        <f>IF(Heat_connections[[#This Row],[Ref]]&lt;&gt;"-",
_xlfn.XLOOKUP('Heat connections'!$G126,'Technical inputs'!$F$79:$F$94,'Technical inputs'!$I$79:$I$94,0,1,1),0)</f>
        <v>0</v>
      </c>
      <c r="W126" s="429">
        <f>IF('Heat connections'!$E126="Domestic",1,0)</f>
        <v>0</v>
      </c>
      <c r="X126" s="430">
        <f>IF(AND(Heat_connections[[#This Row],[Ref]]&lt;&gt;"-",'Heat connections'!$E126&lt;&gt;"Domestic"),1,0)</f>
        <v>0</v>
      </c>
      <c r="Y126" s="434">
        <v>72</v>
      </c>
      <c r="Z126" s="438">
        <f>IF(Heat_connections[[#This Row],[Existing/planned development]]&lt;&gt;0,1,0)</f>
        <v>0</v>
      </c>
      <c r="AA126" s="430">
        <f>IF('Heat connections'!$M126=1,1,0)</f>
        <v>0</v>
      </c>
      <c r="AB126" s="430">
        <f>IF('Heat connections'!$M126=2,1,0)</f>
        <v>0</v>
      </c>
      <c r="AC126" s="434">
        <f>IF('Heat connections'!$M126=3,1,0)</f>
        <v>0</v>
      </c>
      <c r="AD126" s="46" t="str">
        <f>IF(AND(Heat_connections[[#This Row],[Connected to heat network]]="Yes",Heat_connections[[#This Row],[Ref]]&lt;&gt;"-"),"Yes","No")</f>
        <v>No</v>
      </c>
    </row>
    <row r="127" spans="3:30" ht="12.75" x14ac:dyDescent="0.2">
      <c r="C127" s="208" t="str" cm="1">
        <f t="array" ref="C127">IFERROR(_xlfn.XLOOKUP($C$3,Heat_connections_input[#Headers],Heat_connections_input[#This Row],0,0,),"-")</f>
        <v>-</v>
      </c>
      <c r="D127" s="323" t="str" cm="1">
        <f t="array" ref="D127">IFERROR(_xlfn.XLOOKUP($D$3,Heat_connections_input[#Headers],Heat_connections_input[#This Row],0,0,),"-")</f>
        <v>-</v>
      </c>
      <c r="E127" s="284" t="str" cm="1">
        <f t="array" ref="E127">IFERROR(_xlfn.XLOOKUP($E$3,Heat_connections_input[#Headers],Heat_connections_input[#This Row],0,0,),"-")</f>
        <v>-</v>
      </c>
      <c r="F127" s="259" cm="1">
        <f t="array" ref="F127">IFERROR(_xlfn.XLOOKUP($F$3,Heat_connections_input[#Headers],Heat_connections_input[#This Row],0,0,),0)</f>
        <v>0</v>
      </c>
      <c r="G127" s="259" cm="1">
        <f t="array" ref="G127">IFERROR(_xlfn.XLOOKUP($G$3,Heat_connections_input[#Headers],Heat_connections_input[#This Row],0,0,),0)</f>
        <v>0</v>
      </c>
      <c r="H127" s="341" cm="1">
        <f t="array" ref="H127">IFERROR(_xlfn.XLOOKUP($H$3,Heat_connections_input[#Headers],Heat_connections_input[#This Row],0,0,),0)</f>
        <v>0</v>
      </c>
      <c r="I127" s="326" t="str" cm="1">
        <f t="array" ref="I127">IFERROR(_xlfn.XLOOKUP($I$3,Heat_connections_input[#Headers],Heat_connections_input[#This Row],0,0,),"-")</f>
        <v>-</v>
      </c>
      <c r="J127" s="326" t="str" cm="1">
        <f t="array" ref="J127">IFERROR(_xlfn.XLOOKUP($J$3,Heat_connections_input[#Headers],Heat_connections_input[#This Row],0,0,1),"-")</f>
        <v>-</v>
      </c>
      <c r="K127" s="260"/>
      <c r="L127" s="261"/>
      <c r="M127" s="262"/>
      <c r="N127" s="263"/>
      <c r="O127" s="264" t="str">
        <f>IF(Heat_connections[[#This Row],[Ref]]&lt;&gt;"-",
IF(M127=1,Dashboard!$C$26,IF(M127=2,Dashboard!$C$27,Dashboard!$C$28)),"-")</f>
        <v>-</v>
      </c>
      <c r="P127" s="341">
        <f>IF(Heat_connections[[#This Row],[Category]]="Domestic",Heat_connections[[#This Row],[No. of connections]],0)</f>
        <v>0</v>
      </c>
      <c r="Q127" s="341">
        <f>IF(Heat_connections[[#This Row],[Category]]&lt;&gt;"Domestic",Heat_connections[[#This Row],[No. of connections]],0)</f>
        <v>0</v>
      </c>
      <c r="R127" s="209"/>
      <c r="S127" s="512">
        <f>IF(Heat_connections[[#This Row],[TOID]]&lt;&gt;"-",
IF(ISBLANK('Heat connections'!$R127),Dashboard!$C$14,'Heat connections'!$R127),0)</f>
        <v>0</v>
      </c>
      <c r="T127" s="513">
        <f>IF(Heat_connections[[#This Row],[Peak Demand, kW]]&lt;&gt;0,'Heat connections'!$G127*Dashboard!$C$21,0)</f>
        <v>0</v>
      </c>
      <c r="U127" s="514">
        <f>IF(Heat_connections[[#This Row],[Ref]]&lt;&gt;"-",48.436*Heat_connections[[#This Row],[Peak Demand, kW]]+1068.7,0)</f>
        <v>0</v>
      </c>
      <c r="V127" s="515">
        <f>IF(Heat_connections[[#This Row],[Ref]]&lt;&gt;"-",
_xlfn.XLOOKUP('Heat connections'!$G127,'Technical inputs'!$F$79:$F$94,'Technical inputs'!$I$79:$I$94,0,1,1),0)</f>
        <v>0</v>
      </c>
      <c r="W127" s="429">
        <f>IF('Heat connections'!$E127="Domestic",1,0)</f>
        <v>0</v>
      </c>
      <c r="X127" s="430">
        <f>IF(AND(Heat_connections[[#This Row],[Ref]]&lt;&gt;"-",'Heat connections'!$E127&lt;&gt;"Domestic"),1,0)</f>
        <v>0</v>
      </c>
      <c r="Y127" s="434">
        <v>73</v>
      </c>
      <c r="Z127" s="438">
        <f>IF(Heat_connections[[#This Row],[Existing/planned development]]&lt;&gt;0,1,0)</f>
        <v>0</v>
      </c>
      <c r="AA127" s="430">
        <f>IF('Heat connections'!$M127=1,1,0)</f>
        <v>0</v>
      </c>
      <c r="AB127" s="430">
        <f>IF('Heat connections'!$M127=2,1,0)</f>
        <v>0</v>
      </c>
      <c r="AC127" s="434">
        <f>IF('Heat connections'!$M127=3,1,0)</f>
        <v>0</v>
      </c>
      <c r="AD127" s="46" t="str">
        <f>IF(AND(Heat_connections[[#This Row],[Connected to heat network]]="Yes",Heat_connections[[#This Row],[Ref]]&lt;&gt;"-"),"Yes","No")</f>
        <v>No</v>
      </c>
    </row>
    <row r="128" spans="3:30" ht="12.75" x14ac:dyDescent="0.2">
      <c r="C128" s="208" t="str" cm="1">
        <f t="array" ref="C128">IFERROR(_xlfn.XLOOKUP($C$3,Heat_connections_input[#Headers],Heat_connections_input[#This Row],0,0,),"-")</f>
        <v>-</v>
      </c>
      <c r="D128" s="323" t="str" cm="1">
        <f t="array" ref="D128">IFERROR(_xlfn.XLOOKUP($D$3,Heat_connections_input[#Headers],Heat_connections_input[#This Row],0,0,),"-")</f>
        <v>-</v>
      </c>
      <c r="E128" s="284" t="str" cm="1">
        <f t="array" ref="E128">IFERROR(_xlfn.XLOOKUP($E$3,Heat_connections_input[#Headers],Heat_connections_input[#This Row],0,0,),"-")</f>
        <v>-</v>
      </c>
      <c r="F128" s="259" cm="1">
        <f t="array" ref="F128">IFERROR(_xlfn.XLOOKUP($F$3,Heat_connections_input[#Headers],Heat_connections_input[#This Row],0,0,),0)</f>
        <v>0</v>
      </c>
      <c r="G128" s="259" cm="1">
        <f t="array" ref="G128">IFERROR(_xlfn.XLOOKUP($G$3,Heat_connections_input[#Headers],Heat_connections_input[#This Row],0,0,),0)</f>
        <v>0</v>
      </c>
      <c r="H128" s="341" cm="1">
        <f t="array" ref="H128">IFERROR(_xlfn.XLOOKUP($H$3,Heat_connections_input[#Headers],Heat_connections_input[#This Row],0,0,),0)</f>
        <v>0</v>
      </c>
      <c r="I128" s="326" t="str" cm="1">
        <f t="array" ref="I128">IFERROR(_xlfn.XLOOKUP($I$3,Heat_connections_input[#Headers],Heat_connections_input[#This Row],0,0,),"-")</f>
        <v>-</v>
      </c>
      <c r="J128" s="326" t="str" cm="1">
        <f t="array" ref="J128">IFERROR(_xlfn.XLOOKUP($J$3,Heat_connections_input[#Headers],Heat_connections_input[#This Row],0,0,1),"-")</f>
        <v>-</v>
      </c>
      <c r="K128" s="260"/>
      <c r="L128" s="261"/>
      <c r="M128" s="262"/>
      <c r="N128" s="263"/>
      <c r="O128" s="264" t="str">
        <f>IF(Heat_connections[[#This Row],[Ref]]&lt;&gt;"-",
IF(M128=1,Dashboard!$C$26,IF(M128=2,Dashboard!$C$27,Dashboard!$C$28)),"-")</f>
        <v>-</v>
      </c>
      <c r="P128" s="341">
        <f>IF(Heat_connections[[#This Row],[Category]]="Domestic",Heat_connections[[#This Row],[No. of connections]],0)</f>
        <v>0</v>
      </c>
      <c r="Q128" s="341">
        <f>IF(Heat_connections[[#This Row],[Category]]&lt;&gt;"Domestic",Heat_connections[[#This Row],[No. of connections]],0)</f>
        <v>0</v>
      </c>
      <c r="R128" s="209"/>
      <c r="S128" s="512">
        <f>IF(Heat_connections[[#This Row],[TOID]]&lt;&gt;"-",
IF(ISBLANK('Heat connections'!$R128),Dashboard!$C$14,'Heat connections'!$R128),0)</f>
        <v>0</v>
      </c>
      <c r="T128" s="513">
        <f>IF(Heat_connections[[#This Row],[Peak Demand, kW]]&lt;&gt;0,'Heat connections'!$G128*Dashboard!$C$21,0)</f>
        <v>0</v>
      </c>
      <c r="U128" s="514">
        <f>IF(Heat_connections[[#This Row],[Ref]]&lt;&gt;"-",48.436*Heat_connections[[#This Row],[Peak Demand, kW]]+1068.7,0)</f>
        <v>0</v>
      </c>
      <c r="V128" s="515">
        <f>IF(Heat_connections[[#This Row],[Ref]]&lt;&gt;"-",
_xlfn.XLOOKUP('Heat connections'!$G128,'Technical inputs'!$F$79:$F$94,'Technical inputs'!$I$79:$I$94,0,1,1),0)</f>
        <v>0</v>
      </c>
      <c r="W128" s="429">
        <f>IF('Heat connections'!$E128="Domestic",1,0)</f>
        <v>0</v>
      </c>
      <c r="X128" s="430">
        <f>IF(AND(Heat_connections[[#This Row],[Ref]]&lt;&gt;"-",'Heat connections'!$E128&lt;&gt;"Domestic"),1,0)</f>
        <v>0</v>
      </c>
      <c r="Y128" s="434">
        <v>74</v>
      </c>
      <c r="Z128" s="438">
        <f>IF(Heat_connections[[#This Row],[Existing/planned development]]&lt;&gt;0,1,0)</f>
        <v>0</v>
      </c>
      <c r="AA128" s="430">
        <f>IF('Heat connections'!$M128=1,1,0)</f>
        <v>0</v>
      </c>
      <c r="AB128" s="430">
        <f>IF('Heat connections'!$M128=2,1,0)</f>
        <v>0</v>
      </c>
      <c r="AC128" s="434">
        <f>IF('Heat connections'!$M128=3,1,0)</f>
        <v>0</v>
      </c>
      <c r="AD128" s="46" t="str">
        <f>IF(AND(Heat_connections[[#This Row],[Connected to heat network]]="Yes",Heat_connections[[#This Row],[Ref]]&lt;&gt;"-"),"Yes","No")</f>
        <v>No</v>
      </c>
    </row>
    <row r="129" spans="3:30" ht="12.75" x14ac:dyDescent="0.2">
      <c r="C129" s="208" t="str" cm="1">
        <f t="array" ref="C129">IFERROR(_xlfn.XLOOKUP($C$3,Heat_connections_input[#Headers],Heat_connections_input[#This Row],0,0,),"-")</f>
        <v>-</v>
      </c>
      <c r="D129" s="323" t="str" cm="1">
        <f t="array" ref="D129">IFERROR(_xlfn.XLOOKUP($D$3,Heat_connections_input[#Headers],Heat_connections_input[#This Row],0,0,),"-")</f>
        <v>-</v>
      </c>
      <c r="E129" s="284" t="str" cm="1">
        <f t="array" ref="E129">IFERROR(_xlfn.XLOOKUP($E$3,Heat_connections_input[#Headers],Heat_connections_input[#This Row],0,0,),"-")</f>
        <v>-</v>
      </c>
      <c r="F129" s="259" cm="1">
        <f t="array" ref="F129">IFERROR(_xlfn.XLOOKUP($F$3,Heat_connections_input[#Headers],Heat_connections_input[#This Row],0,0,),0)</f>
        <v>0</v>
      </c>
      <c r="G129" s="259" cm="1">
        <f t="array" ref="G129">IFERROR(_xlfn.XLOOKUP($G$3,Heat_connections_input[#Headers],Heat_connections_input[#This Row],0,0,),0)</f>
        <v>0</v>
      </c>
      <c r="H129" s="341" cm="1">
        <f t="array" ref="H129">IFERROR(_xlfn.XLOOKUP($H$3,Heat_connections_input[#Headers],Heat_connections_input[#This Row],0,0,),0)</f>
        <v>0</v>
      </c>
      <c r="I129" s="326" t="str" cm="1">
        <f t="array" ref="I129">IFERROR(_xlfn.XLOOKUP($I$3,Heat_connections_input[#Headers],Heat_connections_input[#This Row],0,0,),"-")</f>
        <v>-</v>
      </c>
      <c r="J129" s="326" t="str" cm="1">
        <f t="array" ref="J129">IFERROR(_xlfn.XLOOKUP($J$3,Heat_connections_input[#Headers],Heat_connections_input[#This Row],0,0,1),"-")</f>
        <v>-</v>
      </c>
      <c r="K129" s="260"/>
      <c r="L129" s="261"/>
      <c r="M129" s="262"/>
      <c r="N129" s="263"/>
      <c r="O129" s="264" t="str">
        <f>IF(Heat_connections[[#This Row],[Ref]]&lt;&gt;"-",
IF(M129=1,Dashboard!$C$26,IF(M129=2,Dashboard!$C$27,Dashboard!$C$28)),"-")</f>
        <v>-</v>
      </c>
      <c r="P129" s="341">
        <f>IF(Heat_connections[[#This Row],[Category]]="Domestic",Heat_connections[[#This Row],[No. of connections]],0)</f>
        <v>0</v>
      </c>
      <c r="Q129" s="341">
        <f>IF(Heat_connections[[#This Row],[Category]]&lt;&gt;"Domestic",Heat_connections[[#This Row],[No. of connections]],0)</f>
        <v>0</v>
      </c>
      <c r="R129" s="209"/>
      <c r="S129" s="512">
        <f>IF(Heat_connections[[#This Row],[TOID]]&lt;&gt;"-",
IF(ISBLANK('Heat connections'!$R129),Dashboard!$C$14,'Heat connections'!$R129),0)</f>
        <v>0</v>
      </c>
      <c r="T129" s="513">
        <f>IF(Heat_connections[[#This Row],[Peak Demand, kW]]&lt;&gt;0,'Heat connections'!$G129*Dashboard!$C$21,0)</f>
        <v>0</v>
      </c>
      <c r="U129" s="514">
        <f>IF(Heat_connections[[#This Row],[Ref]]&lt;&gt;"-",48.436*Heat_connections[[#This Row],[Peak Demand, kW]]+1068.7,0)</f>
        <v>0</v>
      </c>
      <c r="V129" s="515">
        <f>IF(Heat_connections[[#This Row],[Ref]]&lt;&gt;"-",
_xlfn.XLOOKUP('Heat connections'!$G129,'Technical inputs'!$F$79:$F$94,'Technical inputs'!$I$79:$I$94,0,1,1),0)</f>
        <v>0</v>
      </c>
      <c r="W129" s="429">
        <f>IF('Heat connections'!$E129="Domestic",1,0)</f>
        <v>0</v>
      </c>
      <c r="X129" s="430">
        <f>IF(AND(Heat_connections[[#This Row],[Ref]]&lt;&gt;"-",'Heat connections'!$E129&lt;&gt;"Domestic"),1,0)</f>
        <v>0</v>
      </c>
      <c r="Y129" s="434">
        <v>75</v>
      </c>
      <c r="Z129" s="438">
        <f>IF(Heat_connections[[#This Row],[Existing/planned development]]&lt;&gt;0,1,0)</f>
        <v>0</v>
      </c>
      <c r="AA129" s="430">
        <f>IF('Heat connections'!$M129=1,1,0)</f>
        <v>0</v>
      </c>
      <c r="AB129" s="430">
        <f>IF('Heat connections'!$M129=2,1,0)</f>
        <v>0</v>
      </c>
      <c r="AC129" s="434">
        <f>IF('Heat connections'!$M129=3,1,0)</f>
        <v>0</v>
      </c>
      <c r="AD129" s="46" t="str">
        <f>IF(AND(Heat_connections[[#This Row],[Connected to heat network]]="Yes",Heat_connections[[#This Row],[Ref]]&lt;&gt;"-"),"Yes","No")</f>
        <v>No</v>
      </c>
    </row>
    <row r="130" spans="3:30" ht="12.75" x14ac:dyDescent="0.2">
      <c r="C130" s="208" t="str" cm="1">
        <f t="array" ref="C130">IFERROR(_xlfn.XLOOKUP($C$3,Heat_connections_input[#Headers],Heat_connections_input[#This Row],0,0,),"-")</f>
        <v>-</v>
      </c>
      <c r="D130" s="323" t="str" cm="1">
        <f t="array" ref="D130">IFERROR(_xlfn.XLOOKUP($D$3,Heat_connections_input[#Headers],Heat_connections_input[#This Row],0,0,),"-")</f>
        <v>-</v>
      </c>
      <c r="E130" s="284" t="str" cm="1">
        <f t="array" ref="E130">IFERROR(_xlfn.XLOOKUP($E$3,Heat_connections_input[#Headers],Heat_connections_input[#This Row],0,0,),"-")</f>
        <v>-</v>
      </c>
      <c r="F130" s="259" cm="1">
        <f t="array" ref="F130">IFERROR(_xlfn.XLOOKUP($F$3,Heat_connections_input[#Headers],Heat_connections_input[#This Row],0,0,),0)</f>
        <v>0</v>
      </c>
      <c r="G130" s="259" cm="1">
        <f t="array" ref="G130">IFERROR(_xlfn.XLOOKUP($G$3,Heat_connections_input[#Headers],Heat_connections_input[#This Row],0,0,),0)</f>
        <v>0</v>
      </c>
      <c r="H130" s="341" cm="1">
        <f t="array" ref="H130">IFERROR(_xlfn.XLOOKUP($H$3,Heat_connections_input[#Headers],Heat_connections_input[#This Row],0,0,),0)</f>
        <v>0</v>
      </c>
      <c r="I130" s="326" t="str" cm="1">
        <f t="array" ref="I130">IFERROR(_xlfn.XLOOKUP($I$3,Heat_connections_input[#Headers],Heat_connections_input[#This Row],0,0,),"-")</f>
        <v>-</v>
      </c>
      <c r="J130" s="326" t="str" cm="1">
        <f t="array" ref="J130">IFERROR(_xlfn.XLOOKUP($J$3,Heat_connections_input[#Headers],Heat_connections_input[#This Row],0,0,1),"-")</f>
        <v>-</v>
      </c>
      <c r="K130" s="260"/>
      <c r="L130" s="261"/>
      <c r="M130" s="262"/>
      <c r="N130" s="263"/>
      <c r="O130" s="264" t="str">
        <f>IF(Heat_connections[[#This Row],[Ref]]&lt;&gt;"-",
IF(M130=1,Dashboard!$C$26,IF(M130=2,Dashboard!$C$27,Dashboard!$C$28)),"-")</f>
        <v>-</v>
      </c>
      <c r="P130" s="341">
        <f>IF(Heat_connections[[#This Row],[Category]]="Domestic",Heat_connections[[#This Row],[No. of connections]],0)</f>
        <v>0</v>
      </c>
      <c r="Q130" s="341">
        <f>IF(Heat_connections[[#This Row],[Category]]&lt;&gt;"Domestic",Heat_connections[[#This Row],[No. of connections]],0)</f>
        <v>0</v>
      </c>
      <c r="R130" s="209"/>
      <c r="S130" s="512">
        <f>IF(Heat_connections[[#This Row],[TOID]]&lt;&gt;"-",
IF(ISBLANK('Heat connections'!$R130),Dashboard!$C$14,'Heat connections'!$R130),0)</f>
        <v>0</v>
      </c>
      <c r="T130" s="513">
        <f>IF(Heat_connections[[#This Row],[Peak Demand, kW]]&lt;&gt;0,'Heat connections'!$G130*Dashboard!$C$21,0)</f>
        <v>0</v>
      </c>
      <c r="U130" s="514">
        <f>IF(Heat_connections[[#This Row],[Ref]]&lt;&gt;"-",48.436*Heat_connections[[#This Row],[Peak Demand, kW]]+1068.7,0)</f>
        <v>0</v>
      </c>
      <c r="V130" s="515">
        <f>IF(Heat_connections[[#This Row],[Ref]]&lt;&gt;"-",
_xlfn.XLOOKUP('Heat connections'!$G130,'Technical inputs'!$F$79:$F$94,'Technical inputs'!$I$79:$I$94,0,1,1),0)</f>
        <v>0</v>
      </c>
      <c r="W130" s="429">
        <f>IF('Heat connections'!$E130="Domestic",1,0)</f>
        <v>0</v>
      </c>
      <c r="X130" s="430">
        <f>IF(AND(Heat_connections[[#This Row],[Ref]]&lt;&gt;"-",'Heat connections'!$E130&lt;&gt;"Domestic"),1,0)</f>
        <v>0</v>
      </c>
      <c r="Y130" s="434">
        <v>76</v>
      </c>
      <c r="Z130" s="438">
        <f>IF(Heat_connections[[#This Row],[Existing/planned development]]&lt;&gt;0,1,0)</f>
        <v>0</v>
      </c>
      <c r="AA130" s="430">
        <f>IF('Heat connections'!$M130=1,1,0)</f>
        <v>0</v>
      </c>
      <c r="AB130" s="430">
        <f>IF('Heat connections'!$M130=2,1,0)</f>
        <v>0</v>
      </c>
      <c r="AC130" s="434">
        <f>IF('Heat connections'!$M130=3,1,0)</f>
        <v>0</v>
      </c>
      <c r="AD130" s="46" t="str">
        <f>IF(AND(Heat_connections[[#This Row],[Connected to heat network]]="Yes",Heat_connections[[#This Row],[Ref]]&lt;&gt;"-"),"Yes","No")</f>
        <v>No</v>
      </c>
    </row>
    <row r="131" spans="3:30" ht="12.75" x14ac:dyDescent="0.2">
      <c r="C131" s="208" t="str" cm="1">
        <f t="array" ref="C131">IFERROR(_xlfn.XLOOKUP($C$3,Heat_connections_input[#Headers],Heat_connections_input[#This Row],0,0,),"-")</f>
        <v>-</v>
      </c>
      <c r="D131" s="323" t="str" cm="1">
        <f t="array" ref="D131">IFERROR(_xlfn.XLOOKUP($D$3,Heat_connections_input[#Headers],Heat_connections_input[#This Row],0,0,),"-")</f>
        <v>-</v>
      </c>
      <c r="E131" s="284" t="str" cm="1">
        <f t="array" ref="E131">IFERROR(_xlfn.XLOOKUP($E$3,Heat_connections_input[#Headers],Heat_connections_input[#This Row],0,0,),"-")</f>
        <v>-</v>
      </c>
      <c r="F131" s="259" cm="1">
        <f t="array" ref="F131">IFERROR(_xlfn.XLOOKUP($F$3,Heat_connections_input[#Headers],Heat_connections_input[#This Row],0,0,),0)</f>
        <v>0</v>
      </c>
      <c r="G131" s="259" cm="1">
        <f t="array" ref="G131">IFERROR(_xlfn.XLOOKUP($G$3,Heat_connections_input[#Headers],Heat_connections_input[#This Row],0,0,),0)</f>
        <v>0</v>
      </c>
      <c r="H131" s="341" cm="1">
        <f t="array" ref="H131">IFERROR(_xlfn.XLOOKUP($H$3,Heat_connections_input[#Headers],Heat_connections_input[#This Row],0,0,),0)</f>
        <v>0</v>
      </c>
      <c r="I131" s="326" t="str" cm="1">
        <f t="array" ref="I131">IFERROR(_xlfn.XLOOKUP($I$3,Heat_connections_input[#Headers],Heat_connections_input[#This Row],0,0,),"-")</f>
        <v>-</v>
      </c>
      <c r="J131" s="326" t="str" cm="1">
        <f t="array" ref="J131">IFERROR(_xlfn.XLOOKUP($J$3,Heat_connections_input[#Headers],Heat_connections_input[#This Row],0,0,1),"-")</f>
        <v>-</v>
      </c>
      <c r="K131" s="260"/>
      <c r="L131" s="261"/>
      <c r="M131" s="262"/>
      <c r="N131" s="263"/>
      <c r="O131" s="264" t="str">
        <f>IF(Heat_connections[[#This Row],[Ref]]&lt;&gt;"-",
IF(M131=1,Dashboard!$C$26,IF(M131=2,Dashboard!$C$27,Dashboard!$C$28)),"-")</f>
        <v>-</v>
      </c>
      <c r="P131" s="341">
        <f>IF(Heat_connections[[#This Row],[Category]]="Domestic",Heat_connections[[#This Row],[No. of connections]],0)</f>
        <v>0</v>
      </c>
      <c r="Q131" s="341">
        <f>IF(Heat_connections[[#This Row],[Category]]&lt;&gt;"Domestic",Heat_connections[[#This Row],[No. of connections]],0)</f>
        <v>0</v>
      </c>
      <c r="R131" s="209"/>
      <c r="S131" s="512">
        <f>IF(Heat_connections[[#This Row],[TOID]]&lt;&gt;"-",
IF(ISBLANK('Heat connections'!$R131),Dashboard!$C$14,'Heat connections'!$R131),0)</f>
        <v>0</v>
      </c>
      <c r="T131" s="513">
        <f>IF(Heat_connections[[#This Row],[Peak Demand, kW]]&lt;&gt;0,'Heat connections'!$G131*Dashboard!$C$21,0)</f>
        <v>0</v>
      </c>
      <c r="U131" s="514">
        <f>IF(Heat_connections[[#This Row],[Ref]]&lt;&gt;"-",48.436*Heat_connections[[#This Row],[Peak Demand, kW]]+1068.7,0)</f>
        <v>0</v>
      </c>
      <c r="V131" s="515">
        <f>IF(Heat_connections[[#This Row],[Ref]]&lt;&gt;"-",
_xlfn.XLOOKUP('Heat connections'!$G131,'Technical inputs'!$F$79:$F$94,'Technical inputs'!$I$79:$I$94,0,1,1),0)</f>
        <v>0</v>
      </c>
      <c r="W131" s="429">
        <f>IF('Heat connections'!$E131="Domestic",1,0)</f>
        <v>0</v>
      </c>
      <c r="X131" s="430">
        <f>IF(AND(Heat_connections[[#This Row],[Ref]]&lt;&gt;"-",'Heat connections'!$E131&lt;&gt;"Domestic"),1,0)</f>
        <v>0</v>
      </c>
      <c r="Y131" s="434">
        <v>77</v>
      </c>
      <c r="Z131" s="438">
        <f>IF(Heat_connections[[#This Row],[Existing/planned development]]&lt;&gt;0,1,0)</f>
        <v>0</v>
      </c>
      <c r="AA131" s="430">
        <f>IF('Heat connections'!$M131=1,1,0)</f>
        <v>0</v>
      </c>
      <c r="AB131" s="430">
        <f>IF('Heat connections'!$M131=2,1,0)</f>
        <v>0</v>
      </c>
      <c r="AC131" s="434">
        <f>IF('Heat connections'!$M131=3,1,0)</f>
        <v>0</v>
      </c>
      <c r="AD131" s="46" t="str">
        <f>IF(AND(Heat_connections[[#This Row],[Connected to heat network]]="Yes",Heat_connections[[#This Row],[Ref]]&lt;&gt;"-"),"Yes","No")</f>
        <v>No</v>
      </c>
    </row>
    <row r="132" spans="3:30" ht="12.75" x14ac:dyDescent="0.2">
      <c r="C132" s="208" t="str" cm="1">
        <f t="array" ref="C132">IFERROR(_xlfn.XLOOKUP($C$3,Heat_connections_input[#Headers],Heat_connections_input[#This Row],0,0,),"-")</f>
        <v>-</v>
      </c>
      <c r="D132" s="323" t="str" cm="1">
        <f t="array" ref="D132">IFERROR(_xlfn.XLOOKUP($D$3,Heat_connections_input[#Headers],Heat_connections_input[#This Row],0,0,),"-")</f>
        <v>-</v>
      </c>
      <c r="E132" s="284" t="str" cm="1">
        <f t="array" ref="E132">IFERROR(_xlfn.XLOOKUP($E$3,Heat_connections_input[#Headers],Heat_connections_input[#This Row],0,0,),"-")</f>
        <v>-</v>
      </c>
      <c r="F132" s="259" cm="1">
        <f t="array" ref="F132">IFERROR(_xlfn.XLOOKUP($F$3,Heat_connections_input[#Headers],Heat_connections_input[#This Row],0,0,),0)</f>
        <v>0</v>
      </c>
      <c r="G132" s="259" cm="1">
        <f t="array" ref="G132">IFERROR(_xlfn.XLOOKUP($G$3,Heat_connections_input[#Headers],Heat_connections_input[#This Row],0,0,),0)</f>
        <v>0</v>
      </c>
      <c r="H132" s="341" cm="1">
        <f t="array" ref="H132">IFERROR(_xlfn.XLOOKUP($H$3,Heat_connections_input[#Headers],Heat_connections_input[#This Row],0,0,),0)</f>
        <v>0</v>
      </c>
      <c r="I132" s="326" t="str" cm="1">
        <f t="array" ref="I132">IFERROR(_xlfn.XLOOKUP($I$3,Heat_connections_input[#Headers],Heat_connections_input[#This Row],0,0,),"-")</f>
        <v>-</v>
      </c>
      <c r="J132" s="326" t="str" cm="1">
        <f t="array" ref="J132">IFERROR(_xlfn.XLOOKUP($J$3,Heat_connections_input[#Headers],Heat_connections_input[#This Row],0,0,1),"-")</f>
        <v>-</v>
      </c>
      <c r="K132" s="260"/>
      <c r="L132" s="261"/>
      <c r="M132" s="262"/>
      <c r="N132" s="263"/>
      <c r="O132" s="264" t="str">
        <f>IF(Heat_connections[[#This Row],[Ref]]&lt;&gt;"-",
IF(M132=1,Dashboard!$C$26,IF(M132=2,Dashboard!$C$27,Dashboard!$C$28)),"-")</f>
        <v>-</v>
      </c>
      <c r="P132" s="341">
        <f>IF(Heat_connections[[#This Row],[Category]]="Domestic",Heat_connections[[#This Row],[No. of connections]],0)</f>
        <v>0</v>
      </c>
      <c r="Q132" s="341">
        <f>IF(Heat_connections[[#This Row],[Category]]&lt;&gt;"Domestic",Heat_connections[[#This Row],[No. of connections]],0)</f>
        <v>0</v>
      </c>
      <c r="R132" s="209"/>
      <c r="S132" s="512">
        <f>IF(Heat_connections[[#This Row],[TOID]]&lt;&gt;"-",
IF(ISBLANK('Heat connections'!$R132),Dashboard!$C$14,'Heat connections'!$R132),0)</f>
        <v>0</v>
      </c>
      <c r="T132" s="513">
        <f>IF(Heat_connections[[#This Row],[Peak Demand, kW]]&lt;&gt;0,'Heat connections'!$G132*Dashboard!$C$21,0)</f>
        <v>0</v>
      </c>
      <c r="U132" s="514">
        <f>IF(Heat_connections[[#This Row],[Ref]]&lt;&gt;"-",48.436*Heat_connections[[#This Row],[Peak Demand, kW]]+1068.7,0)</f>
        <v>0</v>
      </c>
      <c r="V132" s="515">
        <f>IF(Heat_connections[[#This Row],[Ref]]&lt;&gt;"-",
_xlfn.XLOOKUP('Heat connections'!$G132,'Technical inputs'!$F$79:$F$94,'Technical inputs'!$I$79:$I$94,0,1,1),0)</f>
        <v>0</v>
      </c>
      <c r="W132" s="429">
        <f>IF('Heat connections'!$E132="Domestic",1,0)</f>
        <v>0</v>
      </c>
      <c r="X132" s="430">
        <f>IF(AND(Heat_connections[[#This Row],[Ref]]&lt;&gt;"-",'Heat connections'!$E132&lt;&gt;"Domestic"),1,0)</f>
        <v>0</v>
      </c>
      <c r="Y132" s="434">
        <v>78</v>
      </c>
      <c r="Z132" s="438">
        <f>IF(Heat_connections[[#This Row],[Existing/planned development]]&lt;&gt;0,1,0)</f>
        <v>0</v>
      </c>
      <c r="AA132" s="430">
        <f>IF('Heat connections'!$M132=1,1,0)</f>
        <v>0</v>
      </c>
      <c r="AB132" s="430">
        <f>IF('Heat connections'!$M132=2,1,0)</f>
        <v>0</v>
      </c>
      <c r="AC132" s="434">
        <f>IF('Heat connections'!$M132=3,1,0)</f>
        <v>0</v>
      </c>
      <c r="AD132" s="46" t="str">
        <f>IF(AND(Heat_connections[[#This Row],[Connected to heat network]]="Yes",Heat_connections[[#This Row],[Ref]]&lt;&gt;"-"),"Yes","No")</f>
        <v>No</v>
      </c>
    </row>
    <row r="133" spans="3:30" ht="12.75" x14ac:dyDescent="0.2">
      <c r="C133" s="208" t="str" cm="1">
        <f t="array" ref="C133">IFERROR(_xlfn.XLOOKUP($C$3,Heat_connections_input[#Headers],Heat_connections_input[#This Row],0,0,),"-")</f>
        <v>-</v>
      </c>
      <c r="D133" s="323" t="str" cm="1">
        <f t="array" ref="D133">IFERROR(_xlfn.XLOOKUP($D$3,Heat_connections_input[#Headers],Heat_connections_input[#This Row],0,0,),"-")</f>
        <v>-</v>
      </c>
      <c r="E133" s="284" t="str" cm="1">
        <f t="array" ref="E133">IFERROR(_xlfn.XLOOKUP($E$3,Heat_connections_input[#Headers],Heat_connections_input[#This Row],0,0,),"-")</f>
        <v>-</v>
      </c>
      <c r="F133" s="259" cm="1">
        <f t="array" ref="F133">IFERROR(_xlfn.XLOOKUP($F$3,Heat_connections_input[#Headers],Heat_connections_input[#This Row],0,0,),0)</f>
        <v>0</v>
      </c>
      <c r="G133" s="259" cm="1">
        <f t="array" ref="G133">IFERROR(_xlfn.XLOOKUP($G$3,Heat_connections_input[#Headers],Heat_connections_input[#This Row],0,0,),0)</f>
        <v>0</v>
      </c>
      <c r="H133" s="341" cm="1">
        <f t="array" ref="H133">IFERROR(_xlfn.XLOOKUP($H$3,Heat_connections_input[#Headers],Heat_connections_input[#This Row],0,0,),0)</f>
        <v>0</v>
      </c>
      <c r="I133" s="326" t="str" cm="1">
        <f t="array" ref="I133">IFERROR(_xlfn.XLOOKUP($I$3,Heat_connections_input[#Headers],Heat_connections_input[#This Row],0,0,),"-")</f>
        <v>-</v>
      </c>
      <c r="J133" s="326" t="str" cm="1">
        <f t="array" ref="J133">IFERROR(_xlfn.XLOOKUP($J$3,Heat_connections_input[#Headers],Heat_connections_input[#This Row],0,0,1),"-")</f>
        <v>-</v>
      </c>
      <c r="K133" s="260"/>
      <c r="L133" s="261"/>
      <c r="M133" s="262"/>
      <c r="N133" s="263"/>
      <c r="O133" s="264" t="str">
        <f>IF(Heat_connections[[#This Row],[Ref]]&lt;&gt;"-",
IF(M133=1,Dashboard!$C$26,IF(M133=2,Dashboard!$C$27,Dashboard!$C$28)),"-")</f>
        <v>-</v>
      </c>
      <c r="P133" s="341">
        <f>IF(Heat_connections[[#This Row],[Category]]="Domestic",Heat_connections[[#This Row],[No. of connections]],0)</f>
        <v>0</v>
      </c>
      <c r="Q133" s="341">
        <f>IF(Heat_connections[[#This Row],[Category]]&lt;&gt;"Domestic",Heat_connections[[#This Row],[No. of connections]],0)</f>
        <v>0</v>
      </c>
      <c r="R133" s="209"/>
      <c r="S133" s="512">
        <f>IF(Heat_connections[[#This Row],[TOID]]&lt;&gt;"-",
IF(ISBLANK('Heat connections'!$R133),Dashboard!$C$14,'Heat connections'!$R133),0)</f>
        <v>0</v>
      </c>
      <c r="T133" s="513">
        <f>IF(Heat_connections[[#This Row],[Peak Demand, kW]]&lt;&gt;0,'Heat connections'!$G133*Dashboard!$C$21,0)</f>
        <v>0</v>
      </c>
      <c r="U133" s="514">
        <f>IF(Heat_connections[[#This Row],[Ref]]&lt;&gt;"-",48.436*Heat_connections[[#This Row],[Peak Demand, kW]]+1068.7,0)</f>
        <v>0</v>
      </c>
      <c r="V133" s="515">
        <f>IF(Heat_connections[[#This Row],[Ref]]&lt;&gt;"-",
_xlfn.XLOOKUP('Heat connections'!$G133,'Technical inputs'!$F$79:$F$94,'Technical inputs'!$I$79:$I$94,0,1,1),0)</f>
        <v>0</v>
      </c>
      <c r="W133" s="429">
        <f>IF('Heat connections'!$E133="Domestic",1,0)</f>
        <v>0</v>
      </c>
      <c r="X133" s="430">
        <f>IF(AND(Heat_connections[[#This Row],[Ref]]&lt;&gt;"-",'Heat connections'!$E133&lt;&gt;"Domestic"),1,0)</f>
        <v>0</v>
      </c>
      <c r="Y133" s="434">
        <v>79</v>
      </c>
      <c r="Z133" s="438">
        <f>IF(Heat_connections[[#This Row],[Existing/planned development]]&lt;&gt;0,1,0)</f>
        <v>0</v>
      </c>
      <c r="AA133" s="430">
        <f>IF('Heat connections'!$M133=1,1,0)</f>
        <v>0</v>
      </c>
      <c r="AB133" s="430">
        <f>IF('Heat connections'!$M133=2,1,0)</f>
        <v>0</v>
      </c>
      <c r="AC133" s="434">
        <f>IF('Heat connections'!$M133=3,1,0)</f>
        <v>0</v>
      </c>
      <c r="AD133" s="46" t="str">
        <f>IF(AND(Heat_connections[[#This Row],[Connected to heat network]]="Yes",Heat_connections[[#This Row],[Ref]]&lt;&gt;"-"),"Yes","No")</f>
        <v>No</v>
      </c>
    </row>
    <row r="134" spans="3:30" ht="12.75" x14ac:dyDescent="0.2">
      <c r="C134" s="208" t="str" cm="1">
        <f t="array" ref="C134">IFERROR(_xlfn.XLOOKUP($C$3,Heat_connections_input[#Headers],Heat_connections_input[#This Row],0,0,),"-")</f>
        <v>-</v>
      </c>
      <c r="D134" s="323" t="str" cm="1">
        <f t="array" ref="D134">IFERROR(_xlfn.XLOOKUP($D$3,Heat_connections_input[#Headers],Heat_connections_input[#This Row],0,0,),"-")</f>
        <v>-</v>
      </c>
      <c r="E134" s="284" t="str" cm="1">
        <f t="array" ref="E134">IFERROR(_xlfn.XLOOKUP($E$3,Heat_connections_input[#Headers],Heat_connections_input[#This Row],0,0,),"-")</f>
        <v>-</v>
      </c>
      <c r="F134" s="259" cm="1">
        <f t="array" ref="F134">IFERROR(_xlfn.XLOOKUP($F$3,Heat_connections_input[#Headers],Heat_connections_input[#This Row],0,0,),0)</f>
        <v>0</v>
      </c>
      <c r="G134" s="259" cm="1">
        <f t="array" ref="G134">IFERROR(_xlfn.XLOOKUP($G$3,Heat_connections_input[#Headers],Heat_connections_input[#This Row],0,0,),0)</f>
        <v>0</v>
      </c>
      <c r="H134" s="341" cm="1">
        <f t="array" ref="H134">IFERROR(_xlfn.XLOOKUP($H$3,Heat_connections_input[#Headers],Heat_connections_input[#This Row],0,0,),0)</f>
        <v>0</v>
      </c>
      <c r="I134" s="326" t="str" cm="1">
        <f t="array" ref="I134">IFERROR(_xlfn.XLOOKUP($I$3,Heat_connections_input[#Headers],Heat_connections_input[#This Row],0,0,),"-")</f>
        <v>-</v>
      </c>
      <c r="J134" s="326" t="str" cm="1">
        <f t="array" ref="J134">IFERROR(_xlfn.XLOOKUP($J$3,Heat_connections_input[#Headers],Heat_connections_input[#This Row],0,0,1),"-")</f>
        <v>-</v>
      </c>
      <c r="K134" s="260"/>
      <c r="L134" s="261"/>
      <c r="M134" s="262"/>
      <c r="N134" s="263"/>
      <c r="O134" s="264" t="str">
        <f>IF(Heat_connections[[#This Row],[Ref]]&lt;&gt;"-",
IF(M134=1,Dashboard!$C$26,IF(M134=2,Dashboard!$C$27,Dashboard!$C$28)),"-")</f>
        <v>-</v>
      </c>
      <c r="P134" s="341">
        <f>IF(Heat_connections[[#This Row],[Category]]="Domestic",Heat_connections[[#This Row],[No. of connections]],0)</f>
        <v>0</v>
      </c>
      <c r="Q134" s="341">
        <f>IF(Heat_connections[[#This Row],[Category]]&lt;&gt;"Domestic",Heat_connections[[#This Row],[No. of connections]],0)</f>
        <v>0</v>
      </c>
      <c r="R134" s="209"/>
      <c r="S134" s="512">
        <f>IF(Heat_connections[[#This Row],[TOID]]&lt;&gt;"-",
IF(ISBLANK('Heat connections'!$R134),Dashboard!$C$14,'Heat connections'!$R134),0)</f>
        <v>0</v>
      </c>
      <c r="T134" s="513">
        <f>IF(Heat_connections[[#This Row],[Peak Demand, kW]]&lt;&gt;0,'Heat connections'!$G134*Dashboard!$C$21,0)</f>
        <v>0</v>
      </c>
      <c r="U134" s="514">
        <f>IF(Heat_connections[[#This Row],[Ref]]&lt;&gt;"-",48.436*Heat_connections[[#This Row],[Peak Demand, kW]]+1068.7,0)</f>
        <v>0</v>
      </c>
      <c r="V134" s="515">
        <f>IF(Heat_connections[[#This Row],[Ref]]&lt;&gt;"-",
_xlfn.XLOOKUP('Heat connections'!$G134,'Technical inputs'!$F$79:$F$94,'Technical inputs'!$I$79:$I$94,0,1,1),0)</f>
        <v>0</v>
      </c>
      <c r="W134" s="429">
        <f>IF('Heat connections'!$E134="Domestic",1,0)</f>
        <v>0</v>
      </c>
      <c r="X134" s="430">
        <f>IF(AND(Heat_connections[[#This Row],[Ref]]&lt;&gt;"-",'Heat connections'!$E134&lt;&gt;"Domestic"),1,0)</f>
        <v>0</v>
      </c>
      <c r="Y134" s="434">
        <v>80</v>
      </c>
      <c r="Z134" s="438">
        <f>IF(Heat_connections[[#This Row],[Existing/planned development]]&lt;&gt;0,1,0)</f>
        <v>0</v>
      </c>
      <c r="AA134" s="430">
        <f>IF('Heat connections'!$M134=1,1,0)</f>
        <v>0</v>
      </c>
      <c r="AB134" s="430">
        <f>IF('Heat connections'!$M134=2,1,0)</f>
        <v>0</v>
      </c>
      <c r="AC134" s="434">
        <f>IF('Heat connections'!$M134=3,1,0)</f>
        <v>0</v>
      </c>
      <c r="AD134" s="46" t="str">
        <f>IF(AND(Heat_connections[[#This Row],[Connected to heat network]]="Yes",Heat_connections[[#This Row],[Ref]]&lt;&gt;"-"),"Yes","No")</f>
        <v>No</v>
      </c>
    </row>
    <row r="135" spans="3:30" ht="12.75" x14ac:dyDescent="0.2">
      <c r="C135" s="208" t="str" cm="1">
        <f t="array" ref="C135">IFERROR(_xlfn.XLOOKUP($C$3,Heat_connections_input[#Headers],Heat_connections_input[#This Row],0,0,),"-")</f>
        <v>-</v>
      </c>
      <c r="D135" s="323" t="str" cm="1">
        <f t="array" ref="D135">IFERROR(_xlfn.XLOOKUP($D$3,Heat_connections_input[#Headers],Heat_connections_input[#This Row],0,0,),"-")</f>
        <v>-</v>
      </c>
      <c r="E135" s="284" t="str" cm="1">
        <f t="array" ref="E135">IFERROR(_xlfn.XLOOKUP($E$3,Heat_connections_input[#Headers],Heat_connections_input[#This Row],0,0,),"-")</f>
        <v>-</v>
      </c>
      <c r="F135" s="259" cm="1">
        <f t="array" ref="F135">IFERROR(_xlfn.XLOOKUP($F$3,Heat_connections_input[#Headers],Heat_connections_input[#This Row],0,0,),0)</f>
        <v>0</v>
      </c>
      <c r="G135" s="259" cm="1">
        <f t="array" ref="G135">IFERROR(_xlfn.XLOOKUP($G$3,Heat_connections_input[#Headers],Heat_connections_input[#This Row],0,0,),0)</f>
        <v>0</v>
      </c>
      <c r="H135" s="341" cm="1">
        <f t="array" ref="H135">IFERROR(_xlfn.XLOOKUP($H$3,Heat_connections_input[#Headers],Heat_connections_input[#This Row],0,0,),0)</f>
        <v>0</v>
      </c>
      <c r="I135" s="326" t="str" cm="1">
        <f t="array" ref="I135">IFERROR(_xlfn.XLOOKUP($I$3,Heat_connections_input[#Headers],Heat_connections_input[#This Row],0,0,),"-")</f>
        <v>-</v>
      </c>
      <c r="J135" s="326" t="str" cm="1">
        <f t="array" ref="J135">IFERROR(_xlfn.XLOOKUP($J$3,Heat_connections_input[#Headers],Heat_connections_input[#This Row],0,0,1),"-")</f>
        <v>-</v>
      </c>
      <c r="K135" s="260"/>
      <c r="L135" s="261"/>
      <c r="M135" s="262"/>
      <c r="N135" s="263"/>
      <c r="O135" s="264" t="str">
        <f>IF(Heat_connections[[#This Row],[Ref]]&lt;&gt;"-",
IF(M135=1,Dashboard!$C$26,IF(M135=2,Dashboard!$C$27,Dashboard!$C$28)),"-")</f>
        <v>-</v>
      </c>
      <c r="P135" s="341">
        <f>IF(Heat_connections[[#This Row],[Category]]="Domestic",Heat_connections[[#This Row],[No. of connections]],0)</f>
        <v>0</v>
      </c>
      <c r="Q135" s="341">
        <f>IF(Heat_connections[[#This Row],[Category]]&lt;&gt;"Domestic",Heat_connections[[#This Row],[No. of connections]],0)</f>
        <v>0</v>
      </c>
      <c r="R135" s="209"/>
      <c r="S135" s="512">
        <f>IF(Heat_connections[[#This Row],[TOID]]&lt;&gt;"-",
IF(ISBLANK('Heat connections'!$R135),Dashboard!$C$14,'Heat connections'!$R135),0)</f>
        <v>0</v>
      </c>
      <c r="T135" s="513">
        <f>IF(Heat_connections[[#This Row],[Peak Demand, kW]]&lt;&gt;0,'Heat connections'!$G135*Dashboard!$C$21,0)</f>
        <v>0</v>
      </c>
      <c r="U135" s="514">
        <f>IF(Heat_connections[[#This Row],[Ref]]&lt;&gt;"-",48.436*Heat_connections[[#This Row],[Peak Demand, kW]]+1068.7,0)</f>
        <v>0</v>
      </c>
      <c r="V135" s="515">
        <f>IF(Heat_connections[[#This Row],[Ref]]&lt;&gt;"-",
_xlfn.XLOOKUP('Heat connections'!$G135,'Technical inputs'!$F$79:$F$94,'Technical inputs'!$I$79:$I$94,0,1,1),0)</f>
        <v>0</v>
      </c>
      <c r="W135" s="429">
        <f>IF('Heat connections'!$E135="Domestic",1,0)</f>
        <v>0</v>
      </c>
      <c r="X135" s="430">
        <f>IF(AND(Heat_connections[[#This Row],[Ref]]&lt;&gt;"-",'Heat connections'!$E135&lt;&gt;"Domestic"),1,0)</f>
        <v>0</v>
      </c>
      <c r="Y135" s="434">
        <v>81</v>
      </c>
      <c r="Z135" s="438">
        <f>IF(Heat_connections[[#This Row],[Existing/planned development]]&lt;&gt;0,1,0)</f>
        <v>0</v>
      </c>
      <c r="AA135" s="430">
        <f>IF('Heat connections'!$M135=1,1,0)</f>
        <v>0</v>
      </c>
      <c r="AB135" s="430">
        <f>IF('Heat connections'!$M135=2,1,0)</f>
        <v>0</v>
      </c>
      <c r="AC135" s="434">
        <f>IF('Heat connections'!$M135=3,1,0)</f>
        <v>0</v>
      </c>
      <c r="AD135" s="46" t="str">
        <f>IF(AND(Heat_connections[[#This Row],[Connected to heat network]]="Yes",Heat_connections[[#This Row],[Ref]]&lt;&gt;"-"),"Yes","No")</f>
        <v>No</v>
      </c>
    </row>
    <row r="136" spans="3:30" ht="12.75" x14ac:dyDescent="0.2">
      <c r="C136" s="208" t="str" cm="1">
        <f t="array" ref="C136">IFERROR(_xlfn.XLOOKUP($C$3,Heat_connections_input[#Headers],Heat_connections_input[#This Row],0,0,),"-")</f>
        <v>-</v>
      </c>
      <c r="D136" s="323" t="str" cm="1">
        <f t="array" ref="D136">IFERROR(_xlfn.XLOOKUP($D$3,Heat_connections_input[#Headers],Heat_connections_input[#This Row],0,0,),"-")</f>
        <v>-</v>
      </c>
      <c r="E136" s="284" t="str" cm="1">
        <f t="array" ref="E136">IFERROR(_xlfn.XLOOKUP($E$3,Heat_connections_input[#Headers],Heat_connections_input[#This Row],0,0,),"-")</f>
        <v>-</v>
      </c>
      <c r="F136" s="259" cm="1">
        <f t="array" ref="F136">IFERROR(_xlfn.XLOOKUP($F$3,Heat_connections_input[#Headers],Heat_connections_input[#This Row],0,0,),0)</f>
        <v>0</v>
      </c>
      <c r="G136" s="259" cm="1">
        <f t="array" ref="G136">IFERROR(_xlfn.XLOOKUP($G$3,Heat_connections_input[#Headers],Heat_connections_input[#This Row],0,0,),0)</f>
        <v>0</v>
      </c>
      <c r="H136" s="341" cm="1">
        <f t="array" ref="H136">IFERROR(_xlfn.XLOOKUP($H$3,Heat_connections_input[#Headers],Heat_connections_input[#This Row],0,0,),0)</f>
        <v>0</v>
      </c>
      <c r="I136" s="326" t="str" cm="1">
        <f t="array" ref="I136">IFERROR(_xlfn.XLOOKUP($I$3,Heat_connections_input[#Headers],Heat_connections_input[#This Row],0,0,),"-")</f>
        <v>-</v>
      </c>
      <c r="J136" s="326" t="str" cm="1">
        <f t="array" ref="J136">IFERROR(_xlfn.XLOOKUP($J$3,Heat_connections_input[#Headers],Heat_connections_input[#This Row],0,0,1),"-")</f>
        <v>-</v>
      </c>
      <c r="K136" s="260"/>
      <c r="L136" s="261"/>
      <c r="M136" s="262"/>
      <c r="N136" s="263"/>
      <c r="O136" s="264" t="str">
        <f>IF(Heat_connections[[#This Row],[Ref]]&lt;&gt;"-",
IF(M136=1,Dashboard!$C$26,IF(M136=2,Dashboard!$C$27,Dashboard!$C$28)),"-")</f>
        <v>-</v>
      </c>
      <c r="P136" s="341">
        <f>IF(Heat_connections[[#This Row],[Category]]="Domestic",Heat_connections[[#This Row],[No. of connections]],0)</f>
        <v>0</v>
      </c>
      <c r="Q136" s="341">
        <f>IF(Heat_connections[[#This Row],[Category]]&lt;&gt;"Domestic",Heat_connections[[#This Row],[No. of connections]],0)</f>
        <v>0</v>
      </c>
      <c r="R136" s="209"/>
      <c r="S136" s="512">
        <f>IF(Heat_connections[[#This Row],[TOID]]&lt;&gt;"-",
IF(ISBLANK('Heat connections'!$R136),Dashboard!$C$14,'Heat connections'!$R136),0)</f>
        <v>0</v>
      </c>
      <c r="T136" s="513">
        <f>IF(Heat_connections[[#This Row],[Peak Demand, kW]]&lt;&gt;0,'Heat connections'!$G136*Dashboard!$C$21,0)</f>
        <v>0</v>
      </c>
      <c r="U136" s="514">
        <f>IF(Heat_connections[[#This Row],[Ref]]&lt;&gt;"-",48.436*Heat_connections[[#This Row],[Peak Demand, kW]]+1068.7,0)</f>
        <v>0</v>
      </c>
      <c r="V136" s="515">
        <f>IF(Heat_connections[[#This Row],[Ref]]&lt;&gt;"-",
_xlfn.XLOOKUP('Heat connections'!$G136,'Technical inputs'!$F$79:$F$94,'Technical inputs'!$I$79:$I$94,0,1,1),0)</f>
        <v>0</v>
      </c>
      <c r="W136" s="429">
        <f>IF('Heat connections'!$E136="Domestic",1,0)</f>
        <v>0</v>
      </c>
      <c r="X136" s="430">
        <f>IF(AND(Heat_connections[[#This Row],[Ref]]&lt;&gt;"-",'Heat connections'!$E136&lt;&gt;"Domestic"),1,0)</f>
        <v>0</v>
      </c>
      <c r="Y136" s="434">
        <v>82</v>
      </c>
      <c r="Z136" s="438">
        <f>IF(Heat_connections[[#This Row],[Existing/planned development]]&lt;&gt;0,1,0)</f>
        <v>0</v>
      </c>
      <c r="AA136" s="430">
        <f>IF('Heat connections'!$M136=1,1,0)</f>
        <v>0</v>
      </c>
      <c r="AB136" s="430">
        <f>IF('Heat connections'!$M136=2,1,0)</f>
        <v>0</v>
      </c>
      <c r="AC136" s="434">
        <f>IF('Heat connections'!$M136=3,1,0)</f>
        <v>0</v>
      </c>
      <c r="AD136" s="46" t="str">
        <f>IF(AND(Heat_connections[[#This Row],[Connected to heat network]]="Yes",Heat_connections[[#This Row],[Ref]]&lt;&gt;"-"),"Yes","No")</f>
        <v>No</v>
      </c>
    </row>
    <row r="137" spans="3:30" ht="12.75" x14ac:dyDescent="0.2">
      <c r="C137" s="208" t="str" cm="1">
        <f t="array" ref="C137">IFERROR(_xlfn.XLOOKUP($C$3,Heat_connections_input[#Headers],Heat_connections_input[#This Row],0,0,),"-")</f>
        <v>-</v>
      </c>
      <c r="D137" s="323" t="str" cm="1">
        <f t="array" ref="D137">IFERROR(_xlfn.XLOOKUP($D$3,Heat_connections_input[#Headers],Heat_connections_input[#This Row],0,0,),"-")</f>
        <v>-</v>
      </c>
      <c r="E137" s="284" t="str" cm="1">
        <f t="array" ref="E137">IFERROR(_xlfn.XLOOKUP($E$3,Heat_connections_input[#Headers],Heat_connections_input[#This Row],0,0,),"-")</f>
        <v>-</v>
      </c>
      <c r="F137" s="259" cm="1">
        <f t="array" ref="F137">IFERROR(_xlfn.XLOOKUP($F$3,Heat_connections_input[#Headers],Heat_connections_input[#This Row],0,0,),0)</f>
        <v>0</v>
      </c>
      <c r="G137" s="259" cm="1">
        <f t="array" ref="G137">IFERROR(_xlfn.XLOOKUP($G$3,Heat_connections_input[#Headers],Heat_connections_input[#This Row],0,0,),0)</f>
        <v>0</v>
      </c>
      <c r="H137" s="341" cm="1">
        <f t="array" ref="H137">IFERROR(_xlfn.XLOOKUP($H$3,Heat_connections_input[#Headers],Heat_connections_input[#This Row],0,0,),0)</f>
        <v>0</v>
      </c>
      <c r="I137" s="326" t="str" cm="1">
        <f t="array" ref="I137">IFERROR(_xlfn.XLOOKUP($I$3,Heat_connections_input[#Headers],Heat_connections_input[#This Row],0,0,),"-")</f>
        <v>-</v>
      </c>
      <c r="J137" s="326" t="str" cm="1">
        <f t="array" ref="J137">IFERROR(_xlfn.XLOOKUP($J$3,Heat_connections_input[#Headers],Heat_connections_input[#This Row],0,0,1),"-")</f>
        <v>-</v>
      </c>
      <c r="K137" s="260"/>
      <c r="L137" s="261"/>
      <c r="M137" s="262"/>
      <c r="N137" s="263"/>
      <c r="O137" s="264" t="str">
        <f>IF(Heat_connections[[#This Row],[Ref]]&lt;&gt;"-",
IF(M137=1,Dashboard!$C$26,IF(M137=2,Dashboard!$C$27,Dashboard!$C$28)),"-")</f>
        <v>-</v>
      </c>
      <c r="P137" s="341">
        <f>IF(Heat_connections[[#This Row],[Category]]="Domestic",Heat_connections[[#This Row],[No. of connections]],0)</f>
        <v>0</v>
      </c>
      <c r="Q137" s="341">
        <f>IF(Heat_connections[[#This Row],[Category]]&lt;&gt;"Domestic",Heat_connections[[#This Row],[No. of connections]],0)</f>
        <v>0</v>
      </c>
      <c r="R137" s="209"/>
      <c r="S137" s="512">
        <f>IF(Heat_connections[[#This Row],[TOID]]&lt;&gt;"-",
IF(ISBLANK('Heat connections'!$R137),Dashboard!$C$14,'Heat connections'!$R137),0)</f>
        <v>0</v>
      </c>
      <c r="T137" s="513">
        <f>IF(Heat_connections[[#This Row],[Peak Demand, kW]]&lt;&gt;0,'Heat connections'!$G137*Dashboard!$C$21,0)</f>
        <v>0</v>
      </c>
      <c r="U137" s="514">
        <f>IF(Heat_connections[[#This Row],[Ref]]&lt;&gt;"-",48.436*Heat_connections[[#This Row],[Peak Demand, kW]]+1068.7,0)</f>
        <v>0</v>
      </c>
      <c r="V137" s="515">
        <f>IF(Heat_connections[[#This Row],[Ref]]&lt;&gt;"-",
_xlfn.XLOOKUP('Heat connections'!$G137,'Technical inputs'!$F$79:$F$94,'Technical inputs'!$I$79:$I$94,0,1,1),0)</f>
        <v>0</v>
      </c>
      <c r="W137" s="429">
        <f>IF('Heat connections'!$E137="Domestic",1,0)</f>
        <v>0</v>
      </c>
      <c r="X137" s="430">
        <f>IF(AND(Heat_connections[[#This Row],[Ref]]&lt;&gt;"-",'Heat connections'!$E137&lt;&gt;"Domestic"),1,0)</f>
        <v>0</v>
      </c>
      <c r="Y137" s="434">
        <v>83</v>
      </c>
      <c r="Z137" s="438">
        <f>IF(Heat_connections[[#This Row],[Existing/planned development]]&lt;&gt;0,1,0)</f>
        <v>0</v>
      </c>
      <c r="AA137" s="430">
        <f>IF('Heat connections'!$M137=1,1,0)</f>
        <v>0</v>
      </c>
      <c r="AB137" s="430">
        <f>IF('Heat connections'!$M137=2,1,0)</f>
        <v>0</v>
      </c>
      <c r="AC137" s="434">
        <f>IF('Heat connections'!$M137=3,1,0)</f>
        <v>0</v>
      </c>
      <c r="AD137" s="46" t="str">
        <f>IF(AND(Heat_connections[[#This Row],[Connected to heat network]]="Yes",Heat_connections[[#This Row],[Ref]]&lt;&gt;"-"),"Yes","No")</f>
        <v>No</v>
      </c>
    </row>
    <row r="138" spans="3:30" ht="12.75" x14ac:dyDescent="0.2">
      <c r="C138" s="208" t="str" cm="1">
        <f t="array" ref="C138">IFERROR(_xlfn.XLOOKUP($C$3,Heat_connections_input[#Headers],Heat_connections_input[#This Row],0,0,),"-")</f>
        <v>-</v>
      </c>
      <c r="D138" s="323" t="str" cm="1">
        <f t="array" ref="D138">IFERROR(_xlfn.XLOOKUP($D$3,Heat_connections_input[#Headers],Heat_connections_input[#This Row],0,0,),"-")</f>
        <v>-</v>
      </c>
      <c r="E138" s="284" t="str" cm="1">
        <f t="array" ref="E138">IFERROR(_xlfn.XLOOKUP($E$3,Heat_connections_input[#Headers],Heat_connections_input[#This Row],0,0,),"-")</f>
        <v>-</v>
      </c>
      <c r="F138" s="259" cm="1">
        <f t="array" ref="F138">IFERROR(_xlfn.XLOOKUP($F$3,Heat_connections_input[#Headers],Heat_connections_input[#This Row],0,0,),0)</f>
        <v>0</v>
      </c>
      <c r="G138" s="259" cm="1">
        <f t="array" ref="G138">IFERROR(_xlfn.XLOOKUP($G$3,Heat_connections_input[#Headers],Heat_connections_input[#This Row],0,0,),0)</f>
        <v>0</v>
      </c>
      <c r="H138" s="341" cm="1">
        <f t="array" ref="H138">IFERROR(_xlfn.XLOOKUP($H$3,Heat_connections_input[#Headers],Heat_connections_input[#This Row],0,0,),0)</f>
        <v>0</v>
      </c>
      <c r="I138" s="326" t="str" cm="1">
        <f t="array" ref="I138">IFERROR(_xlfn.XLOOKUP($I$3,Heat_connections_input[#Headers],Heat_connections_input[#This Row],0,0,),"-")</f>
        <v>-</v>
      </c>
      <c r="J138" s="326" t="str" cm="1">
        <f t="array" ref="J138">IFERROR(_xlfn.XLOOKUP($J$3,Heat_connections_input[#Headers],Heat_connections_input[#This Row],0,0,1),"-")</f>
        <v>-</v>
      </c>
      <c r="K138" s="260"/>
      <c r="L138" s="261"/>
      <c r="M138" s="262"/>
      <c r="N138" s="263"/>
      <c r="O138" s="264" t="str">
        <f>IF(Heat_connections[[#This Row],[Ref]]&lt;&gt;"-",
IF(M138=1,Dashboard!$C$26,IF(M138=2,Dashboard!$C$27,Dashboard!$C$28)),"-")</f>
        <v>-</v>
      </c>
      <c r="P138" s="341">
        <f>IF(Heat_connections[[#This Row],[Category]]="Domestic",Heat_connections[[#This Row],[No. of connections]],0)</f>
        <v>0</v>
      </c>
      <c r="Q138" s="341">
        <f>IF(Heat_connections[[#This Row],[Category]]&lt;&gt;"Domestic",Heat_connections[[#This Row],[No. of connections]],0)</f>
        <v>0</v>
      </c>
      <c r="R138" s="209"/>
      <c r="S138" s="512">
        <f>IF(Heat_connections[[#This Row],[TOID]]&lt;&gt;"-",
IF(ISBLANK('Heat connections'!$R138),Dashboard!$C$14,'Heat connections'!$R138),0)</f>
        <v>0</v>
      </c>
      <c r="T138" s="513">
        <f>IF(Heat_connections[[#This Row],[Peak Demand, kW]]&lt;&gt;0,'Heat connections'!$G138*Dashboard!$C$21,0)</f>
        <v>0</v>
      </c>
      <c r="U138" s="514">
        <f>IF(Heat_connections[[#This Row],[Ref]]&lt;&gt;"-",48.436*Heat_connections[[#This Row],[Peak Demand, kW]]+1068.7,0)</f>
        <v>0</v>
      </c>
      <c r="V138" s="515">
        <f>IF(Heat_connections[[#This Row],[Ref]]&lt;&gt;"-",
_xlfn.XLOOKUP('Heat connections'!$G138,'Technical inputs'!$F$79:$F$94,'Technical inputs'!$I$79:$I$94,0,1,1),0)</f>
        <v>0</v>
      </c>
      <c r="W138" s="429">
        <f>IF('Heat connections'!$E138="Domestic",1,0)</f>
        <v>0</v>
      </c>
      <c r="X138" s="430">
        <f>IF(AND(Heat_connections[[#This Row],[Ref]]&lt;&gt;"-",'Heat connections'!$E138&lt;&gt;"Domestic"),1,0)</f>
        <v>0</v>
      </c>
      <c r="Y138" s="434">
        <v>84</v>
      </c>
      <c r="Z138" s="438">
        <f>IF(Heat_connections[[#This Row],[Existing/planned development]]&lt;&gt;0,1,0)</f>
        <v>0</v>
      </c>
      <c r="AA138" s="430">
        <f>IF('Heat connections'!$M138=1,1,0)</f>
        <v>0</v>
      </c>
      <c r="AB138" s="430">
        <f>IF('Heat connections'!$M138=2,1,0)</f>
        <v>0</v>
      </c>
      <c r="AC138" s="434">
        <f>IF('Heat connections'!$M138=3,1,0)</f>
        <v>0</v>
      </c>
      <c r="AD138" s="46" t="str">
        <f>IF(AND(Heat_connections[[#This Row],[Connected to heat network]]="Yes",Heat_connections[[#This Row],[Ref]]&lt;&gt;"-"),"Yes","No")</f>
        <v>No</v>
      </c>
    </row>
    <row r="139" spans="3:30" ht="12.75" x14ac:dyDescent="0.2">
      <c r="C139" s="208" t="str" cm="1">
        <f t="array" ref="C139">IFERROR(_xlfn.XLOOKUP($C$3,Heat_connections_input[#Headers],Heat_connections_input[#This Row],0,0,),"-")</f>
        <v>-</v>
      </c>
      <c r="D139" s="323" t="str" cm="1">
        <f t="array" ref="D139">IFERROR(_xlfn.XLOOKUP($D$3,Heat_connections_input[#Headers],Heat_connections_input[#This Row],0,0,),"-")</f>
        <v>-</v>
      </c>
      <c r="E139" s="284" t="str" cm="1">
        <f t="array" ref="E139">IFERROR(_xlfn.XLOOKUP($E$3,Heat_connections_input[#Headers],Heat_connections_input[#This Row],0,0,),"-")</f>
        <v>-</v>
      </c>
      <c r="F139" s="259" cm="1">
        <f t="array" ref="F139">IFERROR(_xlfn.XLOOKUP($F$3,Heat_connections_input[#Headers],Heat_connections_input[#This Row],0,0,),0)</f>
        <v>0</v>
      </c>
      <c r="G139" s="259" cm="1">
        <f t="array" ref="G139">IFERROR(_xlfn.XLOOKUP($G$3,Heat_connections_input[#Headers],Heat_connections_input[#This Row],0,0,),0)</f>
        <v>0</v>
      </c>
      <c r="H139" s="341" cm="1">
        <f t="array" ref="H139">IFERROR(_xlfn.XLOOKUP($H$3,Heat_connections_input[#Headers],Heat_connections_input[#This Row],0,0,),0)</f>
        <v>0</v>
      </c>
      <c r="I139" s="326" t="str" cm="1">
        <f t="array" ref="I139">IFERROR(_xlfn.XLOOKUP($I$3,Heat_connections_input[#Headers],Heat_connections_input[#This Row],0,0,),"-")</f>
        <v>-</v>
      </c>
      <c r="J139" s="326" t="str" cm="1">
        <f t="array" ref="J139">IFERROR(_xlfn.XLOOKUP($J$3,Heat_connections_input[#Headers],Heat_connections_input[#This Row],0,0,1),"-")</f>
        <v>-</v>
      </c>
      <c r="K139" s="260"/>
      <c r="L139" s="261"/>
      <c r="M139" s="262"/>
      <c r="N139" s="263"/>
      <c r="O139" s="264" t="str">
        <f>IF(Heat_connections[[#This Row],[Ref]]&lt;&gt;"-",
IF(M139=1,Dashboard!$C$26,IF(M139=2,Dashboard!$C$27,Dashboard!$C$28)),"-")</f>
        <v>-</v>
      </c>
      <c r="P139" s="341">
        <f>IF(Heat_connections[[#This Row],[Category]]="Domestic",Heat_connections[[#This Row],[No. of connections]],0)</f>
        <v>0</v>
      </c>
      <c r="Q139" s="341">
        <f>IF(Heat_connections[[#This Row],[Category]]&lt;&gt;"Domestic",Heat_connections[[#This Row],[No. of connections]],0)</f>
        <v>0</v>
      </c>
      <c r="R139" s="209"/>
      <c r="S139" s="512">
        <f>IF(Heat_connections[[#This Row],[TOID]]&lt;&gt;"-",
IF(ISBLANK('Heat connections'!$R139),Dashboard!$C$14,'Heat connections'!$R139),0)</f>
        <v>0</v>
      </c>
      <c r="T139" s="513">
        <f>IF(Heat_connections[[#This Row],[Peak Demand, kW]]&lt;&gt;0,'Heat connections'!$G139*Dashboard!$C$21,0)</f>
        <v>0</v>
      </c>
      <c r="U139" s="514">
        <f>IF(Heat_connections[[#This Row],[Ref]]&lt;&gt;"-",48.436*Heat_connections[[#This Row],[Peak Demand, kW]]+1068.7,0)</f>
        <v>0</v>
      </c>
      <c r="V139" s="515">
        <f>IF(Heat_connections[[#This Row],[Ref]]&lt;&gt;"-",
_xlfn.XLOOKUP('Heat connections'!$G139,'Technical inputs'!$F$79:$F$94,'Technical inputs'!$I$79:$I$94,0,1,1),0)</f>
        <v>0</v>
      </c>
      <c r="W139" s="429">
        <f>IF('Heat connections'!$E139="Domestic",1,0)</f>
        <v>0</v>
      </c>
      <c r="X139" s="430">
        <f>IF(AND(Heat_connections[[#This Row],[Ref]]&lt;&gt;"-",'Heat connections'!$E139&lt;&gt;"Domestic"),1,0)</f>
        <v>0</v>
      </c>
      <c r="Y139" s="434">
        <v>85</v>
      </c>
      <c r="Z139" s="438">
        <f>IF(Heat_connections[[#This Row],[Existing/planned development]]&lt;&gt;0,1,0)</f>
        <v>0</v>
      </c>
      <c r="AA139" s="430">
        <f>IF('Heat connections'!$M139=1,1,0)</f>
        <v>0</v>
      </c>
      <c r="AB139" s="430">
        <f>IF('Heat connections'!$M139=2,1,0)</f>
        <v>0</v>
      </c>
      <c r="AC139" s="434">
        <f>IF('Heat connections'!$M139=3,1,0)</f>
        <v>0</v>
      </c>
      <c r="AD139" s="46" t="str">
        <f>IF(AND(Heat_connections[[#This Row],[Connected to heat network]]="Yes",Heat_connections[[#This Row],[Ref]]&lt;&gt;"-"),"Yes","No")</f>
        <v>No</v>
      </c>
    </row>
    <row r="140" spans="3:30" ht="12.75" x14ac:dyDescent="0.2">
      <c r="C140" s="208" t="str" cm="1">
        <f t="array" ref="C140">IFERROR(_xlfn.XLOOKUP($C$3,Heat_connections_input[#Headers],Heat_connections_input[#This Row],0,0,),"-")</f>
        <v>-</v>
      </c>
      <c r="D140" s="323" t="str" cm="1">
        <f t="array" ref="D140">IFERROR(_xlfn.XLOOKUP($D$3,Heat_connections_input[#Headers],Heat_connections_input[#This Row],0,0,),"-")</f>
        <v>-</v>
      </c>
      <c r="E140" s="284" t="str" cm="1">
        <f t="array" ref="E140">IFERROR(_xlfn.XLOOKUP($E$3,Heat_connections_input[#Headers],Heat_connections_input[#This Row],0,0,),"-")</f>
        <v>-</v>
      </c>
      <c r="F140" s="259" cm="1">
        <f t="array" ref="F140">IFERROR(_xlfn.XLOOKUP($F$3,Heat_connections_input[#Headers],Heat_connections_input[#This Row],0,0,),0)</f>
        <v>0</v>
      </c>
      <c r="G140" s="259" cm="1">
        <f t="array" ref="G140">IFERROR(_xlfn.XLOOKUP($G$3,Heat_connections_input[#Headers],Heat_connections_input[#This Row],0,0,),0)</f>
        <v>0</v>
      </c>
      <c r="H140" s="341" cm="1">
        <f t="array" ref="H140">IFERROR(_xlfn.XLOOKUP($H$3,Heat_connections_input[#Headers],Heat_connections_input[#This Row],0,0,),0)</f>
        <v>0</v>
      </c>
      <c r="I140" s="326" t="str" cm="1">
        <f t="array" ref="I140">IFERROR(_xlfn.XLOOKUP($I$3,Heat_connections_input[#Headers],Heat_connections_input[#This Row],0,0,),"-")</f>
        <v>-</v>
      </c>
      <c r="J140" s="326" t="str" cm="1">
        <f t="array" ref="J140">IFERROR(_xlfn.XLOOKUP($J$3,Heat_connections_input[#Headers],Heat_connections_input[#This Row],0,0,1),"-")</f>
        <v>-</v>
      </c>
      <c r="K140" s="260"/>
      <c r="L140" s="261"/>
      <c r="M140" s="262"/>
      <c r="N140" s="263"/>
      <c r="O140" s="264" t="str">
        <f>IF(Heat_connections[[#This Row],[Ref]]&lt;&gt;"-",
IF(M140=1,Dashboard!$C$26,IF(M140=2,Dashboard!$C$27,Dashboard!$C$28)),"-")</f>
        <v>-</v>
      </c>
      <c r="P140" s="341">
        <f>IF(Heat_connections[[#This Row],[Category]]="Domestic",Heat_connections[[#This Row],[No. of connections]],0)</f>
        <v>0</v>
      </c>
      <c r="Q140" s="341">
        <f>IF(Heat_connections[[#This Row],[Category]]&lt;&gt;"Domestic",Heat_connections[[#This Row],[No. of connections]],0)</f>
        <v>0</v>
      </c>
      <c r="R140" s="209"/>
      <c r="S140" s="512">
        <f>IF(Heat_connections[[#This Row],[TOID]]&lt;&gt;"-",
IF(ISBLANK('Heat connections'!$R140),Dashboard!$C$14,'Heat connections'!$R140),0)</f>
        <v>0</v>
      </c>
      <c r="T140" s="513">
        <f>IF(Heat_connections[[#This Row],[Peak Demand, kW]]&lt;&gt;0,'Heat connections'!$G140*Dashboard!$C$21,0)</f>
        <v>0</v>
      </c>
      <c r="U140" s="514">
        <f>IF(Heat_connections[[#This Row],[Ref]]&lt;&gt;"-",48.436*Heat_connections[[#This Row],[Peak Demand, kW]]+1068.7,0)</f>
        <v>0</v>
      </c>
      <c r="V140" s="515">
        <f>IF(Heat_connections[[#This Row],[Ref]]&lt;&gt;"-",
_xlfn.XLOOKUP('Heat connections'!$G140,'Technical inputs'!$F$79:$F$94,'Technical inputs'!$I$79:$I$94,0,1,1),0)</f>
        <v>0</v>
      </c>
      <c r="W140" s="429">
        <f>IF('Heat connections'!$E140="Domestic",1,0)</f>
        <v>0</v>
      </c>
      <c r="X140" s="430">
        <f>IF(AND(Heat_connections[[#This Row],[Ref]]&lt;&gt;"-",'Heat connections'!$E140&lt;&gt;"Domestic"),1,0)</f>
        <v>0</v>
      </c>
      <c r="Y140" s="434">
        <v>86</v>
      </c>
      <c r="Z140" s="438">
        <f>IF(Heat_connections[[#This Row],[Existing/planned development]]&lt;&gt;0,1,0)</f>
        <v>0</v>
      </c>
      <c r="AA140" s="430">
        <f>IF('Heat connections'!$M140=1,1,0)</f>
        <v>0</v>
      </c>
      <c r="AB140" s="430">
        <f>IF('Heat connections'!$M140=2,1,0)</f>
        <v>0</v>
      </c>
      <c r="AC140" s="434">
        <f>IF('Heat connections'!$M140=3,1,0)</f>
        <v>0</v>
      </c>
      <c r="AD140" s="46" t="str">
        <f>IF(AND(Heat_connections[[#This Row],[Connected to heat network]]="Yes",Heat_connections[[#This Row],[Ref]]&lt;&gt;"-"),"Yes","No")</f>
        <v>No</v>
      </c>
    </row>
    <row r="141" spans="3:30" ht="12.75" x14ac:dyDescent="0.2">
      <c r="C141" s="208" t="str" cm="1">
        <f t="array" ref="C141">IFERROR(_xlfn.XLOOKUP($C$3,Heat_connections_input[#Headers],Heat_connections_input[#This Row],0,0,),"-")</f>
        <v>-</v>
      </c>
      <c r="D141" s="323" t="str" cm="1">
        <f t="array" ref="D141">IFERROR(_xlfn.XLOOKUP($D$3,Heat_connections_input[#Headers],Heat_connections_input[#This Row],0,0,),"-")</f>
        <v>-</v>
      </c>
      <c r="E141" s="284" t="str" cm="1">
        <f t="array" ref="E141">IFERROR(_xlfn.XLOOKUP($E$3,Heat_connections_input[#Headers],Heat_connections_input[#This Row],0,0,),"-")</f>
        <v>-</v>
      </c>
      <c r="F141" s="259" cm="1">
        <f t="array" ref="F141">IFERROR(_xlfn.XLOOKUP($F$3,Heat_connections_input[#Headers],Heat_connections_input[#This Row],0,0,),0)</f>
        <v>0</v>
      </c>
      <c r="G141" s="259" cm="1">
        <f t="array" ref="G141">IFERROR(_xlfn.XLOOKUP($G$3,Heat_connections_input[#Headers],Heat_connections_input[#This Row],0,0,),0)</f>
        <v>0</v>
      </c>
      <c r="H141" s="341" cm="1">
        <f t="array" ref="H141">IFERROR(_xlfn.XLOOKUP($H$3,Heat_connections_input[#Headers],Heat_connections_input[#This Row],0,0,),0)</f>
        <v>0</v>
      </c>
      <c r="I141" s="326" t="str" cm="1">
        <f t="array" ref="I141">IFERROR(_xlfn.XLOOKUP($I$3,Heat_connections_input[#Headers],Heat_connections_input[#This Row],0,0,),"-")</f>
        <v>-</v>
      </c>
      <c r="J141" s="326" t="str" cm="1">
        <f t="array" ref="J141">IFERROR(_xlfn.XLOOKUP($J$3,Heat_connections_input[#Headers],Heat_connections_input[#This Row],0,0,1),"-")</f>
        <v>-</v>
      </c>
      <c r="K141" s="260"/>
      <c r="L141" s="261"/>
      <c r="M141" s="262"/>
      <c r="N141" s="263"/>
      <c r="O141" s="264" t="str">
        <f>IF(Heat_connections[[#This Row],[Ref]]&lt;&gt;"-",
IF(M141=1,Dashboard!$C$26,IF(M141=2,Dashboard!$C$27,Dashboard!$C$28)),"-")</f>
        <v>-</v>
      </c>
      <c r="P141" s="341">
        <f>IF(Heat_connections[[#This Row],[Category]]="Domestic",Heat_connections[[#This Row],[No. of connections]],0)</f>
        <v>0</v>
      </c>
      <c r="Q141" s="341">
        <f>IF(Heat_connections[[#This Row],[Category]]&lt;&gt;"Domestic",Heat_connections[[#This Row],[No. of connections]],0)</f>
        <v>0</v>
      </c>
      <c r="R141" s="209"/>
      <c r="S141" s="512">
        <f>IF(Heat_connections[[#This Row],[TOID]]&lt;&gt;"-",
IF(ISBLANK('Heat connections'!$R141),Dashboard!$C$14,'Heat connections'!$R141),0)</f>
        <v>0</v>
      </c>
      <c r="T141" s="513">
        <f>IF(Heat_connections[[#This Row],[Peak Demand, kW]]&lt;&gt;0,'Heat connections'!$G141*Dashboard!$C$21,0)</f>
        <v>0</v>
      </c>
      <c r="U141" s="514">
        <f>IF(Heat_connections[[#This Row],[Ref]]&lt;&gt;"-",48.436*Heat_connections[[#This Row],[Peak Demand, kW]]+1068.7,0)</f>
        <v>0</v>
      </c>
      <c r="V141" s="515">
        <f>IF(Heat_connections[[#This Row],[Ref]]&lt;&gt;"-",
_xlfn.XLOOKUP('Heat connections'!$G141,'Technical inputs'!$F$79:$F$94,'Technical inputs'!$I$79:$I$94,0,1,1),0)</f>
        <v>0</v>
      </c>
      <c r="W141" s="429">
        <f>IF('Heat connections'!$E141="Domestic",1,0)</f>
        <v>0</v>
      </c>
      <c r="X141" s="430">
        <f>IF(AND(Heat_connections[[#This Row],[Ref]]&lt;&gt;"-",'Heat connections'!$E141&lt;&gt;"Domestic"),1,0)</f>
        <v>0</v>
      </c>
      <c r="Y141" s="434">
        <v>87</v>
      </c>
      <c r="Z141" s="438">
        <f>IF(Heat_connections[[#This Row],[Existing/planned development]]&lt;&gt;0,1,0)</f>
        <v>0</v>
      </c>
      <c r="AA141" s="430">
        <f>IF('Heat connections'!$M141=1,1,0)</f>
        <v>0</v>
      </c>
      <c r="AB141" s="430">
        <f>IF('Heat connections'!$M141=2,1,0)</f>
        <v>0</v>
      </c>
      <c r="AC141" s="434">
        <f>IF('Heat connections'!$M141=3,1,0)</f>
        <v>0</v>
      </c>
      <c r="AD141" s="46" t="str">
        <f>IF(AND(Heat_connections[[#This Row],[Connected to heat network]]="Yes",Heat_connections[[#This Row],[Ref]]&lt;&gt;"-"),"Yes","No")</f>
        <v>No</v>
      </c>
    </row>
    <row r="142" spans="3:30" ht="12.75" x14ac:dyDescent="0.2">
      <c r="C142" s="208" t="str" cm="1">
        <f t="array" ref="C142">IFERROR(_xlfn.XLOOKUP($C$3,Heat_connections_input[#Headers],Heat_connections_input[#This Row],0,0,),"-")</f>
        <v>-</v>
      </c>
      <c r="D142" s="323" t="str" cm="1">
        <f t="array" ref="D142">IFERROR(_xlfn.XLOOKUP($D$3,Heat_connections_input[#Headers],Heat_connections_input[#This Row],0,0,),"-")</f>
        <v>-</v>
      </c>
      <c r="E142" s="284" t="str" cm="1">
        <f t="array" ref="E142">IFERROR(_xlfn.XLOOKUP($E$3,Heat_connections_input[#Headers],Heat_connections_input[#This Row],0,0,),"-")</f>
        <v>-</v>
      </c>
      <c r="F142" s="259" cm="1">
        <f t="array" ref="F142">IFERROR(_xlfn.XLOOKUP($F$3,Heat_connections_input[#Headers],Heat_connections_input[#This Row],0,0,),0)</f>
        <v>0</v>
      </c>
      <c r="G142" s="259" cm="1">
        <f t="array" ref="G142">IFERROR(_xlfn.XLOOKUP($G$3,Heat_connections_input[#Headers],Heat_connections_input[#This Row],0,0,),0)</f>
        <v>0</v>
      </c>
      <c r="H142" s="341" cm="1">
        <f t="array" ref="H142">IFERROR(_xlfn.XLOOKUP($H$3,Heat_connections_input[#Headers],Heat_connections_input[#This Row],0,0,),0)</f>
        <v>0</v>
      </c>
      <c r="I142" s="326" t="str" cm="1">
        <f t="array" ref="I142">IFERROR(_xlfn.XLOOKUP($I$3,Heat_connections_input[#Headers],Heat_connections_input[#This Row],0,0,),"-")</f>
        <v>-</v>
      </c>
      <c r="J142" s="326" t="str" cm="1">
        <f t="array" ref="J142">IFERROR(_xlfn.XLOOKUP($J$3,Heat_connections_input[#Headers],Heat_connections_input[#This Row],0,0,1),"-")</f>
        <v>-</v>
      </c>
      <c r="K142" s="260"/>
      <c r="L142" s="261"/>
      <c r="M142" s="262"/>
      <c r="N142" s="263"/>
      <c r="O142" s="264" t="str">
        <f>IF(Heat_connections[[#This Row],[Ref]]&lt;&gt;"-",
IF(M142=1,Dashboard!$C$26,IF(M142=2,Dashboard!$C$27,Dashboard!$C$28)),"-")</f>
        <v>-</v>
      </c>
      <c r="P142" s="341">
        <f>IF(Heat_connections[[#This Row],[Category]]="Domestic",Heat_connections[[#This Row],[No. of connections]],0)</f>
        <v>0</v>
      </c>
      <c r="Q142" s="341">
        <f>IF(Heat_connections[[#This Row],[Category]]&lt;&gt;"Domestic",Heat_connections[[#This Row],[No. of connections]],0)</f>
        <v>0</v>
      </c>
      <c r="R142" s="209"/>
      <c r="S142" s="512">
        <f>IF(Heat_connections[[#This Row],[TOID]]&lt;&gt;"-",
IF(ISBLANK('Heat connections'!$R142),Dashboard!$C$14,'Heat connections'!$R142),0)</f>
        <v>0</v>
      </c>
      <c r="T142" s="513">
        <f>IF(Heat_connections[[#This Row],[Peak Demand, kW]]&lt;&gt;0,'Heat connections'!$G142*Dashboard!$C$21,0)</f>
        <v>0</v>
      </c>
      <c r="U142" s="514">
        <f>IF(Heat_connections[[#This Row],[Ref]]&lt;&gt;"-",48.436*Heat_connections[[#This Row],[Peak Demand, kW]]+1068.7,0)</f>
        <v>0</v>
      </c>
      <c r="V142" s="515">
        <f>IF(Heat_connections[[#This Row],[Ref]]&lt;&gt;"-",
_xlfn.XLOOKUP('Heat connections'!$G142,'Technical inputs'!$F$79:$F$94,'Technical inputs'!$I$79:$I$94,0,1,1),0)</f>
        <v>0</v>
      </c>
      <c r="W142" s="429">
        <f>IF('Heat connections'!$E142="Domestic",1,0)</f>
        <v>0</v>
      </c>
      <c r="X142" s="430">
        <f>IF(AND(Heat_connections[[#This Row],[Ref]]&lt;&gt;"-",'Heat connections'!$E142&lt;&gt;"Domestic"),1,0)</f>
        <v>0</v>
      </c>
      <c r="Y142" s="434">
        <v>88</v>
      </c>
      <c r="Z142" s="438">
        <f>IF(Heat_connections[[#This Row],[Existing/planned development]]&lt;&gt;0,1,0)</f>
        <v>0</v>
      </c>
      <c r="AA142" s="430">
        <f>IF('Heat connections'!$M142=1,1,0)</f>
        <v>0</v>
      </c>
      <c r="AB142" s="430">
        <f>IF('Heat connections'!$M142=2,1,0)</f>
        <v>0</v>
      </c>
      <c r="AC142" s="434">
        <f>IF('Heat connections'!$M142=3,1,0)</f>
        <v>0</v>
      </c>
      <c r="AD142" s="46" t="str">
        <f>IF(AND(Heat_connections[[#This Row],[Connected to heat network]]="Yes",Heat_connections[[#This Row],[Ref]]&lt;&gt;"-"),"Yes","No")</f>
        <v>No</v>
      </c>
    </row>
    <row r="143" spans="3:30" ht="12.75" x14ac:dyDescent="0.2">
      <c r="C143" s="208" t="str" cm="1">
        <f t="array" ref="C143">IFERROR(_xlfn.XLOOKUP($C$3,Heat_connections_input[#Headers],Heat_connections_input[#This Row],0,0,),"-")</f>
        <v>-</v>
      </c>
      <c r="D143" s="323" t="str" cm="1">
        <f t="array" ref="D143">IFERROR(_xlfn.XLOOKUP($D$3,Heat_connections_input[#Headers],Heat_connections_input[#This Row],0,0,),"-")</f>
        <v>-</v>
      </c>
      <c r="E143" s="284" t="str" cm="1">
        <f t="array" ref="E143">IFERROR(_xlfn.XLOOKUP($E$3,Heat_connections_input[#Headers],Heat_connections_input[#This Row],0,0,),"-")</f>
        <v>-</v>
      </c>
      <c r="F143" s="259" cm="1">
        <f t="array" ref="F143">IFERROR(_xlfn.XLOOKUP($F$3,Heat_connections_input[#Headers],Heat_connections_input[#This Row],0,0,),0)</f>
        <v>0</v>
      </c>
      <c r="G143" s="259" cm="1">
        <f t="array" ref="G143">IFERROR(_xlfn.XLOOKUP($G$3,Heat_connections_input[#Headers],Heat_connections_input[#This Row],0,0,),0)</f>
        <v>0</v>
      </c>
      <c r="H143" s="341" cm="1">
        <f t="array" ref="H143">IFERROR(_xlfn.XLOOKUP($H$3,Heat_connections_input[#Headers],Heat_connections_input[#This Row],0,0,),0)</f>
        <v>0</v>
      </c>
      <c r="I143" s="326" t="str" cm="1">
        <f t="array" ref="I143">IFERROR(_xlfn.XLOOKUP($I$3,Heat_connections_input[#Headers],Heat_connections_input[#This Row],0,0,),"-")</f>
        <v>-</v>
      </c>
      <c r="J143" s="326" t="str" cm="1">
        <f t="array" ref="J143">IFERROR(_xlfn.XLOOKUP($J$3,Heat_connections_input[#Headers],Heat_connections_input[#This Row],0,0,1),"-")</f>
        <v>-</v>
      </c>
      <c r="K143" s="260"/>
      <c r="L143" s="261"/>
      <c r="M143" s="262"/>
      <c r="N143" s="263"/>
      <c r="O143" s="264" t="str">
        <f>IF(Heat_connections[[#This Row],[Ref]]&lt;&gt;"-",
IF(M143=1,Dashboard!$C$26,IF(M143=2,Dashboard!$C$27,Dashboard!$C$28)),"-")</f>
        <v>-</v>
      </c>
      <c r="P143" s="341">
        <f>IF(Heat_connections[[#This Row],[Category]]="Domestic",Heat_connections[[#This Row],[No. of connections]],0)</f>
        <v>0</v>
      </c>
      <c r="Q143" s="341">
        <f>IF(Heat_connections[[#This Row],[Category]]&lt;&gt;"Domestic",Heat_connections[[#This Row],[No. of connections]],0)</f>
        <v>0</v>
      </c>
      <c r="R143" s="209"/>
      <c r="S143" s="512">
        <f>IF(Heat_connections[[#This Row],[TOID]]&lt;&gt;"-",
IF(ISBLANK('Heat connections'!$R143),Dashboard!$C$14,'Heat connections'!$R143),0)</f>
        <v>0</v>
      </c>
      <c r="T143" s="513">
        <f>IF(Heat_connections[[#This Row],[Peak Demand, kW]]&lt;&gt;0,'Heat connections'!$G143*Dashboard!$C$21,0)</f>
        <v>0</v>
      </c>
      <c r="U143" s="514">
        <f>IF(Heat_connections[[#This Row],[Ref]]&lt;&gt;"-",48.436*Heat_connections[[#This Row],[Peak Demand, kW]]+1068.7,0)</f>
        <v>0</v>
      </c>
      <c r="V143" s="515">
        <f>IF(Heat_connections[[#This Row],[Ref]]&lt;&gt;"-",
_xlfn.XLOOKUP('Heat connections'!$G143,'Technical inputs'!$F$79:$F$94,'Technical inputs'!$I$79:$I$94,0,1,1),0)</f>
        <v>0</v>
      </c>
      <c r="W143" s="429">
        <f>IF('Heat connections'!$E143="Domestic",1,0)</f>
        <v>0</v>
      </c>
      <c r="X143" s="430">
        <f>IF(AND(Heat_connections[[#This Row],[Ref]]&lt;&gt;"-",'Heat connections'!$E143&lt;&gt;"Domestic"),1,0)</f>
        <v>0</v>
      </c>
      <c r="Y143" s="434">
        <v>89</v>
      </c>
      <c r="Z143" s="438">
        <f>IF(Heat_connections[[#This Row],[Existing/planned development]]&lt;&gt;0,1,0)</f>
        <v>0</v>
      </c>
      <c r="AA143" s="430">
        <f>IF('Heat connections'!$M143=1,1,0)</f>
        <v>0</v>
      </c>
      <c r="AB143" s="430">
        <f>IF('Heat connections'!$M143=2,1,0)</f>
        <v>0</v>
      </c>
      <c r="AC143" s="434">
        <f>IF('Heat connections'!$M143=3,1,0)</f>
        <v>0</v>
      </c>
      <c r="AD143" s="46" t="str">
        <f>IF(AND(Heat_connections[[#This Row],[Connected to heat network]]="Yes",Heat_connections[[#This Row],[Ref]]&lt;&gt;"-"),"Yes","No")</f>
        <v>No</v>
      </c>
    </row>
    <row r="144" spans="3:30" ht="12.75" x14ac:dyDescent="0.2">
      <c r="C144" s="208" t="str" cm="1">
        <f t="array" ref="C144">IFERROR(_xlfn.XLOOKUP($C$3,Heat_connections_input[#Headers],Heat_connections_input[#This Row],0,0,),"-")</f>
        <v>-</v>
      </c>
      <c r="D144" s="323" t="str" cm="1">
        <f t="array" ref="D144">IFERROR(_xlfn.XLOOKUP($D$3,Heat_connections_input[#Headers],Heat_connections_input[#This Row],0,0,),"-")</f>
        <v>-</v>
      </c>
      <c r="E144" s="284" t="str" cm="1">
        <f t="array" ref="E144">IFERROR(_xlfn.XLOOKUP($E$3,Heat_connections_input[#Headers],Heat_connections_input[#This Row],0,0,),"-")</f>
        <v>-</v>
      </c>
      <c r="F144" s="259" cm="1">
        <f t="array" ref="F144">IFERROR(_xlfn.XLOOKUP($F$3,Heat_connections_input[#Headers],Heat_connections_input[#This Row],0,0,),0)</f>
        <v>0</v>
      </c>
      <c r="G144" s="259" cm="1">
        <f t="array" ref="G144">IFERROR(_xlfn.XLOOKUP($G$3,Heat_connections_input[#Headers],Heat_connections_input[#This Row],0,0,),0)</f>
        <v>0</v>
      </c>
      <c r="H144" s="341" cm="1">
        <f t="array" ref="H144">IFERROR(_xlfn.XLOOKUP($H$3,Heat_connections_input[#Headers],Heat_connections_input[#This Row],0,0,),0)</f>
        <v>0</v>
      </c>
      <c r="I144" s="326" t="str" cm="1">
        <f t="array" ref="I144">IFERROR(_xlfn.XLOOKUP($I$3,Heat_connections_input[#Headers],Heat_connections_input[#This Row],0,0,),"-")</f>
        <v>-</v>
      </c>
      <c r="J144" s="326" t="str" cm="1">
        <f t="array" ref="J144">IFERROR(_xlfn.XLOOKUP($J$3,Heat_connections_input[#Headers],Heat_connections_input[#This Row],0,0,1),"-")</f>
        <v>-</v>
      </c>
      <c r="K144" s="260"/>
      <c r="L144" s="261"/>
      <c r="M144" s="262"/>
      <c r="N144" s="263"/>
      <c r="O144" s="264" t="str">
        <f>IF(Heat_connections[[#This Row],[Ref]]&lt;&gt;"-",
IF(M144=1,Dashboard!$C$26,IF(M144=2,Dashboard!$C$27,Dashboard!$C$28)),"-")</f>
        <v>-</v>
      </c>
      <c r="P144" s="341">
        <f>IF(Heat_connections[[#This Row],[Category]]="Domestic",Heat_connections[[#This Row],[No. of connections]],0)</f>
        <v>0</v>
      </c>
      <c r="Q144" s="341">
        <f>IF(Heat_connections[[#This Row],[Category]]&lt;&gt;"Domestic",Heat_connections[[#This Row],[No. of connections]],0)</f>
        <v>0</v>
      </c>
      <c r="R144" s="209"/>
      <c r="S144" s="512">
        <f>IF(Heat_connections[[#This Row],[TOID]]&lt;&gt;"-",
IF(ISBLANK('Heat connections'!$R144),Dashboard!$C$14,'Heat connections'!$R144),0)</f>
        <v>0</v>
      </c>
      <c r="T144" s="513">
        <f>IF(Heat_connections[[#This Row],[Peak Demand, kW]]&lt;&gt;0,'Heat connections'!$G144*Dashboard!$C$21,0)</f>
        <v>0</v>
      </c>
      <c r="U144" s="514">
        <f>IF(Heat_connections[[#This Row],[Ref]]&lt;&gt;"-",48.436*Heat_connections[[#This Row],[Peak Demand, kW]]+1068.7,0)</f>
        <v>0</v>
      </c>
      <c r="V144" s="515">
        <f>IF(Heat_connections[[#This Row],[Ref]]&lt;&gt;"-",
_xlfn.XLOOKUP('Heat connections'!$G144,'Technical inputs'!$F$79:$F$94,'Technical inputs'!$I$79:$I$94,0,1,1),0)</f>
        <v>0</v>
      </c>
      <c r="W144" s="429">
        <f>IF('Heat connections'!$E144="Domestic",1,0)</f>
        <v>0</v>
      </c>
      <c r="X144" s="430">
        <f>IF(AND(Heat_connections[[#This Row],[Ref]]&lt;&gt;"-",'Heat connections'!$E144&lt;&gt;"Domestic"),1,0)</f>
        <v>0</v>
      </c>
      <c r="Y144" s="434">
        <v>90</v>
      </c>
      <c r="Z144" s="438">
        <f>IF(Heat_connections[[#This Row],[Existing/planned development]]&lt;&gt;0,1,0)</f>
        <v>0</v>
      </c>
      <c r="AA144" s="430">
        <f>IF('Heat connections'!$M144=1,1,0)</f>
        <v>0</v>
      </c>
      <c r="AB144" s="430">
        <f>IF('Heat connections'!$M144=2,1,0)</f>
        <v>0</v>
      </c>
      <c r="AC144" s="434">
        <f>IF('Heat connections'!$M144=3,1,0)</f>
        <v>0</v>
      </c>
      <c r="AD144" s="46" t="str">
        <f>IF(AND(Heat_connections[[#This Row],[Connected to heat network]]="Yes",Heat_connections[[#This Row],[Ref]]&lt;&gt;"-"),"Yes","No")</f>
        <v>No</v>
      </c>
    </row>
    <row r="145" spans="3:30" ht="12.75" x14ac:dyDescent="0.2">
      <c r="C145" s="208" t="str" cm="1">
        <f t="array" ref="C145">IFERROR(_xlfn.XLOOKUP($C$3,Heat_connections_input[#Headers],Heat_connections_input[#This Row],0,0,),"-")</f>
        <v>-</v>
      </c>
      <c r="D145" s="323" t="str" cm="1">
        <f t="array" ref="D145">IFERROR(_xlfn.XLOOKUP($D$3,Heat_connections_input[#Headers],Heat_connections_input[#This Row],0,0,),"-")</f>
        <v>-</v>
      </c>
      <c r="E145" s="284" t="str" cm="1">
        <f t="array" ref="E145">IFERROR(_xlfn.XLOOKUP($E$3,Heat_connections_input[#Headers],Heat_connections_input[#This Row],0,0,),"-")</f>
        <v>-</v>
      </c>
      <c r="F145" s="259" cm="1">
        <f t="array" ref="F145">IFERROR(_xlfn.XLOOKUP($F$3,Heat_connections_input[#Headers],Heat_connections_input[#This Row],0,0,),0)</f>
        <v>0</v>
      </c>
      <c r="G145" s="259" cm="1">
        <f t="array" ref="G145">IFERROR(_xlfn.XLOOKUP($G$3,Heat_connections_input[#Headers],Heat_connections_input[#This Row],0,0,),0)</f>
        <v>0</v>
      </c>
      <c r="H145" s="341" cm="1">
        <f t="array" ref="H145">IFERROR(_xlfn.XLOOKUP($H$3,Heat_connections_input[#Headers],Heat_connections_input[#This Row],0,0,),0)</f>
        <v>0</v>
      </c>
      <c r="I145" s="326" t="str" cm="1">
        <f t="array" ref="I145">IFERROR(_xlfn.XLOOKUP($I$3,Heat_connections_input[#Headers],Heat_connections_input[#This Row],0,0,),"-")</f>
        <v>-</v>
      </c>
      <c r="J145" s="326" t="str" cm="1">
        <f t="array" ref="J145">IFERROR(_xlfn.XLOOKUP($J$3,Heat_connections_input[#Headers],Heat_connections_input[#This Row],0,0,1),"-")</f>
        <v>-</v>
      </c>
      <c r="K145" s="260"/>
      <c r="L145" s="261"/>
      <c r="M145" s="262"/>
      <c r="N145" s="263"/>
      <c r="O145" s="264" t="str">
        <f>IF(Heat_connections[[#This Row],[Ref]]&lt;&gt;"-",
IF(M145=1,Dashboard!$C$26,IF(M145=2,Dashboard!$C$27,Dashboard!$C$28)),"-")</f>
        <v>-</v>
      </c>
      <c r="P145" s="341">
        <f>IF(Heat_connections[[#This Row],[Category]]="Domestic",Heat_connections[[#This Row],[No. of connections]],0)</f>
        <v>0</v>
      </c>
      <c r="Q145" s="341">
        <f>IF(Heat_connections[[#This Row],[Category]]&lt;&gt;"Domestic",Heat_connections[[#This Row],[No. of connections]],0)</f>
        <v>0</v>
      </c>
      <c r="R145" s="209"/>
      <c r="S145" s="512">
        <f>IF(Heat_connections[[#This Row],[TOID]]&lt;&gt;"-",
IF(ISBLANK('Heat connections'!$R145),Dashboard!$C$14,'Heat connections'!$R145),0)</f>
        <v>0</v>
      </c>
      <c r="T145" s="513">
        <f>IF(Heat_connections[[#This Row],[Peak Demand, kW]]&lt;&gt;0,'Heat connections'!$G145*Dashboard!$C$21,0)</f>
        <v>0</v>
      </c>
      <c r="U145" s="514">
        <f>IF(Heat_connections[[#This Row],[Ref]]&lt;&gt;"-",48.436*Heat_connections[[#This Row],[Peak Demand, kW]]+1068.7,0)</f>
        <v>0</v>
      </c>
      <c r="V145" s="515">
        <f>IF(Heat_connections[[#This Row],[Ref]]&lt;&gt;"-",
_xlfn.XLOOKUP('Heat connections'!$G145,'Technical inputs'!$F$79:$F$94,'Technical inputs'!$I$79:$I$94,0,1,1),0)</f>
        <v>0</v>
      </c>
      <c r="W145" s="429">
        <f>IF('Heat connections'!$E145="Domestic",1,0)</f>
        <v>0</v>
      </c>
      <c r="X145" s="430">
        <f>IF(AND(Heat_connections[[#This Row],[Ref]]&lt;&gt;"-",'Heat connections'!$E145&lt;&gt;"Domestic"),1,0)</f>
        <v>0</v>
      </c>
      <c r="Y145" s="434">
        <v>91</v>
      </c>
      <c r="Z145" s="438">
        <f>IF(Heat_connections[[#This Row],[Existing/planned development]]&lt;&gt;0,1,0)</f>
        <v>0</v>
      </c>
      <c r="AA145" s="430">
        <f>IF('Heat connections'!$M145=1,1,0)</f>
        <v>0</v>
      </c>
      <c r="AB145" s="430">
        <f>IF('Heat connections'!$M145=2,1,0)</f>
        <v>0</v>
      </c>
      <c r="AC145" s="434">
        <f>IF('Heat connections'!$M145=3,1,0)</f>
        <v>0</v>
      </c>
      <c r="AD145" s="46" t="str">
        <f>IF(AND(Heat_connections[[#This Row],[Connected to heat network]]="Yes",Heat_connections[[#This Row],[Ref]]&lt;&gt;"-"),"Yes","No")</f>
        <v>No</v>
      </c>
    </row>
    <row r="146" spans="3:30" ht="12.75" x14ac:dyDescent="0.2">
      <c r="C146" s="208" t="str" cm="1">
        <f t="array" ref="C146">IFERROR(_xlfn.XLOOKUP($C$3,Heat_connections_input[#Headers],Heat_connections_input[#This Row],0,0,),"-")</f>
        <v>-</v>
      </c>
      <c r="D146" s="323" t="str" cm="1">
        <f t="array" ref="D146">IFERROR(_xlfn.XLOOKUP($D$3,Heat_connections_input[#Headers],Heat_connections_input[#This Row],0,0,),"-")</f>
        <v>-</v>
      </c>
      <c r="E146" s="284" t="str" cm="1">
        <f t="array" ref="E146">IFERROR(_xlfn.XLOOKUP($E$3,Heat_connections_input[#Headers],Heat_connections_input[#This Row],0,0,),"-")</f>
        <v>-</v>
      </c>
      <c r="F146" s="259" cm="1">
        <f t="array" ref="F146">IFERROR(_xlfn.XLOOKUP($F$3,Heat_connections_input[#Headers],Heat_connections_input[#This Row],0,0,),0)</f>
        <v>0</v>
      </c>
      <c r="G146" s="259" cm="1">
        <f t="array" ref="G146">IFERROR(_xlfn.XLOOKUP($G$3,Heat_connections_input[#Headers],Heat_connections_input[#This Row],0,0,),0)</f>
        <v>0</v>
      </c>
      <c r="H146" s="341" cm="1">
        <f t="array" ref="H146">IFERROR(_xlfn.XLOOKUP($H$3,Heat_connections_input[#Headers],Heat_connections_input[#This Row],0,0,),0)</f>
        <v>0</v>
      </c>
      <c r="I146" s="326" t="str" cm="1">
        <f t="array" ref="I146">IFERROR(_xlfn.XLOOKUP($I$3,Heat_connections_input[#Headers],Heat_connections_input[#This Row],0,0,),"-")</f>
        <v>-</v>
      </c>
      <c r="J146" s="326" t="str" cm="1">
        <f t="array" ref="J146">IFERROR(_xlfn.XLOOKUP($J$3,Heat_connections_input[#Headers],Heat_connections_input[#This Row],0,0,1),"-")</f>
        <v>-</v>
      </c>
      <c r="K146" s="260"/>
      <c r="L146" s="261"/>
      <c r="M146" s="262"/>
      <c r="N146" s="263"/>
      <c r="O146" s="264" t="str">
        <f>IF(Heat_connections[[#This Row],[Ref]]&lt;&gt;"-",
IF(M146=1,Dashboard!$C$26,IF(M146=2,Dashboard!$C$27,Dashboard!$C$28)),"-")</f>
        <v>-</v>
      </c>
      <c r="P146" s="341">
        <f>IF(Heat_connections[[#This Row],[Category]]="Domestic",Heat_connections[[#This Row],[No. of connections]],0)</f>
        <v>0</v>
      </c>
      <c r="Q146" s="341">
        <f>IF(Heat_connections[[#This Row],[Category]]&lt;&gt;"Domestic",Heat_connections[[#This Row],[No. of connections]],0)</f>
        <v>0</v>
      </c>
      <c r="R146" s="209"/>
      <c r="S146" s="512">
        <f>IF(Heat_connections[[#This Row],[TOID]]&lt;&gt;"-",
IF(ISBLANK('Heat connections'!$R146),Dashboard!$C$14,'Heat connections'!$R146),0)</f>
        <v>0</v>
      </c>
      <c r="T146" s="513">
        <f>IF(Heat_connections[[#This Row],[Peak Demand, kW]]&lt;&gt;0,'Heat connections'!$G146*Dashboard!$C$21,0)</f>
        <v>0</v>
      </c>
      <c r="U146" s="514">
        <f>IF(Heat_connections[[#This Row],[Ref]]&lt;&gt;"-",48.436*Heat_connections[[#This Row],[Peak Demand, kW]]+1068.7,0)</f>
        <v>0</v>
      </c>
      <c r="V146" s="515">
        <f>IF(Heat_connections[[#This Row],[Ref]]&lt;&gt;"-",
_xlfn.XLOOKUP('Heat connections'!$G146,'Technical inputs'!$F$79:$F$94,'Technical inputs'!$I$79:$I$94,0,1,1),0)</f>
        <v>0</v>
      </c>
      <c r="W146" s="429">
        <f>IF('Heat connections'!$E146="Domestic",1,0)</f>
        <v>0</v>
      </c>
      <c r="X146" s="430">
        <f>IF(AND(Heat_connections[[#This Row],[Ref]]&lt;&gt;"-",'Heat connections'!$E146&lt;&gt;"Domestic"),1,0)</f>
        <v>0</v>
      </c>
      <c r="Y146" s="434">
        <v>92</v>
      </c>
      <c r="Z146" s="438">
        <f>IF(Heat_connections[[#This Row],[Existing/planned development]]&lt;&gt;0,1,0)</f>
        <v>0</v>
      </c>
      <c r="AA146" s="430">
        <f>IF('Heat connections'!$M146=1,1,0)</f>
        <v>0</v>
      </c>
      <c r="AB146" s="430">
        <f>IF('Heat connections'!$M146=2,1,0)</f>
        <v>0</v>
      </c>
      <c r="AC146" s="434">
        <f>IF('Heat connections'!$M146=3,1,0)</f>
        <v>0</v>
      </c>
      <c r="AD146" s="46" t="str">
        <f>IF(AND(Heat_connections[[#This Row],[Connected to heat network]]="Yes",Heat_connections[[#This Row],[Ref]]&lt;&gt;"-"),"Yes","No")</f>
        <v>No</v>
      </c>
    </row>
    <row r="147" spans="3:30" ht="12.75" x14ac:dyDescent="0.2">
      <c r="C147" s="208" t="str" cm="1">
        <f t="array" ref="C147">IFERROR(_xlfn.XLOOKUP($C$3,Heat_connections_input[#Headers],Heat_connections_input[#This Row],0,0,),"-")</f>
        <v>-</v>
      </c>
      <c r="D147" s="323" t="str" cm="1">
        <f t="array" ref="D147">IFERROR(_xlfn.XLOOKUP($D$3,Heat_connections_input[#Headers],Heat_connections_input[#This Row],0,0,),"-")</f>
        <v>-</v>
      </c>
      <c r="E147" s="284" t="str" cm="1">
        <f t="array" ref="E147">IFERROR(_xlfn.XLOOKUP($E$3,Heat_connections_input[#Headers],Heat_connections_input[#This Row],0,0,),"-")</f>
        <v>-</v>
      </c>
      <c r="F147" s="259" cm="1">
        <f t="array" ref="F147">IFERROR(_xlfn.XLOOKUP($F$3,Heat_connections_input[#Headers],Heat_connections_input[#This Row],0,0,),0)</f>
        <v>0</v>
      </c>
      <c r="G147" s="259" cm="1">
        <f t="array" ref="G147">IFERROR(_xlfn.XLOOKUP($G$3,Heat_connections_input[#Headers],Heat_connections_input[#This Row],0,0,),0)</f>
        <v>0</v>
      </c>
      <c r="H147" s="341" cm="1">
        <f t="array" ref="H147">IFERROR(_xlfn.XLOOKUP($H$3,Heat_connections_input[#Headers],Heat_connections_input[#This Row],0,0,),0)</f>
        <v>0</v>
      </c>
      <c r="I147" s="326" t="str" cm="1">
        <f t="array" ref="I147">IFERROR(_xlfn.XLOOKUP($I$3,Heat_connections_input[#Headers],Heat_connections_input[#This Row],0,0,),"-")</f>
        <v>-</v>
      </c>
      <c r="J147" s="326" t="str" cm="1">
        <f t="array" ref="J147">IFERROR(_xlfn.XLOOKUP($J$3,Heat_connections_input[#Headers],Heat_connections_input[#This Row],0,0,1),"-")</f>
        <v>-</v>
      </c>
      <c r="K147" s="260"/>
      <c r="L147" s="261"/>
      <c r="M147" s="262"/>
      <c r="N147" s="263"/>
      <c r="O147" s="264" t="str">
        <f>IF(Heat_connections[[#This Row],[Ref]]&lt;&gt;"-",
IF(M147=1,Dashboard!$C$26,IF(M147=2,Dashboard!$C$27,Dashboard!$C$28)),"-")</f>
        <v>-</v>
      </c>
      <c r="P147" s="341">
        <f>IF(Heat_connections[[#This Row],[Category]]="Domestic",Heat_connections[[#This Row],[No. of connections]],0)</f>
        <v>0</v>
      </c>
      <c r="Q147" s="341">
        <f>IF(Heat_connections[[#This Row],[Category]]&lt;&gt;"Domestic",Heat_connections[[#This Row],[No. of connections]],0)</f>
        <v>0</v>
      </c>
      <c r="R147" s="209"/>
      <c r="S147" s="512">
        <f>IF(Heat_connections[[#This Row],[TOID]]&lt;&gt;"-",
IF(ISBLANK('Heat connections'!$R147),Dashboard!$C$14,'Heat connections'!$R147),0)</f>
        <v>0</v>
      </c>
      <c r="T147" s="513">
        <f>IF(Heat_connections[[#This Row],[Peak Demand, kW]]&lt;&gt;0,'Heat connections'!$G147*Dashboard!$C$21,0)</f>
        <v>0</v>
      </c>
      <c r="U147" s="514">
        <f>IF(Heat_connections[[#This Row],[Ref]]&lt;&gt;"-",48.436*Heat_connections[[#This Row],[Peak Demand, kW]]+1068.7,0)</f>
        <v>0</v>
      </c>
      <c r="V147" s="515">
        <f>IF(Heat_connections[[#This Row],[Ref]]&lt;&gt;"-",
_xlfn.XLOOKUP('Heat connections'!$G147,'Technical inputs'!$F$79:$F$94,'Technical inputs'!$I$79:$I$94,0,1,1),0)</f>
        <v>0</v>
      </c>
      <c r="W147" s="429">
        <f>IF('Heat connections'!$E147="Domestic",1,0)</f>
        <v>0</v>
      </c>
      <c r="X147" s="430">
        <f>IF(AND(Heat_connections[[#This Row],[Ref]]&lt;&gt;"-",'Heat connections'!$E147&lt;&gt;"Domestic"),1,0)</f>
        <v>0</v>
      </c>
      <c r="Y147" s="434">
        <v>93</v>
      </c>
      <c r="Z147" s="438">
        <f>IF(Heat_connections[[#This Row],[Existing/planned development]]&lt;&gt;0,1,0)</f>
        <v>0</v>
      </c>
      <c r="AA147" s="430">
        <f>IF('Heat connections'!$M147=1,1,0)</f>
        <v>0</v>
      </c>
      <c r="AB147" s="430">
        <f>IF('Heat connections'!$M147=2,1,0)</f>
        <v>0</v>
      </c>
      <c r="AC147" s="434">
        <f>IF('Heat connections'!$M147=3,1,0)</f>
        <v>0</v>
      </c>
      <c r="AD147" s="46" t="str">
        <f>IF(AND(Heat_connections[[#This Row],[Connected to heat network]]="Yes",Heat_connections[[#This Row],[Ref]]&lt;&gt;"-"),"Yes","No")</f>
        <v>No</v>
      </c>
    </row>
    <row r="148" spans="3:30" ht="12.75" x14ac:dyDescent="0.2">
      <c r="C148" s="208" t="str" cm="1">
        <f t="array" ref="C148">IFERROR(_xlfn.XLOOKUP($C$3,Heat_connections_input[#Headers],Heat_connections_input[#This Row],0,0,),"-")</f>
        <v>-</v>
      </c>
      <c r="D148" s="323" t="str" cm="1">
        <f t="array" ref="D148">IFERROR(_xlfn.XLOOKUP($D$3,Heat_connections_input[#Headers],Heat_connections_input[#This Row],0,0,),"-")</f>
        <v>-</v>
      </c>
      <c r="E148" s="284" t="str" cm="1">
        <f t="array" ref="E148">IFERROR(_xlfn.XLOOKUP($E$3,Heat_connections_input[#Headers],Heat_connections_input[#This Row],0,0,),"-")</f>
        <v>-</v>
      </c>
      <c r="F148" s="259" cm="1">
        <f t="array" ref="F148">IFERROR(_xlfn.XLOOKUP($F$3,Heat_connections_input[#Headers],Heat_connections_input[#This Row],0,0,),0)</f>
        <v>0</v>
      </c>
      <c r="G148" s="259" cm="1">
        <f t="array" ref="G148">IFERROR(_xlfn.XLOOKUP($G$3,Heat_connections_input[#Headers],Heat_connections_input[#This Row],0,0,),0)</f>
        <v>0</v>
      </c>
      <c r="H148" s="341" cm="1">
        <f t="array" ref="H148">IFERROR(_xlfn.XLOOKUP($H$3,Heat_connections_input[#Headers],Heat_connections_input[#This Row],0,0,),0)</f>
        <v>0</v>
      </c>
      <c r="I148" s="326" t="str" cm="1">
        <f t="array" ref="I148">IFERROR(_xlfn.XLOOKUP($I$3,Heat_connections_input[#Headers],Heat_connections_input[#This Row],0,0,),"-")</f>
        <v>-</v>
      </c>
      <c r="J148" s="326" t="str" cm="1">
        <f t="array" ref="J148">IFERROR(_xlfn.XLOOKUP($J$3,Heat_connections_input[#Headers],Heat_connections_input[#This Row],0,0,1),"-")</f>
        <v>-</v>
      </c>
      <c r="K148" s="260"/>
      <c r="L148" s="261"/>
      <c r="M148" s="262"/>
      <c r="N148" s="263"/>
      <c r="O148" s="264" t="str">
        <f>IF(Heat_connections[[#This Row],[Ref]]&lt;&gt;"-",
IF(M148=1,Dashboard!$C$26,IF(M148=2,Dashboard!$C$27,Dashboard!$C$28)),"-")</f>
        <v>-</v>
      </c>
      <c r="P148" s="341">
        <f>IF(Heat_connections[[#This Row],[Category]]="Domestic",Heat_connections[[#This Row],[No. of connections]],0)</f>
        <v>0</v>
      </c>
      <c r="Q148" s="341">
        <f>IF(Heat_connections[[#This Row],[Category]]&lt;&gt;"Domestic",Heat_connections[[#This Row],[No. of connections]],0)</f>
        <v>0</v>
      </c>
      <c r="R148" s="209"/>
      <c r="S148" s="512">
        <f>IF(Heat_connections[[#This Row],[TOID]]&lt;&gt;"-",
IF(ISBLANK('Heat connections'!$R148),Dashboard!$C$14,'Heat connections'!$R148),0)</f>
        <v>0</v>
      </c>
      <c r="T148" s="513">
        <f>IF(Heat_connections[[#This Row],[Peak Demand, kW]]&lt;&gt;0,'Heat connections'!$G148*Dashboard!$C$21,0)</f>
        <v>0</v>
      </c>
      <c r="U148" s="514">
        <f>IF(Heat_connections[[#This Row],[Ref]]&lt;&gt;"-",48.436*Heat_connections[[#This Row],[Peak Demand, kW]]+1068.7,0)</f>
        <v>0</v>
      </c>
      <c r="V148" s="515">
        <f>IF(Heat_connections[[#This Row],[Ref]]&lt;&gt;"-",
_xlfn.XLOOKUP('Heat connections'!$G148,'Technical inputs'!$F$79:$F$94,'Technical inputs'!$I$79:$I$94,0,1,1),0)</f>
        <v>0</v>
      </c>
      <c r="W148" s="429">
        <f>IF('Heat connections'!$E148="Domestic",1,0)</f>
        <v>0</v>
      </c>
      <c r="X148" s="430">
        <f>IF(AND(Heat_connections[[#This Row],[Ref]]&lt;&gt;"-",'Heat connections'!$E148&lt;&gt;"Domestic"),1,0)</f>
        <v>0</v>
      </c>
      <c r="Y148" s="434">
        <v>94</v>
      </c>
      <c r="Z148" s="438">
        <f>IF(Heat_connections[[#This Row],[Existing/planned development]]&lt;&gt;0,1,0)</f>
        <v>0</v>
      </c>
      <c r="AA148" s="430">
        <f>IF('Heat connections'!$M148=1,1,0)</f>
        <v>0</v>
      </c>
      <c r="AB148" s="430">
        <f>IF('Heat connections'!$M148=2,1,0)</f>
        <v>0</v>
      </c>
      <c r="AC148" s="434">
        <f>IF('Heat connections'!$M148=3,1,0)</f>
        <v>0</v>
      </c>
      <c r="AD148" s="46" t="str">
        <f>IF(AND(Heat_connections[[#This Row],[Connected to heat network]]="Yes",Heat_connections[[#This Row],[Ref]]&lt;&gt;"-"),"Yes","No")</f>
        <v>No</v>
      </c>
    </row>
    <row r="149" spans="3:30" ht="12.75" x14ac:dyDescent="0.2">
      <c r="C149" s="208" t="str" cm="1">
        <f t="array" ref="C149">IFERROR(_xlfn.XLOOKUP($C$3,Heat_connections_input[#Headers],Heat_connections_input[#This Row],0,0,),"-")</f>
        <v>-</v>
      </c>
      <c r="D149" s="323" t="str" cm="1">
        <f t="array" ref="D149">IFERROR(_xlfn.XLOOKUP($D$3,Heat_connections_input[#Headers],Heat_connections_input[#This Row],0,0,),"-")</f>
        <v>-</v>
      </c>
      <c r="E149" s="284" t="str" cm="1">
        <f t="array" ref="E149">IFERROR(_xlfn.XLOOKUP($E$3,Heat_connections_input[#Headers],Heat_connections_input[#This Row],0,0,),"-")</f>
        <v>-</v>
      </c>
      <c r="F149" s="259" cm="1">
        <f t="array" ref="F149">IFERROR(_xlfn.XLOOKUP($F$3,Heat_connections_input[#Headers],Heat_connections_input[#This Row],0,0,),0)</f>
        <v>0</v>
      </c>
      <c r="G149" s="259" cm="1">
        <f t="array" ref="G149">IFERROR(_xlfn.XLOOKUP($G$3,Heat_connections_input[#Headers],Heat_connections_input[#This Row],0,0,),0)</f>
        <v>0</v>
      </c>
      <c r="H149" s="341" cm="1">
        <f t="array" ref="H149">IFERROR(_xlfn.XLOOKUP($H$3,Heat_connections_input[#Headers],Heat_connections_input[#This Row],0,0,),0)</f>
        <v>0</v>
      </c>
      <c r="I149" s="326" t="str" cm="1">
        <f t="array" ref="I149">IFERROR(_xlfn.XLOOKUP($I$3,Heat_connections_input[#Headers],Heat_connections_input[#This Row],0,0,),"-")</f>
        <v>-</v>
      </c>
      <c r="J149" s="326" t="str" cm="1">
        <f t="array" ref="J149">IFERROR(_xlfn.XLOOKUP($J$3,Heat_connections_input[#Headers],Heat_connections_input[#This Row],0,0,1),"-")</f>
        <v>-</v>
      </c>
      <c r="K149" s="260"/>
      <c r="L149" s="261"/>
      <c r="M149" s="262"/>
      <c r="N149" s="263"/>
      <c r="O149" s="264" t="str">
        <f>IF(Heat_connections[[#This Row],[Ref]]&lt;&gt;"-",
IF(M149=1,Dashboard!$C$26,IF(M149=2,Dashboard!$C$27,Dashboard!$C$28)),"-")</f>
        <v>-</v>
      </c>
      <c r="P149" s="341">
        <f>IF(Heat_connections[[#This Row],[Category]]="Domestic",Heat_connections[[#This Row],[No. of connections]],0)</f>
        <v>0</v>
      </c>
      <c r="Q149" s="341">
        <f>IF(Heat_connections[[#This Row],[Category]]&lt;&gt;"Domestic",Heat_connections[[#This Row],[No. of connections]],0)</f>
        <v>0</v>
      </c>
      <c r="R149" s="209"/>
      <c r="S149" s="512">
        <f>IF(Heat_connections[[#This Row],[TOID]]&lt;&gt;"-",
IF(ISBLANK('Heat connections'!$R149),Dashboard!$C$14,'Heat connections'!$R149),0)</f>
        <v>0</v>
      </c>
      <c r="T149" s="513">
        <f>IF(Heat_connections[[#This Row],[Peak Demand, kW]]&lt;&gt;0,'Heat connections'!$G149*Dashboard!$C$21,0)</f>
        <v>0</v>
      </c>
      <c r="U149" s="514">
        <f>IF(Heat_connections[[#This Row],[Ref]]&lt;&gt;"-",48.436*Heat_connections[[#This Row],[Peak Demand, kW]]+1068.7,0)</f>
        <v>0</v>
      </c>
      <c r="V149" s="515">
        <f>IF(Heat_connections[[#This Row],[Ref]]&lt;&gt;"-",
_xlfn.XLOOKUP('Heat connections'!$G149,'Technical inputs'!$F$79:$F$94,'Technical inputs'!$I$79:$I$94,0,1,1),0)</f>
        <v>0</v>
      </c>
      <c r="W149" s="429">
        <f>IF('Heat connections'!$E149="Domestic",1,0)</f>
        <v>0</v>
      </c>
      <c r="X149" s="430">
        <f>IF(AND(Heat_connections[[#This Row],[Ref]]&lt;&gt;"-",'Heat connections'!$E149&lt;&gt;"Domestic"),1,0)</f>
        <v>0</v>
      </c>
      <c r="Y149" s="434">
        <v>95</v>
      </c>
      <c r="Z149" s="438">
        <f>IF(Heat_connections[[#This Row],[Existing/planned development]]&lt;&gt;0,1,0)</f>
        <v>0</v>
      </c>
      <c r="AA149" s="430">
        <f>IF('Heat connections'!$M149=1,1,0)</f>
        <v>0</v>
      </c>
      <c r="AB149" s="430">
        <f>IF('Heat connections'!$M149=2,1,0)</f>
        <v>0</v>
      </c>
      <c r="AC149" s="434">
        <f>IF('Heat connections'!$M149=3,1,0)</f>
        <v>0</v>
      </c>
      <c r="AD149" s="46" t="str">
        <f>IF(AND(Heat_connections[[#This Row],[Connected to heat network]]="Yes",Heat_connections[[#This Row],[Ref]]&lt;&gt;"-"),"Yes","No")</f>
        <v>No</v>
      </c>
    </row>
    <row r="150" spans="3:30" ht="12.75" x14ac:dyDescent="0.2">
      <c r="C150" s="208" t="str" cm="1">
        <f t="array" ref="C150">IFERROR(_xlfn.XLOOKUP($C$3,Heat_connections_input[#Headers],Heat_connections_input[#This Row],0,0,),"-")</f>
        <v>-</v>
      </c>
      <c r="D150" s="323" t="str" cm="1">
        <f t="array" ref="D150">IFERROR(_xlfn.XLOOKUP($D$3,Heat_connections_input[#Headers],Heat_connections_input[#This Row],0,0,),"-")</f>
        <v>-</v>
      </c>
      <c r="E150" s="284" t="str" cm="1">
        <f t="array" ref="E150">IFERROR(_xlfn.XLOOKUP($E$3,Heat_connections_input[#Headers],Heat_connections_input[#This Row],0,0,),"-")</f>
        <v>-</v>
      </c>
      <c r="F150" s="259" cm="1">
        <f t="array" ref="F150">IFERROR(_xlfn.XLOOKUP($F$3,Heat_connections_input[#Headers],Heat_connections_input[#This Row],0,0,),0)</f>
        <v>0</v>
      </c>
      <c r="G150" s="259" cm="1">
        <f t="array" ref="G150">IFERROR(_xlfn.XLOOKUP($G$3,Heat_connections_input[#Headers],Heat_connections_input[#This Row],0,0,),0)</f>
        <v>0</v>
      </c>
      <c r="H150" s="341" cm="1">
        <f t="array" ref="H150">IFERROR(_xlfn.XLOOKUP($H$3,Heat_connections_input[#Headers],Heat_connections_input[#This Row],0,0,),0)</f>
        <v>0</v>
      </c>
      <c r="I150" s="326" t="str" cm="1">
        <f t="array" ref="I150">IFERROR(_xlfn.XLOOKUP($I$3,Heat_connections_input[#Headers],Heat_connections_input[#This Row],0,0,),"-")</f>
        <v>-</v>
      </c>
      <c r="J150" s="326" t="str" cm="1">
        <f t="array" ref="J150">IFERROR(_xlfn.XLOOKUP($J$3,Heat_connections_input[#Headers],Heat_connections_input[#This Row],0,0,1),"-")</f>
        <v>-</v>
      </c>
      <c r="K150" s="260"/>
      <c r="L150" s="261"/>
      <c r="M150" s="262"/>
      <c r="N150" s="263"/>
      <c r="O150" s="264" t="str">
        <f>IF(Heat_connections[[#This Row],[Ref]]&lt;&gt;"-",
IF(M150=1,Dashboard!$C$26,IF(M150=2,Dashboard!$C$27,Dashboard!$C$28)),"-")</f>
        <v>-</v>
      </c>
      <c r="P150" s="341">
        <f>IF(Heat_connections[[#This Row],[Category]]="Domestic",Heat_connections[[#This Row],[No. of connections]],0)</f>
        <v>0</v>
      </c>
      <c r="Q150" s="341">
        <f>IF(Heat_connections[[#This Row],[Category]]&lt;&gt;"Domestic",Heat_connections[[#This Row],[No. of connections]],0)</f>
        <v>0</v>
      </c>
      <c r="R150" s="209"/>
      <c r="S150" s="512">
        <f>IF(Heat_connections[[#This Row],[TOID]]&lt;&gt;"-",
IF(ISBLANK('Heat connections'!$R150),Dashboard!$C$14,'Heat connections'!$R150),0)</f>
        <v>0</v>
      </c>
      <c r="T150" s="513">
        <f>IF(Heat_connections[[#This Row],[Peak Demand, kW]]&lt;&gt;0,'Heat connections'!$G150*Dashboard!$C$21,0)</f>
        <v>0</v>
      </c>
      <c r="U150" s="514">
        <f>IF(Heat_connections[[#This Row],[Ref]]&lt;&gt;"-",48.436*Heat_connections[[#This Row],[Peak Demand, kW]]+1068.7,0)</f>
        <v>0</v>
      </c>
      <c r="V150" s="515">
        <f>IF(Heat_connections[[#This Row],[Ref]]&lt;&gt;"-",
_xlfn.XLOOKUP('Heat connections'!$G150,'Technical inputs'!$F$79:$F$94,'Technical inputs'!$I$79:$I$94,0,1,1),0)</f>
        <v>0</v>
      </c>
      <c r="W150" s="429">
        <f>IF('Heat connections'!$E150="Domestic",1,0)</f>
        <v>0</v>
      </c>
      <c r="X150" s="430">
        <f>IF(AND(Heat_connections[[#This Row],[Ref]]&lt;&gt;"-",'Heat connections'!$E150&lt;&gt;"Domestic"),1,0)</f>
        <v>0</v>
      </c>
      <c r="Y150" s="434">
        <v>96</v>
      </c>
      <c r="Z150" s="438">
        <f>IF(Heat_connections[[#This Row],[Existing/planned development]]&lt;&gt;0,1,0)</f>
        <v>0</v>
      </c>
      <c r="AA150" s="430">
        <f>IF('Heat connections'!$M150=1,1,0)</f>
        <v>0</v>
      </c>
      <c r="AB150" s="430">
        <f>IF('Heat connections'!$M150=2,1,0)</f>
        <v>0</v>
      </c>
      <c r="AC150" s="434">
        <f>IF('Heat connections'!$M150=3,1,0)</f>
        <v>0</v>
      </c>
      <c r="AD150" s="46" t="str">
        <f>IF(AND(Heat_connections[[#This Row],[Connected to heat network]]="Yes",Heat_connections[[#This Row],[Ref]]&lt;&gt;"-"),"Yes","No")</f>
        <v>No</v>
      </c>
    </row>
    <row r="151" spans="3:30" ht="12.75" x14ac:dyDescent="0.2">
      <c r="C151" s="208" t="str" cm="1">
        <f t="array" ref="C151">IFERROR(_xlfn.XLOOKUP($C$3,Heat_connections_input[#Headers],Heat_connections_input[#This Row],0,0,),"-")</f>
        <v>-</v>
      </c>
      <c r="D151" s="323" t="str" cm="1">
        <f t="array" ref="D151">IFERROR(_xlfn.XLOOKUP($D$3,Heat_connections_input[#Headers],Heat_connections_input[#This Row],0,0,),"-")</f>
        <v>-</v>
      </c>
      <c r="E151" s="284" t="str" cm="1">
        <f t="array" ref="E151">IFERROR(_xlfn.XLOOKUP($E$3,Heat_connections_input[#Headers],Heat_connections_input[#This Row],0,0,),"-")</f>
        <v>-</v>
      </c>
      <c r="F151" s="259" cm="1">
        <f t="array" ref="F151">IFERROR(_xlfn.XLOOKUP($F$3,Heat_connections_input[#Headers],Heat_connections_input[#This Row],0,0,),0)</f>
        <v>0</v>
      </c>
      <c r="G151" s="259" cm="1">
        <f t="array" ref="G151">IFERROR(_xlfn.XLOOKUP($G$3,Heat_connections_input[#Headers],Heat_connections_input[#This Row],0,0,),0)</f>
        <v>0</v>
      </c>
      <c r="H151" s="341" cm="1">
        <f t="array" ref="H151">IFERROR(_xlfn.XLOOKUP($H$3,Heat_connections_input[#Headers],Heat_connections_input[#This Row],0,0,),0)</f>
        <v>0</v>
      </c>
      <c r="I151" s="326" t="str" cm="1">
        <f t="array" ref="I151">IFERROR(_xlfn.XLOOKUP($I$3,Heat_connections_input[#Headers],Heat_connections_input[#This Row],0,0,),"-")</f>
        <v>-</v>
      </c>
      <c r="J151" s="326" t="str" cm="1">
        <f t="array" ref="J151">IFERROR(_xlfn.XLOOKUP($J$3,Heat_connections_input[#Headers],Heat_connections_input[#This Row],0,0,1),"-")</f>
        <v>-</v>
      </c>
      <c r="K151" s="260"/>
      <c r="L151" s="261"/>
      <c r="M151" s="262"/>
      <c r="N151" s="263"/>
      <c r="O151" s="264" t="str">
        <f>IF(Heat_connections[[#This Row],[Ref]]&lt;&gt;"-",
IF(M151=1,Dashboard!$C$26,IF(M151=2,Dashboard!$C$27,Dashboard!$C$28)),"-")</f>
        <v>-</v>
      </c>
      <c r="P151" s="341">
        <f>IF(Heat_connections[[#This Row],[Category]]="Domestic",Heat_connections[[#This Row],[No. of connections]],0)</f>
        <v>0</v>
      </c>
      <c r="Q151" s="341">
        <f>IF(Heat_connections[[#This Row],[Category]]&lt;&gt;"Domestic",Heat_connections[[#This Row],[No. of connections]],0)</f>
        <v>0</v>
      </c>
      <c r="R151" s="209"/>
      <c r="S151" s="512">
        <f>IF(Heat_connections[[#This Row],[TOID]]&lt;&gt;"-",
IF(ISBLANK('Heat connections'!$R151),Dashboard!$C$14,'Heat connections'!$R151),0)</f>
        <v>0</v>
      </c>
      <c r="T151" s="513">
        <f>IF(Heat_connections[[#This Row],[Peak Demand, kW]]&lt;&gt;0,'Heat connections'!$G151*Dashboard!$C$21,0)</f>
        <v>0</v>
      </c>
      <c r="U151" s="514">
        <f>IF(Heat_connections[[#This Row],[Ref]]&lt;&gt;"-",48.436*Heat_connections[[#This Row],[Peak Demand, kW]]+1068.7,0)</f>
        <v>0</v>
      </c>
      <c r="V151" s="515">
        <f>IF(Heat_connections[[#This Row],[Ref]]&lt;&gt;"-",
_xlfn.XLOOKUP('Heat connections'!$G151,'Technical inputs'!$F$79:$F$94,'Technical inputs'!$I$79:$I$94,0,1,1),0)</f>
        <v>0</v>
      </c>
      <c r="W151" s="429">
        <f>IF('Heat connections'!$E151="Domestic",1,0)</f>
        <v>0</v>
      </c>
      <c r="X151" s="430">
        <f>IF(AND(Heat_connections[[#This Row],[Ref]]&lt;&gt;"-",'Heat connections'!$E151&lt;&gt;"Domestic"),1,0)</f>
        <v>0</v>
      </c>
      <c r="Y151" s="434">
        <v>97</v>
      </c>
      <c r="Z151" s="438">
        <f>IF(Heat_connections[[#This Row],[Existing/planned development]]&lt;&gt;0,1,0)</f>
        <v>0</v>
      </c>
      <c r="AA151" s="430">
        <f>IF('Heat connections'!$M151=1,1,0)</f>
        <v>0</v>
      </c>
      <c r="AB151" s="430">
        <f>IF('Heat connections'!$M151=2,1,0)</f>
        <v>0</v>
      </c>
      <c r="AC151" s="434">
        <f>IF('Heat connections'!$M151=3,1,0)</f>
        <v>0</v>
      </c>
      <c r="AD151" s="46" t="str">
        <f>IF(AND(Heat_connections[[#This Row],[Connected to heat network]]="Yes",Heat_connections[[#This Row],[Ref]]&lt;&gt;"-"),"Yes","No")</f>
        <v>No</v>
      </c>
    </row>
    <row r="152" spans="3:30" ht="12.75" x14ac:dyDescent="0.2">
      <c r="C152" s="208" t="str" cm="1">
        <f t="array" ref="C152">IFERROR(_xlfn.XLOOKUP($C$3,Heat_connections_input[#Headers],Heat_connections_input[#This Row],0,0,),"-")</f>
        <v>-</v>
      </c>
      <c r="D152" s="323" t="str" cm="1">
        <f t="array" ref="D152">IFERROR(_xlfn.XLOOKUP($D$3,Heat_connections_input[#Headers],Heat_connections_input[#This Row],0,0,),"-")</f>
        <v>-</v>
      </c>
      <c r="E152" s="284" t="str" cm="1">
        <f t="array" ref="E152">IFERROR(_xlfn.XLOOKUP($E$3,Heat_connections_input[#Headers],Heat_connections_input[#This Row],0,0,),"-")</f>
        <v>-</v>
      </c>
      <c r="F152" s="259" cm="1">
        <f t="array" ref="F152">IFERROR(_xlfn.XLOOKUP($F$3,Heat_connections_input[#Headers],Heat_connections_input[#This Row],0,0,),0)</f>
        <v>0</v>
      </c>
      <c r="G152" s="259" cm="1">
        <f t="array" ref="G152">IFERROR(_xlfn.XLOOKUP($G$3,Heat_connections_input[#Headers],Heat_connections_input[#This Row],0,0,),0)</f>
        <v>0</v>
      </c>
      <c r="H152" s="341" cm="1">
        <f t="array" ref="H152">IFERROR(_xlfn.XLOOKUP($H$3,Heat_connections_input[#Headers],Heat_connections_input[#This Row],0,0,),0)</f>
        <v>0</v>
      </c>
      <c r="I152" s="326" t="str" cm="1">
        <f t="array" ref="I152">IFERROR(_xlfn.XLOOKUP($I$3,Heat_connections_input[#Headers],Heat_connections_input[#This Row],0,0,),"-")</f>
        <v>-</v>
      </c>
      <c r="J152" s="326" t="str" cm="1">
        <f t="array" ref="J152">IFERROR(_xlfn.XLOOKUP($J$3,Heat_connections_input[#Headers],Heat_connections_input[#This Row],0,0,1),"-")</f>
        <v>-</v>
      </c>
      <c r="K152" s="260"/>
      <c r="L152" s="261"/>
      <c r="M152" s="262"/>
      <c r="N152" s="263"/>
      <c r="O152" s="264" t="str">
        <f>IF(Heat_connections[[#This Row],[Ref]]&lt;&gt;"-",
IF(M152=1,Dashboard!$C$26,IF(M152=2,Dashboard!$C$27,Dashboard!$C$28)),"-")</f>
        <v>-</v>
      </c>
      <c r="P152" s="341">
        <f>IF(Heat_connections[[#This Row],[Category]]="Domestic",Heat_connections[[#This Row],[No. of connections]],0)</f>
        <v>0</v>
      </c>
      <c r="Q152" s="341">
        <f>IF(Heat_connections[[#This Row],[Category]]&lt;&gt;"Domestic",Heat_connections[[#This Row],[No. of connections]],0)</f>
        <v>0</v>
      </c>
      <c r="R152" s="209"/>
      <c r="S152" s="512">
        <f>IF(Heat_connections[[#This Row],[TOID]]&lt;&gt;"-",
IF(ISBLANK('Heat connections'!$R152),Dashboard!$C$14,'Heat connections'!$R152),0)</f>
        <v>0</v>
      </c>
      <c r="T152" s="513">
        <f>IF(Heat_connections[[#This Row],[Peak Demand, kW]]&lt;&gt;0,'Heat connections'!$G152*Dashboard!$C$21,0)</f>
        <v>0</v>
      </c>
      <c r="U152" s="514">
        <f>IF(Heat_connections[[#This Row],[Ref]]&lt;&gt;"-",48.436*Heat_connections[[#This Row],[Peak Demand, kW]]+1068.7,0)</f>
        <v>0</v>
      </c>
      <c r="V152" s="515">
        <f>IF(Heat_connections[[#This Row],[Ref]]&lt;&gt;"-",
_xlfn.XLOOKUP('Heat connections'!$G152,'Technical inputs'!$F$79:$F$94,'Technical inputs'!$I$79:$I$94,0,1,1),0)</f>
        <v>0</v>
      </c>
      <c r="W152" s="429">
        <f>IF('Heat connections'!$E152="Domestic",1,0)</f>
        <v>0</v>
      </c>
      <c r="X152" s="430">
        <f>IF(AND(Heat_connections[[#This Row],[Ref]]&lt;&gt;"-",'Heat connections'!$E152&lt;&gt;"Domestic"),1,0)</f>
        <v>0</v>
      </c>
      <c r="Y152" s="434">
        <v>98</v>
      </c>
      <c r="Z152" s="438">
        <f>IF(Heat_connections[[#This Row],[Existing/planned development]]&lt;&gt;0,1,0)</f>
        <v>0</v>
      </c>
      <c r="AA152" s="430">
        <f>IF('Heat connections'!$M152=1,1,0)</f>
        <v>0</v>
      </c>
      <c r="AB152" s="430">
        <f>IF('Heat connections'!$M152=2,1,0)</f>
        <v>0</v>
      </c>
      <c r="AC152" s="434">
        <f>IF('Heat connections'!$M152=3,1,0)</f>
        <v>0</v>
      </c>
      <c r="AD152" s="46" t="str">
        <f>IF(AND(Heat_connections[[#This Row],[Connected to heat network]]="Yes",Heat_connections[[#This Row],[Ref]]&lt;&gt;"-"),"Yes","No")</f>
        <v>No</v>
      </c>
    </row>
    <row r="153" spans="3:30" ht="12.75" x14ac:dyDescent="0.2">
      <c r="C153" s="208" t="str" cm="1">
        <f t="array" ref="C153">IFERROR(_xlfn.XLOOKUP($C$3,Heat_connections_input[#Headers],Heat_connections_input[#This Row],0,0,),"-")</f>
        <v>-</v>
      </c>
      <c r="D153" s="323" t="str" cm="1">
        <f t="array" ref="D153">IFERROR(_xlfn.XLOOKUP($D$3,Heat_connections_input[#Headers],Heat_connections_input[#This Row],0,0,),"-")</f>
        <v>-</v>
      </c>
      <c r="E153" s="284" t="str" cm="1">
        <f t="array" ref="E153">IFERROR(_xlfn.XLOOKUP($E$3,Heat_connections_input[#Headers],Heat_connections_input[#This Row],0,0,),"-")</f>
        <v>-</v>
      </c>
      <c r="F153" s="259" cm="1">
        <f t="array" ref="F153">IFERROR(_xlfn.XLOOKUP($F$3,Heat_connections_input[#Headers],Heat_connections_input[#This Row],0,0,),0)</f>
        <v>0</v>
      </c>
      <c r="G153" s="259" cm="1">
        <f t="array" ref="G153">IFERROR(_xlfn.XLOOKUP($G$3,Heat_connections_input[#Headers],Heat_connections_input[#This Row],0,0,),0)</f>
        <v>0</v>
      </c>
      <c r="H153" s="341" cm="1">
        <f t="array" ref="H153">IFERROR(_xlfn.XLOOKUP($H$3,Heat_connections_input[#Headers],Heat_connections_input[#This Row],0,0,),0)</f>
        <v>0</v>
      </c>
      <c r="I153" s="326" t="str" cm="1">
        <f t="array" ref="I153">IFERROR(_xlfn.XLOOKUP($I$3,Heat_connections_input[#Headers],Heat_connections_input[#This Row],0,0,),"-")</f>
        <v>-</v>
      </c>
      <c r="J153" s="326" t="str" cm="1">
        <f t="array" ref="J153">IFERROR(_xlfn.XLOOKUP($J$3,Heat_connections_input[#Headers],Heat_connections_input[#This Row],0,0,1),"-")</f>
        <v>-</v>
      </c>
      <c r="K153" s="260"/>
      <c r="L153" s="261"/>
      <c r="M153" s="262"/>
      <c r="N153" s="263"/>
      <c r="O153" s="264" t="str">
        <f>IF(Heat_connections[[#This Row],[Ref]]&lt;&gt;"-",
IF(M153=1,Dashboard!$C$26,IF(M153=2,Dashboard!$C$27,Dashboard!$C$28)),"-")</f>
        <v>-</v>
      </c>
      <c r="P153" s="341">
        <f>IF(Heat_connections[[#This Row],[Category]]="Domestic",Heat_connections[[#This Row],[No. of connections]],0)</f>
        <v>0</v>
      </c>
      <c r="Q153" s="341">
        <f>IF(Heat_connections[[#This Row],[Category]]&lt;&gt;"Domestic",Heat_connections[[#This Row],[No. of connections]],0)</f>
        <v>0</v>
      </c>
      <c r="R153" s="209"/>
      <c r="S153" s="512">
        <f>IF(Heat_connections[[#This Row],[TOID]]&lt;&gt;"-",
IF(ISBLANK('Heat connections'!$R153),Dashboard!$C$14,'Heat connections'!$R153),0)</f>
        <v>0</v>
      </c>
      <c r="T153" s="513">
        <f>IF(Heat_connections[[#This Row],[Peak Demand, kW]]&lt;&gt;0,'Heat connections'!$G153*Dashboard!$C$21,0)</f>
        <v>0</v>
      </c>
      <c r="U153" s="514">
        <f>IF(Heat_connections[[#This Row],[Ref]]&lt;&gt;"-",48.436*Heat_connections[[#This Row],[Peak Demand, kW]]+1068.7,0)</f>
        <v>0</v>
      </c>
      <c r="V153" s="515">
        <f>IF(Heat_connections[[#This Row],[Ref]]&lt;&gt;"-",
_xlfn.XLOOKUP('Heat connections'!$G153,'Technical inputs'!$F$79:$F$94,'Technical inputs'!$I$79:$I$94,0,1,1),0)</f>
        <v>0</v>
      </c>
      <c r="W153" s="429">
        <f>IF('Heat connections'!$E153="Domestic",1,0)</f>
        <v>0</v>
      </c>
      <c r="X153" s="430">
        <f>IF(AND(Heat_connections[[#This Row],[Ref]]&lt;&gt;"-",'Heat connections'!$E153&lt;&gt;"Domestic"),1,0)</f>
        <v>0</v>
      </c>
      <c r="Y153" s="434">
        <v>99</v>
      </c>
      <c r="Z153" s="438">
        <f>IF(Heat_connections[[#This Row],[Existing/planned development]]&lt;&gt;0,1,0)</f>
        <v>0</v>
      </c>
      <c r="AA153" s="430">
        <f>IF('Heat connections'!$M153=1,1,0)</f>
        <v>0</v>
      </c>
      <c r="AB153" s="430">
        <f>IF('Heat connections'!$M153=2,1,0)</f>
        <v>0</v>
      </c>
      <c r="AC153" s="434">
        <f>IF('Heat connections'!$M153=3,1,0)</f>
        <v>0</v>
      </c>
      <c r="AD153" s="46" t="str">
        <f>IF(AND(Heat_connections[[#This Row],[Connected to heat network]]="Yes",Heat_connections[[#This Row],[Ref]]&lt;&gt;"-"),"Yes","No")</f>
        <v>No</v>
      </c>
    </row>
    <row r="154" spans="3:30" ht="12.75" x14ac:dyDescent="0.2">
      <c r="C154" s="208" t="str" cm="1">
        <f t="array" ref="C154">IFERROR(_xlfn.XLOOKUP($C$3,Heat_connections_input[#Headers],Heat_connections_input[#This Row],0,0,),"-")</f>
        <v>-</v>
      </c>
      <c r="D154" s="323" t="str" cm="1">
        <f t="array" ref="D154">IFERROR(_xlfn.XLOOKUP($D$3,Heat_connections_input[#Headers],Heat_connections_input[#This Row],0,0,),"-")</f>
        <v>-</v>
      </c>
      <c r="E154" s="284" t="str" cm="1">
        <f t="array" ref="E154">IFERROR(_xlfn.XLOOKUP($E$3,Heat_connections_input[#Headers],Heat_connections_input[#This Row],0,0,),"-")</f>
        <v>-</v>
      </c>
      <c r="F154" s="259" cm="1">
        <f t="array" ref="F154">IFERROR(_xlfn.XLOOKUP($F$3,Heat_connections_input[#Headers],Heat_connections_input[#This Row],0,0,),0)</f>
        <v>0</v>
      </c>
      <c r="G154" s="259" cm="1">
        <f t="array" ref="G154">IFERROR(_xlfn.XLOOKUP($G$3,Heat_connections_input[#Headers],Heat_connections_input[#This Row],0,0,),0)</f>
        <v>0</v>
      </c>
      <c r="H154" s="341" cm="1">
        <f t="array" ref="H154">IFERROR(_xlfn.XLOOKUP($H$3,Heat_connections_input[#Headers],Heat_connections_input[#This Row],0,0,),0)</f>
        <v>0</v>
      </c>
      <c r="I154" s="326" t="str" cm="1">
        <f t="array" ref="I154">IFERROR(_xlfn.XLOOKUP($I$3,Heat_connections_input[#Headers],Heat_connections_input[#This Row],0,0,),"-")</f>
        <v>-</v>
      </c>
      <c r="J154" s="326" t="str" cm="1">
        <f t="array" ref="J154">IFERROR(_xlfn.XLOOKUP($J$3,Heat_connections_input[#Headers],Heat_connections_input[#This Row],0,0,1),"-")</f>
        <v>-</v>
      </c>
      <c r="K154" s="260"/>
      <c r="L154" s="261"/>
      <c r="M154" s="262"/>
      <c r="N154" s="263"/>
      <c r="O154" s="264" t="str">
        <f>IF(Heat_connections[[#This Row],[Ref]]&lt;&gt;"-",
IF(M154=1,Dashboard!$C$26,IF(M154=2,Dashboard!$C$27,Dashboard!$C$28)),"-")</f>
        <v>-</v>
      </c>
      <c r="P154" s="341">
        <f>IF(Heat_connections[[#This Row],[Category]]="Domestic",Heat_connections[[#This Row],[No. of connections]],0)</f>
        <v>0</v>
      </c>
      <c r="Q154" s="341">
        <f>IF(Heat_connections[[#This Row],[Category]]&lt;&gt;"Domestic",Heat_connections[[#This Row],[No. of connections]],0)</f>
        <v>0</v>
      </c>
      <c r="R154" s="209"/>
      <c r="S154" s="512">
        <f>IF(Heat_connections[[#This Row],[TOID]]&lt;&gt;"-",
IF(ISBLANK('Heat connections'!$R154),Dashboard!$C$14,'Heat connections'!$R154),0)</f>
        <v>0</v>
      </c>
      <c r="T154" s="513">
        <f>IF(Heat_connections[[#This Row],[Peak Demand, kW]]&lt;&gt;0,'Heat connections'!$G154*Dashboard!$C$21,0)</f>
        <v>0</v>
      </c>
      <c r="U154" s="514">
        <f>IF(Heat_connections[[#This Row],[Ref]]&lt;&gt;"-",48.436*Heat_connections[[#This Row],[Peak Demand, kW]]+1068.7,0)</f>
        <v>0</v>
      </c>
      <c r="V154" s="515">
        <f>IF(Heat_connections[[#This Row],[Ref]]&lt;&gt;"-",
_xlfn.XLOOKUP('Heat connections'!$G154,'Technical inputs'!$F$79:$F$94,'Technical inputs'!$I$79:$I$94,0,1,1),0)</f>
        <v>0</v>
      </c>
      <c r="W154" s="429">
        <f>IF('Heat connections'!$E154="Domestic",1,0)</f>
        <v>0</v>
      </c>
      <c r="X154" s="430">
        <f>IF(AND(Heat_connections[[#This Row],[Ref]]&lt;&gt;"-",'Heat connections'!$E154&lt;&gt;"Domestic"),1,0)</f>
        <v>0</v>
      </c>
      <c r="Y154" s="434">
        <v>100</v>
      </c>
      <c r="Z154" s="438">
        <f>IF(Heat_connections[[#This Row],[Existing/planned development]]&lt;&gt;0,1,0)</f>
        <v>0</v>
      </c>
      <c r="AA154" s="430">
        <f>IF('Heat connections'!$M154=1,1,0)</f>
        <v>0</v>
      </c>
      <c r="AB154" s="430">
        <f>IF('Heat connections'!$M154=2,1,0)</f>
        <v>0</v>
      </c>
      <c r="AC154" s="434">
        <f>IF('Heat connections'!$M154=3,1,0)</f>
        <v>0</v>
      </c>
      <c r="AD154" s="46" t="str">
        <f>IF(AND(Heat_connections[[#This Row],[Connected to heat network]]="Yes",Heat_connections[[#This Row],[Ref]]&lt;&gt;"-"),"Yes","No")</f>
        <v>No</v>
      </c>
    </row>
    <row r="155" spans="3:30" ht="12.75" x14ac:dyDescent="0.2">
      <c r="C155" s="208" t="str" cm="1">
        <f t="array" ref="C155">IFERROR(_xlfn.XLOOKUP($C$3,Heat_connections_input[#Headers],Heat_connections_input[#This Row],0,0,),"-")</f>
        <v>-</v>
      </c>
      <c r="D155" s="323" t="str" cm="1">
        <f t="array" ref="D155">IFERROR(_xlfn.XLOOKUP($D$3,Heat_connections_input[#Headers],Heat_connections_input[#This Row],0,0,),"-")</f>
        <v>-</v>
      </c>
      <c r="E155" s="284" t="str" cm="1">
        <f t="array" ref="E155">IFERROR(_xlfn.XLOOKUP($E$3,Heat_connections_input[#Headers],Heat_connections_input[#This Row],0,0,),"-")</f>
        <v>-</v>
      </c>
      <c r="F155" s="259" cm="1">
        <f t="array" ref="F155">IFERROR(_xlfn.XLOOKUP($F$3,Heat_connections_input[#Headers],Heat_connections_input[#This Row],0,0,),0)</f>
        <v>0</v>
      </c>
      <c r="G155" s="259" cm="1">
        <f t="array" ref="G155">IFERROR(_xlfn.XLOOKUP($G$3,Heat_connections_input[#Headers],Heat_connections_input[#This Row],0,0,),0)</f>
        <v>0</v>
      </c>
      <c r="H155" s="341" cm="1">
        <f t="array" ref="H155">IFERROR(_xlfn.XLOOKUP($H$3,Heat_connections_input[#Headers],Heat_connections_input[#This Row],0,0,),0)</f>
        <v>0</v>
      </c>
      <c r="I155" s="326" t="str" cm="1">
        <f t="array" ref="I155">IFERROR(_xlfn.XLOOKUP($I$3,Heat_connections_input[#Headers],Heat_connections_input[#This Row],0,0,),"-")</f>
        <v>-</v>
      </c>
      <c r="J155" s="326" t="str" cm="1">
        <f t="array" ref="J155">IFERROR(_xlfn.XLOOKUP($J$3,Heat_connections_input[#Headers],Heat_connections_input[#This Row],0,0,1),"-")</f>
        <v>-</v>
      </c>
      <c r="K155" s="260"/>
      <c r="L155" s="261"/>
      <c r="M155" s="262"/>
      <c r="N155" s="263"/>
      <c r="O155" s="264" t="str">
        <f>IF(Heat_connections[[#This Row],[Ref]]&lt;&gt;"-",
IF(M155=1,Dashboard!$C$26,IF(M155=2,Dashboard!$C$27,Dashboard!$C$28)),"-")</f>
        <v>-</v>
      </c>
      <c r="P155" s="341">
        <f>IF(Heat_connections[[#This Row],[Category]]="Domestic",Heat_connections[[#This Row],[No. of connections]],0)</f>
        <v>0</v>
      </c>
      <c r="Q155" s="341">
        <f>IF(Heat_connections[[#This Row],[Category]]&lt;&gt;"Domestic",Heat_connections[[#This Row],[No. of connections]],0)</f>
        <v>0</v>
      </c>
      <c r="R155" s="209"/>
      <c r="S155" s="512">
        <f>IF(Heat_connections[[#This Row],[TOID]]&lt;&gt;"-",
IF(ISBLANK('Heat connections'!$R155),Dashboard!$C$14,'Heat connections'!$R155),0)</f>
        <v>0</v>
      </c>
      <c r="T155" s="513">
        <f>IF(Heat_connections[[#This Row],[Peak Demand, kW]]&lt;&gt;0,'Heat connections'!$G155*Dashboard!$C$21,0)</f>
        <v>0</v>
      </c>
      <c r="U155" s="514">
        <f>IF(Heat_connections[[#This Row],[Ref]]&lt;&gt;"-",48.436*Heat_connections[[#This Row],[Peak Demand, kW]]+1068.7,0)</f>
        <v>0</v>
      </c>
      <c r="V155" s="515">
        <f>IF(Heat_connections[[#This Row],[Ref]]&lt;&gt;"-",
_xlfn.XLOOKUP('Heat connections'!$G155,'Technical inputs'!$F$79:$F$94,'Technical inputs'!$I$79:$I$94,0,1,1),0)</f>
        <v>0</v>
      </c>
      <c r="W155" s="429">
        <f>IF('Heat connections'!$E155="Domestic",1,0)</f>
        <v>0</v>
      </c>
      <c r="X155" s="430">
        <f>IF(AND(Heat_connections[[#This Row],[Ref]]&lt;&gt;"-",'Heat connections'!$E155&lt;&gt;"Domestic"),1,0)</f>
        <v>0</v>
      </c>
      <c r="Y155" s="434">
        <v>101</v>
      </c>
      <c r="Z155" s="438">
        <f>IF(Heat_connections[[#This Row],[Existing/planned development]]&lt;&gt;0,1,0)</f>
        <v>0</v>
      </c>
      <c r="AA155" s="430">
        <f>IF('Heat connections'!$M155=1,1,0)</f>
        <v>0</v>
      </c>
      <c r="AB155" s="430">
        <f>IF('Heat connections'!$M155=2,1,0)</f>
        <v>0</v>
      </c>
      <c r="AC155" s="434">
        <f>IF('Heat connections'!$M155=3,1,0)</f>
        <v>0</v>
      </c>
      <c r="AD155" s="46" t="str">
        <f>IF(AND(Heat_connections[[#This Row],[Connected to heat network]]="Yes",Heat_connections[[#This Row],[Ref]]&lt;&gt;"-"),"Yes","No")</f>
        <v>No</v>
      </c>
    </row>
    <row r="156" spans="3:30" ht="12.75" x14ac:dyDescent="0.2">
      <c r="C156" s="208" t="str" cm="1">
        <f t="array" ref="C156">IFERROR(_xlfn.XLOOKUP($C$3,Heat_connections_input[#Headers],Heat_connections_input[#This Row],0,0,),"-")</f>
        <v>-</v>
      </c>
      <c r="D156" s="323" t="str" cm="1">
        <f t="array" ref="D156">IFERROR(_xlfn.XLOOKUP($D$3,Heat_connections_input[#Headers],Heat_connections_input[#This Row],0,0,),"-")</f>
        <v>-</v>
      </c>
      <c r="E156" s="284" t="str" cm="1">
        <f t="array" ref="E156">IFERROR(_xlfn.XLOOKUP($E$3,Heat_connections_input[#Headers],Heat_connections_input[#This Row],0,0,),"-")</f>
        <v>-</v>
      </c>
      <c r="F156" s="259" cm="1">
        <f t="array" ref="F156">IFERROR(_xlfn.XLOOKUP($F$3,Heat_connections_input[#Headers],Heat_connections_input[#This Row],0,0,),0)</f>
        <v>0</v>
      </c>
      <c r="G156" s="259" cm="1">
        <f t="array" ref="G156">IFERROR(_xlfn.XLOOKUP($G$3,Heat_connections_input[#Headers],Heat_connections_input[#This Row],0,0,),0)</f>
        <v>0</v>
      </c>
      <c r="H156" s="341" cm="1">
        <f t="array" ref="H156">IFERROR(_xlfn.XLOOKUP($H$3,Heat_connections_input[#Headers],Heat_connections_input[#This Row],0,0,),0)</f>
        <v>0</v>
      </c>
      <c r="I156" s="326" t="str" cm="1">
        <f t="array" ref="I156">IFERROR(_xlfn.XLOOKUP($I$3,Heat_connections_input[#Headers],Heat_connections_input[#This Row],0,0,),"-")</f>
        <v>-</v>
      </c>
      <c r="J156" s="326" t="str" cm="1">
        <f t="array" ref="J156">IFERROR(_xlfn.XLOOKUP($J$3,Heat_connections_input[#Headers],Heat_connections_input[#This Row],0,0,1),"-")</f>
        <v>-</v>
      </c>
      <c r="K156" s="260"/>
      <c r="L156" s="261"/>
      <c r="M156" s="262"/>
      <c r="N156" s="263"/>
      <c r="O156" s="264" t="str">
        <f>IF(Heat_connections[[#This Row],[Ref]]&lt;&gt;"-",
IF(M156=1,Dashboard!$C$26,IF(M156=2,Dashboard!$C$27,Dashboard!$C$28)),"-")</f>
        <v>-</v>
      </c>
      <c r="P156" s="341">
        <f>IF(Heat_connections[[#This Row],[Category]]="Domestic",Heat_connections[[#This Row],[No. of connections]],0)</f>
        <v>0</v>
      </c>
      <c r="Q156" s="341">
        <f>IF(Heat_connections[[#This Row],[Category]]&lt;&gt;"Domestic",Heat_connections[[#This Row],[No. of connections]],0)</f>
        <v>0</v>
      </c>
      <c r="R156" s="209"/>
      <c r="S156" s="512">
        <f>IF(Heat_connections[[#This Row],[TOID]]&lt;&gt;"-",
IF(ISBLANK('Heat connections'!$R156),Dashboard!$C$14,'Heat connections'!$R156),0)</f>
        <v>0</v>
      </c>
      <c r="T156" s="513">
        <f>IF(Heat_connections[[#This Row],[Peak Demand, kW]]&lt;&gt;0,'Heat connections'!$G156*Dashboard!$C$21,0)</f>
        <v>0</v>
      </c>
      <c r="U156" s="514">
        <f>IF(Heat_connections[[#This Row],[Ref]]&lt;&gt;"-",48.436*Heat_connections[[#This Row],[Peak Demand, kW]]+1068.7,0)</f>
        <v>0</v>
      </c>
      <c r="V156" s="515">
        <f>IF(Heat_connections[[#This Row],[Ref]]&lt;&gt;"-",
_xlfn.XLOOKUP('Heat connections'!$G156,'Technical inputs'!$F$79:$F$94,'Technical inputs'!$I$79:$I$94,0,1,1),0)</f>
        <v>0</v>
      </c>
      <c r="W156" s="429">
        <f>IF('Heat connections'!$E156="Domestic",1,0)</f>
        <v>0</v>
      </c>
      <c r="X156" s="430">
        <f>IF(AND(Heat_connections[[#This Row],[Ref]]&lt;&gt;"-",'Heat connections'!$E156&lt;&gt;"Domestic"),1,0)</f>
        <v>0</v>
      </c>
      <c r="Y156" s="434">
        <v>102</v>
      </c>
      <c r="Z156" s="438">
        <f>IF(Heat_connections[[#This Row],[Existing/planned development]]&lt;&gt;0,1,0)</f>
        <v>0</v>
      </c>
      <c r="AA156" s="430">
        <f>IF('Heat connections'!$M156=1,1,0)</f>
        <v>0</v>
      </c>
      <c r="AB156" s="430">
        <f>IF('Heat connections'!$M156=2,1,0)</f>
        <v>0</v>
      </c>
      <c r="AC156" s="434">
        <f>IF('Heat connections'!$M156=3,1,0)</f>
        <v>0</v>
      </c>
      <c r="AD156" s="46" t="str">
        <f>IF(AND(Heat_connections[[#This Row],[Connected to heat network]]="Yes",Heat_connections[[#This Row],[Ref]]&lt;&gt;"-"),"Yes","No")</f>
        <v>No</v>
      </c>
    </row>
    <row r="157" spans="3:30" ht="12.75" x14ac:dyDescent="0.2">
      <c r="C157" s="208" t="str" cm="1">
        <f t="array" ref="C157">IFERROR(_xlfn.XLOOKUP($C$3,Heat_connections_input[#Headers],Heat_connections_input[#This Row],0,0,),"-")</f>
        <v>-</v>
      </c>
      <c r="D157" s="323" t="str" cm="1">
        <f t="array" ref="D157">IFERROR(_xlfn.XLOOKUP($D$3,Heat_connections_input[#Headers],Heat_connections_input[#This Row],0,0,),"-")</f>
        <v>-</v>
      </c>
      <c r="E157" s="284" t="str" cm="1">
        <f t="array" ref="E157">IFERROR(_xlfn.XLOOKUP($E$3,Heat_connections_input[#Headers],Heat_connections_input[#This Row],0,0,),"-")</f>
        <v>-</v>
      </c>
      <c r="F157" s="259" cm="1">
        <f t="array" ref="F157">IFERROR(_xlfn.XLOOKUP($F$3,Heat_connections_input[#Headers],Heat_connections_input[#This Row],0,0,),0)</f>
        <v>0</v>
      </c>
      <c r="G157" s="259" cm="1">
        <f t="array" ref="G157">IFERROR(_xlfn.XLOOKUP($G$3,Heat_connections_input[#Headers],Heat_connections_input[#This Row],0,0,),0)</f>
        <v>0</v>
      </c>
      <c r="H157" s="341" cm="1">
        <f t="array" ref="H157">IFERROR(_xlfn.XLOOKUP($H$3,Heat_connections_input[#Headers],Heat_connections_input[#This Row],0,0,),0)</f>
        <v>0</v>
      </c>
      <c r="I157" s="326" t="str" cm="1">
        <f t="array" ref="I157">IFERROR(_xlfn.XLOOKUP($I$3,Heat_connections_input[#Headers],Heat_connections_input[#This Row],0,0,),"-")</f>
        <v>-</v>
      </c>
      <c r="J157" s="326" t="str" cm="1">
        <f t="array" ref="J157">IFERROR(_xlfn.XLOOKUP($J$3,Heat_connections_input[#Headers],Heat_connections_input[#This Row],0,0,1),"-")</f>
        <v>-</v>
      </c>
      <c r="K157" s="260"/>
      <c r="L157" s="261"/>
      <c r="M157" s="262"/>
      <c r="N157" s="263"/>
      <c r="O157" s="264" t="str">
        <f>IF(Heat_connections[[#This Row],[Ref]]&lt;&gt;"-",
IF(M157=1,Dashboard!$C$26,IF(M157=2,Dashboard!$C$27,Dashboard!$C$28)),"-")</f>
        <v>-</v>
      </c>
      <c r="P157" s="341">
        <f>IF(Heat_connections[[#This Row],[Category]]="Domestic",Heat_connections[[#This Row],[No. of connections]],0)</f>
        <v>0</v>
      </c>
      <c r="Q157" s="341">
        <f>IF(Heat_connections[[#This Row],[Category]]&lt;&gt;"Domestic",Heat_connections[[#This Row],[No. of connections]],0)</f>
        <v>0</v>
      </c>
      <c r="R157" s="209"/>
      <c r="S157" s="512">
        <f>IF(Heat_connections[[#This Row],[TOID]]&lt;&gt;"-",
IF(ISBLANK('Heat connections'!$R157),Dashboard!$C$14,'Heat connections'!$R157),0)</f>
        <v>0</v>
      </c>
      <c r="T157" s="513">
        <f>IF(Heat_connections[[#This Row],[Peak Demand, kW]]&lt;&gt;0,'Heat connections'!$G157*Dashboard!$C$21,0)</f>
        <v>0</v>
      </c>
      <c r="U157" s="514">
        <f>IF(Heat_connections[[#This Row],[Ref]]&lt;&gt;"-",48.436*Heat_connections[[#This Row],[Peak Demand, kW]]+1068.7,0)</f>
        <v>0</v>
      </c>
      <c r="V157" s="515">
        <f>IF(Heat_connections[[#This Row],[Ref]]&lt;&gt;"-",
_xlfn.XLOOKUP('Heat connections'!$G157,'Technical inputs'!$F$79:$F$94,'Technical inputs'!$I$79:$I$94,0,1,1),0)</f>
        <v>0</v>
      </c>
      <c r="W157" s="429">
        <f>IF('Heat connections'!$E157="Domestic",1,0)</f>
        <v>0</v>
      </c>
      <c r="X157" s="430">
        <f>IF(AND(Heat_connections[[#This Row],[Ref]]&lt;&gt;"-",'Heat connections'!$E157&lt;&gt;"Domestic"),1,0)</f>
        <v>0</v>
      </c>
      <c r="Y157" s="434">
        <v>103</v>
      </c>
      <c r="Z157" s="438">
        <f>IF(Heat_connections[[#This Row],[Existing/planned development]]&lt;&gt;0,1,0)</f>
        <v>0</v>
      </c>
      <c r="AA157" s="430">
        <f>IF('Heat connections'!$M157=1,1,0)</f>
        <v>0</v>
      </c>
      <c r="AB157" s="430">
        <f>IF('Heat connections'!$M157=2,1,0)</f>
        <v>0</v>
      </c>
      <c r="AC157" s="434">
        <f>IF('Heat connections'!$M157=3,1,0)</f>
        <v>0</v>
      </c>
      <c r="AD157" s="46" t="str">
        <f>IF(AND(Heat_connections[[#This Row],[Connected to heat network]]="Yes",Heat_connections[[#This Row],[Ref]]&lt;&gt;"-"),"Yes","No")</f>
        <v>No</v>
      </c>
    </row>
    <row r="158" spans="3:30" ht="12.75" x14ac:dyDescent="0.2">
      <c r="C158" s="208" t="str" cm="1">
        <f t="array" ref="C158">IFERROR(_xlfn.XLOOKUP($C$3,Heat_connections_input[#Headers],Heat_connections_input[#This Row],0,0,),"-")</f>
        <v>-</v>
      </c>
      <c r="D158" s="323" t="str" cm="1">
        <f t="array" ref="D158">IFERROR(_xlfn.XLOOKUP($D$3,Heat_connections_input[#Headers],Heat_connections_input[#This Row],0,0,),"-")</f>
        <v>-</v>
      </c>
      <c r="E158" s="284" t="str" cm="1">
        <f t="array" ref="E158">IFERROR(_xlfn.XLOOKUP($E$3,Heat_connections_input[#Headers],Heat_connections_input[#This Row],0,0,),"-")</f>
        <v>-</v>
      </c>
      <c r="F158" s="259" cm="1">
        <f t="array" ref="F158">IFERROR(_xlfn.XLOOKUP($F$3,Heat_connections_input[#Headers],Heat_connections_input[#This Row],0,0,),0)</f>
        <v>0</v>
      </c>
      <c r="G158" s="259" cm="1">
        <f t="array" ref="G158">IFERROR(_xlfn.XLOOKUP($G$3,Heat_connections_input[#Headers],Heat_connections_input[#This Row],0,0,),0)</f>
        <v>0</v>
      </c>
      <c r="H158" s="341" cm="1">
        <f t="array" ref="H158">IFERROR(_xlfn.XLOOKUP($H$3,Heat_connections_input[#Headers],Heat_connections_input[#This Row],0,0,),0)</f>
        <v>0</v>
      </c>
      <c r="I158" s="326" t="str" cm="1">
        <f t="array" ref="I158">IFERROR(_xlfn.XLOOKUP($I$3,Heat_connections_input[#Headers],Heat_connections_input[#This Row],0,0,),"-")</f>
        <v>-</v>
      </c>
      <c r="J158" s="326" t="str" cm="1">
        <f t="array" ref="J158">IFERROR(_xlfn.XLOOKUP($J$3,Heat_connections_input[#Headers],Heat_connections_input[#This Row],0,0,1),"-")</f>
        <v>-</v>
      </c>
      <c r="K158" s="260"/>
      <c r="L158" s="261"/>
      <c r="M158" s="262"/>
      <c r="N158" s="263"/>
      <c r="O158" s="264" t="str">
        <f>IF(Heat_connections[[#This Row],[Ref]]&lt;&gt;"-",
IF(M158=1,Dashboard!$C$26,IF(M158=2,Dashboard!$C$27,Dashboard!$C$28)),"-")</f>
        <v>-</v>
      </c>
      <c r="P158" s="341">
        <f>IF(Heat_connections[[#This Row],[Category]]="Domestic",Heat_connections[[#This Row],[No. of connections]],0)</f>
        <v>0</v>
      </c>
      <c r="Q158" s="341">
        <f>IF(Heat_connections[[#This Row],[Category]]&lt;&gt;"Domestic",Heat_connections[[#This Row],[No. of connections]],0)</f>
        <v>0</v>
      </c>
      <c r="R158" s="209"/>
      <c r="S158" s="512">
        <f>IF(Heat_connections[[#This Row],[TOID]]&lt;&gt;"-",
IF(ISBLANK('Heat connections'!$R158),Dashboard!$C$14,'Heat connections'!$R158),0)</f>
        <v>0</v>
      </c>
      <c r="T158" s="513">
        <f>IF(Heat_connections[[#This Row],[Peak Demand, kW]]&lt;&gt;0,'Heat connections'!$G158*Dashboard!$C$21,0)</f>
        <v>0</v>
      </c>
      <c r="U158" s="514">
        <f>IF(Heat_connections[[#This Row],[Ref]]&lt;&gt;"-",48.436*Heat_connections[[#This Row],[Peak Demand, kW]]+1068.7,0)</f>
        <v>0</v>
      </c>
      <c r="V158" s="515">
        <f>IF(Heat_connections[[#This Row],[Ref]]&lt;&gt;"-",
_xlfn.XLOOKUP('Heat connections'!$G158,'Technical inputs'!$F$79:$F$94,'Technical inputs'!$I$79:$I$94,0,1,1),0)</f>
        <v>0</v>
      </c>
      <c r="W158" s="429">
        <f>IF('Heat connections'!$E158="Domestic",1,0)</f>
        <v>0</v>
      </c>
      <c r="X158" s="430">
        <f>IF(AND(Heat_connections[[#This Row],[Ref]]&lt;&gt;"-",'Heat connections'!$E158&lt;&gt;"Domestic"),1,0)</f>
        <v>0</v>
      </c>
      <c r="Y158" s="434">
        <v>104</v>
      </c>
      <c r="Z158" s="438">
        <f>IF(Heat_connections[[#This Row],[Existing/planned development]]&lt;&gt;0,1,0)</f>
        <v>0</v>
      </c>
      <c r="AA158" s="430">
        <f>IF('Heat connections'!$M158=1,1,0)</f>
        <v>0</v>
      </c>
      <c r="AB158" s="430">
        <f>IF('Heat connections'!$M158=2,1,0)</f>
        <v>0</v>
      </c>
      <c r="AC158" s="434">
        <f>IF('Heat connections'!$M158=3,1,0)</f>
        <v>0</v>
      </c>
      <c r="AD158" s="46" t="str">
        <f>IF(AND(Heat_connections[[#This Row],[Connected to heat network]]="Yes",Heat_connections[[#This Row],[Ref]]&lt;&gt;"-"),"Yes","No")</f>
        <v>No</v>
      </c>
    </row>
    <row r="159" spans="3:30" ht="12.75" x14ac:dyDescent="0.2">
      <c r="C159" s="208" t="str" cm="1">
        <f t="array" ref="C159">IFERROR(_xlfn.XLOOKUP($C$3,Heat_connections_input[#Headers],Heat_connections_input[#This Row],0,0,),"-")</f>
        <v>-</v>
      </c>
      <c r="D159" s="323" t="str" cm="1">
        <f t="array" ref="D159">IFERROR(_xlfn.XLOOKUP($D$3,Heat_connections_input[#Headers],Heat_connections_input[#This Row],0,0,),"-")</f>
        <v>-</v>
      </c>
      <c r="E159" s="284" t="str" cm="1">
        <f t="array" ref="E159">IFERROR(_xlfn.XLOOKUP($E$3,Heat_connections_input[#Headers],Heat_connections_input[#This Row],0,0,),"-")</f>
        <v>-</v>
      </c>
      <c r="F159" s="259" cm="1">
        <f t="array" ref="F159">IFERROR(_xlfn.XLOOKUP($F$3,Heat_connections_input[#Headers],Heat_connections_input[#This Row],0,0,),0)</f>
        <v>0</v>
      </c>
      <c r="G159" s="259" cm="1">
        <f t="array" ref="G159">IFERROR(_xlfn.XLOOKUP($G$3,Heat_connections_input[#Headers],Heat_connections_input[#This Row],0,0,),0)</f>
        <v>0</v>
      </c>
      <c r="H159" s="341" cm="1">
        <f t="array" ref="H159">IFERROR(_xlfn.XLOOKUP($H$3,Heat_connections_input[#Headers],Heat_connections_input[#This Row],0,0,),0)</f>
        <v>0</v>
      </c>
      <c r="I159" s="326" t="str" cm="1">
        <f t="array" ref="I159">IFERROR(_xlfn.XLOOKUP($I$3,Heat_connections_input[#Headers],Heat_connections_input[#This Row],0,0,),"-")</f>
        <v>-</v>
      </c>
      <c r="J159" s="326" t="str" cm="1">
        <f t="array" ref="J159">IFERROR(_xlfn.XLOOKUP($J$3,Heat_connections_input[#Headers],Heat_connections_input[#This Row],0,0,1),"-")</f>
        <v>-</v>
      </c>
      <c r="K159" s="260"/>
      <c r="L159" s="261"/>
      <c r="M159" s="262"/>
      <c r="N159" s="263"/>
      <c r="O159" s="264" t="str">
        <f>IF(Heat_connections[[#This Row],[Ref]]&lt;&gt;"-",
IF(M159=1,Dashboard!$C$26,IF(M159=2,Dashboard!$C$27,Dashboard!$C$28)),"-")</f>
        <v>-</v>
      </c>
      <c r="P159" s="341">
        <f>IF(Heat_connections[[#This Row],[Category]]="Domestic",Heat_connections[[#This Row],[No. of connections]],0)</f>
        <v>0</v>
      </c>
      <c r="Q159" s="341">
        <f>IF(Heat_connections[[#This Row],[Category]]&lt;&gt;"Domestic",Heat_connections[[#This Row],[No. of connections]],0)</f>
        <v>0</v>
      </c>
      <c r="R159" s="209"/>
      <c r="S159" s="512">
        <f>IF(Heat_connections[[#This Row],[TOID]]&lt;&gt;"-",
IF(ISBLANK('Heat connections'!$R159),Dashboard!$C$14,'Heat connections'!$R159),0)</f>
        <v>0</v>
      </c>
      <c r="T159" s="513">
        <f>IF(Heat_connections[[#This Row],[Peak Demand, kW]]&lt;&gt;0,'Heat connections'!$G159*Dashboard!$C$21,0)</f>
        <v>0</v>
      </c>
      <c r="U159" s="514">
        <f>IF(Heat_connections[[#This Row],[Ref]]&lt;&gt;"-",48.436*Heat_connections[[#This Row],[Peak Demand, kW]]+1068.7,0)</f>
        <v>0</v>
      </c>
      <c r="V159" s="515">
        <f>IF(Heat_connections[[#This Row],[Ref]]&lt;&gt;"-",
_xlfn.XLOOKUP('Heat connections'!$G159,'Technical inputs'!$F$79:$F$94,'Technical inputs'!$I$79:$I$94,0,1,1),0)</f>
        <v>0</v>
      </c>
      <c r="W159" s="429">
        <f>IF('Heat connections'!$E159="Domestic",1,0)</f>
        <v>0</v>
      </c>
      <c r="X159" s="430">
        <f>IF(AND(Heat_connections[[#This Row],[Ref]]&lt;&gt;"-",'Heat connections'!$E159&lt;&gt;"Domestic"),1,0)</f>
        <v>0</v>
      </c>
      <c r="Y159" s="434">
        <v>105</v>
      </c>
      <c r="Z159" s="438">
        <f>IF(Heat_connections[[#This Row],[Existing/planned development]]&lt;&gt;0,1,0)</f>
        <v>0</v>
      </c>
      <c r="AA159" s="430">
        <f>IF('Heat connections'!$M159=1,1,0)</f>
        <v>0</v>
      </c>
      <c r="AB159" s="430">
        <f>IF('Heat connections'!$M159=2,1,0)</f>
        <v>0</v>
      </c>
      <c r="AC159" s="434">
        <f>IF('Heat connections'!$M159=3,1,0)</f>
        <v>0</v>
      </c>
      <c r="AD159" s="46" t="str">
        <f>IF(AND(Heat_connections[[#This Row],[Connected to heat network]]="Yes",Heat_connections[[#This Row],[Ref]]&lt;&gt;"-"),"Yes","No")</f>
        <v>No</v>
      </c>
    </row>
    <row r="160" spans="3:30" ht="12.75" x14ac:dyDescent="0.2">
      <c r="C160" s="208" t="str" cm="1">
        <f t="array" ref="C160">IFERROR(_xlfn.XLOOKUP($C$3,Heat_connections_input[#Headers],Heat_connections_input[#This Row],0,0,),"-")</f>
        <v>-</v>
      </c>
      <c r="D160" s="323" t="str" cm="1">
        <f t="array" ref="D160">IFERROR(_xlfn.XLOOKUP($D$3,Heat_connections_input[#Headers],Heat_connections_input[#This Row],0,0,),"-")</f>
        <v>-</v>
      </c>
      <c r="E160" s="284" t="str" cm="1">
        <f t="array" ref="E160">IFERROR(_xlfn.XLOOKUP($E$3,Heat_connections_input[#Headers],Heat_connections_input[#This Row],0,0,),"-")</f>
        <v>-</v>
      </c>
      <c r="F160" s="259" cm="1">
        <f t="array" ref="F160">IFERROR(_xlfn.XLOOKUP($F$3,Heat_connections_input[#Headers],Heat_connections_input[#This Row],0,0,),0)</f>
        <v>0</v>
      </c>
      <c r="G160" s="259" cm="1">
        <f t="array" ref="G160">IFERROR(_xlfn.XLOOKUP($G$3,Heat_connections_input[#Headers],Heat_connections_input[#This Row],0,0,),0)</f>
        <v>0</v>
      </c>
      <c r="H160" s="341" cm="1">
        <f t="array" ref="H160">IFERROR(_xlfn.XLOOKUP($H$3,Heat_connections_input[#Headers],Heat_connections_input[#This Row],0,0,),0)</f>
        <v>0</v>
      </c>
      <c r="I160" s="326" t="str" cm="1">
        <f t="array" ref="I160">IFERROR(_xlfn.XLOOKUP($I$3,Heat_connections_input[#Headers],Heat_connections_input[#This Row],0,0,),"-")</f>
        <v>-</v>
      </c>
      <c r="J160" s="326" t="str" cm="1">
        <f t="array" ref="J160">IFERROR(_xlfn.XLOOKUP($J$3,Heat_connections_input[#Headers],Heat_connections_input[#This Row],0,0,1),"-")</f>
        <v>-</v>
      </c>
      <c r="K160" s="260"/>
      <c r="L160" s="261"/>
      <c r="M160" s="262"/>
      <c r="N160" s="263"/>
      <c r="O160" s="264" t="str">
        <f>IF(Heat_connections[[#This Row],[Ref]]&lt;&gt;"-",
IF(M160=1,Dashboard!$C$26,IF(M160=2,Dashboard!$C$27,Dashboard!$C$28)),"-")</f>
        <v>-</v>
      </c>
      <c r="P160" s="341">
        <f>IF(Heat_connections[[#This Row],[Category]]="Domestic",Heat_connections[[#This Row],[No. of connections]],0)</f>
        <v>0</v>
      </c>
      <c r="Q160" s="341">
        <f>IF(Heat_connections[[#This Row],[Category]]&lt;&gt;"Domestic",Heat_connections[[#This Row],[No. of connections]],0)</f>
        <v>0</v>
      </c>
      <c r="R160" s="209"/>
      <c r="S160" s="512">
        <f>IF(Heat_connections[[#This Row],[TOID]]&lt;&gt;"-",
IF(ISBLANK('Heat connections'!$R160),Dashboard!$C$14,'Heat connections'!$R160),0)</f>
        <v>0</v>
      </c>
      <c r="T160" s="513">
        <f>IF(Heat_connections[[#This Row],[Peak Demand, kW]]&lt;&gt;0,'Heat connections'!$G160*Dashboard!$C$21,0)</f>
        <v>0</v>
      </c>
      <c r="U160" s="514">
        <f>IF(Heat_connections[[#This Row],[Ref]]&lt;&gt;"-",48.436*Heat_connections[[#This Row],[Peak Demand, kW]]+1068.7,0)</f>
        <v>0</v>
      </c>
      <c r="V160" s="515">
        <f>IF(Heat_connections[[#This Row],[Ref]]&lt;&gt;"-",
_xlfn.XLOOKUP('Heat connections'!$G160,'Technical inputs'!$F$79:$F$94,'Technical inputs'!$I$79:$I$94,0,1,1),0)</f>
        <v>0</v>
      </c>
      <c r="W160" s="429">
        <f>IF('Heat connections'!$E160="Domestic",1,0)</f>
        <v>0</v>
      </c>
      <c r="X160" s="430">
        <f>IF(AND(Heat_connections[[#This Row],[Ref]]&lt;&gt;"-",'Heat connections'!$E160&lt;&gt;"Domestic"),1,0)</f>
        <v>0</v>
      </c>
      <c r="Y160" s="434">
        <v>106</v>
      </c>
      <c r="Z160" s="438">
        <f>IF(Heat_connections[[#This Row],[Existing/planned development]]&lt;&gt;0,1,0)</f>
        <v>0</v>
      </c>
      <c r="AA160" s="430">
        <f>IF('Heat connections'!$M160=1,1,0)</f>
        <v>0</v>
      </c>
      <c r="AB160" s="430">
        <f>IF('Heat connections'!$M160=2,1,0)</f>
        <v>0</v>
      </c>
      <c r="AC160" s="434">
        <f>IF('Heat connections'!$M160=3,1,0)</f>
        <v>0</v>
      </c>
      <c r="AD160" s="46" t="str">
        <f>IF(AND(Heat_connections[[#This Row],[Connected to heat network]]="Yes",Heat_connections[[#This Row],[Ref]]&lt;&gt;"-"),"Yes","No")</f>
        <v>No</v>
      </c>
    </row>
    <row r="161" spans="3:30" ht="12.75" x14ac:dyDescent="0.2">
      <c r="C161" s="208" t="str" cm="1">
        <f t="array" ref="C161">IFERROR(_xlfn.XLOOKUP($C$3,Heat_connections_input[#Headers],Heat_connections_input[#This Row],0,0,),"-")</f>
        <v>-</v>
      </c>
      <c r="D161" s="323" t="str" cm="1">
        <f t="array" ref="D161">IFERROR(_xlfn.XLOOKUP($D$3,Heat_connections_input[#Headers],Heat_connections_input[#This Row],0,0,),"-")</f>
        <v>-</v>
      </c>
      <c r="E161" s="284" t="str" cm="1">
        <f t="array" ref="E161">IFERROR(_xlfn.XLOOKUP($E$3,Heat_connections_input[#Headers],Heat_connections_input[#This Row],0,0,),"-")</f>
        <v>-</v>
      </c>
      <c r="F161" s="259" cm="1">
        <f t="array" ref="F161">IFERROR(_xlfn.XLOOKUP($F$3,Heat_connections_input[#Headers],Heat_connections_input[#This Row],0,0,),0)</f>
        <v>0</v>
      </c>
      <c r="G161" s="259" cm="1">
        <f t="array" ref="G161">IFERROR(_xlfn.XLOOKUP($G$3,Heat_connections_input[#Headers],Heat_connections_input[#This Row],0,0,),0)</f>
        <v>0</v>
      </c>
      <c r="H161" s="341" cm="1">
        <f t="array" ref="H161">IFERROR(_xlfn.XLOOKUP($H$3,Heat_connections_input[#Headers],Heat_connections_input[#This Row],0,0,),0)</f>
        <v>0</v>
      </c>
      <c r="I161" s="326" t="str" cm="1">
        <f t="array" ref="I161">IFERROR(_xlfn.XLOOKUP($I$3,Heat_connections_input[#Headers],Heat_connections_input[#This Row],0,0,),"-")</f>
        <v>-</v>
      </c>
      <c r="J161" s="326" t="str" cm="1">
        <f t="array" ref="J161">IFERROR(_xlfn.XLOOKUP($J$3,Heat_connections_input[#Headers],Heat_connections_input[#This Row],0,0,1),"-")</f>
        <v>-</v>
      </c>
      <c r="K161" s="260"/>
      <c r="L161" s="261"/>
      <c r="M161" s="262"/>
      <c r="N161" s="263"/>
      <c r="O161" s="264" t="str">
        <f>IF(Heat_connections[[#This Row],[Ref]]&lt;&gt;"-",
IF(M161=1,Dashboard!$C$26,IF(M161=2,Dashboard!$C$27,Dashboard!$C$28)),"-")</f>
        <v>-</v>
      </c>
      <c r="P161" s="341">
        <f>IF(Heat_connections[[#This Row],[Category]]="Domestic",Heat_connections[[#This Row],[No. of connections]],0)</f>
        <v>0</v>
      </c>
      <c r="Q161" s="341">
        <f>IF(Heat_connections[[#This Row],[Category]]&lt;&gt;"Domestic",Heat_connections[[#This Row],[No. of connections]],0)</f>
        <v>0</v>
      </c>
      <c r="R161" s="209"/>
      <c r="S161" s="512">
        <f>IF(Heat_connections[[#This Row],[TOID]]&lt;&gt;"-",
IF(ISBLANK('Heat connections'!$R161),Dashboard!$C$14,'Heat connections'!$R161),0)</f>
        <v>0</v>
      </c>
      <c r="T161" s="513">
        <f>IF(Heat_connections[[#This Row],[Peak Demand, kW]]&lt;&gt;0,'Heat connections'!$G161*Dashboard!$C$21,0)</f>
        <v>0</v>
      </c>
      <c r="U161" s="514">
        <f>IF(Heat_connections[[#This Row],[Ref]]&lt;&gt;"-",48.436*Heat_connections[[#This Row],[Peak Demand, kW]]+1068.7,0)</f>
        <v>0</v>
      </c>
      <c r="V161" s="515">
        <f>IF(Heat_connections[[#This Row],[Ref]]&lt;&gt;"-",
_xlfn.XLOOKUP('Heat connections'!$G161,'Technical inputs'!$F$79:$F$94,'Technical inputs'!$I$79:$I$94,0,1,1),0)</f>
        <v>0</v>
      </c>
      <c r="W161" s="429">
        <f>IF('Heat connections'!$E161="Domestic",1,0)</f>
        <v>0</v>
      </c>
      <c r="X161" s="430">
        <f>IF(AND(Heat_connections[[#This Row],[Ref]]&lt;&gt;"-",'Heat connections'!$E161&lt;&gt;"Domestic"),1,0)</f>
        <v>0</v>
      </c>
      <c r="Y161" s="434">
        <v>107</v>
      </c>
      <c r="Z161" s="438">
        <f>IF(Heat_connections[[#This Row],[Existing/planned development]]&lt;&gt;0,1,0)</f>
        <v>0</v>
      </c>
      <c r="AA161" s="430">
        <f>IF('Heat connections'!$M161=1,1,0)</f>
        <v>0</v>
      </c>
      <c r="AB161" s="430">
        <f>IF('Heat connections'!$M161=2,1,0)</f>
        <v>0</v>
      </c>
      <c r="AC161" s="434">
        <f>IF('Heat connections'!$M161=3,1,0)</f>
        <v>0</v>
      </c>
      <c r="AD161" s="46" t="str">
        <f>IF(AND(Heat_connections[[#This Row],[Connected to heat network]]="Yes",Heat_connections[[#This Row],[Ref]]&lt;&gt;"-"),"Yes","No")</f>
        <v>No</v>
      </c>
    </row>
    <row r="162" spans="3:30" ht="12.75" x14ac:dyDescent="0.2">
      <c r="C162" s="208" t="str" cm="1">
        <f t="array" ref="C162">IFERROR(_xlfn.XLOOKUP($C$3,Heat_connections_input[#Headers],Heat_connections_input[#This Row],0,0,),"-")</f>
        <v>-</v>
      </c>
      <c r="D162" s="323" t="str" cm="1">
        <f t="array" ref="D162">IFERROR(_xlfn.XLOOKUP($D$3,Heat_connections_input[#Headers],Heat_connections_input[#This Row],0,0,),"-")</f>
        <v>-</v>
      </c>
      <c r="E162" s="284" t="str" cm="1">
        <f t="array" ref="E162">IFERROR(_xlfn.XLOOKUP($E$3,Heat_connections_input[#Headers],Heat_connections_input[#This Row],0,0,),"-")</f>
        <v>-</v>
      </c>
      <c r="F162" s="259" cm="1">
        <f t="array" ref="F162">IFERROR(_xlfn.XLOOKUP($F$3,Heat_connections_input[#Headers],Heat_connections_input[#This Row],0,0,),0)</f>
        <v>0</v>
      </c>
      <c r="G162" s="259" cm="1">
        <f t="array" ref="G162">IFERROR(_xlfn.XLOOKUP($G$3,Heat_connections_input[#Headers],Heat_connections_input[#This Row],0,0,),0)</f>
        <v>0</v>
      </c>
      <c r="H162" s="341" cm="1">
        <f t="array" ref="H162">IFERROR(_xlfn.XLOOKUP($H$3,Heat_connections_input[#Headers],Heat_connections_input[#This Row],0,0,),0)</f>
        <v>0</v>
      </c>
      <c r="I162" s="326" t="str" cm="1">
        <f t="array" ref="I162">IFERROR(_xlfn.XLOOKUP($I$3,Heat_connections_input[#Headers],Heat_connections_input[#This Row],0,0,),"-")</f>
        <v>-</v>
      </c>
      <c r="J162" s="326" t="str" cm="1">
        <f t="array" ref="J162">IFERROR(_xlfn.XLOOKUP($J$3,Heat_connections_input[#Headers],Heat_connections_input[#This Row],0,0,1),"-")</f>
        <v>-</v>
      </c>
      <c r="K162" s="260"/>
      <c r="L162" s="261"/>
      <c r="M162" s="262"/>
      <c r="N162" s="263"/>
      <c r="O162" s="264" t="str">
        <f>IF(Heat_connections[[#This Row],[Ref]]&lt;&gt;"-",
IF(M162=1,Dashboard!$C$26,IF(M162=2,Dashboard!$C$27,Dashboard!$C$28)),"-")</f>
        <v>-</v>
      </c>
      <c r="P162" s="341">
        <f>IF(Heat_connections[[#This Row],[Category]]="Domestic",Heat_connections[[#This Row],[No. of connections]],0)</f>
        <v>0</v>
      </c>
      <c r="Q162" s="341">
        <f>IF(Heat_connections[[#This Row],[Category]]&lt;&gt;"Domestic",Heat_connections[[#This Row],[No. of connections]],0)</f>
        <v>0</v>
      </c>
      <c r="R162" s="209"/>
      <c r="S162" s="512">
        <f>IF(Heat_connections[[#This Row],[TOID]]&lt;&gt;"-",
IF(ISBLANK('Heat connections'!$R162),Dashboard!$C$14,'Heat connections'!$R162),0)</f>
        <v>0</v>
      </c>
      <c r="T162" s="513">
        <f>IF(Heat_connections[[#This Row],[Peak Demand, kW]]&lt;&gt;0,'Heat connections'!$G162*Dashboard!$C$21,0)</f>
        <v>0</v>
      </c>
      <c r="U162" s="514">
        <f>IF(Heat_connections[[#This Row],[Ref]]&lt;&gt;"-",48.436*Heat_connections[[#This Row],[Peak Demand, kW]]+1068.7,0)</f>
        <v>0</v>
      </c>
      <c r="V162" s="515">
        <f>IF(Heat_connections[[#This Row],[Ref]]&lt;&gt;"-",
_xlfn.XLOOKUP('Heat connections'!$G162,'Technical inputs'!$F$79:$F$94,'Technical inputs'!$I$79:$I$94,0,1,1),0)</f>
        <v>0</v>
      </c>
      <c r="W162" s="429">
        <f>IF('Heat connections'!$E162="Domestic",1,0)</f>
        <v>0</v>
      </c>
      <c r="X162" s="430">
        <f>IF(AND(Heat_connections[[#This Row],[Ref]]&lt;&gt;"-",'Heat connections'!$E162&lt;&gt;"Domestic"),1,0)</f>
        <v>0</v>
      </c>
      <c r="Y162" s="434">
        <v>108</v>
      </c>
      <c r="Z162" s="438">
        <f>IF(Heat_connections[[#This Row],[Existing/planned development]]&lt;&gt;0,1,0)</f>
        <v>0</v>
      </c>
      <c r="AA162" s="430">
        <f>IF('Heat connections'!$M162=1,1,0)</f>
        <v>0</v>
      </c>
      <c r="AB162" s="430">
        <f>IF('Heat connections'!$M162=2,1,0)</f>
        <v>0</v>
      </c>
      <c r="AC162" s="434">
        <f>IF('Heat connections'!$M162=3,1,0)</f>
        <v>0</v>
      </c>
      <c r="AD162" s="46" t="str">
        <f>IF(AND(Heat_connections[[#This Row],[Connected to heat network]]="Yes",Heat_connections[[#This Row],[Ref]]&lt;&gt;"-"),"Yes","No")</f>
        <v>No</v>
      </c>
    </row>
    <row r="163" spans="3:30" ht="12.75" x14ac:dyDescent="0.2">
      <c r="C163" s="208" t="str" cm="1">
        <f t="array" ref="C163">IFERROR(_xlfn.XLOOKUP($C$3,Heat_connections_input[#Headers],Heat_connections_input[#This Row],0,0,),"-")</f>
        <v>-</v>
      </c>
      <c r="D163" s="323" t="str" cm="1">
        <f t="array" ref="D163">IFERROR(_xlfn.XLOOKUP($D$3,Heat_connections_input[#Headers],Heat_connections_input[#This Row],0,0,),"-")</f>
        <v>-</v>
      </c>
      <c r="E163" s="284" t="str" cm="1">
        <f t="array" ref="E163">IFERROR(_xlfn.XLOOKUP($E$3,Heat_connections_input[#Headers],Heat_connections_input[#This Row],0,0,),"-")</f>
        <v>-</v>
      </c>
      <c r="F163" s="259" cm="1">
        <f t="array" ref="F163">IFERROR(_xlfn.XLOOKUP($F$3,Heat_connections_input[#Headers],Heat_connections_input[#This Row],0,0,),0)</f>
        <v>0</v>
      </c>
      <c r="G163" s="259" cm="1">
        <f t="array" ref="G163">IFERROR(_xlfn.XLOOKUP($G$3,Heat_connections_input[#Headers],Heat_connections_input[#This Row],0,0,),0)</f>
        <v>0</v>
      </c>
      <c r="H163" s="341" cm="1">
        <f t="array" ref="H163">IFERROR(_xlfn.XLOOKUP($H$3,Heat_connections_input[#Headers],Heat_connections_input[#This Row],0,0,),0)</f>
        <v>0</v>
      </c>
      <c r="I163" s="326" t="str" cm="1">
        <f t="array" ref="I163">IFERROR(_xlfn.XLOOKUP($I$3,Heat_connections_input[#Headers],Heat_connections_input[#This Row],0,0,),"-")</f>
        <v>-</v>
      </c>
      <c r="J163" s="326" t="str" cm="1">
        <f t="array" ref="J163">IFERROR(_xlfn.XLOOKUP($J$3,Heat_connections_input[#Headers],Heat_connections_input[#This Row],0,0,1),"-")</f>
        <v>-</v>
      </c>
      <c r="K163" s="260"/>
      <c r="L163" s="261"/>
      <c r="M163" s="262"/>
      <c r="N163" s="263"/>
      <c r="O163" s="264" t="str">
        <f>IF(Heat_connections[[#This Row],[Ref]]&lt;&gt;"-",
IF(M163=1,Dashboard!$C$26,IF(M163=2,Dashboard!$C$27,Dashboard!$C$28)),"-")</f>
        <v>-</v>
      </c>
      <c r="P163" s="341">
        <f>IF(Heat_connections[[#This Row],[Category]]="Domestic",Heat_connections[[#This Row],[No. of connections]],0)</f>
        <v>0</v>
      </c>
      <c r="Q163" s="341">
        <f>IF(Heat_connections[[#This Row],[Category]]&lt;&gt;"Domestic",Heat_connections[[#This Row],[No. of connections]],0)</f>
        <v>0</v>
      </c>
      <c r="R163" s="209"/>
      <c r="S163" s="512">
        <f>IF(Heat_connections[[#This Row],[TOID]]&lt;&gt;"-",
IF(ISBLANK('Heat connections'!$R163),Dashboard!$C$14,'Heat connections'!$R163),0)</f>
        <v>0</v>
      </c>
      <c r="T163" s="513">
        <f>IF(Heat_connections[[#This Row],[Peak Demand, kW]]&lt;&gt;0,'Heat connections'!$G163*Dashboard!$C$21,0)</f>
        <v>0</v>
      </c>
      <c r="U163" s="514">
        <f>IF(Heat_connections[[#This Row],[Ref]]&lt;&gt;"-",48.436*Heat_connections[[#This Row],[Peak Demand, kW]]+1068.7,0)</f>
        <v>0</v>
      </c>
      <c r="V163" s="515">
        <f>IF(Heat_connections[[#This Row],[Ref]]&lt;&gt;"-",
_xlfn.XLOOKUP('Heat connections'!$G163,'Technical inputs'!$F$79:$F$94,'Technical inputs'!$I$79:$I$94,0,1,1),0)</f>
        <v>0</v>
      </c>
      <c r="W163" s="429">
        <f>IF('Heat connections'!$E163="Domestic",1,0)</f>
        <v>0</v>
      </c>
      <c r="X163" s="430">
        <f>IF(AND(Heat_connections[[#This Row],[Ref]]&lt;&gt;"-",'Heat connections'!$E163&lt;&gt;"Domestic"),1,0)</f>
        <v>0</v>
      </c>
      <c r="Y163" s="434">
        <v>109</v>
      </c>
      <c r="Z163" s="438">
        <f>IF(Heat_connections[[#This Row],[Existing/planned development]]&lt;&gt;0,1,0)</f>
        <v>0</v>
      </c>
      <c r="AA163" s="430">
        <f>IF('Heat connections'!$M163=1,1,0)</f>
        <v>0</v>
      </c>
      <c r="AB163" s="430">
        <f>IF('Heat connections'!$M163=2,1,0)</f>
        <v>0</v>
      </c>
      <c r="AC163" s="434">
        <f>IF('Heat connections'!$M163=3,1,0)</f>
        <v>0</v>
      </c>
      <c r="AD163" s="46" t="str">
        <f>IF(AND(Heat_connections[[#This Row],[Connected to heat network]]="Yes",Heat_connections[[#This Row],[Ref]]&lt;&gt;"-"),"Yes","No")</f>
        <v>No</v>
      </c>
    </row>
    <row r="164" spans="3:30" ht="12.75" x14ac:dyDescent="0.2">
      <c r="C164" s="208" t="str" cm="1">
        <f t="array" ref="C164">IFERROR(_xlfn.XLOOKUP($C$3,Heat_connections_input[#Headers],Heat_connections_input[#This Row],0,0,),"-")</f>
        <v>-</v>
      </c>
      <c r="D164" s="323" t="str" cm="1">
        <f t="array" ref="D164">IFERROR(_xlfn.XLOOKUP($D$3,Heat_connections_input[#Headers],Heat_connections_input[#This Row],0,0,),"-")</f>
        <v>-</v>
      </c>
      <c r="E164" s="284" t="str" cm="1">
        <f t="array" ref="E164">IFERROR(_xlfn.XLOOKUP($E$3,Heat_connections_input[#Headers],Heat_connections_input[#This Row],0,0,),"-")</f>
        <v>-</v>
      </c>
      <c r="F164" s="259" cm="1">
        <f t="array" ref="F164">IFERROR(_xlfn.XLOOKUP($F$3,Heat_connections_input[#Headers],Heat_connections_input[#This Row],0,0,),0)</f>
        <v>0</v>
      </c>
      <c r="G164" s="259" cm="1">
        <f t="array" ref="G164">IFERROR(_xlfn.XLOOKUP($G$3,Heat_connections_input[#Headers],Heat_connections_input[#This Row],0,0,),0)</f>
        <v>0</v>
      </c>
      <c r="H164" s="341" cm="1">
        <f t="array" ref="H164">IFERROR(_xlfn.XLOOKUP($H$3,Heat_connections_input[#Headers],Heat_connections_input[#This Row],0,0,),0)</f>
        <v>0</v>
      </c>
      <c r="I164" s="326" t="str" cm="1">
        <f t="array" ref="I164">IFERROR(_xlfn.XLOOKUP($I$3,Heat_connections_input[#Headers],Heat_connections_input[#This Row],0,0,),"-")</f>
        <v>-</v>
      </c>
      <c r="J164" s="326" t="str" cm="1">
        <f t="array" ref="J164">IFERROR(_xlfn.XLOOKUP($J$3,Heat_connections_input[#Headers],Heat_connections_input[#This Row],0,0,1),"-")</f>
        <v>-</v>
      </c>
      <c r="K164" s="260"/>
      <c r="L164" s="261"/>
      <c r="M164" s="262"/>
      <c r="N164" s="263"/>
      <c r="O164" s="264" t="str">
        <f>IF(Heat_connections[[#This Row],[Ref]]&lt;&gt;"-",
IF(M164=1,Dashboard!$C$26,IF(M164=2,Dashboard!$C$27,Dashboard!$C$28)),"-")</f>
        <v>-</v>
      </c>
      <c r="P164" s="341">
        <f>IF(Heat_connections[[#This Row],[Category]]="Domestic",Heat_connections[[#This Row],[No. of connections]],0)</f>
        <v>0</v>
      </c>
      <c r="Q164" s="341">
        <f>IF(Heat_connections[[#This Row],[Category]]&lt;&gt;"Domestic",Heat_connections[[#This Row],[No. of connections]],0)</f>
        <v>0</v>
      </c>
      <c r="R164" s="209"/>
      <c r="S164" s="512">
        <f>IF(Heat_connections[[#This Row],[TOID]]&lt;&gt;"-",
IF(ISBLANK('Heat connections'!$R164),Dashboard!$C$14,'Heat connections'!$R164),0)</f>
        <v>0</v>
      </c>
      <c r="T164" s="513">
        <f>IF(Heat_connections[[#This Row],[Peak Demand, kW]]&lt;&gt;0,'Heat connections'!$G164*Dashboard!$C$21,0)</f>
        <v>0</v>
      </c>
      <c r="U164" s="514">
        <f>IF(Heat_connections[[#This Row],[Ref]]&lt;&gt;"-",48.436*Heat_connections[[#This Row],[Peak Demand, kW]]+1068.7,0)</f>
        <v>0</v>
      </c>
      <c r="V164" s="515">
        <f>IF(Heat_connections[[#This Row],[Ref]]&lt;&gt;"-",
_xlfn.XLOOKUP('Heat connections'!$G164,'Technical inputs'!$F$79:$F$94,'Technical inputs'!$I$79:$I$94,0,1,1),0)</f>
        <v>0</v>
      </c>
      <c r="W164" s="429">
        <f>IF('Heat connections'!$E164="Domestic",1,0)</f>
        <v>0</v>
      </c>
      <c r="X164" s="430">
        <f>IF(AND(Heat_connections[[#This Row],[Ref]]&lt;&gt;"-",'Heat connections'!$E164&lt;&gt;"Domestic"),1,0)</f>
        <v>0</v>
      </c>
      <c r="Y164" s="434">
        <v>110</v>
      </c>
      <c r="Z164" s="438">
        <f>IF(Heat_connections[[#This Row],[Existing/planned development]]&lt;&gt;0,1,0)</f>
        <v>0</v>
      </c>
      <c r="AA164" s="430">
        <f>IF('Heat connections'!$M164=1,1,0)</f>
        <v>0</v>
      </c>
      <c r="AB164" s="430">
        <f>IF('Heat connections'!$M164=2,1,0)</f>
        <v>0</v>
      </c>
      <c r="AC164" s="434">
        <f>IF('Heat connections'!$M164=3,1,0)</f>
        <v>0</v>
      </c>
      <c r="AD164" s="46" t="str">
        <f>IF(AND(Heat_connections[[#This Row],[Connected to heat network]]="Yes",Heat_connections[[#This Row],[Ref]]&lt;&gt;"-"),"Yes","No")</f>
        <v>No</v>
      </c>
    </row>
    <row r="165" spans="3:30" ht="12.75" x14ac:dyDescent="0.2">
      <c r="C165" s="208" t="str" cm="1">
        <f t="array" ref="C165">IFERROR(_xlfn.XLOOKUP($C$3,Heat_connections_input[#Headers],Heat_connections_input[#This Row],0,0,),"-")</f>
        <v>-</v>
      </c>
      <c r="D165" s="323" t="str" cm="1">
        <f t="array" ref="D165">IFERROR(_xlfn.XLOOKUP($D$3,Heat_connections_input[#Headers],Heat_connections_input[#This Row],0,0,),"-")</f>
        <v>-</v>
      </c>
      <c r="E165" s="284" t="str" cm="1">
        <f t="array" ref="E165">IFERROR(_xlfn.XLOOKUP($E$3,Heat_connections_input[#Headers],Heat_connections_input[#This Row],0,0,),"-")</f>
        <v>-</v>
      </c>
      <c r="F165" s="259" cm="1">
        <f t="array" ref="F165">IFERROR(_xlfn.XLOOKUP($F$3,Heat_connections_input[#Headers],Heat_connections_input[#This Row],0,0,),0)</f>
        <v>0</v>
      </c>
      <c r="G165" s="259" cm="1">
        <f t="array" ref="G165">IFERROR(_xlfn.XLOOKUP($G$3,Heat_connections_input[#Headers],Heat_connections_input[#This Row],0,0,),0)</f>
        <v>0</v>
      </c>
      <c r="H165" s="341" cm="1">
        <f t="array" ref="H165">IFERROR(_xlfn.XLOOKUP($H$3,Heat_connections_input[#Headers],Heat_connections_input[#This Row],0,0,),0)</f>
        <v>0</v>
      </c>
      <c r="I165" s="326" t="str" cm="1">
        <f t="array" ref="I165">IFERROR(_xlfn.XLOOKUP($I$3,Heat_connections_input[#Headers],Heat_connections_input[#This Row],0,0,),"-")</f>
        <v>-</v>
      </c>
      <c r="J165" s="326" t="str" cm="1">
        <f t="array" ref="J165">IFERROR(_xlfn.XLOOKUP($J$3,Heat_connections_input[#Headers],Heat_connections_input[#This Row],0,0,1),"-")</f>
        <v>-</v>
      </c>
      <c r="K165" s="260"/>
      <c r="L165" s="261"/>
      <c r="M165" s="262"/>
      <c r="N165" s="263"/>
      <c r="O165" s="264" t="str">
        <f>IF(Heat_connections[[#This Row],[Ref]]&lt;&gt;"-",
IF(M165=1,Dashboard!$C$26,IF(M165=2,Dashboard!$C$27,Dashboard!$C$28)),"-")</f>
        <v>-</v>
      </c>
      <c r="P165" s="341">
        <f>IF(Heat_connections[[#This Row],[Category]]="Domestic",Heat_connections[[#This Row],[No. of connections]],0)</f>
        <v>0</v>
      </c>
      <c r="Q165" s="341">
        <f>IF(Heat_connections[[#This Row],[Category]]&lt;&gt;"Domestic",Heat_connections[[#This Row],[No. of connections]],0)</f>
        <v>0</v>
      </c>
      <c r="R165" s="209"/>
      <c r="S165" s="512">
        <f>IF(Heat_connections[[#This Row],[TOID]]&lt;&gt;"-",
IF(ISBLANK('Heat connections'!$R165),Dashboard!$C$14,'Heat connections'!$R165),0)</f>
        <v>0</v>
      </c>
      <c r="T165" s="513">
        <f>IF(Heat_connections[[#This Row],[Peak Demand, kW]]&lt;&gt;0,'Heat connections'!$G165*Dashboard!$C$21,0)</f>
        <v>0</v>
      </c>
      <c r="U165" s="514">
        <f>IF(Heat_connections[[#This Row],[Ref]]&lt;&gt;"-",48.436*Heat_connections[[#This Row],[Peak Demand, kW]]+1068.7,0)</f>
        <v>0</v>
      </c>
      <c r="V165" s="515">
        <f>IF(Heat_connections[[#This Row],[Ref]]&lt;&gt;"-",
_xlfn.XLOOKUP('Heat connections'!$G165,'Technical inputs'!$F$79:$F$94,'Technical inputs'!$I$79:$I$94,0,1,1),0)</f>
        <v>0</v>
      </c>
      <c r="W165" s="429">
        <f>IF('Heat connections'!$E165="Domestic",1,0)</f>
        <v>0</v>
      </c>
      <c r="X165" s="430">
        <f>IF(AND(Heat_connections[[#This Row],[Ref]]&lt;&gt;"-",'Heat connections'!$E165&lt;&gt;"Domestic"),1,0)</f>
        <v>0</v>
      </c>
      <c r="Y165" s="434">
        <v>111</v>
      </c>
      <c r="Z165" s="438">
        <f>IF(Heat_connections[[#This Row],[Existing/planned development]]&lt;&gt;0,1,0)</f>
        <v>0</v>
      </c>
      <c r="AA165" s="430">
        <f>IF('Heat connections'!$M165=1,1,0)</f>
        <v>0</v>
      </c>
      <c r="AB165" s="430">
        <f>IF('Heat connections'!$M165=2,1,0)</f>
        <v>0</v>
      </c>
      <c r="AC165" s="434">
        <f>IF('Heat connections'!$M165=3,1,0)</f>
        <v>0</v>
      </c>
      <c r="AD165" s="46" t="str">
        <f>IF(AND(Heat_connections[[#This Row],[Connected to heat network]]="Yes",Heat_connections[[#This Row],[Ref]]&lt;&gt;"-"),"Yes","No")</f>
        <v>No</v>
      </c>
    </row>
    <row r="166" spans="3:30" ht="12.75" x14ac:dyDescent="0.2">
      <c r="C166" s="208" t="str" cm="1">
        <f t="array" ref="C166">IFERROR(_xlfn.XLOOKUP($C$3,Heat_connections_input[#Headers],Heat_connections_input[#This Row],0,0,),"-")</f>
        <v>-</v>
      </c>
      <c r="D166" s="323" t="str" cm="1">
        <f t="array" ref="D166">IFERROR(_xlfn.XLOOKUP($D$3,Heat_connections_input[#Headers],Heat_connections_input[#This Row],0,0,),"-")</f>
        <v>-</v>
      </c>
      <c r="E166" s="284" t="str" cm="1">
        <f t="array" ref="E166">IFERROR(_xlfn.XLOOKUP($E$3,Heat_connections_input[#Headers],Heat_connections_input[#This Row],0,0,),"-")</f>
        <v>-</v>
      </c>
      <c r="F166" s="259" cm="1">
        <f t="array" ref="F166">IFERROR(_xlfn.XLOOKUP($F$3,Heat_connections_input[#Headers],Heat_connections_input[#This Row],0,0,),0)</f>
        <v>0</v>
      </c>
      <c r="G166" s="259" cm="1">
        <f t="array" ref="G166">IFERROR(_xlfn.XLOOKUP($G$3,Heat_connections_input[#Headers],Heat_connections_input[#This Row],0,0,),0)</f>
        <v>0</v>
      </c>
      <c r="H166" s="341" cm="1">
        <f t="array" ref="H166">IFERROR(_xlfn.XLOOKUP($H$3,Heat_connections_input[#Headers],Heat_connections_input[#This Row],0,0,),0)</f>
        <v>0</v>
      </c>
      <c r="I166" s="326" t="str" cm="1">
        <f t="array" ref="I166">IFERROR(_xlfn.XLOOKUP($I$3,Heat_connections_input[#Headers],Heat_connections_input[#This Row],0,0,),"-")</f>
        <v>-</v>
      </c>
      <c r="J166" s="326" t="str" cm="1">
        <f t="array" ref="J166">IFERROR(_xlfn.XLOOKUP($J$3,Heat_connections_input[#Headers],Heat_connections_input[#This Row],0,0,1),"-")</f>
        <v>-</v>
      </c>
      <c r="K166" s="260"/>
      <c r="L166" s="261"/>
      <c r="M166" s="262"/>
      <c r="N166" s="263"/>
      <c r="O166" s="264" t="str">
        <f>IF(Heat_connections[[#This Row],[Ref]]&lt;&gt;"-",
IF(M166=1,Dashboard!$C$26,IF(M166=2,Dashboard!$C$27,Dashboard!$C$28)),"-")</f>
        <v>-</v>
      </c>
      <c r="P166" s="341">
        <f>IF(Heat_connections[[#This Row],[Category]]="Domestic",Heat_connections[[#This Row],[No. of connections]],0)</f>
        <v>0</v>
      </c>
      <c r="Q166" s="341">
        <f>IF(Heat_connections[[#This Row],[Category]]&lt;&gt;"Domestic",Heat_connections[[#This Row],[No. of connections]],0)</f>
        <v>0</v>
      </c>
      <c r="R166" s="209"/>
      <c r="S166" s="512">
        <f>IF(Heat_connections[[#This Row],[TOID]]&lt;&gt;"-",
IF(ISBLANK('Heat connections'!$R166),Dashboard!$C$14,'Heat connections'!$R166),0)</f>
        <v>0</v>
      </c>
      <c r="T166" s="513">
        <f>IF(Heat_connections[[#This Row],[Peak Demand, kW]]&lt;&gt;0,'Heat connections'!$G166*Dashboard!$C$21,0)</f>
        <v>0</v>
      </c>
      <c r="U166" s="514">
        <f>IF(Heat_connections[[#This Row],[Ref]]&lt;&gt;"-",48.436*Heat_connections[[#This Row],[Peak Demand, kW]]+1068.7,0)</f>
        <v>0</v>
      </c>
      <c r="V166" s="515">
        <f>IF(Heat_connections[[#This Row],[Ref]]&lt;&gt;"-",
_xlfn.XLOOKUP('Heat connections'!$G166,'Technical inputs'!$F$79:$F$94,'Technical inputs'!$I$79:$I$94,0,1,1),0)</f>
        <v>0</v>
      </c>
      <c r="W166" s="429">
        <f>IF('Heat connections'!$E166="Domestic",1,0)</f>
        <v>0</v>
      </c>
      <c r="X166" s="430">
        <f>IF(AND(Heat_connections[[#This Row],[Ref]]&lt;&gt;"-",'Heat connections'!$E166&lt;&gt;"Domestic"),1,0)</f>
        <v>0</v>
      </c>
      <c r="Y166" s="434">
        <v>112</v>
      </c>
      <c r="Z166" s="438">
        <f>IF(Heat_connections[[#This Row],[Existing/planned development]]&lt;&gt;0,1,0)</f>
        <v>0</v>
      </c>
      <c r="AA166" s="430">
        <f>IF('Heat connections'!$M166=1,1,0)</f>
        <v>0</v>
      </c>
      <c r="AB166" s="430">
        <f>IF('Heat connections'!$M166=2,1,0)</f>
        <v>0</v>
      </c>
      <c r="AC166" s="434">
        <f>IF('Heat connections'!$M166=3,1,0)</f>
        <v>0</v>
      </c>
      <c r="AD166" s="46" t="str">
        <f>IF(AND(Heat_connections[[#This Row],[Connected to heat network]]="Yes",Heat_connections[[#This Row],[Ref]]&lt;&gt;"-"),"Yes","No")</f>
        <v>No</v>
      </c>
    </row>
    <row r="167" spans="3:30" ht="12.75" x14ac:dyDescent="0.2">
      <c r="C167" s="208" t="str" cm="1">
        <f t="array" ref="C167">IFERROR(_xlfn.XLOOKUP($C$3,Heat_connections_input[#Headers],Heat_connections_input[#This Row],0,0,),"-")</f>
        <v>-</v>
      </c>
      <c r="D167" s="323" t="str" cm="1">
        <f t="array" ref="D167">IFERROR(_xlfn.XLOOKUP($D$3,Heat_connections_input[#Headers],Heat_connections_input[#This Row],0,0,),"-")</f>
        <v>-</v>
      </c>
      <c r="E167" s="284" t="str" cm="1">
        <f t="array" ref="E167">IFERROR(_xlfn.XLOOKUP($E$3,Heat_connections_input[#Headers],Heat_connections_input[#This Row],0,0,),"-")</f>
        <v>-</v>
      </c>
      <c r="F167" s="259" cm="1">
        <f t="array" ref="F167">IFERROR(_xlfn.XLOOKUP($F$3,Heat_connections_input[#Headers],Heat_connections_input[#This Row],0,0,),0)</f>
        <v>0</v>
      </c>
      <c r="G167" s="259" cm="1">
        <f t="array" ref="G167">IFERROR(_xlfn.XLOOKUP($G$3,Heat_connections_input[#Headers],Heat_connections_input[#This Row],0,0,),0)</f>
        <v>0</v>
      </c>
      <c r="H167" s="341" cm="1">
        <f t="array" ref="H167">IFERROR(_xlfn.XLOOKUP($H$3,Heat_connections_input[#Headers],Heat_connections_input[#This Row],0,0,),0)</f>
        <v>0</v>
      </c>
      <c r="I167" s="326" t="str" cm="1">
        <f t="array" ref="I167">IFERROR(_xlfn.XLOOKUP($I$3,Heat_connections_input[#Headers],Heat_connections_input[#This Row],0,0,),"-")</f>
        <v>-</v>
      </c>
      <c r="J167" s="326" t="str" cm="1">
        <f t="array" ref="J167">IFERROR(_xlfn.XLOOKUP($J$3,Heat_connections_input[#Headers],Heat_connections_input[#This Row],0,0,1),"-")</f>
        <v>-</v>
      </c>
      <c r="K167" s="260"/>
      <c r="L167" s="261"/>
      <c r="M167" s="262"/>
      <c r="N167" s="263"/>
      <c r="O167" s="264" t="str">
        <f>IF(Heat_connections[[#This Row],[Ref]]&lt;&gt;"-",
IF(M167=1,Dashboard!$C$26,IF(M167=2,Dashboard!$C$27,Dashboard!$C$28)),"-")</f>
        <v>-</v>
      </c>
      <c r="P167" s="341">
        <f>IF(Heat_connections[[#This Row],[Category]]="Domestic",Heat_connections[[#This Row],[No. of connections]],0)</f>
        <v>0</v>
      </c>
      <c r="Q167" s="341">
        <f>IF(Heat_connections[[#This Row],[Category]]&lt;&gt;"Domestic",Heat_connections[[#This Row],[No. of connections]],0)</f>
        <v>0</v>
      </c>
      <c r="R167" s="209"/>
      <c r="S167" s="512">
        <f>IF(Heat_connections[[#This Row],[TOID]]&lt;&gt;"-",
IF(ISBLANK('Heat connections'!$R167),Dashboard!$C$14,'Heat connections'!$R167),0)</f>
        <v>0</v>
      </c>
      <c r="T167" s="513">
        <f>IF(Heat_connections[[#This Row],[Peak Demand, kW]]&lt;&gt;0,'Heat connections'!$G167*Dashboard!$C$21,0)</f>
        <v>0</v>
      </c>
      <c r="U167" s="514">
        <f>IF(Heat_connections[[#This Row],[Ref]]&lt;&gt;"-",48.436*Heat_connections[[#This Row],[Peak Demand, kW]]+1068.7,0)</f>
        <v>0</v>
      </c>
      <c r="V167" s="515">
        <f>IF(Heat_connections[[#This Row],[Ref]]&lt;&gt;"-",
_xlfn.XLOOKUP('Heat connections'!$G167,'Technical inputs'!$F$79:$F$94,'Technical inputs'!$I$79:$I$94,0,1,1),0)</f>
        <v>0</v>
      </c>
      <c r="W167" s="429">
        <f>IF('Heat connections'!$E167="Domestic",1,0)</f>
        <v>0</v>
      </c>
      <c r="X167" s="430">
        <f>IF(AND(Heat_connections[[#This Row],[Ref]]&lt;&gt;"-",'Heat connections'!$E167&lt;&gt;"Domestic"),1,0)</f>
        <v>0</v>
      </c>
      <c r="Y167" s="434">
        <v>113</v>
      </c>
      <c r="Z167" s="438">
        <f>IF(Heat_connections[[#This Row],[Existing/planned development]]&lt;&gt;0,1,0)</f>
        <v>0</v>
      </c>
      <c r="AA167" s="430">
        <f>IF('Heat connections'!$M167=1,1,0)</f>
        <v>0</v>
      </c>
      <c r="AB167" s="430">
        <f>IF('Heat connections'!$M167=2,1,0)</f>
        <v>0</v>
      </c>
      <c r="AC167" s="434">
        <f>IF('Heat connections'!$M167=3,1,0)</f>
        <v>0</v>
      </c>
      <c r="AD167" s="46" t="str">
        <f>IF(AND(Heat_connections[[#This Row],[Connected to heat network]]="Yes",Heat_connections[[#This Row],[Ref]]&lt;&gt;"-"),"Yes","No")</f>
        <v>No</v>
      </c>
    </row>
    <row r="168" spans="3:30" ht="12.75" x14ac:dyDescent="0.2">
      <c r="C168" s="208" t="str" cm="1">
        <f t="array" ref="C168">IFERROR(_xlfn.XLOOKUP($C$3,Heat_connections_input[#Headers],Heat_connections_input[#This Row],0,0,),"-")</f>
        <v>-</v>
      </c>
      <c r="D168" s="323" t="str" cm="1">
        <f t="array" ref="D168">IFERROR(_xlfn.XLOOKUP($D$3,Heat_connections_input[#Headers],Heat_connections_input[#This Row],0,0,),"-")</f>
        <v>-</v>
      </c>
      <c r="E168" s="284" t="str" cm="1">
        <f t="array" ref="E168">IFERROR(_xlfn.XLOOKUP($E$3,Heat_connections_input[#Headers],Heat_connections_input[#This Row],0,0,),"-")</f>
        <v>-</v>
      </c>
      <c r="F168" s="259" cm="1">
        <f t="array" ref="F168">IFERROR(_xlfn.XLOOKUP($F$3,Heat_connections_input[#Headers],Heat_connections_input[#This Row],0,0,),0)</f>
        <v>0</v>
      </c>
      <c r="G168" s="259" cm="1">
        <f t="array" ref="G168">IFERROR(_xlfn.XLOOKUP($G$3,Heat_connections_input[#Headers],Heat_connections_input[#This Row],0,0,),0)</f>
        <v>0</v>
      </c>
      <c r="H168" s="341" cm="1">
        <f t="array" ref="H168">IFERROR(_xlfn.XLOOKUP($H$3,Heat_connections_input[#Headers],Heat_connections_input[#This Row],0,0,),0)</f>
        <v>0</v>
      </c>
      <c r="I168" s="326" t="str" cm="1">
        <f t="array" ref="I168">IFERROR(_xlfn.XLOOKUP($I$3,Heat_connections_input[#Headers],Heat_connections_input[#This Row],0,0,),"-")</f>
        <v>-</v>
      </c>
      <c r="J168" s="326" t="str" cm="1">
        <f t="array" ref="J168">IFERROR(_xlfn.XLOOKUP($J$3,Heat_connections_input[#Headers],Heat_connections_input[#This Row],0,0,1),"-")</f>
        <v>-</v>
      </c>
      <c r="K168" s="260"/>
      <c r="L168" s="261"/>
      <c r="M168" s="262"/>
      <c r="N168" s="263"/>
      <c r="O168" s="264" t="str">
        <f>IF(Heat_connections[[#This Row],[Ref]]&lt;&gt;"-",
IF(M168=1,Dashboard!$C$26,IF(M168=2,Dashboard!$C$27,Dashboard!$C$28)),"-")</f>
        <v>-</v>
      </c>
      <c r="P168" s="341">
        <f>IF(Heat_connections[[#This Row],[Category]]="Domestic",Heat_connections[[#This Row],[No. of connections]],0)</f>
        <v>0</v>
      </c>
      <c r="Q168" s="341">
        <f>IF(Heat_connections[[#This Row],[Category]]&lt;&gt;"Domestic",Heat_connections[[#This Row],[No. of connections]],0)</f>
        <v>0</v>
      </c>
      <c r="R168" s="209"/>
      <c r="S168" s="512">
        <f>IF(Heat_connections[[#This Row],[TOID]]&lt;&gt;"-",
IF(ISBLANK('Heat connections'!$R168),Dashboard!$C$14,'Heat connections'!$R168),0)</f>
        <v>0</v>
      </c>
      <c r="T168" s="513">
        <f>IF(Heat_connections[[#This Row],[Peak Demand, kW]]&lt;&gt;0,'Heat connections'!$G168*Dashboard!$C$21,0)</f>
        <v>0</v>
      </c>
      <c r="U168" s="514">
        <f>IF(Heat_connections[[#This Row],[Ref]]&lt;&gt;"-",48.436*Heat_connections[[#This Row],[Peak Demand, kW]]+1068.7,0)</f>
        <v>0</v>
      </c>
      <c r="V168" s="515">
        <f>IF(Heat_connections[[#This Row],[Ref]]&lt;&gt;"-",
_xlfn.XLOOKUP('Heat connections'!$G168,'Technical inputs'!$F$79:$F$94,'Technical inputs'!$I$79:$I$94,0,1,1),0)</f>
        <v>0</v>
      </c>
      <c r="W168" s="429">
        <f>IF('Heat connections'!$E168="Domestic",1,0)</f>
        <v>0</v>
      </c>
      <c r="X168" s="430">
        <f>IF(AND(Heat_connections[[#This Row],[Ref]]&lt;&gt;"-",'Heat connections'!$E168&lt;&gt;"Domestic"),1,0)</f>
        <v>0</v>
      </c>
      <c r="Y168" s="434">
        <v>114</v>
      </c>
      <c r="Z168" s="438">
        <f>IF(Heat_connections[[#This Row],[Existing/planned development]]&lt;&gt;0,1,0)</f>
        <v>0</v>
      </c>
      <c r="AA168" s="430">
        <f>IF('Heat connections'!$M168=1,1,0)</f>
        <v>0</v>
      </c>
      <c r="AB168" s="430">
        <f>IF('Heat connections'!$M168=2,1,0)</f>
        <v>0</v>
      </c>
      <c r="AC168" s="434">
        <f>IF('Heat connections'!$M168=3,1,0)</f>
        <v>0</v>
      </c>
      <c r="AD168" s="46" t="str">
        <f>IF(AND(Heat_connections[[#This Row],[Connected to heat network]]="Yes",Heat_connections[[#This Row],[Ref]]&lt;&gt;"-"),"Yes","No")</f>
        <v>No</v>
      </c>
    </row>
    <row r="169" spans="3:30" ht="12.75" x14ac:dyDescent="0.2">
      <c r="C169" s="208" t="str" cm="1">
        <f t="array" ref="C169">IFERROR(_xlfn.XLOOKUP($C$3,Heat_connections_input[#Headers],Heat_connections_input[#This Row],0,0,),"-")</f>
        <v>-</v>
      </c>
      <c r="D169" s="323" t="str" cm="1">
        <f t="array" ref="D169">IFERROR(_xlfn.XLOOKUP($D$3,Heat_connections_input[#Headers],Heat_connections_input[#This Row],0,0,),"-")</f>
        <v>-</v>
      </c>
      <c r="E169" s="284" t="str" cm="1">
        <f t="array" ref="E169">IFERROR(_xlfn.XLOOKUP($E$3,Heat_connections_input[#Headers],Heat_connections_input[#This Row],0,0,),"-")</f>
        <v>-</v>
      </c>
      <c r="F169" s="259" cm="1">
        <f t="array" ref="F169">IFERROR(_xlfn.XLOOKUP($F$3,Heat_connections_input[#Headers],Heat_connections_input[#This Row],0,0,),0)</f>
        <v>0</v>
      </c>
      <c r="G169" s="259" cm="1">
        <f t="array" ref="G169">IFERROR(_xlfn.XLOOKUP($G$3,Heat_connections_input[#Headers],Heat_connections_input[#This Row],0,0,),0)</f>
        <v>0</v>
      </c>
      <c r="H169" s="341" cm="1">
        <f t="array" ref="H169">IFERROR(_xlfn.XLOOKUP($H$3,Heat_connections_input[#Headers],Heat_connections_input[#This Row],0,0,),0)</f>
        <v>0</v>
      </c>
      <c r="I169" s="326" t="str" cm="1">
        <f t="array" ref="I169">IFERROR(_xlfn.XLOOKUP($I$3,Heat_connections_input[#Headers],Heat_connections_input[#This Row],0,0,),"-")</f>
        <v>-</v>
      </c>
      <c r="J169" s="326" t="str" cm="1">
        <f t="array" ref="J169">IFERROR(_xlfn.XLOOKUP($J$3,Heat_connections_input[#Headers],Heat_connections_input[#This Row],0,0,1),"-")</f>
        <v>-</v>
      </c>
      <c r="K169" s="260"/>
      <c r="L169" s="261"/>
      <c r="M169" s="262"/>
      <c r="N169" s="263"/>
      <c r="O169" s="264" t="str">
        <f>IF(Heat_connections[[#This Row],[Ref]]&lt;&gt;"-",
IF(M169=1,Dashboard!$C$26,IF(M169=2,Dashboard!$C$27,Dashboard!$C$28)),"-")</f>
        <v>-</v>
      </c>
      <c r="P169" s="341">
        <f>IF(Heat_connections[[#This Row],[Category]]="Domestic",Heat_connections[[#This Row],[No. of connections]],0)</f>
        <v>0</v>
      </c>
      <c r="Q169" s="341">
        <f>IF(Heat_connections[[#This Row],[Category]]&lt;&gt;"Domestic",Heat_connections[[#This Row],[No. of connections]],0)</f>
        <v>0</v>
      </c>
      <c r="R169" s="209"/>
      <c r="S169" s="512">
        <f>IF(Heat_connections[[#This Row],[TOID]]&lt;&gt;"-",
IF(ISBLANK('Heat connections'!$R169),Dashboard!$C$14,'Heat connections'!$R169),0)</f>
        <v>0</v>
      </c>
      <c r="T169" s="513">
        <f>IF(Heat_connections[[#This Row],[Peak Demand, kW]]&lt;&gt;0,'Heat connections'!$G169*Dashboard!$C$21,0)</f>
        <v>0</v>
      </c>
      <c r="U169" s="514">
        <f>IF(Heat_connections[[#This Row],[Ref]]&lt;&gt;"-",48.436*Heat_connections[[#This Row],[Peak Demand, kW]]+1068.7,0)</f>
        <v>0</v>
      </c>
      <c r="V169" s="515">
        <f>IF(Heat_connections[[#This Row],[Ref]]&lt;&gt;"-",
_xlfn.XLOOKUP('Heat connections'!$G169,'Technical inputs'!$F$79:$F$94,'Technical inputs'!$I$79:$I$94,0,1,1),0)</f>
        <v>0</v>
      </c>
      <c r="W169" s="429">
        <f>IF('Heat connections'!$E169="Domestic",1,0)</f>
        <v>0</v>
      </c>
      <c r="X169" s="430">
        <f>IF(AND(Heat_connections[[#This Row],[Ref]]&lt;&gt;"-",'Heat connections'!$E169&lt;&gt;"Domestic"),1,0)</f>
        <v>0</v>
      </c>
      <c r="Y169" s="434">
        <v>115</v>
      </c>
      <c r="Z169" s="438">
        <f>IF(Heat_connections[[#This Row],[Existing/planned development]]&lt;&gt;0,1,0)</f>
        <v>0</v>
      </c>
      <c r="AA169" s="430">
        <f>IF('Heat connections'!$M169=1,1,0)</f>
        <v>0</v>
      </c>
      <c r="AB169" s="430">
        <f>IF('Heat connections'!$M169=2,1,0)</f>
        <v>0</v>
      </c>
      <c r="AC169" s="434">
        <f>IF('Heat connections'!$M169=3,1,0)</f>
        <v>0</v>
      </c>
      <c r="AD169" s="46" t="str">
        <f>IF(AND(Heat_connections[[#This Row],[Connected to heat network]]="Yes",Heat_connections[[#This Row],[Ref]]&lt;&gt;"-"),"Yes","No")</f>
        <v>No</v>
      </c>
    </row>
    <row r="170" spans="3:30" ht="12.75" x14ac:dyDescent="0.2">
      <c r="C170" s="208" t="str" cm="1">
        <f t="array" ref="C170">IFERROR(_xlfn.XLOOKUP($C$3,Heat_connections_input[#Headers],Heat_connections_input[#This Row],0,0,),"-")</f>
        <v>-</v>
      </c>
      <c r="D170" s="323" t="str" cm="1">
        <f t="array" ref="D170">IFERROR(_xlfn.XLOOKUP($D$3,Heat_connections_input[#Headers],Heat_connections_input[#This Row],0,0,),"-")</f>
        <v>-</v>
      </c>
      <c r="E170" s="284" t="str" cm="1">
        <f t="array" ref="E170">IFERROR(_xlfn.XLOOKUP($E$3,Heat_connections_input[#Headers],Heat_connections_input[#This Row],0,0,),"-")</f>
        <v>-</v>
      </c>
      <c r="F170" s="259" cm="1">
        <f t="array" ref="F170">IFERROR(_xlfn.XLOOKUP($F$3,Heat_connections_input[#Headers],Heat_connections_input[#This Row],0,0,),0)</f>
        <v>0</v>
      </c>
      <c r="G170" s="259" cm="1">
        <f t="array" ref="G170">IFERROR(_xlfn.XLOOKUP($G$3,Heat_connections_input[#Headers],Heat_connections_input[#This Row],0,0,),0)</f>
        <v>0</v>
      </c>
      <c r="H170" s="341" cm="1">
        <f t="array" ref="H170">IFERROR(_xlfn.XLOOKUP($H$3,Heat_connections_input[#Headers],Heat_connections_input[#This Row],0,0,),0)</f>
        <v>0</v>
      </c>
      <c r="I170" s="326" t="str" cm="1">
        <f t="array" ref="I170">IFERROR(_xlfn.XLOOKUP($I$3,Heat_connections_input[#Headers],Heat_connections_input[#This Row],0,0,),"-")</f>
        <v>-</v>
      </c>
      <c r="J170" s="326" t="str" cm="1">
        <f t="array" ref="J170">IFERROR(_xlfn.XLOOKUP($J$3,Heat_connections_input[#Headers],Heat_connections_input[#This Row],0,0,1),"-")</f>
        <v>-</v>
      </c>
      <c r="K170" s="260"/>
      <c r="L170" s="261"/>
      <c r="M170" s="262"/>
      <c r="N170" s="263"/>
      <c r="O170" s="264" t="str">
        <f>IF(Heat_connections[[#This Row],[Ref]]&lt;&gt;"-",
IF(M170=1,Dashboard!$C$26,IF(M170=2,Dashboard!$C$27,Dashboard!$C$28)),"-")</f>
        <v>-</v>
      </c>
      <c r="P170" s="341">
        <f>IF(Heat_connections[[#This Row],[Category]]="Domestic",Heat_connections[[#This Row],[No. of connections]],0)</f>
        <v>0</v>
      </c>
      <c r="Q170" s="341">
        <f>IF(Heat_connections[[#This Row],[Category]]&lt;&gt;"Domestic",Heat_connections[[#This Row],[No. of connections]],0)</f>
        <v>0</v>
      </c>
      <c r="R170" s="209"/>
      <c r="S170" s="512">
        <f>IF(Heat_connections[[#This Row],[TOID]]&lt;&gt;"-",
IF(ISBLANK('Heat connections'!$R170),Dashboard!$C$14,'Heat connections'!$R170),0)</f>
        <v>0</v>
      </c>
      <c r="T170" s="513">
        <f>IF(Heat_connections[[#This Row],[Peak Demand, kW]]&lt;&gt;0,'Heat connections'!$G170*Dashboard!$C$21,0)</f>
        <v>0</v>
      </c>
      <c r="U170" s="514">
        <f>IF(Heat_connections[[#This Row],[Ref]]&lt;&gt;"-",48.436*Heat_connections[[#This Row],[Peak Demand, kW]]+1068.7,0)</f>
        <v>0</v>
      </c>
      <c r="V170" s="515">
        <f>IF(Heat_connections[[#This Row],[Ref]]&lt;&gt;"-",
_xlfn.XLOOKUP('Heat connections'!$G170,'Technical inputs'!$F$79:$F$94,'Technical inputs'!$I$79:$I$94,0,1,1),0)</f>
        <v>0</v>
      </c>
      <c r="W170" s="429">
        <f>IF('Heat connections'!$E170="Domestic",1,0)</f>
        <v>0</v>
      </c>
      <c r="X170" s="430">
        <f>IF(AND(Heat_connections[[#This Row],[Ref]]&lt;&gt;"-",'Heat connections'!$E170&lt;&gt;"Domestic"),1,0)</f>
        <v>0</v>
      </c>
      <c r="Y170" s="434">
        <v>116</v>
      </c>
      <c r="Z170" s="438">
        <f>IF(Heat_connections[[#This Row],[Existing/planned development]]&lt;&gt;0,1,0)</f>
        <v>0</v>
      </c>
      <c r="AA170" s="430">
        <f>IF('Heat connections'!$M170=1,1,0)</f>
        <v>0</v>
      </c>
      <c r="AB170" s="430">
        <f>IF('Heat connections'!$M170=2,1,0)</f>
        <v>0</v>
      </c>
      <c r="AC170" s="434">
        <f>IF('Heat connections'!$M170=3,1,0)</f>
        <v>0</v>
      </c>
      <c r="AD170" s="46" t="str">
        <f>IF(AND(Heat_connections[[#This Row],[Connected to heat network]]="Yes",Heat_connections[[#This Row],[Ref]]&lt;&gt;"-"),"Yes","No")</f>
        <v>No</v>
      </c>
    </row>
    <row r="171" spans="3:30" ht="12.75" x14ac:dyDescent="0.2">
      <c r="C171" s="208" t="str" cm="1">
        <f t="array" ref="C171">IFERROR(_xlfn.XLOOKUP($C$3,Heat_connections_input[#Headers],Heat_connections_input[#This Row],0,0,),"-")</f>
        <v>-</v>
      </c>
      <c r="D171" s="323" t="str" cm="1">
        <f t="array" ref="D171">IFERROR(_xlfn.XLOOKUP($D$3,Heat_connections_input[#Headers],Heat_connections_input[#This Row],0,0,),"-")</f>
        <v>-</v>
      </c>
      <c r="E171" s="284" t="str" cm="1">
        <f t="array" ref="E171">IFERROR(_xlfn.XLOOKUP($E$3,Heat_connections_input[#Headers],Heat_connections_input[#This Row],0,0,),"-")</f>
        <v>-</v>
      </c>
      <c r="F171" s="259" cm="1">
        <f t="array" ref="F171">IFERROR(_xlfn.XLOOKUP($F$3,Heat_connections_input[#Headers],Heat_connections_input[#This Row],0,0,),0)</f>
        <v>0</v>
      </c>
      <c r="G171" s="259" cm="1">
        <f t="array" ref="G171">IFERROR(_xlfn.XLOOKUP($G$3,Heat_connections_input[#Headers],Heat_connections_input[#This Row],0,0,),0)</f>
        <v>0</v>
      </c>
      <c r="H171" s="341" cm="1">
        <f t="array" ref="H171">IFERROR(_xlfn.XLOOKUP($H$3,Heat_connections_input[#Headers],Heat_connections_input[#This Row],0,0,),0)</f>
        <v>0</v>
      </c>
      <c r="I171" s="326" t="str" cm="1">
        <f t="array" ref="I171">IFERROR(_xlfn.XLOOKUP($I$3,Heat_connections_input[#Headers],Heat_connections_input[#This Row],0,0,),"-")</f>
        <v>-</v>
      </c>
      <c r="J171" s="326" t="str" cm="1">
        <f t="array" ref="J171">IFERROR(_xlfn.XLOOKUP($J$3,Heat_connections_input[#Headers],Heat_connections_input[#This Row],0,0,1),"-")</f>
        <v>-</v>
      </c>
      <c r="K171" s="260"/>
      <c r="L171" s="261"/>
      <c r="M171" s="262"/>
      <c r="N171" s="263"/>
      <c r="O171" s="264" t="str">
        <f>IF(Heat_connections[[#This Row],[Ref]]&lt;&gt;"-",
IF(M171=1,Dashboard!$C$26,IF(M171=2,Dashboard!$C$27,Dashboard!$C$28)),"-")</f>
        <v>-</v>
      </c>
      <c r="P171" s="341">
        <f>IF(Heat_connections[[#This Row],[Category]]="Domestic",Heat_connections[[#This Row],[No. of connections]],0)</f>
        <v>0</v>
      </c>
      <c r="Q171" s="341">
        <f>IF(Heat_connections[[#This Row],[Category]]&lt;&gt;"Domestic",Heat_connections[[#This Row],[No. of connections]],0)</f>
        <v>0</v>
      </c>
      <c r="R171" s="209"/>
      <c r="S171" s="512">
        <f>IF(Heat_connections[[#This Row],[TOID]]&lt;&gt;"-",
IF(ISBLANK('Heat connections'!$R171),Dashboard!$C$14,'Heat connections'!$R171),0)</f>
        <v>0</v>
      </c>
      <c r="T171" s="513">
        <f>IF(Heat_connections[[#This Row],[Peak Demand, kW]]&lt;&gt;0,'Heat connections'!$G171*Dashboard!$C$21,0)</f>
        <v>0</v>
      </c>
      <c r="U171" s="514">
        <f>IF(Heat_connections[[#This Row],[Ref]]&lt;&gt;"-",48.436*Heat_connections[[#This Row],[Peak Demand, kW]]+1068.7,0)</f>
        <v>0</v>
      </c>
      <c r="V171" s="515">
        <f>IF(Heat_connections[[#This Row],[Ref]]&lt;&gt;"-",
_xlfn.XLOOKUP('Heat connections'!$G171,'Technical inputs'!$F$79:$F$94,'Technical inputs'!$I$79:$I$94,0,1,1),0)</f>
        <v>0</v>
      </c>
      <c r="W171" s="429">
        <f>IF('Heat connections'!$E171="Domestic",1,0)</f>
        <v>0</v>
      </c>
      <c r="X171" s="430">
        <f>IF(AND(Heat_connections[[#This Row],[Ref]]&lt;&gt;"-",'Heat connections'!$E171&lt;&gt;"Domestic"),1,0)</f>
        <v>0</v>
      </c>
      <c r="Y171" s="434">
        <v>117</v>
      </c>
      <c r="Z171" s="438">
        <f>IF(Heat_connections[[#This Row],[Existing/planned development]]&lt;&gt;0,1,0)</f>
        <v>0</v>
      </c>
      <c r="AA171" s="430">
        <f>IF('Heat connections'!$M171=1,1,0)</f>
        <v>0</v>
      </c>
      <c r="AB171" s="430">
        <f>IF('Heat connections'!$M171=2,1,0)</f>
        <v>0</v>
      </c>
      <c r="AC171" s="434">
        <f>IF('Heat connections'!$M171=3,1,0)</f>
        <v>0</v>
      </c>
      <c r="AD171" s="46" t="str">
        <f>IF(AND(Heat_connections[[#This Row],[Connected to heat network]]="Yes",Heat_connections[[#This Row],[Ref]]&lt;&gt;"-"),"Yes","No")</f>
        <v>No</v>
      </c>
    </row>
    <row r="172" spans="3:30" ht="12.75" x14ac:dyDescent="0.2">
      <c r="C172" s="208" t="str" cm="1">
        <f t="array" ref="C172">IFERROR(_xlfn.XLOOKUP($C$3,Heat_connections_input[#Headers],Heat_connections_input[#This Row],0,0,),"-")</f>
        <v>-</v>
      </c>
      <c r="D172" s="323" t="str" cm="1">
        <f t="array" ref="D172">IFERROR(_xlfn.XLOOKUP($D$3,Heat_connections_input[#Headers],Heat_connections_input[#This Row],0,0,),"-")</f>
        <v>-</v>
      </c>
      <c r="E172" s="284" t="str" cm="1">
        <f t="array" ref="E172">IFERROR(_xlfn.XLOOKUP($E$3,Heat_connections_input[#Headers],Heat_connections_input[#This Row],0,0,),"-")</f>
        <v>-</v>
      </c>
      <c r="F172" s="259" cm="1">
        <f t="array" ref="F172">IFERROR(_xlfn.XLOOKUP($F$3,Heat_connections_input[#Headers],Heat_connections_input[#This Row],0,0,),0)</f>
        <v>0</v>
      </c>
      <c r="G172" s="259" cm="1">
        <f t="array" ref="G172">IFERROR(_xlfn.XLOOKUP($G$3,Heat_connections_input[#Headers],Heat_connections_input[#This Row],0,0,),0)</f>
        <v>0</v>
      </c>
      <c r="H172" s="341" cm="1">
        <f t="array" ref="H172">IFERROR(_xlfn.XLOOKUP($H$3,Heat_connections_input[#Headers],Heat_connections_input[#This Row],0,0,),0)</f>
        <v>0</v>
      </c>
      <c r="I172" s="326" t="str" cm="1">
        <f t="array" ref="I172">IFERROR(_xlfn.XLOOKUP($I$3,Heat_connections_input[#Headers],Heat_connections_input[#This Row],0,0,),"-")</f>
        <v>-</v>
      </c>
      <c r="J172" s="326" t="str" cm="1">
        <f t="array" ref="J172">IFERROR(_xlfn.XLOOKUP($J$3,Heat_connections_input[#Headers],Heat_connections_input[#This Row],0,0,1),"-")</f>
        <v>-</v>
      </c>
      <c r="K172" s="260"/>
      <c r="L172" s="261"/>
      <c r="M172" s="262"/>
      <c r="N172" s="263"/>
      <c r="O172" s="264" t="str">
        <f>IF(Heat_connections[[#This Row],[Ref]]&lt;&gt;"-",
IF(M172=1,Dashboard!$C$26,IF(M172=2,Dashboard!$C$27,Dashboard!$C$28)),"-")</f>
        <v>-</v>
      </c>
      <c r="P172" s="341">
        <f>IF(Heat_connections[[#This Row],[Category]]="Domestic",Heat_connections[[#This Row],[No. of connections]],0)</f>
        <v>0</v>
      </c>
      <c r="Q172" s="341">
        <f>IF(Heat_connections[[#This Row],[Category]]&lt;&gt;"Domestic",Heat_connections[[#This Row],[No. of connections]],0)</f>
        <v>0</v>
      </c>
      <c r="R172" s="209"/>
      <c r="S172" s="512">
        <f>IF(Heat_connections[[#This Row],[TOID]]&lt;&gt;"-",
IF(ISBLANK('Heat connections'!$R172),Dashboard!$C$14,'Heat connections'!$R172),0)</f>
        <v>0</v>
      </c>
      <c r="T172" s="513">
        <f>IF(Heat_connections[[#This Row],[Peak Demand, kW]]&lt;&gt;0,'Heat connections'!$G172*Dashboard!$C$21,0)</f>
        <v>0</v>
      </c>
      <c r="U172" s="514">
        <f>IF(Heat_connections[[#This Row],[Ref]]&lt;&gt;"-",48.436*Heat_connections[[#This Row],[Peak Demand, kW]]+1068.7,0)</f>
        <v>0</v>
      </c>
      <c r="V172" s="515">
        <f>IF(Heat_connections[[#This Row],[Ref]]&lt;&gt;"-",
_xlfn.XLOOKUP('Heat connections'!$G172,'Technical inputs'!$F$79:$F$94,'Technical inputs'!$I$79:$I$94,0,1,1),0)</f>
        <v>0</v>
      </c>
      <c r="W172" s="429">
        <f>IF('Heat connections'!$E172="Domestic",1,0)</f>
        <v>0</v>
      </c>
      <c r="X172" s="430">
        <f>IF(AND(Heat_connections[[#This Row],[Ref]]&lt;&gt;"-",'Heat connections'!$E172&lt;&gt;"Domestic"),1,0)</f>
        <v>0</v>
      </c>
      <c r="Y172" s="434">
        <v>118</v>
      </c>
      <c r="Z172" s="438">
        <f>IF(Heat_connections[[#This Row],[Existing/planned development]]&lt;&gt;0,1,0)</f>
        <v>0</v>
      </c>
      <c r="AA172" s="430">
        <f>IF('Heat connections'!$M172=1,1,0)</f>
        <v>0</v>
      </c>
      <c r="AB172" s="430">
        <f>IF('Heat connections'!$M172=2,1,0)</f>
        <v>0</v>
      </c>
      <c r="AC172" s="434">
        <f>IF('Heat connections'!$M172=3,1,0)</f>
        <v>0</v>
      </c>
      <c r="AD172" s="46" t="str">
        <f>IF(AND(Heat_connections[[#This Row],[Connected to heat network]]="Yes",Heat_connections[[#This Row],[Ref]]&lt;&gt;"-"),"Yes","No")</f>
        <v>No</v>
      </c>
    </row>
    <row r="173" spans="3:30" ht="12.75" x14ac:dyDescent="0.2">
      <c r="C173" s="208" t="str" cm="1">
        <f t="array" ref="C173">IFERROR(_xlfn.XLOOKUP($C$3,Heat_connections_input[#Headers],Heat_connections_input[#This Row],0,0,),"-")</f>
        <v>-</v>
      </c>
      <c r="D173" s="323" t="str" cm="1">
        <f t="array" ref="D173">IFERROR(_xlfn.XLOOKUP($D$3,Heat_connections_input[#Headers],Heat_connections_input[#This Row],0,0,),"-")</f>
        <v>-</v>
      </c>
      <c r="E173" s="284" t="str" cm="1">
        <f t="array" ref="E173">IFERROR(_xlfn.XLOOKUP($E$3,Heat_connections_input[#Headers],Heat_connections_input[#This Row],0,0,),"-")</f>
        <v>-</v>
      </c>
      <c r="F173" s="259" cm="1">
        <f t="array" ref="F173">IFERROR(_xlfn.XLOOKUP($F$3,Heat_connections_input[#Headers],Heat_connections_input[#This Row],0,0,),0)</f>
        <v>0</v>
      </c>
      <c r="G173" s="259" cm="1">
        <f t="array" ref="G173">IFERROR(_xlfn.XLOOKUP($G$3,Heat_connections_input[#Headers],Heat_connections_input[#This Row],0,0,),0)</f>
        <v>0</v>
      </c>
      <c r="H173" s="341" cm="1">
        <f t="array" ref="H173">IFERROR(_xlfn.XLOOKUP($H$3,Heat_connections_input[#Headers],Heat_connections_input[#This Row],0,0,),0)</f>
        <v>0</v>
      </c>
      <c r="I173" s="326" t="str" cm="1">
        <f t="array" ref="I173">IFERROR(_xlfn.XLOOKUP($I$3,Heat_connections_input[#Headers],Heat_connections_input[#This Row],0,0,),"-")</f>
        <v>-</v>
      </c>
      <c r="J173" s="326" t="str" cm="1">
        <f t="array" ref="J173">IFERROR(_xlfn.XLOOKUP($J$3,Heat_connections_input[#Headers],Heat_connections_input[#This Row],0,0,1),"-")</f>
        <v>-</v>
      </c>
      <c r="K173" s="260"/>
      <c r="L173" s="261"/>
      <c r="M173" s="262"/>
      <c r="N173" s="263"/>
      <c r="O173" s="264" t="str">
        <f>IF(Heat_connections[[#This Row],[Ref]]&lt;&gt;"-",
IF(M173=1,Dashboard!$C$26,IF(M173=2,Dashboard!$C$27,Dashboard!$C$28)),"-")</f>
        <v>-</v>
      </c>
      <c r="P173" s="341">
        <f>IF(Heat_connections[[#This Row],[Category]]="Domestic",Heat_connections[[#This Row],[No. of connections]],0)</f>
        <v>0</v>
      </c>
      <c r="Q173" s="341">
        <f>IF(Heat_connections[[#This Row],[Category]]&lt;&gt;"Domestic",Heat_connections[[#This Row],[No. of connections]],0)</f>
        <v>0</v>
      </c>
      <c r="R173" s="209"/>
      <c r="S173" s="512">
        <f>IF(Heat_connections[[#This Row],[TOID]]&lt;&gt;"-",
IF(ISBLANK('Heat connections'!$R173),Dashboard!$C$14,'Heat connections'!$R173),0)</f>
        <v>0</v>
      </c>
      <c r="T173" s="513">
        <f>IF(Heat_connections[[#This Row],[Peak Demand, kW]]&lt;&gt;0,'Heat connections'!$G173*Dashboard!$C$21,0)</f>
        <v>0</v>
      </c>
      <c r="U173" s="514">
        <f>IF(Heat_connections[[#This Row],[Ref]]&lt;&gt;"-",48.436*Heat_connections[[#This Row],[Peak Demand, kW]]+1068.7,0)</f>
        <v>0</v>
      </c>
      <c r="V173" s="515">
        <f>IF(Heat_connections[[#This Row],[Ref]]&lt;&gt;"-",
_xlfn.XLOOKUP('Heat connections'!$G173,'Technical inputs'!$F$79:$F$94,'Technical inputs'!$I$79:$I$94,0,1,1),0)</f>
        <v>0</v>
      </c>
      <c r="W173" s="429">
        <f>IF('Heat connections'!$E173="Domestic",1,0)</f>
        <v>0</v>
      </c>
      <c r="X173" s="430">
        <f>IF(AND(Heat_connections[[#This Row],[Ref]]&lt;&gt;"-",'Heat connections'!$E173&lt;&gt;"Domestic"),1,0)</f>
        <v>0</v>
      </c>
      <c r="Y173" s="434">
        <v>119</v>
      </c>
      <c r="Z173" s="438">
        <f>IF(Heat_connections[[#This Row],[Existing/planned development]]&lt;&gt;0,1,0)</f>
        <v>0</v>
      </c>
      <c r="AA173" s="430">
        <f>IF('Heat connections'!$M173=1,1,0)</f>
        <v>0</v>
      </c>
      <c r="AB173" s="430">
        <f>IF('Heat connections'!$M173=2,1,0)</f>
        <v>0</v>
      </c>
      <c r="AC173" s="434">
        <f>IF('Heat connections'!$M173=3,1,0)</f>
        <v>0</v>
      </c>
      <c r="AD173" s="46" t="str">
        <f>IF(AND(Heat_connections[[#This Row],[Connected to heat network]]="Yes",Heat_connections[[#This Row],[Ref]]&lt;&gt;"-"),"Yes","No")</f>
        <v>No</v>
      </c>
    </row>
    <row r="174" spans="3:30" ht="12.75" x14ac:dyDescent="0.2">
      <c r="C174" s="208" t="str" cm="1">
        <f t="array" ref="C174">IFERROR(_xlfn.XLOOKUP($C$3,Heat_connections_input[#Headers],Heat_connections_input[#This Row],0,0,),"-")</f>
        <v>-</v>
      </c>
      <c r="D174" s="323" t="str" cm="1">
        <f t="array" ref="D174">IFERROR(_xlfn.XLOOKUP($D$3,Heat_connections_input[#Headers],Heat_connections_input[#This Row],0,0,),"-")</f>
        <v>-</v>
      </c>
      <c r="E174" s="284" t="str" cm="1">
        <f t="array" ref="E174">IFERROR(_xlfn.XLOOKUP($E$3,Heat_connections_input[#Headers],Heat_connections_input[#This Row],0,0,),"-")</f>
        <v>-</v>
      </c>
      <c r="F174" s="259" cm="1">
        <f t="array" ref="F174">IFERROR(_xlfn.XLOOKUP($F$3,Heat_connections_input[#Headers],Heat_connections_input[#This Row],0,0,),0)</f>
        <v>0</v>
      </c>
      <c r="G174" s="259" cm="1">
        <f t="array" ref="G174">IFERROR(_xlfn.XLOOKUP($G$3,Heat_connections_input[#Headers],Heat_connections_input[#This Row],0,0,),0)</f>
        <v>0</v>
      </c>
      <c r="H174" s="341" cm="1">
        <f t="array" ref="H174">IFERROR(_xlfn.XLOOKUP($H$3,Heat_connections_input[#Headers],Heat_connections_input[#This Row],0,0,),0)</f>
        <v>0</v>
      </c>
      <c r="I174" s="326" t="str" cm="1">
        <f t="array" ref="I174">IFERROR(_xlfn.XLOOKUP($I$3,Heat_connections_input[#Headers],Heat_connections_input[#This Row],0,0,),"-")</f>
        <v>-</v>
      </c>
      <c r="J174" s="326" t="str" cm="1">
        <f t="array" ref="J174">IFERROR(_xlfn.XLOOKUP($J$3,Heat_connections_input[#Headers],Heat_connections_input[#This Row],0,0,1),"-")</f>
        <v>-</v>
      </c>
      <c r="K174" s="260"/>
      <c r="L174" s="261"/>
      <c r="M174" s="262"/>
      <c r="N174" s="263"/>
      <c r="O174" s="264" t="str">
        <f>IF(Heat_connections[[#This Row],[Ref]]&lt;&gt;"-",
IF(M174=1,Dashboard!$C$26,IF(M174=2,Dashboard!$C$27,Dashboard!$C$28)),"-")</f>
        <v>-</v>
      </c>
      <c r="P174" s="341">
        <f>IF(Heat_connections[[#This Row],[Category]]="Domestic",Heat_connections[[#This Row],[No. of connections]],0)</f>
        <v>0</v>
      </c>
      <c r="Q174" s="341">
        <f>IF(Heat_connections[[#This Row],[Category]]&lt;&gt;"Domestic",Heat_connections[[#This Row],[No. of connections]],0)</f>
        <v>0</v>
      </c>
      <c r="R174" s="209"/>
      <c r="S174" s="512">
        <f>IF(Heat_connections[[#This Row],[TOID]]&lt;&gt;"-",
IF(ISBLANK('Heat connections'!$R174),Dashboard!$C$14,'Heat connections'!$R174),0)</f>
        <v>0</v>
      </c>
      <c r="T174" s="513">
        <f>IF(Heat_connections[[#This Row],[Peak Demand, kW]]&lt;&gt;0,'Heat connections'!$G174*Dashboard!$C$21,0)</f>
        <v>0</v>
      </c>
      <c r="U174" s="514">
        <f>IF(Heat_connections[[#This Row],[Ref]]&lt;&gt;"-",48.436*Heat_connections[[#This Row],[Peak Demand, kW]]+1068.7,0)</f>
        <v>0</v>
      </c>
      <c r="V174" s="515">
        <f>IF(Heat_connections[[#This Row],[Ref]]&lt;&gt;"-",
_xlfn.XLOOKUP('Heat connections'!$G174,'Technical inputs'!$F$79:$F$94,'Technical inputs'!$I$79:$I$94,0,1,1),0)</f>
        <v>0</v>
      </c>
      <c r="W174" s="429">
        <f>IF('Heat connections'!$E174="Domestic",1,0)</f>
        <v>0</v>
      </c>
      <c r="X174" s="430">
        <f>IF(AND(Heat_connections[[#This Row],[Ref]]&lt;&gt;"-",'Heat connections'!$E174&lt;&gt;"Domestic"),1,0)</f>
        <v>0</v>
      </c>
      <c r="Y174" s="434">
        <v>120</v>
      </c>
      <c r="Z174" s="438">
        <f>IF(Heat_connections[[#This Row],[Existing/planned development]]&lt;&gt;0,1,0)</f>
        <v>0</v>
      </c>
      <c r="AA174" s="430">
        <f>IF('Heat connections'!$M174=1,1,0)</f>
        <v>0</v>
      </c>
      <c r="AB174" s="430">
        <f>IF('Heat connections'!$M174=2,1,0)</f>
        <v>0</v>
      </c>
      <c r="AC174" s="434">
        <f>IF('Heat connections'!$M174=3,1,0)</f>
        <v>0</v>
      </c>
      <c r="AD174" s="46" t="str">
        <f>IF(AND(Heat_connections[[#This Row],[Connected to heat network]]="Yes",Heat_connections[[#This Row],[Ref]]&lt;&gt;"-"),"Yes","No")</f>
        <v>No</v>
      </c>
    </row>
    <row r="175" spans="3:30" ht="12.75" x14ac:dyDescent="0.2">
      <c r="C175" s="208" t="str" cm="1">
        <f t="array" ref="C175">IFERROR(_xlfn.XLOOKUP($C$3,Heat_connections_input[#Headers],Heat_connections_input[#This Row],0,0,),"-")</f>
        <v>-</v>
      </c>
      <c r="D175" s="323" t="str" cm="1">
        <f t="array" ref="D175">IFERROR(_xlfn.XLOOKUP($D$3,Heat_connections_input[#Headers],Heat_connections_input[#This Row],0,0,),"-")</f>
        <v>-</v>
      </c>
      <c r="E175" s="284" t="str" cm="1">
        <f t="array" ref="E175">IFERROR(_xlfn.XLOOKUP($E$3,Heat_connections_input[#Headers],Heat_connections_input[#This Row],0,0,),"-")</f>
        <v>-</v>
      </c>
      <c r="F175" s="259" cm="1">
        <f t="array" ref="F175">IFERROR(_xlfn.XLOOKUP($F$3,Heat_connections_input[#Headers],Heat_connections_input[#This Row],0,0,),0)</f>
        <v>0</v>
      </c>
      <c r="G175" s="259" cm="1">
        <f t="array" ref="G175">IFERROR(_xlfn.XLOOKUP($G$3,Heat_connections_input[#Headers],Heat_connections_input[#This Row],0,0,),0)</f>
        <v>0</v>
      </c>
      <c r="H175" s="341" cm="1">
        <f t="array" ref="H175">IFERROR(_xlfn.XLOOKUP($H$3,Heat_connections_input[#Headers],Heat_connections_input[#This Row],0,0,),0)</f>
        <v>0</v>
      </c>
      <c r="I175" s="326" t="str" cm="1">
        <f t="array" ref="I175">IFERROR(_xlfn.XLOOKUP($I$3,Heat_connections_input[#Headers],Heat_connections_input[#This Row],0,0,),"-")</f>
        <v>-</v>
      </c>
      <c r="J175" s="326" t="str" cm="1">
        <f t="array" ref="J175">IFERROR(_xlfn.XLOOKUP($J$3,Heat_connections_input[#Headers],Heat_connections_input[#This Row],0,0,1),"-")</f>
        <v>-</v>
      </c>
      <c r="K175" s="260"/>
      <c r="L175" s="261"/>
      <c r="M175" s="262"/>
      <c r="N175" s="263"/>
      <c r="O175" s="264" t="str">
        <f>IF(Heat_connections[[#This Row],[Ref]]&lt;&gt;"-",
IF(M175=1,Dashboard!$C$26,IF(M175=2,Dashboard!$C$27,Dashboard!$C$28)),"-")</f>
        <v>-</v>
      </c>
      <c r="P175" s="341">
        <f>IF(Heat_connections[[#This Row],[Category]]="Domestic",Heat_connections[[#This Row],[No. of connections]],0)</f>
        <v>0</v>
      </c>
      <c r="Q175" s="341">
        <f>IF(Heat_connections[[#This Row],[Category]]&lt;&gt;"Domestic",Heat_connections[[#This Row],[No. of connections]],0)</f>
        <v>0</v>
      </c>
      <c r="R175" s="209"/>
      <c r="S175" s="512">
        <f>IF(Heat_connections[[#This Row],[TOID]]&lt;&gt;"-",
IF(ISBLANK('Heat connections'!$R175),Dashboard!$C$14,'Heat connections'!$R175),0)</f>
        <v>0</v>
      </c>
      <c r="T175" s="513">
        <f>IF(Heat_connections[[#This Row],[Peak Demand, kW]]&lt;&gt;0,'Heat connections'!$G175*Dashboard!$C$21,0)</f>
        <v>0</v>
      </c>
      <c r="U175" s="514">
        <f>IF(Heat_connections[[#This Row],[Ref]]&lt;&gt;"-",48.436*Heat_connections[[#This Row],[Peak Demand, kW]]+1068.7,0)</f>
        <v>0</v>
      </c>
      <c r="V175" s="515">
        <f>IF(Heat_connections[[#This Row],[Ref]]&lt;&gt;"-",
_xlfn.XLOOKUP('Heat connections'!$G175,'Technical inputs'!$F$79:$F$94,'Technical inputs'!$I$79:$I$94,0,1,1),0)</f>
        <v>0</v>
      </c>
      <c r="W175" s="429">
        <f>IF('Heat connections'!$E175="Domestic",1,0)</f>
        <v>0</v>
      </c>
      <c r="X175" s="430">
        <f>IF(AND(Heat_connections[[#This Row],[Ref]]&lt;&gt;"-",'Heat connections'!$E175&lt;&gt;"Domestic"),1,0)</f>
        <v>0</v>
      </c>
      <c r="Y175" s="434">
        <v>121</v>
      </c>
      <c r="Z175" s="438">
        <f>IF(Heat_connections[[#This Row],[Existing/planned development]]&lt;&gt;0,1,0)</f>
        <v>0</v>
      </c>
      <c r="AA175" s="430">
        <f>IF('Heat connections'!$M175=1,1,0)</f>
        <v>0</v>
      </c>
      <c r="AB175" s="430">
        <f>IF('Heat connections'!$M175=2,1,0)</f>
        <v>0</v>
      </c>
      <c r="AC175" s="434">
        <f>IF('Heat connections'!$M175=3,1,0)</f>
        <v>0</v>
      </c>
      <c r="AD175" s="46" t="str">
        <f>IF(AND(Heat_connections[[#This Row],[Connected to heat network]]="Yes",Heat_connections[[#This Row],[Ref]]&lt;&gt;"-"),"Yes","No")</f>
        <v>No</v>
      </c>
    </row>
    <row r="176" spans="3:30" ht="12.75" x14ac:dyDescent="0.2">
      <c r="C176" s="208" t="str" cm="1">
        <f t="array" ref="C176">IFERROR(_xlfn.XLOOKUP($C$3,Heat_connections_input[#Headers],Heat_connections_input[#This Row],0,0,),"-")</f>
        <v>-</v>
      </c>
      <c r="D176" s="323" t="str" cm="1">
        <f t="array" ref="D176">IFERROR(_xlfn.XLOOKUP($D$3,Heat_connections_input[#Headers],Heat_connections_input[#This Row],0,0,),"-")</f>
        <v>-</v>
      </c>
      <c r="E176" s="284" t="str" cm="1">
        <f t="array" ref="E176">IFERROR(_xlfn.XLOOKUP($E$3,Heat_connections_input[#Headers],Heat_connections_input[#This Row],0,0,),"-")</f>
        <v>-</v>
      </c>
      <c r="F176" s="259" cm="1">
        <f t="array" ref="F176">IFERROR(_xlfn.XLOOKUP($F$3,Heat_connections_input[#Headers],Heat_connections_input[#This Row],0,0,),0)</f>
        <v>0</v>
      </c>
      <c r="G176" s="259" cm="1">
        <f t="array" ref="G176">IFERROR(_xlfn.XLOOKUP($G$3,Heat_connections_input[#Headers],Heat_connections_input[#This Row],0,0,),0)</f>
        <v>0</v>
      </c>
      <c r="H176" s="341" cm="1">
        <f t="array" ref="H176">IFERROR(_xlfn.XLOOKUP($H$3,Heat_connections_input[#Headers],Heat_connections_input[#This Row],0,0,),0)</f>
        <v>0</v>
      </c>
      <c r="I176" s="326" t="str" cm="1">
        <f t="array" ref="I176">IFERROR(_xlfn.XLOOKUP($I$3,Heat_connections_input[#Headers],Heat_connections_input[#This Row],0,0,),"-")</f>
        <v>-</v>
      </c>
      <c r="J176" s="326" t="str" cm="1">
        <f t="array" ref="J176">IFERROR(_xlfn.XLOOKUP($J$3,Heat_connections_input[#Headers],Heat_connections_input[#This Row],0,0,1),"-")</f>
        <v>-</v>
      </c>
      <c r="K176" s="260"/>
      <c r="L176" s="261"/>
      <c r="M176" s="262"/>
      <c r="N176" s="263"/>
      <c r="O176" s="264" t="str">
        <f>IF(Heat_connections[[#This Row],[Ref]]&lt;&gt;"-",
IF(M176=1,Dashboard!$C$26,IF(M176=2,Dashboard!$C$27,Dashboard!$C$28)),"-")</f>
        <v>-</v>
      </c>
      <c r="P176" s="341">
        <f>IF(Heat_connections[[#This Row],[Category]]="Domestic",Heat_connections[[#This Row],[No. of connections]],0)</f>
        <v>0</v>
      </c>
      <c r="Q176" s="341">
        <f>IF(Heat_connections[[#This Row],[Category]]&lt;&gt;"Domestic",Heat_connections[[#This Row],[No. of connections]],0)</f>
        <v>0</v>
      </c>
      <c r="R176" s="209"/>
      <c r="S176" s="512">
        <f>IF(Heat_connections[[#This Row],[TOID]]&lt;&gt;"-",
IF(ISBLANK('Heat connections'!$R176),Dashboard!$C$14,'Heat connections'!$R176),0)</f>
        <v>0</v>
      </c>
      <c r="T176" s="513">
        <f>IF(Heat_connections[[#This Row],[Peak Demand, kW]]&lt;&gt;0,'Heat connections'!$G176*Dashboard!$C$21,0)</f>
        <v>0</v>
      </c>
      <c r="U176" s="514">
        <f>IF(Heat_connections[[#This Row],[Ref]]&lt;&gt;"-",48.436*Heat_connections[[#This Row],[Peak Demand, kW]]+1068.7,0)</f>
        <v>0</v>
      </c>
      <c r="V176" s="515">
        <f>IF(Heat_connections[[#This Row],[Ref]]&lt;&gt;"-",
_xlfn.XLOOKUP('Heat connections'!$G176,'Technical inputs'!$F$79:$F$94,'Technical inputs'!$I$79:$I$94,0,1,1),0)</f>
        <v>0</v>
      </c>
      <c r="W176" s="429">
        <f>IF('Heat connections'!$E176="Domestic",1,0)</f>
        <v>0</v>
      </c>
      <c r="X176" s="430">
        <f>IF(AND(Heat_connections[[#This Row],[Ref]]&lt;&gt;"-",'Heat connections'!$E176&lt;&gt;"Domestic"),1,0)</f>
        <v>0</v>
      </c>
      <c r="Y176" s="434">
        <v>122</v>
      </c>
      <c r="Z176" s="438">
        <f>IF(Heat_connections[[#This Row],[Existing/planned development]]&lt;&gt;0,1,0)</f>
        <v>0</v>
      </c>
      <c r="AA176" s="430">
        <f>IF('Heat connections'!$M176=1,1,0)</f>
        <v>0</v>
      </c>
      <c r="AB176" s="430">
        <f>IF('Heat connections'!$M176=2,1,0)</f>
        <v>0</v>
      </c>
      <c r="AC176" s="434">
        <f>IF('Heat connections'!$M176=3,1,0)</f>
        <v>0</v>
      </c>
      <c r="AD176" s="46" t="str">
        <f>IF(AND(Heat_connections[[#This Row],[Connected to heat network]]="Yes",Heat_connections[[#This Row],[Ref]]&lt;&gt;"-"),"Yes","No")</f>
        <v>No</v>
      </c>
    </row>
    <row r="177" spans="3:30" ht="12.75" x14ac:dyDescent="0.2">
      <c r="C177" s="208" t="str" cm="1">
        <f t="array" ref="C177">IFERROR(_xlfn.XLOOKUP($C$3,Heat_connections_input[#Headers],Heat_connections_input[#This Row],0,0,),"-")</f>
        <v>-</v>
      </c>
      <c r="D177" s="323" t="str" cm="1">
        <f t="array" ref="D177">IFERROR(_xlfn.XLOOKUP($D$3,Heat_connections_input[#Headers],Heat_connections_input[#This Row],0,0,),"-")</f>
        <v>-</v>
      </c>
      <c r="E177" s="284" t="str" cm="1">
        <f t="array" ref="E177">IFERROR(_xlfn.XLOOKUP($E$3,Heat_connections_input[#Headers],Heat_connections_input[#This Row],0,0,),"-")</f>
        <v>-</v>
      </c>
      <c r="F177" s="259" cm="1">
        <f t="array" ref="F177">IFERROR(_xlfn.XLOOKUP($F$3,Heat_connections_input[#Headers],Heat_connections_input[#This Row],0,0,),0)</f>
        <v>0</v>
      </c>
      <c r="G177" s="259" cm="1">
        <f t="array" ref="G177">IFERROR(_xlfn.XLOOKUP($G$3,Heat_connections_input[#Headers],Heat_connections_input[#This Row],0,0,),0)</f>
        <v>0</v>
      </c>
      <c r="H177" s="341" cm="1">
        <f t="array" ref="H177">IFERROR(_xlfn.XLOOKUP($H$3,Heat_connections_input[#Headers],Heat_connections_input[#This Row],0,0,),0)</f>
        <v>0</v>
      </c>
      <c r="I177" s="326" t="str" cm="1">
        <f t="array" ref="I177">IFERROR(_xlfn.XLOOKUP($I$3,Heat_connections_input[#Headers],Heat_connections_input[#This Row],0,0,),"-")</f>
        <v>-</v>
      </c>
      <c r="J177" s="326" t="str" cm="1">
        <f t="array" ref="J177">IFERROR(_xlfn.XLOOKUP($J$3,Heat_connections_input[#Headers],Heat_connections_input[#This Row],0,0,1),"-")</f>
        <v>-</v>
      </c>
      <c r="K177" s="260"/>
      <c r="L177" s="261"/>
      <c r="M177" s="262"/>
      <c r="N177" s="263"/>
      <c r="O177" s="264" t="str">
        <f>IF(Heat_connections[[#This Row],[Ref]]&lt;&gt;"-",
IF(M177=1,Dashboard!$C$26,IF(M177=2,Dashboard!$C$27,Dashboard!$C$28)),"-")</f>
        <v>-</v>
      </c>
      <c r="P177" s="341">
        <f>IF(Heat_connections[[#This Row],[Category]]="Domestic",Heat_connections[[#This Row],[No. of connections]],0)</f>
        <v>0</v>
      </c>
      <c r="Q177" s="341">
        <f>IF(Heat_connections[[#This Row],[Category]]&lt;&gt;"Domestic",Heat_connections[[#This Row],[No. of connections]],0)</f>
        <v>0</v>
      </c>
      <c r="R177" s="209"/>
      <c r="S177" s="512">
        <f>IF(Heat_connections[[#This Row],[TOID]]&lt;&gt;"-",
IF(ISBLANK('Heat connections'!$R177),Dashboard!$C$14,'Heat connections'!$R177),0)</f>
        <v>0</v>
      </c>
      <c r="T177" s="513">
        <f>IF(Heat_connections[[#This Row],[Peak Demand, kW]]&lt;&gt;0,'Heat connections'!$G177*Dashboard!$C$21,0)</f>
        <v>0</v>
      </c>
      <c r="U177" s="514">
        <f>IF(Heat_connections[[#This Row],[Ref]]&lt;&gt;"-",48.436*Heat_connections[[#This Row],[Peak Demand, kW]]+1068.7,0)</f>
        <v>0</v>
      </c>
      <c r="V177" s="515">
        <f>IF(Heat_connections[[#This Row],[Ref]]&lt;&gt;"-",
_xlfn.XLOOKUP('Heat connections'!$G177,'Technical inputs'!$F$79:$F$94,'Technical inputs'!$I$79:$I$94,0,1,1),0)</f>
        <v>0</v>
      </c>
      <c r="W177" s="429">
        <f>IF('Heat connections'!$E177="Domestic",1,0)</f>
        <v>0</v>
      </c>
      <c r="X177" s="430">
        <f>IF(AND(Heat_connections[[#This Row],[Ref]]&lt;&gt;"-",'Heat connections'!$E177&lt;&gt;"Domestic"),1,0)</f>
        <v>0</v>
      </c>
      <c r="Y177" s="434">
        <v>123</v>
      </c>
      <c r="Z177" s="438">
        <f>IF(Heat_connections[[#This Row],[Existing/planned development]]&lt;&gt;0,1,0)</f>
        <v>0</v>
      </c>
      <c r="AA177" s="430">
        <f>IF('Heat connections'!$M177=1,1,0)</f>
        <v>0</v>
      </c>
      <c r="AB177" s="430">
        <f>IF('Heat connections'!$M177=2,1,0)</f>
        <v>0</v>
      </c>
      <c r="AC177" s="434">
        <f>IF('Heat connections'!$M177=3,1,0)</f>
        <v>0</v>
      </c>
      <c r="AD177" s="46" t="str">
        <f>IF(AND(Heat_connections[[#This Row],[Connected to heat network]]="Yes",Heat_connections[[#This Row],[Ref]]&lt;&gt;"-"),"Yes","No")</f>
        <v>No</v>
      </c>
    </row>
    <row r="178" spans="3:30" ht="12.75" x14ac:dyDescent="0.2">
      <c r="C178" s="208" t="str" cm="1">
        <f t="array" ref="C178">IFERROR(_xlfn.XLOOKUP($C$3,Heat_connections_input[#Headers],Heat_connections_input[#This Row],0,0,),"-")</f>
        <v>-</v>
      </c>
      <c r="D178" s="323" t="str" cm="1">
        <f t="array" ref="D178">IFERROR(_xlfn.XLOOKUP($D$3,Heat_connections_input[#Headers],Heat_connections_input[#This Row],0,0,),"-")</f>
        <v>-</v>
      </c>
      <c r="E178" s="284" t="str" cm="1">
        <f t="array" ref="E178">IFERROR(_xlfn.XLOOKUP($E$3,Heat_connections_input[#Headers],Heat_connections_input[#This Row],0,0,),"-")</f>
        <v>-</v>
      </c>
      <c r="F178" s="259" cm="1">
        <f t="array" ref="F178">IFERROR(_xlfn.XLOOKUP($F$3,Heat_connections_input[#Headers],Heat_connections_input[#This Row],0,0,),0)</f>
        <v>0</v>
      </c>
      <c r="G178" s="259" cm="1">
        <f t="array" ref="G178">IFERROR(_xlfn.XLOOKUP($G$3,Heat_connections_input[#Headers],Heat_connections_input[#This Row],0,0,),0)</f>
        <v>0</v>
      </c>
      <c r="H178" s="341" cm="1">
        <f t="array" ref="H178">IFERROR(_xlfn.XLOOKUP($H$3,Heat_connections_input[#Headers],Heat_connections_input[#This Row],0,0,),0)</f>
        <v>0</v>
      </c>
      <c r="I178" s="326" t="str" cm="1">
        <f t="array" ref="I178">IFERROR(_xlfn.XLOOKUP($I$3,Heat_connections_input[#Headers],Heat_connections_input[#This Row],0,0,),"-")</f>
        <v>-</v>
      </c>
      <c r="J178" s="326" t="str" cm="1">
        <f t="array" ref="J178">IFERROR(_xlfn.XLOOKUP($J$3,Heat_connections_input[#Headers],Heat_connections_input[#This Row],0,0,1),"-")</f>
        <v>-</v>
      </c>
      <c r="K178" s="260"/>
      <c r="L178" s="261"/>
      <c r="M178" s="262"/>
      <c r="N178" s="263"/>
      <c r="O178" s="264" t="str">
        <f>IF(Heat_connections[[#This Row],[Ref]]&lt;&gt;"-",
IF(M178=1,Dashboard!$C$26,IF(M178=2,Dashboard!$C$27,Dashboard!$C$28)),"-")</f>
        <v>-</v>
      </c>
      <c r="P178" s="341">
        <f>IF(Heat_connections[[#This Row],[Category]]="Domestic",Heat_connections[[#This Row],[No. of connections]],0)</f>
        <v>0</v>
      </c>
      <c r="Q178" s="341">
        <f>IF(Heat_connections[[#This Row],[Category]]&lt;&gt;"Domestic",Heat_connections[[#This Row],[No. of connections]],0)</f>
        <v>0</v>
      </c>
      <c r="R178" s="209"/>
      <c r="S178" s="512">
        <f>IF(Heat_connections[[#This Row],[TOID]]&lt;&gt;"-",
IF(ISBLANK('Heat connections'!$R178),Dashboard!$C$14,'Heat connections'!$R178),0)</f>
        <v>0</v>
      </c>
      <c r="T178" s="513">
        <f>IF(Heat_connections[[#This Row],[Peak Demand, kW]]&lt;&gt;0,'Heat connections'!$G178*Dashboard!$C$21,0)</f>
        <v>0</v>
      </c>
      <c r="U178" s="514">
        <f>IF(Heat_connections[[#This Row],[Ref]]&lt;&gt;"-",48.436*Heat_connections[[#This Row],[Peak Demand, kW]]+1068.7,0)</f>
        <v>0</v>
      </c>
      <c r="V178" s="515">
        <f>IF(Heat_connections[[#This Row],[Ref]]&lt;&gt;"-",
_xlfn.XLOOKUP('Heat connections'!$G178,'Technical inputs'!$F$79:$F$94,'Technical inputs'!$I$79:$I$94,0,1,1),0)</f>
        <v>0</v>
      </c>
      <c r="W178" s="429">
        <f>IF('Heat connections'!$E178="Domestic",1,0)</f>
        <v>0</v>
      </c>
      <c r="X178" s="430">
        <f>IF(AND(Heat_connections[[#This Row],[Ref]]&lt;&gt;"-",'Heat connections'!$E178&lt;&gt;"Domestic"),1,0)</f>
        <v>0</v>
      </c>
      <c r="Y178" s="434">
        <v>124</v>
      </c>
      <c r="Z178" s="438">
        <f>IF(Heat_connections[[#This Row],[Existing/planned development]]&lt;&gt;0,1,0)</f>
        <v>0</v>
      </c>
      <c r="AA178" s="430">
        <f>IF('Heat connections'!$M178=1,1,0)</f>
        <v>0</v>
      </c>
      <c r="AB178" s="430">
        <f>IF('Heat connections'!$M178=2,1,0)</f>
        <v>0</v>
      </c>
      <c r="AC178" s="434">
        <f>IF('Heat connections'!$M178=3,1,0)</f>
        <v>0</v>
      </c>
      <c r="AD178" s="46" t="str">
        <f>IF(AND(Heat_connections[[#This Row],[Connected to heat network]]="Yes",Heat_connections[[#This Row],[Ref]]&lt;&gt;"-"),"Yes","No")</f>
        <v>No</v>
      </c>
    </row>
    <row r="179" spans="3:30" ht="12.75" x14ac:dyDescent="0.2">
      <c r="C179" s="208" t="str" cm="1">
        <f t="array" ref="C179">IFERROR(_xlfn.XLOOKUP($C$3,Heat_connections_input[#Headers],Heat_connections_input[#This Row],0,0,),"-")</f>
        <v>-</v>
      </c>
      <c r="D179" s="323" t="str" cm="1">
        <f t="array" ref="D179">IFERROR(_xlfn.XLOOKUP($D$3,Heat_connections_input[#Headers],Heat_connections_input[#This Row],0,0,),"-")</f>
        <v>-</v>
      </c>
      <c r="E179" s="284" t="str" cm="1">
        <f t="array" ref="E179">IFERROR(_xlfn.XLOOKUP($E$3,Heat_connections_input[#Headers],Heat_connections_input[#This Row],0,0,),"-")</f>
        <v>-</v>
      </c>
      <c r="F179" s="259" cm="1">
        <f t="array" ref="F179">IFERROR(_xlfn.XLOOKUP($F$3,Heat_connections_input[#Headers],Heat_connections_input[#This Row],0,0,),0)</f>
        <v>0</v>
      </c>
      <c r="G179" s="259" cm="1">
        <f t="array" ref="G179">IFERROR(_xlfn.XLOOKUP($G$3,Heat_connections_input[#Headers],Heat_connections_input[#This Row],0,0,),0)</f>
        <v>0</v>
      </c>
      <c r="H179" s="341" cm="1">
        <f t="array" ref="H179">IFERROR(_xlfn.XLOOKUP($H$3,Heat_connections_input[#Headers],Heat_connections_input[#This Row],0,0,),0)</f>
        <v>0</v>
      </c>
      <c r="I179" s="326" t="str" cm="1">
        <f t="array" ref="I179">IFERROR(_xlfn.XLOOKUP($I$3,Heat_connections_input[#Headers],Heat_connections_input[#This Row],0,0,),"-")</f>
        <v>-</v>
      </c>
      <c r="J179" s="326" t="str" cm="1">
        <f t="array" ref="J179">IFERROR(_xlfn.XLOOKUP($J$3,Heat_connections_input[#Headers],Heat_connections_input[#This Row],0,0,1),"-")</f>
        <v>-</v>
      </c>
      <c r="K179" s="260"/>
      <c r="L179" s="261"/>
      <c r="M179" s="262"/>
      <c r="N179" s="263"/>
      <c r="O179" s="264" t="str">
        <f>IF(Heat_connections[[#This Row],[Ref]]&lt;&gt;"-",
IF(M179=1,Dashboard!$C$26,IF(M179=2,Dashboard!$C$27,Dashboard!$C$28)),"-")</f>
        <v>-</v>
      </c>
      <c r="P179" s="341">
        <f>IF(Heat_connections[[#This Row],[Category]]="Domestic",Heat_connections[[#This Row],[No. of connections]],0)</f>
        <v>0</v>
      </c>
      <c r="Q179" s="341">
        <f>IF(Heat_connections[[#This Row],[Category]]&lt;&gt;"Domestic",Heat_connections[[#This Row],[No. of connections]],0)</f>
        <v>0</v>
      </c>
      <c r="R179" s="209"/>
      <c r="S179" s="512">
        <f>IF(Heat_connections[[#This Row],[TOID]]&lt;&gt;"-",
IF(ISBLANK('Heat connections'!$R179),Dashboard!$C$14,'Heat connections'!$R179),0)</f>
        <v>0</v>
      </c>
      <c r="T179" s="513">
        <f>IF(Heat_connections[[#This Row],[Peak Demand, kW]]&lt;&gt;0,'Heat connections'!$G179*Dashboard!$C$21,0)</f>
        <v>0</v>
      </c>
      <c r="U179" s="514">
        <f>IF(Heat_connections[[#This Row],[Ref]]&lt;&gt;"-",48.436*Heat_connections[[#This Row],[Peak Demand, kW]]+1068.7,0)</f>
        <v>0</v>
      </c>
      <c r="V179" s="515">
        <f>IF(Heat_connections[[#This Row],[Ref]]&lt;&gt;"-",
_xlfn.XLOOKUP('Heat connections'!$G179,'Technical inputs'!$F$79:$F$94,'Technical inputs'!$I$79:$I$94,0,1,1),0)</f>
        <v>0</v>
      </c>
      <c r="W179" s="429">
        <f>IF('Heat connections'!$E179="Domestic",1,0)</f>
        <v>0</v>
      </c>
      <c r="X179" s="430">
        <f>IF(AND(Heat_connections[[#This Row],[Ref]]&lt;&gt;"-",'Heat connections'!$E179&lt;&gt;"Domestic"),1,0)</f>
        <v>0</v>
      </c>
      <c r="Y179" s="434">
        <v>125</v>
      </c>
      <c r="Z179" s="438">
        <f>IF(Heat_connections[[#This Row],[Existing/planned development]]&lt;&gt;0,1,0)</f>
        <v>0</v>
      </c>
      <c r="AA179" s="430">
        <f>IF('Heat connections'!$M179=1,1,0)</f>
        <v>0</v>
      </c>
      <c r="AB179" s="430">
        <f>IF('Heat connections'!$M179=2,1,0)</f>
        <v>0</v>
      </c>
      <c r="AC179" s="434">
        <f>IF('Heat connections'!$M179=3,1,0)</f>
        <v>0</v>
      </c>
      <c r="AD179" s="46" t="str">
        <f>IF(AND(Heat_connections[[#This Row],[Connected to heat network]]="Yes",Heat_connections[[#This Row],[Ref]]&lt;&gt;"-"),"Yes","No")</f>
        <v>No</v>
      </c>
    </row>
    <row r="180" spans="3:30" ht="12.75" x14ac:dyDescent="0.2">
      <c r="C180" s="208" t="str" cm="1">
        <f t="array" ref="C180">IFERROR(_xlfn.XLOOKUP($C$3,Heat_connections_input[#Headers],Heat_connections_input[#This Row],0,0,),"-")</f>
        <v>-</v>
      </c>
      <c r="D180" s="323" t="str" cm="1">
        <f t="array" ref="D180">IFERROR(_xlfn.XLOOKUP($D$3,Heat_connections_input[#Headers],Heat_connections_input[#This Row],0,0,),"-")</f>
        <v>-</v>
      </c>
      <c r="E180" s="284" t="str" cm="1">
        <f t="array" ref="E180">IFERROR(_xlfn.XLOOKUP($E$3,Heat_connections_input[#Headers],Heat_connections_input[#This Row],0,0,),"-")</f>
        <v>-</v>
      </c>
      <c r="F180" s="259" cm="1">
        <f t="array" ref="F180">IFERROR(_xlfn.XLOOKUP($F$3,Heat_connections_input[#Headers],Heat_connections_input[#This Row],0,0,),0)</f>
        <v>0</v>
      </c>
      <c r="G180" s="259" cm="1">
        <f t="array" ref="G180">IFERROR(_xlfn.XLOOKUP($G$3,Heat_connections_input[#Headers],Heat_connections_input[#This Row],0,0,),0)</f>
        <v>0</v>
      </c>
      <c r="H180" s="341" cm="1">
        <f t="array" ref="H180">IFERROR(_xlfn.XLOOKUP($H$3,Heat_connections_input[#Headers],Heat_connections_input[#This Row],0,0,),0)</f>
        <v>0</v>
      </c>
      <c r="I180" s="326" t="str" cm="1">
        <f t="array" ref="I180">IFERROR(_xlfn.XLOOKUP($I$3,Heat_connections_input[#Headers],Heat_connections_input[#This Row],0,0,),"-")</f>
        <v>-</v>
      </c>
      <c r="J180" s="326" t="str" cm="1">
        <f t="array" ref="J180">IFERROR(_xlfn.XLOOKUP($J$3,Heat_connections_input[#Headers],Heat_connections_input[#This Row],0,0,1),"-")</f>
        <v>-</v>
      </c>
      <c r="K180" s="260"/>
      <c r="L180" s="261"/>
      <c r="M180" s="262"/>
      <c r="N180" s="263"/>
      <c r="O180" s="264" t="str">
        <f>IF(Heat_connections[[#This Row],[Ref]]&lt;&gt;"-",
IF(M180=1,Dashboard!$C$26,IF(M180=2,Dashboard!$C$27,Dashboard!$C$28)),"-")</f>
        <v>-</v>
      </c>
      <c r="P180" s="341">
        <f>IF(Heat_connections[[#This Row],[Category]]="Domestic",Heat_connections[[#This Row],[No. of connections]],0)</f>
        <v>0</v>
      </c>
      <c r="Q180" s="341">
        <f>IF(Heat_connections[[#This Row],[Category]]&lt;&gt;"Domestic",Heat_connections[[#This Row],[No. of connections]],0)</f>
        <v>0</v>
      </c>
      <c r="R180" s="209"/>
      <c r="S180" s="512">
        <f>IF(Heat_connections[[#This Row],[TOID]]&lt;&gt;"-",
IF(ISBLANK('Heat connections'!$R180),Dashboard!$C$14,'Heat connections'!$R180),0)</f>
        <v>0</v>
      </c>
      <c r="T180" s="513">
        <f>IF(Heat_connections[[#This Row],[Peak Demand, kW]]&lt;&gt;0,'Heat connections'!$G180*Dashboard!$C$21,0)</f>
        <v>0</v>
      </c>
      <c r="U180" s="514">
        <f>IF(Heat_connections[[#This Row],[Ref]]&lt;&gt;"-",48.436*Heat_connections[[#This Row],[Peak Demand, kW]]+1068.7,0)</f>
        <v>0</v>
      </c>
      <c r="V180" s="515">
        <f>IF(Heat_connections[[#This Row],[Ref]]&lt;&gt;"-",
_xlfn.XLOOKUP('Heat connections'!$G180,'Technical inputs'!$F$79:$F$94,'Technical inputs'!$I$79:$I$94,0,1,1),0)</f>
        <v>0</v>
      </c>
      <c r="W180" s="429">
        <f>IF('Heat connections'!$E180="Domestic",1,0)</f>
        <v>0</v>
      </c>
      <c r="X180" s="430">
        <f>IF(AND(Heat_connections[[#This Row],[Ref]]&lt;&gt;"-",'Heat connections'!$E180&lt;&gt;"Domestic"),1,0)</f>
        <v>0</v>
      </c>
      <c r="Y180" s="434">
        <v>126</v>
      </c>
      <c r="Z180" s="438">
        <f>IF(Heat_connections[[#This Row],[Existing/planned development]]&lt;&gt;0,1,0)</f>
        <v>0</v>
      </c>
      <c r="AA180" s="430">
        <f>IF('Heat connections'!$M180=1,1,0)</f>
        <v>0</v>
      </c>
      <c r="AB180" s="430">
        <f>IF('Heat connections'!$M180=2,1,0)</f>
        <v>0</v>
      </c>
      <c r="AC180" s="434">
        <f>IF('Heat connections'!$M180=3,1,0)</f>
        <v>0</v>
      </c>
      <c r="AD180" s="46" t="str">
        <f>IF(AND(Heat_connections[[#This Row],[Connected to heat network]]="Yes",Heat_connections[[#This Row],[Ref]]&lt;&gt;"-"),"Yes","No")</f>
        <v>No</v>
      </c>
    </row>
    <row r="181" spans="3:30" ht="12.75" x14ac:dyDescent="0.2">
      <c r="C181" s="208" t="str" cm="1">
        <f t="array" ref="C181">IFERROR(_xlfn.XLOOKUP($C$3,Heat_connections_input[#Headers],Heat_connections_input[#This Row],0,0,),"-")</f>
        <v>-</v>
      </c>
      <c r="D181" s="323" t="str" cm="1">
        <f t="array" ref="D181">IFERROR(_xlfn.XLOOKUP($D$3,Heat_connections_input[#Headers],Heat_connections_input[#This Row],0,0,),"-")</f>
        <v>-</v>
      </c>
      <c r="E181" s="284" t="str" cm="1">
        <f t="array" ref="E181">IFERROR(_xlfn.XLOOKUP($E$3,Heat_connections_input[#Headers],Heat_connections_input[#This Row],0,0,),"-")</f>
        <v>-</v>
      </c>
      <c r="F181" s="259" cm="1">
        <f t="array" ref="F181">IFERROR(_xlfn.XLOOKUP($F$3,Heat_connections_input[#Headers],Heat_connections_input[#This Row],0,0,),0)</f>
        <v>0</v>
      </c>
      <c r="G181" s="259" cm="1">
        <f t="array" ref="G181">IFERROR(_xlfn.XLOOKUP($G$3,Heat_connections_input[#Headers],Heat_connections_input[#This Row],0,0,),0)</f>
        <v>0</v>
      </c>
      <c r="H181" s="341" cm="1">
        <f t="array" ref="H181">IFERROR(_xlfn.XLOOKUP($H$3,Heat_connections_input[#Headers],Heat_connections_input[#This Row],0,0,),0)</f>
        <v>0</v>
      </c>
      <c r="I181" s="326" t="str" cm="1">
        <f t="array" ref="I181">IFERROR(_xlfn.XLOOKUP($I$3,Heat_connections_input[#Headers],Heat_connections_input[#This Row],0,0,),"-")</f>
        <v>-</v>
      </c>
      <c r="J181" s="326" t="str" cm="1">
        <f t="array" ref="J181">IFERROR(_xlfn.XLOOKUP($J$3,Heat_connections_input[#Headers],Heat_connections_input[#This Row],0,0,1),"-")</f>
        <v>-</v>
      </c>
      <c r="K181" s="260"/>
      <c r="L181" s="261"/>
      <c r="M181" s="262"/>
      <c r="N181" s="263"/>
      <c r="O181" s="264" t="str">
        <f>IF(Heat_connections[[#This Row],[Ref]]&lt;&gt;"-",
IF(M181=1,Dashboard!$C$26,IF(M181=2,Dashboard!$C$27,Dashboard!$C$28)),"-")</f>
        <v>-</v>
      </c>
      <c r="P181" s="341">
        <f>IF(Heat_connections[[#This Row],[Category]]="Domestic",Heat_connections[[#This Row],[No. of connections]],0)</f>
        <v>0</v>
      </c>
      <c r="Q181" s="341">
        <f>IF(Heat_connections[[#This Row],[Category]]&lt;&gt;"Domestic",Heat_connections[[#This Row],[No. of connections]],0)</f>
        <v>0</v>
      </c>
      <c r="R181" s="209"/>
      <c r="S181" s="512">
        <f>IF(Heat_connections[[#This Row],[TOID]]&lt;&gt;"-",
IF(ISBLANK('Heat connections'!$R181),Dashboard!$C$14,'Heat connections'!$R181),0)</f>
        <v>0</v>
      </c>
      <c r="T181" s="513">
        <f>IF(Heat_connections[[#This Row],[Peak Demand, kW]]&lt;&gt;0,'Heat connections'!$G181*Dashboard!$C$21,0)</f>
        <v>0</v>
      </c>
      <c r="U181" s="514">
        <f>IF(Heat_connections[[#This Row],[Ref]]&lt;&gt;"-",48.436*Heat_connections[[#This Row],[Peak Demand, kW]]+1068.7,0)</f>
        <v>0</v>
      </c>
      <c r="V181" s="515">
        <f>IF(Heat_connections[[#This Row],[Ref]]&lt;&gt;"-",
_xlfn.XLOOKUP('Heat connections'!$G181,'Technical inputs'!$F$79:$F$94,'Technical inputs'!$I$79:$I$94,0,1,1),0)</f>
        <v>0</v>
      </c>
      <c r="W181" s="429">
        <f>IF('Heat connections'!$E181="Domestic",1,0)</f>
        <v>0</v>
      </c>
      <c r="X181" s="430">
        <f>IF(AND(Heat_connections[[#This Row],[Ref]]&lt;&gt;"-",'Heat connections'!$E181&lt;&gt;"Domestic"),1,0)</f>
        <v>0</v>
      </c>
      <c r="Y181" s="434">
        <v>127</v>
      </c>
      <c r="Z181" s="438">
        <f>IF(Heat_connections[[#This Row],[Existing/planned development]]&lt;&gt;0,1,0)</f>
        <v>0</v>
      </c>
      <c r="AA181" s="430">
        <f>IF('Heat connections'!$M181=1,1,0)</f>
        <v>0</v>
      </c>
      <c r="AB181" s="430">
        <f>IF('Heat connections'!$M181=2,1,0)</f>
        <v>0</v>
      </c>
      <c r="AC181" s="434">
        <f>IF('Heat connections'!$M181=3,1,0)</f>
        <v>0</v>
      </c>
      <c r="AD181" s="46" t="str">
        <f>IF(AND(Heat_connections[[#This Row],[Connected to heat network]]="Yes",Heat_connections[[#This Row],[Ref]]&lt;&gt;"-"),"Yes","No")</f>
        <v>No</v>
      </c>
    </row>
    <row r="182" spans="3:30" ht="12.75" x14ac:dyDescent="0.2">
      <c r="C182" s="208" t="str" cm="1">
        <f t="array" ref="C182">IFERROR(_xlfn.XLOOKUP($C$3,Heat_connections_input[#Headers],Heat_connections_input[#This Row],0,0,),"-")</f>
        <v>-</v>
      </c>
      <c r="D182" s="323" t="str" cm="1">
        <f t="array" ref="D182">IFERROR(_xlfn.XLOOKUP($D$3,Heat_connections_input[#Headers],Heat_connections_input[#This Row],0,0,),"-")</f>
        <v>-</v>
      </c>
      <c r="E182" s="284" t="str" cm="1">
        <f t="array" ref="E182">IFERROR(_xlfn.XLOOKUP($E$3,Heat_connections_input[#Headers],Heat_connections_input[#This Row],0,0,),"-")</f>
        <v>-</v>
      </c>
      <c r="F182" s="259" cm="1">
        <f t="array" ref="F182">IFERROR(_xlfn.XLOOKUP($F$3,Heat_connections_input[#Headers],Heat_connections_input[#This Row],0,0,),0)</f>
        <v>0</v>
      </c>
      <c r="G182" s="259" cm="1">
        <f t="array" ref="G182">IFERROR(_xlfn.XLOOKUP($G$3,Heat_connections_input[#Headers],Heat_connections_input[#This Row],0,0,),0)</f>
        <v>0</v>
      </c>
      <c r="H182" s="341" cm="1">
        <f t="array" ref="H182">IFERROR(_xlfn.XLOOKUP($H$3,Heat_connections_input[#Headers],Heat_connections_input[#This Row],0,0,),0)</f>
        <v>0</v>
      </c>
      <c r="I182" s="326" t="str" cm="1">
        <f t="array" ref="I182">IFERROR(_xlfn.XLOOKUP($I$3,Heat_connections_input[#Headers],Heat_connections_input[#This Row],0,0,),"-")</f>
        <v>-</v>
      </c>
      <c r="J182" s="326" t="str" cm="1">
        <f t="array" ref="J182">IFERROR(_xlfn.XLOOKUP($J$3,Heat_connections_input[#Headers],Heat_connections_input[#This Row],0,0,1),"-")</f>
        <v>-</v>
      </c>
      <c r="K182" s="260"/>
      <c r="L182" s="261"/>
      <c r="M182" s="262"/>
      <c r="N182" s="263"/>
      <c r="O182" s="264" t="str">
        <f>IF(Heat_connections[[#This Row],[Ref]]&lt;&gt;"-",
IF(M182=1,Dashboard!$C$26,IF(M182=2,Dashboard!$C$27,Dashboard!$C$28)),"-")</f>
        <v>-</v>
      </c>
      <c r="P182" s="341">
        <f>IF(Heat_connections[[#This Row],[Category]]="Domestic",Heat_connections[[#This Row],[No. of connections]],0)</f>
        <v>0</v>
      </c>
      <c r="Q182" s="341">
        <f>IF(Heat_connections[[#This Row],[Category]]&lt;&gt;"Domestic",Heat_connections[[#This Row],[No. of connections]],0)</f>
        <v>0</v>
      </c>
      <c r="R182" s="209"/>
      <c r="S182" s="512">
        <f>IF(Heat_connections[[#This Row],[TOID]]&lt;&gt;"-",
IF(ISBLANK('Heat connections'!$R182),Dashboard!$C$14,'Heat connections'!$R182),0)</f>
        <v>0</v>
      </c>
      <c r="T182" s="513">
        <f>IF(Heat_connections[[#This Row],[Peak Demand, kW]]&lt;&gt;0,'Heat connections'!$G182*Dashboard!$C$21,0)</f>
        <v>0</v>
      </c>
      <c r="U182" s="514">
        <f>IF(Heat_connections[[#This Row],[Ref]]&lt;&gt;"-",48.436*Heat_connections[[#This Row],[Peak Demand, kW]]+1068.7,0)</f>
        <v>0</v>
      </c>
      <c r="V182" s="515">
        <f>IF(Heat_connections[[#This Row],[Ref]]&lt;&gt;"-",
_xlfn.XLOOKUP('Heat connections'!$G182,'Technical inputs'!$F$79:$F$94,'Technical inputs'!$I$79:$I$94,0,1,1),0)</f>
        <v>0</v>
      </c>
      <c r="W182" s="429">
        <f>IF('Heat connections'!$E182="Domestic",1,0)</f>
        <v>0</v>
      </c>
      <c r="X182" s="430">
        <f>IF(AND(Heat_connections[[#This Row],[Ref]]&lt;&gt;"-",'Heat connections'!$E182&lt;&gt;"Domestic"),1,0)</f>
        <v>0</v>
      </c>
      <c r="Y182" s="434">
        <v>128</v>
      </c>
      <c r="Z182" s="438">
        <f>IF(Heat_connections[[#This Row],[Existing/planned development]]&lt;&gt;0,1,0)</f>
        <v>0</v>
      </c>
      <c r="AA182" s="430">
        <f>IF('Heat connections'!$M182=1,1,0)</f>
        <v>0</v>
      </c>
      <c r="AB182" s="430">
        <f>IF('Heat connections'!$M182=2,1,0)</f>
        <v>0</v>
      </c>
      <c r="AC182" s="434">
        <f>IF('Heat connections'!$M182=3,1,0)</f>
        <v>0</v>
      </c>
      <c r="AD182" s="46" t="str">
        <f>IF(AND(Heat_connections[[#This Row],[Connected to heat network]]="Yes",Heat_connections[[#This Row],[Ref]]&lt;&gt;"-"),"Yes","No")</f>
        <v>No</v>
      </c>
    </row>
    <row r="183" spans="3:30" ht="12.75" x14ac:dyDescent="0.2">
      <c r="C183" s="208" t="str" cm="1">
        <f t="array" ref="C183">IFERROR(_xlfn.XLOOKUP($C$3,Heat_connections_input[#Headers],Heat_connections_input[#This Row],0,0,),"-")</f>
        <v>-</v>
      </c>
      <c r="D183" s="323" t="str" cm="1">
        <f t="array" ref="D183">IFERROR(_xlfn.XLOOKUP($D$3,Heat_connections_input[#Headers],Heat_connections_input[#This Row],0,0,),"-")</f>
        <v>-</v>
      </c>
      <c r="E183" s="284" t="str" cm="1">
        <f t="array" ref="E183">IFERROR(_xlfn.XLOOKUP($E$3,Heat_connections_input[#Headers],Heat_connections_input[#This Row],0,0,),"-")</f>
        <v>-</v>
      </c>
      <c r="F183" s="259" cm="1">
        <f t="array" ref="F183">IFERROR(_xlfn.XLOOKUP($F$3,Heat_connections_input[#Headers],Heat_connections_input[#This Row],0,0,),0)</f>
        <v>0</v>
      </c>
      <c r="G183" s="259" cm="1">
        <f t="array" ref="G183">IFERROR(_xlfn.XLOOKUP($G$3,Heat_connections_input[#Headers],Heat_connections_input[#This Row],0,0,),0)</f>
        <v>0</v>
      </c>
      <c r="H183" s="341" cm="1">
        <f t="array" ref="H183">IFERROR(_xlfn.XLOOKUP($H$3,Heat_connections_input[#Headers],Heat_connections_input[#This Row],0,0,),0)</f>
        <v>0</v>
      </c>
      <c r="I183" s="326" t="str" cm="1">
        <f t="array" ref="I183">IFERROR(_xlfn.XLOOKUP($I$3,Heat_connections_input[#Headers],Heat_connections_input[#This Row],0,0,),"-")</f>
        <v>-</v>
      </c>
      <c r="J183" s="326" t="str" cm="1">
        <f t="array" ref="J183">IFERROR(_xlfn.XLOOKUP($J$3,Heat_connections_input[#Headers],Heat_connections_input[#This Row],0,0,1),"-")</f>
        <v>-</v>
      </c>
      <c r="K183" s="260"/>
      <c r="L183" s="261"/>
      <c r="M183" s="262"/>
      <c r="N183" s="263"/>
      <c r="O183" s="264" t="str">
        <f>IF(Heat_connections[[#This Row],[Ref]]&lt;&gt;"-",
IF(M183=1,Dashboard!$C$26,IF(M183=2,Dashboard!$C$27,Dashboard!$C$28)),"-")</f>
        <v>-</v>
      </c>
      <c r="P183" s="341">
        <f>IF(Heat_connections[[#This Row],[Category]]="Domestic",Heat_connections[[#This Row],[No. of connections]],0)</f>
        <v>0</v>
      </c>
      <c r="Q183" s="341">
        <f>IF(Heat_connections[[#This Row],[Category]]&lt;&gt;"Domestic",Heat_connections[[#This Row],[No. of connections]],0)</f>
        <v>0</v>
      </c>
      <c r="R183" s="209"/>
      <c r="S183" s="512">
        <f>IF(Heat_connections[[#This Row],[TOID]]&lt;&gt;"-",
IF(ISBLANK('Heat connections'!$R183),Dashboard!$C$14,'Heat connections'!$R183),0)</f>
        <v>0</v>
      </c>
      <c r="T183" s="513">
        <f>IF(Heat_connections[[#This Row],[Peak Demand, kW]]&lt;&gt;0,'Heat connections'!$G183*Dashboard!$C$21,0)</f>
        <v>0</v>
      </c>
      <c r="U183" s="514">
        <f>IF(Heat_connections[[#This Row],[Ref]]&lt;&gt;"-",48.436*Heat_connections[[#This Row],[Peak Demand, kW]]+1068.7,0)</f>
        <v>0</v>
      </c>
      <c r="V183" s="515">
        <f>IF(Heat_connections[[#This Row],[Ref]]&lt;&gt;"-",
_xlfn.XLOOKUP('Heat connections'!$G183,'Technical inputs'!$F$79:$F$94,'Technical inputs'!$I$79:$I$94,0,1,1),0)</f>
        <v>0</v>
      </c>
      <c r="W183" s="429">
        <f>IF('Heat connections'!$E183="Domestic",1,0)</f>
        <v>0</v>
      </c>
      <c r="X183" s="430">
        <f>IF(AND(Heat_connections[[#This Row],[Ref]]&lt;&gt;"-",'Heat connections'!$E183&lt;&gt;"Domestic"),1,0)</f>
        <v>0</v>
      </c>
      <c r="Y183" s="434">
        <v>129</v>
      </c>
      <c r="Z183" s="438">
        <f>IF(Heat_connections[[#This Row],[Existing/planned development]]&lt;&gt;0,1,0)</f>
        <v>0</v>
      </c>
      <c r="AA183" s="430">
        <f>IF('Heat connections'!$M183=1,1,0)</f>
        <v>0</v>
      </c>
      <c r="AB183" s="430">
        <f>IF('Heat connections'!$M183=2,1,0)</f>
        <v>0</v>
      </c>
      <c r="AC183" s="434">
        <f>IF('Heat connections'!$M183=3,1,0)</f>
        <v>0</v>
      </c>
      <c r="AD183" s="46" t="str">
        <f>IF(AND(Heat_connections[[#This Row],[Connected to heat network]]="Yes",Heat_connections[[#This Row],[Ref]]&lt;&gt;"-"),"Yes","No")</f>
        <v>No</v>
      </c>
    </row>
    <row r="184" spans="3:30" ht="12.75" x14ac:dyDescent="0.2">
      <c r="C184" s="208" t="str" cm="1">
        <f t="array" ref="C184">IFERROR(_xlfn.XLOOKUP($C$3,Heat_connections_input[#Headers],Heat_connections_input[#This Row],0,0,),"-")</f>
        <v>-</v>
      </c>
      <c r="D184" s="323" t="str" cm="1">
        <f t="array" ref="D184">IFERROR(_xlfn.XLOOKUP($D$3,Heat_connections_input[#Headers],Heat_connections_input[#This Row],0,0,),"-")</f>
        <v>-</v>
      </c>
      <c r="E184" s="284" t="str" cm="1">
        <f t="array" ref="E184">IFERROR(_xlfn.XLOOKUP($E$3,Heat_connections_input[#Headers],Heat_connections_input[#This Row],0,0,),"-")</f>
        <v>-</v>
      </c>
      <c r="F184" s="259" cm="1">
        <f t="array" ref="F184">IFERROR(_xlfn.XLOOKUP($F$3,Heat_connections_input[#Headers],Heat_connections_input[#This Row],0,0,),0)</f>
        <v>0</v>
      </c>
      <c r="G184" s="259" cm="1">
        <f t="array" ref="G184">IFERROR(_xlfn.XLOOKUP($G$3,Heat_connections_input[#Headers],Heat_connections_input[#This Row],0,0,),0)</f>
        <v>0</v>
      </c>
      <c r="H184" s="341" cm="1">
        <f t="array" ref="H184">IFERROR(_xlfn.XLOOKUP($H$3,Heat_connections_input[#Headers],Heat_connections_input[#This Row],0,0,),0)</f>
        <v>0</v>
      </c>
      <c r="I184" s="326" t="str" cm="1">
        <f t="array" ref="I184">IFERROR(_xlfn.XLOOKUP($I$3,Heat_connections_input[#Headers],Heat_connections_input[#This Row],0,0,),"-")</f>
        <v>-</v>
      </c>
      <c r="J184" s="326" t="str" cm="1">
        <f t="array" ref="J184">IFERROR(_xlfn.XLOOKUP($J$3,Heat_connections_input[#Headers],Heat_connections_input[#This Row],0,0,1),"-")</f>
        <v>-</v>
      </c>
      <c r="K184" s="260"/>
      <c r="L184" s="261"/>
      <c r="M184" s="262"/>
      <c r="N184" s="263"/>
      <c r="O184" s="264" t="str">
        <f>IF(Heat_connections[[#This Row],[Ref]]&lt;&gt;"-",
IF(M184=1,Dashboard!$C$26,IF(M184=2,Dashboard!$C$27,Dashboard!$C$28)),"-")</f>
        <v>-</v>
      </c>
      <c r="P184" s="341">
        <f>IF(Heat_connections[[#This Row],[Category]]="Domestic",Heat_connections[[#This Row],[No. of connections]],0)</f>
        <v>0</v>
      </c>
      <c r="Q184" s="341">
        <f>IF(Heat_connections[[#This Row],[Category]]&lt;&gt;"Domestic",Heat_connections[[#This Row],[No. of connections]],0)</f>
        <v>0</v>
      </c>
      <c r="R184" s="209"/>
      <c r="S184" s="512">
        <f>IF(Heat_connections[[#This Row],[TOID]]&lt;&gt;"-",
IF(ISBLANK('Heat connections'!$R184),Dashboard!$C$14,'Heat connections'!$R184),0)</f>
        <v>0</v>
      </c>
      <c r="T184" s="513">
        <f>IF(Heat_connections[[#This Row],[Peak Demand, kW]]&lt;&gt;0,'Heat connections'!$G184*Dashboard!$C$21,0)</f>
        <v>0</v>
      </c>
      <c r="U184" s="514">
        <f>IF(Heat_connections[[#This Row],[Ref]]&lt;&gt;"-",48.436*Heat_connections[[#This Row],[Peak Demand, kW]]+1068.7,0)</f>
        <v>0</v>
      </c>
      <c r="V184" s="515">
        <f>IF(Heat_connections[[#This Row],[Ref]]&lt;&gt;"-",
_xlfn.XLOOKUP('Heat connections'!$G184,'Technical inputs'!$F$79:$F$94,'Technical inputs'!$I$79:$I$94,0,1,1),0)</f>
        <v>0</v>
      </c>
      <c r="W184" s="429">
        <f>IF('Heat connections'!$E184="Domestic",1,0)</f>
        <v>0</v>
      </c>
      <c r="X184" s="430">
        <f>IF(AND(Heat_connections[[#This Row],[Ref]]&lt;&gt;"-",'Heat connections'!$E184&lt;&gt;"Domestic"),1,0)</f>
        <v>0</v>
      </c>
      <c r="Y184" s="434">
        <v>130</v>
      </c>
      <c r="Z184" s="438">
        <f>IF(Heat_connections[[#This Row],[Existing/planned development]]&lt;&gt;0,1,0)</f>
        <v>0</v>
      </c>
      <c r="AA184" s="430">
        <f>IF('Heat connections'!$M184=1,1,0)</f>
        <v>0</v>
      </c>
      <c r="AB184" s="430">
        <f>IF('Heat connections'!$M184=2,1,0)</f>
        <v>0</v>
      </c>
      <c r="AC184" s="434">
        <f>IF('Heat connections'!$M184=3,1,0)</f>
        <v>0</v>
      </c>
      <c r="AD184" s="46" t="str">
        <f>IF(AND(Heat_connections[[#This Row],[Connected to heat network]]="Yes",Heat_connections[[#This Row],[Ref]]&lt;&gt;"-"),"Yes","No")</f>
        <v>No</v>
      </c>
    </row>
    <row r="185" spans="3:30" ht="12.75" x14ac:dyDescent="0.2">
      <c r="C185" s="208" t="str" cm="1">
        <f t="array" ref="C185">IFERROR(_xlfn.XLOOKUP($C$3,Heat_connections_input[#Headers],Heat_connections_input[#This Row],0,0,),"-")</f>
        <v>-</v>
      </c>
      <c r="D185" s="323" t="str" cm="1">
        <f t="array" ref="D185">IFERROR(_xlfn.XLOOKUP($D$3,Heat_connections_input[#Headers],Heat_connections_input[#This Row],0,0,),"-")</f>
        <v>-</v>
      </c>
      <c r="E185" s="284" t="str" cm="1">
        <f t="array" ref="E185">IFERROR(_xlfn.XLOOKUP($E$3,Heat_connections_input[#Headers],Heat_connections_input[#This Row],0,0,),"-")</f>
        <v>-</v>
      </c>
      <c r="F185" s="259" cm="1">
        <f t="array" ref="F185">IFERROR(_xlfn.XLOOKUP($F$3,Heat_connections_input[#Headers],Heat_connections_input[#This Row],0,0,),0)</f>
        <v>0</v>
      </c>
      <c r="G185" s="259" cm="1">
        <f t="array" ref="G185">IFERROR(_xlfn.XLOOKUP($G$3,Heat_connections_input[#Headers],Heat_connections_input[#This Row],0,0,),0)</f>
        <v>0</v>
      </c>
      <c r="H185" s="341" cm="1">
        <f t="array" ref="H185">IFERROR(_xlfn.XLOOKUP($H$3,Heat_connections_input[#Headers],Heat_connections_input[#This Row],0,0,),0)</f>
        <v>0</v>
      </c>
      <c r="I185" s="326" t="str" cm="1">
        <f t="array" ref="I185">IFERROR(_xlfn.XLOOKUP($I$3,Heat_connections_input[#Headers],Heat_connections_input[#This Row],0,0,),"-")</f>
        <v>-</v>
      </c>
      <c r="J185" s="326" t="str" cm="1">
        <f t="array" ref="J185">IFERROR(_xlfn.XLOOKUP($J$3,Heat_connections_input[#Headers],Heat_connections_input[#This Row],0,0,1),"-")</f>
        <v>-</v>
      </c>
      <c r="K185" s="260"/>
      <c r="L185" s="261"/>
      <c r="M185" s="262"/>
      <c r="N185" s="263"/>
      <c r="O185" s="264" t="str">
        <f>IF(Heat_connections[[#This Row],[Ref]]&lt;&gt;"-",
IF(M185=1,Dashboard!$C$26,IF(M185=2,Dashboard!$C$27,Dashboard!$C$28)),"-")</f>
        <v>-</v>
      </c>
      <c r="P185" s="341">
        <f>IF(Heat_connections[[#This Row],[Category]]="Domestic",Heat_connections[[#This Row],[No. of connections]],0)</f>
        <v>0</v>
      </c>
      <c r="Q185" s="341">
        <f>IF(Heat_connections[[#This Row],[Category]]&lt;&gt;"Domestic",Heat_connections[[#This Row],[No. of connections]],0)</f>
        <v>0</v>
      </c>
      <c r="R185" s="209"/>
      <c r="S185" s="512">
        <f>IF(Heat_connections[[#This Row],[TOID]]&lt;&gt;"-",
IF(ISBLANK('Heat connections'!$R185),Dashboard!$C$14,'Heat connections'!$R185),0)</f>
        <v>0</v>
      </c>
      <c r="T185" s="513">
        <f>IF(Heat_connections[[#This Row],[Peak Demand, kW]]&lt;&gt;0,'Heat connections'!$G185*Dashboard!$C$21,0)</f>
        <v>0</v>
      </c>
      <c r="U185" s="514">
        <f>IF(Heat_connections[[#This Row],[Ref]]&lt;&gt;"-",48.436*Heat_connections[[#This Row],[Peak Demand, kW]]+1068.7,0)</f>
        <v>0</v>
      </c>
      <c r="V185" s="515">
        <f>IF(Heat_connections[[#This Row],[Ref]]&lt;&gt;"-",
_xlfn.XLOOKUP('Heat connections'!$G185,'Technical inputs'!$F$79:$F$94,'Technical inputs'!$I$79:$I$94,0,1,1),0)</f>
        <v>0</v>
      </c>
      <c r="W185" s="429">
        <f>IF('Heat connections'!$E185="Domestic",1,0)</f>
        <v>0</v>
      </c>
      <c r="X185" s="430">
        <f>IF(AND(Heat_connections[[#This Row],[Ref]]&lt;&gt;"-",'Heat connections'!$E185&lt;&gt;"Domestic"),1,0)</f>
        <v>0</v>
      </c>
      <c r="Y185" s="434">
        <v>131</v>
      </c>
      <c r="Z185" s="438">
        <f>IF(Heat_connections[[#This Row],[Existing/planned development]]&lt;&gt;0,1,0)</f>
        <v>0</v>
      </c>
      <c r="AA185" s="430">
        <f>IF('Heat connections'!$M185=1,1,0)</f>
        <v>0</v>
      </c>
      <c r="AB185" s="430">
        <f>IF('Heat connections'!$M185=2,1,0)</f>
        <v>0</v>
      </c>
      <c r="AC185" s="434">
        <f>IF('Heat connections'!$M185=3,1,0)</f>
        <v>0</v>
      </c>
      <c r="AD185" s="46" t="str">
        <f>IF(AND(Heat_connections[[#This Row],[Connected to heat network]]="Yes",Heat_connections[[#This Row],[Ref]]&lt;&gt;"-"),"Yes","No")</f>
        <v>No</v>
      </c>
    </row>
    <row r="186" spans="3:30" ht="12.75" x14ac:dyDescent="0.2">
      <c r="C186" s="208" t="str" cm="1">
        <f t="array" ref="C186">IFERROR(_xlfn.XLOOKUP($C$3,Heat_connections_input[#Headers],Heat_connections_input[#This Row],0,0,),"-")</f>
        <v>-</v>
      </c>
      <c r="D186" s="323" t="str" cm="1">
        <f t="array" ref="D186">IFERROR(_xlfn.XLOOKUP($D$3,Heat_connections_input[#Headers],Heat_connections_input[#This Row],0,0,),"-")</f>
        <v>-</v>
      </c>
      <c r="E186" s="284" t="str" cm="1">
        <f t="array" ref="E186">IFERROR(_xlfn.XLOOKUP($E$3,Heat_connections_input[#Headers],Heat_connections_input[#This Row],0,0,),"-")</f>
        <v>-</v>
      </c>
      <c r="F186" s="259" cm="1">
        <f t="array" ref="F186">IFERROR(_xlfn.XLOOKUP($F$3,Heat_connections_input[#Headers],Heat_connections_input[#This Row],0,0,),0)</f>
        <v>0</v>
      </c>
      <c r="G186" s="259" cm="1">
        <f t="array" ref="G186">IFERROR(_xlfn.XLOOKUP($G$3,Heat_connections_input[#Headers],Heat_connections_input[#This Row],0,0,),0)</f>
        <v>0</v>
      </c>
      <c r="H186" s="341" cm="1">
        <f t="array" ref="H186">IFERROR(_xlfn.XLOOKUP($H$3,Heat_connections_input[#Headers],Heat_connections_input[#This Row],0,0,),0)</f>
        <v>0</v>
      </c>
      <c r="I186" s="326" t="str" cm="1">
        <f t="array" ref="I186">IFERROR(_xlfn.XLOOKUP($I$3,Heat_connections_input[#Headers],Heat_connections_input[#This Row],0,0,),"-")</f>
        <v>-</v>
      </c>
      <c r="J186" s="326" t="str" cm="1">
        <f t="array" ref="J186">IFERROR(_xlfn.XLOOKUP($J$3,Heat_connections_input[#Headers],Heat_connections_input[#This Row],0,0,1),"-")</f>
        <v>-</v>
      </c>
      <c r="K186" s="260"/>
      <c r="L186" s="261"/>
      <c r="M186" s="262"/>
      <c r="N186" s="263"/>
      <c r="O186" s="264" t="str">
        <f>IF(Heat_connections[[#This Row],[Ref]]&lt;&gt;"-",
IF(M186=1,Dashboard!$C$26,IF(M186=2,Dashboard!$C$27,Dashboard!$C$28)),"-")</f>
        <v>-</v>
      </c>
      <c r="P186" s="341">
        <f>IF(Heat_connections[[#This Row],[Category]]="Domestic",Heat_connections[[#This Row],[No. of connections]],0)</f>
        <v>0</v>
      </c>
      <c r="Q186" s="341">
        <f>IF(Heat_connections[[#This Row],[Category]]&lt;&gt;"Domestic",Heat_connections[[#This Row],[No. of connections]],0)</f>
        <v>0</v>
      </c>
      <c r="R186" s="209"/>
      <c r="S186" s="512">
        <f>IF(Heat_connections[[#This Row],[TOID]]&lt;&gt;"-",
IF(ISBLANK('Heat connections'!$R186),Dashboard!$C$14,'Heat connections'!$R186),0)</f>
        <v>0</v>
      </c>
      <c r="T186" s="513">
        <f>IF(Heat_connections[[#This Row],[Peak Demand, kW]]&lt;&gt;0,'Heat connections'!$G186*Dashboard!$C$21,0)</f>
        <v>0</v>
      </c>
      <c r="U186" s="514">
        <f>IF(Heat_connections[[#This Row],[Ref]]&lt;&gt;"-",48.436*Heat_connections[[#This Row],[Peak Demand, kW]]+1068.7,0)</f>
        <v>0</v>
      </c>
      <c r="V186" s="515">
        <f>IF(Heat_connections[[#This Row],[Ref]]&lt;&gt;"-",
_xlfn.XLOOKUP('Heat connections'!$G186,'Technical inputs'!$F$79:$F$94,'Technical inputs'!$I$79:$I$94,0,1,1),0)</f>
        <v>0</v>
      </c>
      <c r="W186" s="429">
        <f>IF('Heat connections'!$E186="Domestic",1,0)</f>
        <v>0</v>
      </c>
      <c r="X186" s="430">
        <f>IF(AND(Heat_connections[[#This Row],[Ref]]&lt;&gt;"-",'Heat connections'!$E186&lt;&gt;"Domestic"),1,0)</f>
        <v>0</v>
      </c>
      <c r="Y186" s="434">
        <v>132</v>
      </c>
      <c r="Z186" s="438">
        <f>IF(Heat_connections[[#This Row],[Existing/planned development]]&lt;&gt;0,1,0)</f>
        <v>0</v>
      </c>
      <c r="AA186" s="430">
        <f>IF('Heat connections'!$M186=1,1,0)</f>
        <v>0</v>
      </c>
      <c r="AB186" s="430">
        <f>IF('Heat connections'!$M186=2,1,0)</f>
        <v>0</v>
      </c>
      <c r="AC186" s="434">
        <f>IF('Heat connections'!$M186=3,1,0)</f>
        <v>0</v>
      </c>
      <c r="AD186" s="46" t="str">
        <f>IF(AND(Heat_connections[[#This Row],[Connected to heat network]]="Yes",Heat_connections[[#This Row],[Ref]]&lt;&gt;"-"),"Yes","No")</f>
        <v>No</v>
      </c>
    </row>
    <row r="187" spans="3:30" ht="12.75" x14ac:dyDescent="0.2">
      <c r="C187" s="208" t="str" cm="1">
        <f t="array" ref="C187">IFERROR(_xlfn.XLOOKUP($C$3,Heat_connections_input[#Headers],Heat_connections_input[#This Row],0,0,),"-")</f>
        <v>-</v>
      </c>
      <c r="D187" s="323" t="str" cm="1">
        <f t="array" ref="D187">IFERROR(_xlfn.XLOOKUP($D$3,Heat_connections_input[#Headers],Heat_connections_input[#This Row],0,0,),"-")</f>
        <v>-</v>
      </c>
      <c r="E187" s="284" t="str" cm="1">
        <f t="array" ref="E187">IFERROR(_xlfn.XLOOKUP($E$3,Heat_connections_input[#Headers],Heat_connections_input[#This Row],0,0,),"-")</f>
        <v>-</v>
      </c>
      <c r="F187" s="259" cm="1">
        <f t="array" ref="F187">IFERROR(_xlfn.XLOOKUP($F$3,Heat_connections_input[#Headers],Heat_connections_input[#This Row],0,0,),0)</f>
        <v>0</v>
      </c>
      <c r="G187" s="259" cm="1">
        <f t="array" ref="G187">IFERROR(_xlfn.XLOOKUP($G$3,Heat_connections_input[#Headers],Heat_connections_input[#This Row],0,0,),0)</f>
        <v>0</v>
      </c>
      <c r="H187" s="341" cm="1">
        <f t="array" ref="H187">IFERROR(_xlfn.XLOOKUP($H$3,Heat_connections_input[#Headers],Heat_connections_input[#This Row],0,0,),0)</f>
        <v>0</v>
      </c>
      <c r="I187" s="326" t="str" cm="1">
        <f t="array" ref="I187">IFERROR(_xlfn.XLOOKUP($I$3,Heat_connections_input[#Headers],Heat_connections_input[#This Row],0,0,),"-")</f>
        <v>-</v>
      </c>
      <c r="J187" s="326" t="str" cm="1">
        <f t="array" ref="J187">IFERROR(_xlfn.XLOOKUP($J$3,Heat_connections_input[#Headers],Heat_connections_input[#This Row],0,0,1),"-")</f>
        <v>-</v>
      </c>
      <c r="K187" s="260"/>
      <c r="L187" s="261"/>
      <c r="M187" s="262"/>
      <c r="N187" s="263"/>
      <c r="O187" s="264" t="str">
        <f>IF(Heat_connections[[#This Row],[Ref]]&lt;&gt;"-",
IF(M187=1,Dashboard!$C$26,IF(M187=2,Dashboard!$C$27,Dashboard!$C$28)),"-")</f>
        <v>-</v>
      </c>
      <c r="P187" s="341">
        <f>IF(Heat_connections[[#This Row],[Category]]="Domestic",Heat_connections[[#This Row],[No. of connections]],0)</f>
        <v>0</v>
      </c>
      <c r="Q187" s="341">
        <f>IF(Heat_connections[[#This Row],[Category]]&lt;&gt;"Domestic",Heat_connections[[#This Row],[No. of connections]],0)</f>
        <v>0</v>
      </c>
      <c r="R187" s="209"/>
      <c r="S187" s="512">
        <f>IF(Heat_connections[[#This Row],[TOID]]&lt;&gt;"-",
IF(ISBLANK('Heat connections'!$R187),Dashboard!$C$14,'Heat connections'!$R187),0)</f>
        <v>0</v>
      </c>
      <c r="T187" s="513">
        <f>IF(Heat_connections[[#This Row],[Peak Demand, kW]]&lt;&gt;0,'Heat connections'!$G187*Dashboard!$C$21,0)</f>
        <v>0</v>
      </c>
      <c r="U187" s="514">
        <f>IF(Heat_connections[[#This Row],[Ref]]&lt;&gt;"-",48.436*Heat_connections[[#This Row],[Peak Demand, kW]]+1068.7,0)</f>
        <v>0</v>
      </c>
      <c r="V187" s="515">
        <f>IF(Heat_connections[[#This Row],[Ref]]&lt;&gt;"-",
_xlfn.XLOOKUP('Heat connections'!$G187,'Technical inputs'!$F$79:$F$94,'Technical inputs'!$I$79:$I$94,0,1,1),0)</f>
        <v>0</v>
      </c>
      <c r="W187" s="429">
        <f>IF('Heat connections'!$E187="Domestic",1,0)</f>
        <v>0</v>
      </c>
      <c r="X187" s="430">
        <f>IF(AND(Heat_connections[[#This Row],[Ref]]&lt;&gt;"-",'Heat connections'!$E187&lt;&gt;"Domestic"),1,0)</f>
        <v>0</v>
      </c>
      <c r="Y187" s="434">
        <v>133</v>
      </c>
      <c r="Z187" s="438">
        <f>IF(Heat_connections[[#This Row],[Existing/planned development]]&lt;&gt;0,1,0)</f>
        <v>0</v>
      </c>
      <c r="AA187" s="430">
        <f>IF('Heat connections'!$M187=1,1,0)</f>
        <v>0</v>
      </c>
      <c r="AB187" s="430">
        <f>IF('Heat connections'!$M187=2,1,0)</f>
        <v>0</v>
      </c>
      <c r="AC187" s="434">
        <f>IF('Heat connections'!$M187=3,1,0)</f>
        <v>0</v>
      </c>
      <c r="AD187" s="46" t="str">
        <f>IF(AND(Heat_connections[[#This Row],[Connected to heat network]]="Yes",Heat_connections[[#This Row],[Ref]]&lt;&gt;"-"),"Yes","No")</f>
        <v>No</v>
      </c>
    </row>
    <row r="188" spans="3:30" ht="12.75" x14ac:dyDescent="0.2">
      <c r="C188" s="208" t="str" cm="1">
        <f t="array" ref="C188">IFERROR(_xlfn.XLOOKUP($C$3,Heat_connections_input[#Headers],Heat_connections_input[#This Row],0,0,),"-")</f>
        <v>-</v>
      </c>
      <c r="D188" s="323" t="str" cm="1">
        <f t="array" ref="D188">IFERROR(_xlfn.XLOOKUP($D$3,Heat_connections_input[#Headers],Heat_connections_input[#This Row],0,0,),"-")</f>
        <v>-</v>
      </c>
      <c r="E188" s="284" t="str" cm="1">
        <f t="array" ref="E188">IFERROR(_xlfn.XLOOKUP($E$3,Heat_connections_input[#Headers],Heat_connections_input[#This Row],0,0,),"-")</f>
        <v>-</v>
      </c>
      <c r="F188" s="259" cm="1">
        <f t="array" ref="F188">IFERROR(_xlfn.XLOOKUP($F$3,Heat_connections_input[#Headers],Heat_connections_input[#This Row],0,0,),0)</f>
        <v>0</v>
      </c>
      <c r="G188" s="259" cm="1">
        <f t="array" ref="G188">IFERROR(_xlfn.XLOOKUP($G$3,Heat_connections_input[#Headers],Heat_connections_input[#This Row],0,0,),0)</f>
        <v>0</v>
      </c>
      <c r="H188" s="341" cm="1">
        <f t="array" ref="H188">IFERROR(_xlfn.XLOOKUP($H$3,Heat_connections_input[#Headers],Heat_connections_input[#This Row],0,0,),0)</f>
        <v>0</v>
      </c>
      <c r="I188" s="326" t="str" cm="1">
        <f t="array" ref="I188">IFERROR(_xlfn.XLOOKUP($I$3,Heat_connections_input[#Headers],Heat_connections_input[#This Row],0,0,),"-")</f>
        <v>-</v>
      </c>
      <c r="J188" s="326" t="str" cm="1">
        <f t="array" ref="J188">IFERROR(_xlfn.XLOOKUP($J$3,Heat_connections_input[#Headers],Heat_connections_input[#This Row],0,0,1),"-")</f>
        <v>-</v>
      </c>
      <c r="K188" s="260"/>
      <c r="L188" s="261"/>
      <c r="M188" s="262"/>
      <c r="N188" s="263"/>
      <c r="O188" s="264" t="str">
        <f>IF(Heat_connections[[#This Row],[Ref]]&lt;&gt;"-",
IF(M188=1,Dashboard!$C$26,IF(M188=2,Dashboard!$C$27,Dashboard!$C$28)),"-")</f>
        <v>-</v>
      </c>
      <c r="P188" s="341">
        <f>IF(Heat_connections[[#This Row],[Category]]="Domestic",Heat_connections[[#This Row],[No. of connections]],0)</f>
        <v>0</v>
      </c>
      <c r="Q188" s="341">
        <f>IF(Heat_connections[[#This Row],[Category]]&lt;&gt;"Domestic",Heat_connections[[#This Row],[No. of connections]],0)</f>
        <v>0</v>
      </c>
      <c r="R188" s="209"/>
      <c r="S188" s="512">
        <f>IF(Heat_connections[[#This Row],[TOID]]&lt;&gt;"-",
IF(ISBLANK('Heat connections'!$R188),Dashboard!$C$14,'Heat connections'!$R188),0)</f>
        <v>0</v>
      </c>
      <c r="T188" s="513">
        <f>IF(Heat_connections[[#This Row],[Peak Demand, kW]]&lt;&gt;0,'Heat connections'!$G188*Dashboard!$C$21,0)</f>
        <v>0</v>
      </c>
      <c r="U188" s="514">
        <f>IF(Heat_connections[[#This Row],[Ref]]&lt;&gt;"-",48.436*Heat_connections[[#This Row],[Peak Demand, kW]]+1068.7,0)</f>
        <v>0</v>
      </c>
      <c r="V188" s="515">
        <f>IF(Heat_connections[[#This Row],[Ref]]&lt;&gt;"-",
_xlfn.XLOOKUP('Heat connections'!$G188,'Technical inputs'!$F$79:$F$94,'Technical inputs'!$I$79:$I$94,0,1,1),0)</f>
        <v>0</v>
      </c>
      <c r="W188" s="429">
        <f>IF('Heat connections'!$E188="Domestic",1,0)</f>
        <v>0</v>
      </c>
      <c r="X188" s="430">
        <f>IF(AND(Heat_connections[[#This Row],[Ref]]&lt;&gt;"-",'Heat connections'!$E188&lt;&gt;"Domestic"),1,0)</f>
        <v>0</v>
      </c>
      <c r="Y188" s="434">
        <v>134</v>
      </c>
      <c r="Z188" s="438">
        <f>IF(Heat_connections[[#This Row],[Existing/planned development]]&lt;&gt;0,1,0)</f>
        <v>0</v>
      </c>
      <c r="AA188" s="430">
        <f>IF('Heat connections'!$M188=1,1,0)</f>
        <v>0</v>
      </c>
      <c r="AB188" s="430">
        <f>IF('Heat connections'!$M188=2,1,0)</f>
        <v>0</v>
      </c>
      <c r="AC188" s="434">
        <f>IF('Heat connections'!$M188=3,1,0)</f>
        <v>0</v>
      </c>
      <c r="AD188" s="46" t="str">
        <f>IF(AND(Heat_connections[[#This Row],[Connected to heat network]]="Yes",Heat_connections[[#This Row],[Ref]]&lt;&gt;"-"),"Yes","No")</f>
        <v>No</v>
      </c>
    </row>
    <row r="189" spans="3:30" ht="12.75" x14ac:dyDescent="0.2">
      <c r="C189" s="208" t="str" cm="1">
        <f t="array" ref="C189">IFERROR(_xlfn.XLOOKUP($C$3,Heat_connections_input[#Headers],Heat_connections_input[#This Row],0,0,),"-")</f>
        <v>-</v>
      </c>
      <c r="D189" s="323" t="str" cm="1">
        <f t="array" ref="D189">IFERROR(_xlfn.XLOOKUP($D$3,Heat_connections_input[#Headers],Heat_connections_input[#This Row],0,0,),"-")</f>
        <v>-</v>
      </c>
      <c r="E189" s="284" t="str" cm="1">
        <f t="array" ref="E189">IFERROR(_xlfn.XLOOKUP($E$3,Heat_connections_input[#Headers],Heat_connections_input[#This Row],0,0,),"-")</f>
        <v>-</v>
      </c>
      <c r="F189" s="259" cm="1">
        <f t="array" ref="F189">IFERROR(_xlfn.XLOOKUP($F$3,Heat_connections_input[#Headers],Heat_connections_input[#This Row],0,0,),0)</f>
        <v>0</v>
      </c>
      <c r="G189" s="259" cm="1">
        <f t="array" ref="G189">IFERROR(_xlfn.XLOOKUP($G$3,Heat_connections_input[#Headers],Heat_connections_input[#This Row],0,0,),0)</f>
        <v>0</v>
      </c>
      <c r="H189" s="341" cm="1">
        <f t="array" ref="H189">IFERROR(_xlfn.XLOOKUP($H$3,Heat_connections_input[#Headers],Heat_connections_input[#This Row],0,0,),0)</f>
        <v>0</v>
      </c>
      <c r="I189" s="326" t="str" cm="1">
        <f t="array" ref="I189">IFERROR(_xlfn.XLOOKUP($I$3,Heat_connections_input[#Headers],Heat_connections_input[#This Row],0,0,),"-")</f>
        <v>-</v>
      </c>
      <c r="J189" s="326" t="str" cm="1">
        <f t="array" ref="J189">IFERROR(_xlfn.XLOOKUP($J$3,Heat_connections_input[#Headers],Heat_connections_input[#This Row],0,0,1),"-")</f>
        <v>-</v>
      </c>
      <c r="K189" s="260"/>
      <c r="L189" s="261"/>
      <c r="M189" s="262"/>
      <c r="N189" s="263"/>
      <c r="O189" s="264" t="str">
        <f>IF(Heat_connections[[#This Row],[Ref]]&lt;&gt;"-",
IF(M189=1,Dashboard!$C$26,IF(M189=2,Dashboard!$C$27,Dashboard!$C$28)),"-")</f>
        <v>-</v>
      </c>
      <c r="P189" s="341">
        <f>IF(Heat_connections[[#This Row],[Category]]="Domestic",Heat_connections[[#This Row],[No. of connections]],0)</f>
        <v>0</v>
      </c>
      <c r="Q189" s="341">
        <f>IF(Heat_connections[[#This Row],[Category]]&lt;&gt;"Domestic",Heat_connections[[#This Row],[No. of connections]],0)</f>
        <v>0</v>
      </c>
      <c r="R189" s="209"/>
      <c r="S189" s="512">
        <f>IF(Heat_connections[[#This Row],[TOID]]&lt;&gt;"-",
IF(ISBLANK('Heat connections'!$R189),Dashboard!$C$14,'Heat connections'!$R189),0)</f>
        <v>0</v>
      </c>
      <c r="T189" s="513">
        <f>IF(Heat_connections[[#This Row],[Peak Demand, kW]]&lt;&gt;0,'Heat connections'!$G189*Dashboard!$C$21,0)</f>
        <v>0</v>
      </c>
      <c r="U189" s="514">
        <f>IF(Heat_connections[[#This Row],[Ref]]&lt;&gt;"-",48.436*Heat_connections[[#This Row],[Peak Demand, kW]]+1068.7,0)</f>
        <v>0</v>
      </c>
      <c r="V189" s="515">
        <f>IF(Heat_connections[[#This Row],[Ref]]&lt;&gt;"-",
_xlfn.XLOOKUP('Heat connections'!$G189,'Technical inputs'!$F$79:$F$94,'Technical inputs'!$I$79:$I$94,0,1,1),0)</f>
        <v>0</v>
      </c>
      <c r="W189" s="429">
        <f>IF('Heat connections'!$E189="Domestic",1,0)</f>
        <v>0</v>
      </c>
      <c r="X189" s="430">
        <f>IF(AND(Heat_connections[[#This Row],[Ref]]&lt;&gt;"-",'Heat connections'!$E189&lt;&gt;"Domestic"),1,0)</f>
        <v>0</v>
      </c>
      <c r="Y189" s="434">
        <v>135</v>
      </c>
      <c r="Z189" s="438">
        <f>IF(Heat_connections[[#This Row],[Existing/planned development]]&lt;&gt;0,1,0)</f>
        <v>0</v>
      </c>
      <c r="AA189" s="430">
        <f>IF('Heat connections'!$M189=1,1,0)</f>
        <v>0</v>
      </c>
      <c r="AB189" s="430">
        <f>IF('Heat connections'!$M189=2,1,0)</f>
        <v>0</v>
      </c>
      <c r="AC189" s="434">
        <f>IF('Heat connections'!$M189=3,1,0)</f>
        <v>0</v>
      </c>
      <c r="AD189" s="46" t="str">
        <f>IF(AND(Heat_connections[[#This Row],[Connected to heat network]]="Yes",Heat_connections[[#This Row],[Ref]]&lt;&gt;"-"),"Yes","No")</f>
        <v>No</v>
      </c>
    </row>
    <row r="190" spans="3:30" ht="12.75" x14ac:dyDescent="0.2">
      <c r="C190" s="208" t="str" cm="1">
        <f t="array" ref="C190">IFERROR(_xlfn.XLOOKUP($C$3,Heat_connections_input[#Headers],Heat_connections_input[#This Row],0,0,),"-")</f>
        <v>-</v>
      </c>
      <c r="D190" s="323" t="str" cm="1">
        <f t="array" ref="D190">IFERROR(_xlfn.XLOOKUP($D$3,Heat_connections_input[#Headers],Heat_connections_input[#This Row],0,0,),"-")</f>
        <v>-</v>
      </c>
      <c r="E190" s="284" t="str" cm="1">
        <f t="array" ref="E190">IFERROR(_xlfn.XLOOKUP($E$3,Heat_connections_input[#Headers],Heat_connections_input[#This Row],0,0,),"-")</f>
        <v>-</v>
      </c>
      <c r="F190" s="259" cm="1">
        <f t="array" ref="F190">IFERROR(_xlfn.XLOOKUP($F$3,Heat_connections_input[#Headers],Heat_connections_input[#This Row],0,0,),0)</f>
        <v>0</v>
      </c>
      <c r="G190" s="259" cm="1">
        <f t="array" ref="G190">IFERROR(_xlfn.XLOOKUP($G$3,Heat_connections_input[#Headers],Heat_connections_input[#This Row],0,0,),0)</f>
        <v>0</v>
      </c>
      <c r="H190" s="341" cm="1">
        <f t="array" ref="H190">IFERROR(_xlfn.XLOOKUP($H$3,Heat_connections_input[#Headers],Heat_connections_input[#This Row],0,0,),0)</f>
        <v>0</v>
      </c>
      <c r="I190" s="326" t="str" cm="1">
        <f t="array" ref="I190">IFERROR(_xlfn.XLOOKUP($I$3,Heat_connections_input[#Headers],Heat_connections_input[#This Row],0,0,),"-")</f>
        <v>-</v>
      </c>
      <c r="J190" s="326" t="str" cm="1">
        <f t="array" ref="J190">IFERROR(_xlfn.XLOOKUP($J$3,Heat_connections_input[#Headers],Heat_connections_input[#This Row],0,0,1),"-")</f>
        <v>-</v>
      </c>
      <c r="K190" s="260"/>
      <c r="L190" s="261"/>
      <c r="M190" s="262"/>
      <c r="N190" s="263"/>
      <c r="O190" s="264" t="str">
        <f>IF(Heat_connections[[#This Row],[Ref]]&lt;&gt;"-",
IF(M190=1,Dashboard!$C$26,IF(M190=2,Dashboard!$C$27,Dashboard!$C$28)),"-")</f>
        <v>-</v>
      </c>
      <c r="P190" s="341">
        <f>IF(Heat_connections[[#This Row],[Category]]="Domestic",Heat_connections[[#This Row],[No. of connections]],0)</f>
        <v>0</v>
      </c>
      <c r="Q190" s="341">
        <f>IF(Heat_connections[[#This Row],[Category]]&lt;&gt;"Domestic",Heat_connections[[#This Row],[No. of connections]],0)</f>
        <v>0</v>
      </c>
      <c r="R190" s="209"/>
      <c r="S190" s="512">
        <f>IF(Heat_connections[[#This Row],[TOID]]&lt;&gt;"-",
IF(ISBLANK('Heat connections'!$R190),Dashboard!$C$14,'Heat connections'!$R190),0)</f>
        <v>0</v>
      </c>
      <c r="T190" s="513">
        <f>IF(Heat_connections[[#This Row],[Peak Demand, kW]]&lt;&gt;0,'Heat connections'!$G190*Dashboard!$C$21,0)</f>
        <v>0</v>
      </c>
      <c r="U190" s="514">
        <f>IF(Heat_connections[[#This Row],[Ref]]&lt;&gt;"-",48.436*Heat_connections[[#This Row],[Peak Demand, kW]]+1068.7,0)</f>
        <v>0</v>
      </c>
      <c r="V190" s="515">
        <f>IF(Heat_connections[[#This Row],[Ref]]&lt;&gt;"-",
_xlfn.XLOOKUP('Heat connections'!$G190,'Technical inputs'!$F$79:$F$94,'Technical inputs'!$I$79:$I$94,0,1,1),0)</f>
        <v>0</v>
      </c>
      <c r="W190" s="429">
        <f>IF('Heat connections'!$E190="Domestic",1,0)</f>
        <v>0</v>
      </c>
      <c r="X190" s="430">
        <f>IF(AND(Heat_connections[[#This Row],[Ref]]&lt;&gt;"-",'Heat connections'!$E190&lt;&gt;"Domestic"),1,0)</f>
        <v>0</v>
      </c>
      <c r="Y190" s="434">
        <v>136</v>
      </c>
      <c r="Z190" s="438">
        <f>IF(Heat_connections[[#This Row],[Existing/planned development]]&lt;&gt;0,1,0)</f>
        <v>0</v>
      </c>
      <c r="AA190" s="430">
        <f>IF('Heat connections'!$M190=1,1,0)</f>
        <v>0</v>
      </c>
      <c r="AB190" s="430">
        <f>IF('Heat connections'!$M190=2,1,0)</f>
        <v>0</v>
      </c>
      <c r="AC190" s="434">
        <f>IF('Heat connections'!$M190=3,1,0)</f>
        <v>0</v>
      </c>
      <c r="AD190" s="46" t="str">
        <f>IF(AND(Heat_connections[[#This Row],[Connected to heat network]]="Yes",Heat_connections[[#This Row],[Ref]]&lt;&gt;"-"),"Yes","No")</f>
        <v>No</v>
      </c>
    </row>
    <row r="191" spans="3:30" ht="12.75" x14ac:dyDescent="0.2">
      <c r="C191" s="208" t="str" cm="1">
        <f t="array" ref="C191">IFERROR(_xlfn.XLOOKUP($C$3,Heat_connections_input[#Headers],Heat_connections_input[#This Row],0,0,),"-")</f>
        <v>-</v>
      </c>
      <c r="D191" s="323" t="str" cm="1">
        <f t="array" ref="D191">IFERROR(_xlfn.XLOOKUP($D$3,Heat_connections_input[#Headers],Heat_connections_input[#This Row],0,0,),"-")</f>
        <v>-</v>
      </c>
      <c r="E191" s="284" t="str" cm="1">
        <f t="array" ref="E191">IFERROR(_xlfn.XLOOKUP($E$3,Heat_connections_input[#Headers],Heat_connections_input[#This Row],0,0,),"-")</f>
        <v>-</v>
      </c>
      <c r="F191" s="259" cm="1">
        <f t="array" ref="F191">IFERROR(_xlfn.XLOOKUP($F$3,Heat_connections_input[#Headers],Heat_connections_input[#This Row],0,0,),0)</f>
        <v>0</v>
      </c>
      <c r="G191" s="259" cm="1">
        <f t="array" ref="G191">IFERROR(_xlfn.XLOOKUP($G$3,Heat_connections_input[#Headers],Heat_connections_input[#This Row],0,0,),0)</f>
        <v>0</v>
      </c>
      <c r="H191" s="341" cm="1">
        <f t="array" ref="H191">IFERROR(_xlfn.XLOOKUP($H$3,Heat_connections_input[#Headers],Heat_connections_input[#This Row],0,0,),0)</f>
        <v>0</v>
      </c>
      <c r="I191" s="326" t="str" cm="1">
        <f t="array" ref="I191">IFERROR(_xlfn.XLOOKUP($I$3,Heat_connections_input[#Headers],Heat_connections_input[#This Row],0,0,),"-")</f>
        <v>-</v>
      </c>
      <c r="J191" s="326" t="str" cm="1">
        <f t="array" ref="J191">IFERROR(_xlfn.XLOOKUP($J$3,Heat_connections_input[#Headers],Heat_connections_input[#This Row],0,0,1),"-")</f>
        <v>-</v>
      </c>
      <c r="K191" s="260"/>
      <c r="L191" s="261"/>
      <c r="M191" s="262"/>
      <c r="N191" s="263"/>
      <c r="O191" s="264" t="str">
        <f>IF(Heat_connections[[#This Row],[Ref]]&lt;&gt;"-",
IF(M191=1,Dashboard!$C$26,IF(M191=2,Dashboard!$C$27,Dashboard!$C$28)),"-")</f>
        <v>-</v>
      </c>
      <c r="P191" s="341">
        <f>IF(Heat_connections[[#This Row],[Category]]="Domestic",Heat_connections[[#This Row],[No. of connections]],0)</f>
        <v>0</v>
      </c>
      <c r="Q191" s="341">
        <f>IF(Heat_connections[[#This Row],[Category]]&lt;&gt;"Domestic",Heat_connections[[#This Row],[No. of connections]],0)</f>
        <v>0</v>
      </c>
      <c r="R191" s="209"/>
      <c r="S191" s="512">
        <f>IF(Heat_connections[[#This Row],[TOID]]&lt;&gt;"-",
IF(ISBLANK('Heat connections'!$R191),Dashboard!$C$14,'Heat connections'!$R191),0)</f>
        <v>0</v>
      </c>
      <c r="T191" s="513">
        <f>IF(Heat_connections[[#This Row],[Peak Demand, kW]]&lt;&gt;0,'Heat connections'!$G191*Dashboard!$C$21,0)</f>
        <v>0</v>
      </c>
      <c r="U191" s="514">
        <f>IF(Heat_connections[[#This Row],[Ref]]&lt;&gt;"-",48.436*Heat_connections[[#This Row],[Peak Demand, kW]]+1068.7,0)</f>
        <v>0</v>
      </c>
      <c r="V191" s="515">
        <f>IF(Heat_connections[[#This Row],[Ref]]&lt;&gt;"-",
_xlfn.XLOOKUP('Heat connections'!$G191,'Technical inputs'!$F$79:$F$94,'Technical inputs'!$I$79:$I$94,0,1,1),0)</f>
        <v>0</v>
      </c>
      <c r="W191" s="429">
        <f>IF('Heat connections'!$E191="Domestic",1,0)</f>
        <v>0</v>
      </c>
      <c r="X191" s="430">
        <f>IF(AND(Heat_connections[[#This Row],[Ref]]&lt;&gt;"-",'Heat connections'!$E191&lt;&gt;"Domestic"),1,0)</f>
        <v>0</v>
      </c>
      <c r="Y191" s="434">
        <v>137</v>
      </c>
      <c r="Z191" s="438">
        <f>IF(Heat_connections[[#This Row],[Existing/planned development]]&lt;&gt;0,1,0)</f>
        <v>0</v>
      </c>
      <c r="AA191" s="430">
        <f>IF('Heat connections'!$M191=1,1,0)</f>
        <v>0</v>
      </c>
      <c r="AB191" s="430">
        <f>IF('Heat connections'!$M191=2,1,0)</f>
        <v>0</v>
      </c>
      <c r="AC191" s="434">
        <f>IF('Heat connections'!$M191=3,1,0)</f>
        <v>0</v>
      </c>
      <c r="AD191" s="46" t="str">
        <f>IF(AND(Heat_connections[[#This Row],[Connected to heat network]]="Yes",Heat_connections[[#This Row],[Ref]]&lt;&gt;"-"),"Yes","No")</f>
        <v>No</v>
      </c>
    </row>
    <row r="192" spans="3:30" ht="12.75" x14ac:dyDescent="0.2">
      <c r="C192" s="208" t="str" cm="1">
        <f t="array" ref="C192">IFERROR(_xlfn.XLOOKUP($C$3,Heat_connections_input[#Headers],Heat_connections_input[#This Row],0,0,),"-")</f>
        <v>-</v>
      </c>
      <c r="D192" s="323" t="str" cm="1">
        <f t="array" ref="D192">IFERROR(_xlfn.XLOOKUP($D$3,Heat_connections_input[#Headers],Heat_connections_input[#This Row],0,0,),"-")</f>
        <v>-</v>
      </c>
      <c r="E192" s="284" t="str" cm="1">
        <f t="array" ref="E192">IFERROR(_xlfn.XLOOKUP($E$3,Heat_connections_input[#Headers],Heat_connections_input[#This Row],0,0,),"-")</f>
        <v>-</v>
      </c>
      <c r="F192" s="259" cm="1">
        <f t="array" ref="F192">IFERROR(_xlfn.XLOOKUP($F$3,Heat_connections_input[#Headers],Heat_connections_input[#This Row],0,0,),0)</f>
        <v>0</v>
      </c>
      <c r="G192" s="259" cm="1">
        <f t="array" ref="G192">IFERROR(_xlfn.XLOOKUP($G$3,Heat_connections_input[#Headers],Heat_connections_input[#This Row],0,0,),0)</f>
        <v>0</v>
      </c>
      <c r="H192" s="341" cm="1">
        <f t="array" ref="H192">IFERROR(_xlfn.XLOOKUP($H$3,Heat_connections_input[#Headers],Heat_connections_input[#This Row],0,0,),0)</f>
        <v>0</v>
      </c>
      <c r="I192" s="326" t="str" cm="1">
        <f t="array" ref="I192">IFERROR(_xlfn.XLOOKUP($I$3,Heat_connections_input[#Headers],Heat_connections_input[#This Row],0,0,),"-")</f>
        <v>-</v>
      </c>
      <c r="J192" s="326" t="str" cm="1">
        <f t="array" ref="J192">IFERROR(_xlfn.XLOOKUP($J$3,Heat_connections_input[#Headers],Heat_connections_input[#This Row],0,0,1),"-")</f>
        <v>-</v>
      </c>
      <c r="K192" s="260"/>
      <c r="L192" s="261"/>
      <c r="M192" s="262"/>
      <c r="N192" s="263"/>
      <c r="O192" s="264" t="str">
        <f>IF(Heat_connections[[#This Row],[Ref]]&lt;&gt;"-",
IF(M192=1,Dashboard!$C$26,IF(M192=2,Dashboard!$C$27,Dashboard!$C$28)),"-")</f>
        <v>-</v>
      </c>
      <c r="P192" s="341">
        <f>IF(Heat_connections[[#This Row],[Category]]="Domestic",Heat_connections[[#This Row],[No. of connections]],0)</f>
        <v>0</v>
      </c>
      <c r="Q192" s="341">
        <f>IF(Heat_connections[[#This Row],[Category]]&lt;&gt;"Domestic",Heat_connections[[#This Row],[No. of connections]],0)</f>
        <v>0</v>
      </c>
      <c r="R192" s="209"/>
      <c r="S192" s="512">
        <f>IF(Heat_connections[[#This Row],[TOID]]&lt;&gt;"-",
IF(ISBLANK('Heat connections'!$R192),Dashboard!$C$14,'Heat connections'!$R192),0)</f>
        <v>0</v>
      </c>
      <c r="T192" s="513">
        <f>IF(Heat_connections[[#This Row],[Peak Demand, kW]]&lt;&gt;0,'Heat connections'!$G192*Dashboard!$C$21,0)</f>
        <v>0</v>
      </c>
      <c r="U192" s="514">
        <f>IF(Heat_connections[[#This Row],[Ref]]&lt;&gt;"-",48.436*Heat_connections[[#This Row],[Peak Demand, kW]]+1068.7,0)</f>
        <v>0</v>
      </c>
      <c r="V192" s="515">
        <f>IF(Heat_connections[[#This Row],[Ref]]&lt;&gt;"-",
_xlfn.XLOOKUP('Heat connections'!$G192,'Technical inputs'!$F$79:$F$94,'Technical inputs'!$I$79:$I$94,0,1,1),0)</f>
        <v>0</v>
      </c>
      <c r="W192" s="429">
        <f>IF('Heat connections'!$E192="Domestic",1,0)</f>
        <v>0</v>
      </c>
      <c r="X192" s="430">
        <f>IF(AND(Heat_connections[[#This Row],[Ref]]&lt;&gt;"-",'Heat connections'!$E192&lt;&gt;"Domestic"),1,0)</f>
        <v>0</v>
      </c>
      <c r="Y192" s="434">
        <v>138</v>
      </c>
      <c r="Z192" s="438">
        <f>IF(Heat_connections[[#This Row],[Existing/planned development]]&lt;&gt;0,1,0)</f>
        <v>0</v>
      </c>
      <c r="AA192" s="430">
        <f>IF('Heat connections'!$M192=1,1,0)</f>
        <v>0</v>
      </c>
      <c r="AB192" s="430">
        <f>IF('Heat connections'!$M192=2,1,0)</f>
        <v>0</v>
      </c>
      <c r="AC192" s="434">
        <f>IF('Heat connections'!$M192=3,1,0)</f>
        <v>0</v>
      </c>
      <c r="AD192" s="46" t="str">
        <f>IF(AND(Heat_connections[[#This Row],[Connected to heat network]]="Yes",Heat_connections[[#This Row],[Ref]]&lt;&gt;"-"),"Yes","No")</f>
        <v>No</v>
      </c>
    </row>
    <row r="193" spans="3:30" ht="12.75" x14ac:dyDescent="0.2">
      <c r="C193" s="208" t="str" cm="1">
        <f t="array" ref="C193">IFERROR(_xlfn.XLOOKUP($C$3,Heat_connections_input[#Headers],Heat_connections_input[#This Row],0,0,),"-")</f>
        <v>-</v>
      </c>
      <c r="D193" s="323" t="str" cm="1">
        <f t="array" ref="D193">IFERROR(_xlfn.XLOOKUP($D$3,Heat_connections_input[#Headers],Heat_connections_input[#This Row],0,0,),"-")</f>
        <v>-</v>
      </c>
      <c r="E193" s="284" t="str" cm="1">
        <f t="array" ref="E193">IFERROR(_xlfn.XLOOKUP($E$3,Heat_connections_input[#Headers],Heat_connections_input[#This Row],0,0,),"-")</f>
        <v>-</v>
      </c>
      <c r="F193" s="259" cm="1">
        <f t="array" ref="F193">IFERROR(_xlfn.XLOOKUP($F$3,Heat_connections_input[#Headers],Heat_connections_input[#This Row],0,0,),0)</f>
        <v>0</v>
      </c>
      <c r="G193" s="259" cm="1">
        <f t="array" ref="G193">IFERROR(_xlfn.XLOOKUP($G$3,Heat_connections_input[#Headers],Heat_connections_input[#This Row],0,0,),0)</f>
        <v>0</v>
      </c>
      <c r="H193" s="341" cm="1">
        <f t="array" ref="H193">IFERROR(_xlfn.XLOOKUP($H$3,Heat_connections_input[#Headers],Heat_connections_input[#This Row],0,0,),0)</f>
        <v>0</v>
      </c>
      <c r="I193" s="326" t="str" cm="1">
        <f t="array" ref="I193">IFERROR(_xlfn.XLOOKUP($I$3,Heat_connections_input[#Headers],Heat_connections_input[#This Row],0,0,),"-")</f>
        <v>-</v>
      </c>
      <c r="J193" s="326" t="str" cm="1">
        <f t="array" ref="J193">IFERROR(_xlfn.XLOOKUP($J$3,Heat_connections_input[#Headers],Heat_connections_input[#This Row],0,0,1),"-")</f>
        <v>-</v>
      </c>
      <c r="K193" s="260"/>
      <c r="L193" s="261"/>
      <c r="M193" s="262"/>
      <c r="N193" s="263"/>
      <c r="O193" s="264" t="str">
        <f>IF(Heat_connections[[#This Row],[Ref]]&lt;&gt;"-",
IF(M193=1,Dashboard!$C$26,IF(M193=2,Dashboard!$C$27,Dashboard!$C$28)),"-")</f>
        <v>-</v>
      </c>
      <c r="P193" s="341">
        <f>IF(Heat_connections[[#This Row],[Category]]="Domestic",Heat_connections[[#This Row],[No. of connections]],0)</f>
        <v>0</v>
      </c>
      <c r="Q193" s="341">
        <f>IF(Heat_connections[[#This Row],[Category]]&lt;&gt;"Domestic",Heat_connections[[#This Row],[No. of connections]],0)</f>
        <v>0</v>
      </c>
      <c r="R193" s="209"/>
      <c r="S193" s="512">
        <f>IF(Heat_connections[[#This Row],[TOID]]&lt;&gt;"-",
IF(ISBLANK('Heat connections'!$R193),Dashboard!$C$14,'Heat connections'!$R193),0)</f>
        <v>0</v>
      </c>
      <c r="T193" s="513">
        <f>IF(Heat_connections[[#This Row],[Peak Demand, kW]]&lt;&gt;0,'Heat connections'!$G193*Dashboard!$C$21,0)</f>
        <v>0</v>
      </c>
      <c r="U193" s="514">
        <f>IF(Heat_connections[[#This Row],[Ref]]&lt;&gt;"-",48.436*Heat_connections[[#This Row],[Peak Demand, kW]]+1068.7,0)</f>
        <v>0</v>
      </c>
      <c r="V193" s="515">
        <f>IF(Heat_connections[[#This Row],[Ref]]&lt;&gt;"-",
_xlfn.XLOOKUP('Heat connections'!$G193,'Technical inputs'!$F$79:$F$94,'Technical inputs'!$I$79:$I$94,0,1,1),0)</f>
        <v>0</v>
      </c>
      <c r="W193" s="429">
        <f>IF('Heat connections'!$E193="Domestic",1,0)</f>
        <v>0</v>
      </c>
      <c r="X193" s="430">
        <f>IF(AND(Heat_connections[[#This Row],[Ref]]&lt;&gt;"-",'Heat connections'!$E193&lt;&gt;"Domestic"),1,0)</f>
        <v>0</v>
      </c>
      <c r="Y193" s="434">
        <v>139</v>
      </c>
      <c r="Z193" s="438">
        <f>IF(Heat_connections[[#This Row],[Existing/planned development]]&lt;&gt;0,1,0)</f>
        <v>0</v>
      </c>
      <c r="AA193" s="430">
        <f>IF('Heat connections'!$M193=1,1,0)</f>
        <v>0</v>
      </c>
      <c r="AB193" s="430">
        <f>IF('Heat connections'!$M193=2,1,0)</f>
        <v>0</v>
      </c>
      <c r="AC193" s="434">
        <f>IF('Heat connections'!$M193=3,1,0)</f>
        <v>0</v>
      </c>
      <c r="AD193" s="46" t="str">
        <f>IF(AND(Heat_connections[[#This Row],[Connected to heat network]]="Yes",Heat_connections[[#This Row],[Ref]]&lt;&gt;"-"),"Yes","No")</f>
        <v>No</v>
      </c>
    </row>
    <row r="194" spans="3:30" ht="12.75" x14ac:dyDescent="0.2">
      <c r="C194" s="208" t="str" cm="1">
        <f t="array" ref="C194">IFERROR(_xlfn.XLOOKUP($C$3,Heat_connections_input[#Headers],Heat_connections_input[#This Row],0,0,),"-")</f>
        <v>-</v>
      </c>
      <c r="D194" s="323" t="str" cm="1">
        <f t="array" ref="D194">IFERROR(_xlfn.XLOOKUP($D$3,Heat_connections_input[#Headers],Heat_connections_input[#This Row],0,0,),"-")</f>
        <v>-</v>
      </c>
      <c r="E194" s="284" t="str" cm="1">
        <f t="array" ref="E194">IFERROR(_xlfn.XLOOKUP($E$3,Heat_connections_input[#Headers],Heat_connections_input[#This Row],0,0,),"-")</f>
        <v>-</v>
      </c>
      <c r="F194" s="259" cm="1">
        <f t="array" ref="F194">IFERROR(_xlfn.XLOOKUP($F$3,Heat_connections_input[#Headers],Heat_connections_input[#This Row],0,0,),0)</f>
        <v>0</v>
      </c>
      <c r="G194" s="259" cm="1">
        <f t="array" ref="G194">IFERROR(_xlfn.XLOOKUP($G$3,Heat_connections_input[#Headers],Heat_connections_input[#This Row],0,0,),0)</f>
        <v>0</v>
      </c>
      <c r="H194" s="341" cm="1">
        <f t="array" ref="H194">IFERROR(_xlfn.XLOOKUP($H$3,Heat_connections_input[#Headers],Heat_connections_input[#This Row],0,0,),0)</f>
        <v>0</v>
      </c>
      <c r="I194" s="326" t="str" cm="1">
        <f t="array" ref="I194">IFERROR(_xlfn.XLOOKUP($I$3,Heat_connections_input[#Headers],Heat_connections_input[#This Row],0,0,),"-")</f>
        <v>-</v>
      </c>
      <c r="J194" s="326" t="str" cm="1">
        <f t="array" ref="J194">IFERROR(_xlfn.XLOOKUP($J$3,Heat_connections_input[#Headers],Heat_connections_input[#This Row],0,0,1),"-")</f>
        <v>-</v>
      </c>
      <c r="K194" s="260"/>
      <c r="L194" s="261"/>
      <c r="M194" s="262"/>
      <c r="N194" s="263"/>
      <c r="O194" s="264" t="str">
        <f>IF(Heat_connections[[#This Row],[Ref]]&lt;&gt;"-",
IF(M194=1,Dashboard!$C$26,IF(M194=2,Dashboard!$C$27,Dashboard!$C$28)),"-")</f>
        <v>-</v>
      </c>
      <c r="P194" s="341">
        <f>IF(Heat_connections[[#This Row],[Category]]="Domestic",Heat_connections[[#This Row],[No. of connections]],0)</f>
        <v>0</v>
      </c>
      <c r="Q194" s="341">
        <f>IF(Heat_connections[[#This Row],[Category]]&lt;&gt;"Domestic",Heat_connections[[#This Row],[No. of connections]],0)</f>
        <v>0</v>
      </c>
      <c r="R194" s="209"/>
      <c r="S194" s="512">
        <f>IF(Heat_connections[[#This Row],[TOID]]&lt;&gt;"-",
IF(ISBLANK('Heat connections'!$R194),Dashboard!$C$14,'Heat connections'!$R194),0)</f>
        <v>0</v>
      </c>
      <c r="T194" s="513">
        <f>IF(Heat_connections[[#This Row],[Peak Demand, kW]]&lt;&gt;0,'Heat connections'!$G194*Dashboard!$C$21,0)</f>
        <v>0</v>
      </c>
      <c r="U194" s="514">
        <f>IF(Heat_connections[[#This Row],[Ref]]&lt;&gt;"-",48.436*Heat_connections[[#This Row],[Peak Demand, kW]]+1068.7,0)</f>
        <v>0</v>
      </c>
      <c r="V194" s="515">
        <f>IF(Heat_connections[[#This Row],[Ref]]&lt;&gt;"-",
_xlfn.XLOOKUP('Heat connections'!$G194,'Technical inputs'!$F$79:$F$94,'Technical inputs'!$I$79:$I$94,0,1,1),0)</f>
        <v>0</v>
      </c>
      <c r="W194" s="429">
        <f>IF('Heat connections'!$E194="Domestic",1,0)</f>
        <v>0</v>
      </c>
      <c r="X194" s="430">
        <f>IF(AND(Heat_connections[[#This Row],[Ref]]&lt;&gt;"-",'Heat connections'!$E194&lt;&gt;"Domestic"),1,0)</f>
        <v>0</v>
      </c>
      <c r="Y194" s="434">
        <v>140</v>
      </c>
      <c r="Z194" s="438">
        <f>IF(Heat_connections[[#This Row],[Existing/planned development]]&lt;&gt;0,1,0)</f>
        <v>0</v>
      </c>
      <c r="AA194" s="430">
        <f>IF('Heat connections'!$M194=1,1,0)</f>
        <v>0</v>
      </c>
      <c r="AB194" s="430">
        <f>IF('Heat connections'!$M194=2,1,0)</f>
        <v>0</v>
      </c>
      <c r="AC194" s="434">
        <f>IF('Heat connections'!$M194=3,1,0)</f>
        <v>0</v>
      </c>
      <c r="AD194" s="46" t="str">
        <f>IF(AND(Heat_connections[[#This Row],[Connected to heat network]]="Yes",Heat_connections[[#This Row],[Ref]]&lt;&gt;"-"),"Yes","No")</f>
        <v>No</v>
      </c>
    </row>
    <row r="195" spans="3:30" ht="12.75" x14ac:dyDescent="0.2">
      <c r="C195" s="208" t="str" cm="1">
        <f t="array" ref="C195">IFERROR(_xlfn.XLOOKUP($C$3,Heat_connections_input[#Headers],Heat_connections_input[#This Row],0,0,),"-")</f>
        <v>-</v>
      </c>
      <c r="D195" s="323" t="str" cm="1">
        <f t="array" ref="D195">IFERROR(_xlfn.XLOOKUP($D$3,Heat_connections_input[#Headers],Heat_connections_input[#This Row],0,0,),"-")</f>
        <v>-</v>
      </c>
      <c r="E195" s="284" t="str" cm="1">
        <f t="array" ref="E195">IFERROR(_xlfn.XLOOKUP($E$3,Heat_connections_input[#Headers],Heat_connections_input[#This Row],0,0,),"-")</f>
        <v>-</v>
      </c>
      <c r="F195" s="259" cm="1">
        <f t="array" ref="F195">IFERROR(_xlfn.XLOOKUP($F$3,Heat_connections_input[#Headers],Heat_connections_input[#This Row],0,0,),0)</f>
        <v>0</v>
      </c>
      <c r="G195" s="259" cm="1">
        <f t="array" ref="G195">IFERROR(_xlfn.XLOOKUP($G$3,Heat_connections_input[#Headers],Heat_connections_input[#This Row],0,0,),0)</f>
        <v>0</v>
      </c>
      <c r="H195" s="341" cm="1">
        <f t="array" ref="H195">IFERROR(_xlfn.XLOOKUP($H$3,Heat_connections_input[#Headers],Heat_connections_input[#This Row],0,0,),0)</f>
        <v>0</v>
      </c>
      <c r="I195" s="326" t="str" cm="1">
        <f t="array" ref="I195">IFERROR(_xlfn.XLOOKUP($I$3,Heat_connections_input[#Headers],Heat_connections_input[#This Row],0,0,),"-")</f>
        <v>-</v>
      </c>
      <c r="J195" s="326" t="str" cm="1">
        <f t="array" ref="J195">IFERROR(_xlfn.XLOOKUP($J$3,Heat_connections_input[#Headers],Heat_connections_input[#This Row],0,0,1),"-")</f>
        <v>-</v>
      </c>
      <c r="K195" s="260"/>
      <c r="L195" s="261"/>
      <c r="M195" s="262"/>
      <c r="N195" s="263"/>
      <c r="O195" s="264" t="str">
        <f>IF(Heat_connections[[#This Row],[Ref]]&lt;&gt;"-",
IF(M195=1,Dashboard!$C$26,IF(M195=2,Dashboard!$C$27,Dashboard!$C$28)),"-")</f>
        <v>-</v>
      </c>
      <c r="P195" s="341">
        <f>IF(Heat_connections[[#This Row],[Category]]="Domestic",Heat_connections[[#This Row],[No. of connections]],0)</f>
        <v>0</v>
      </c>
      <c r="Q195" s="341">
        <f>IF(Heat_connections[[#This Row],[Category]]&lt;&gt;"Domestic",Heat_connections[[#This Row],[No. of connections]],0)</f>
        <v>0</v>
      </c>
      <c r="R195" s="209"/>
      <c r="S195" s="512">
        <f>IF(Heat_connections[[#This Row],[TOID]]&lt;&gt;"-",
IF(ISBLANK('Heat connections'!$R195),Dashboard!$C$14,'Heat connections'!$R195),0)</f>
        <v>0</v>
      </c>
      <c r="T195" s="513">
        <f>IF(Heat_connections[[#This Row],[Peak Demand, kW]]&lt;&gt;0,'Heat connections'!$G195*Dashboard!$C$21,0)</f>
        <v>0</v>
      </c>
      <c r="U195" s="514">
        <f>IF(Heat_connections[[#This Row],[Ref]]&lt;&gt;"-",48.436*Heat_connections[[#This Row],[Peak Demand, kW]]+1068.7,0)</f>
        <v>0</v>
      </c>
      <c r="V195" s="515">
        <f>IF(Heat_connections[[#This Row],[Ref]]&lt;&gt;"-",
_xlfn.XLOOKUP('Heat connections'!$G195,'Technical inputs'!$F$79:$F$94,'Technical inputs'!$I$79:$I$94,0,1,1),0)</f>
        <v>0</v>
      </c>
      <c r="W195" s="429">
        <f>IF('Heat connections'!$E195="Domestic",1,0)</f>
        <v>0</v>
      </c>
      <c r="X195" s="430">
        <f>IF(AND(Heat_connections[[#This Row],[Ref]]&lt;&gt;"-",'Heat connections'!$E195&lt;&gt;"Domestic"),1,0)</f>
        <v>0</v>
      </c>
      <c r="Y195" s="434">
        <v>141</v>
      </c>
      <c r="Z195" s="438">
        <f>IF(Heat_connections[[#This Row],[Existing/planned development]]&lt;&gt;0,1,0)</f>
        <v>0</v>
      </c>
      <c r="AA195" s="430">
        <f>IF('Heat connections'!$M195=1,1,0)</f>
        <v>0</v>
      </c>
      <c r="AB195" s="430">
        <f>IF('Heat connections'!$M195=2,1,0)</f>
        <v>0</v>
      </c>
      <c r="AC195" s="434">
        <f>IF('Heat connections'!$M195=3,1,0)</f>
        <v>0</v>
      </c>
      <c r="AD195" s="46" t="str">
        <f>IF(AND(Heat_connections[[#This Row],[Connected to heat network]]="Yes",Heat_connections[[#This Row],[Ref]]&lt;&gt;"-"),"Yes","No")</f>
        <v>No</v>
      </c>
    </row>
    <row r="196" spans="3:30" ht="12.75" x14ac:dyDescent="0.2">
      <c r="C196" s="208" t="str" cm="1">
        <f t="array" ref="C196">IFERROR(_xlfn.XLOOKUP($C$3,Heat_connections_input[#Headers],Heat_connections_input[#This Row],0,0,),"-")</f>
        <v>-</v>
      </c>
      <c r="D196" s="323" t="str" cm="1">
        <f t="array" ref="D196">IFERROR(_xlfn.XLOOKUP($D$3,Heat_connections_input[#Headers],Heat_connections_input[#This Row],0,0,),"-")</f>
        <v>-</v>
      </c>
      <c r="E196" s="284" t="str" cm="1">
        <f t="array" ref="E196">IFERROR(_xlfn.XLOOKUP($E$3,Heat_connections_input[#Headers],Heat_connections_input[#This Row],0,0,),"-")</f>
        <v>-</v>
      </c>
      <c r="F196" s="259" cm="1">
        <f t="array" ref="F196">IFERROR(_xlfn.XLOOKUP($F$3,Heat_connections_input[#Headers],Heat_connections_input[#This Row],0,0,),0)</f>
        <v>0</v>
      </c>
      <c r="G196" s="259" cm="1">
        <f t="array" ref="G196">IFERROR(_xlfn.XLOOKUP($G$3,Heat_connections_input[#Headers],Heat_connections_input[#This Row],0,0,),0)</f>
        <v>0</v>
      </c>
      <c r="H196" s="341" cm="1">
        <f t="array" ref="H196">IFERROR(_xlfn.XLOOKUP($H$3,Heat_connections_input[#Headers],Heat_connections_input[#This Row],0,0,),0)</f>
        <v>0</v>
      </c>
      <c r="I196" s="326" t="str" cm="1">
        <f t="array" ref="I196">IFERROR(_xlfn.XLOOKUP($I$3,Heat_connections_input[#Headers],Heat_connections_input[#This Row],0,0,),"-")</f>
        <v>-</v>
      </c>
      <c r="J196" s="326" t="str" cm="1">
        <f t="array" ref="J196">IFERROR(_xlfn.XLOOKUP($J$3,Heat_connections_input[#Headers],Heat_connections_input[#This Row],0,0,1),"-")</f>
        <v>-</v>
      </c>
      <c r="K196" s="260"/>
      <c r="L196" s="261"/>
      <c r="M196" s="262"/>
      <c r="N196" s="263"/>
      <c r="O196" s="264" t="str">
        <f>IF(Heat_connections[[#This Row],[Ref]]&lt;&gt;"-",
IF(M196=1,Dashboard!$C$26,IF(M196=2,Dashboard!$C$27,Dashboard!$C$28)),"-")</f>
        <v>-</v>
      </c>
      <c r="P196" s="341">
        <f>IF(Heat_connections[[#This Row],[Category]]="Domestic",Heat_connections[[#This Row],[No. of connections]],0)</f>
        <v>0</v>
      </c>
      <c r="Q196" s="341">
        <f>IF(Heat_connections[[#This Row],[Category]]&lt;&gt;"Domestic",Heat_connections[[#This Row],[No. of connections]],0)</f>
        <v>0</v>
      </c>
      <c r="R196" s="209"/>
      <c r="S196" s="512">
        <f>IF(Heat_connections[[#This Row],[TOID]]&lt;&gt;"-",
IF(ISBLANK('Heat connections'!$R196),Dashboard!$C$14,'Heat connections'!$R196),0)</f>
        <v>0</v>
      </c>
      <c r="T196" s="513">
        <f>IF(Heat_connections[[#This Row],[Peak Demand, kW]]&lt;&gt;0,'Heat connections'!$G196*Dashboard!$C$21,0)</f>
        <v>0</v>
      </c>
      <c r="U196" s="514">
        <f>IF(Heat_connections[[#This Row],[Ref]]&lt;&gt;"-",48.436*Heat_connections[[#This Row],[Peak Demand, kW]]+1068.7,0)</f>
        <v>0</v>
      </c>
      <c r="V196" s="515">
        <f>IF(Heat_connections[[#This Row],[Ref]]&lt;&gt;"-",
_xlfn.XLOOKUP('Heat connections'!$G196,'Technical inputs'!$F$79:$F$94,'Technical inputs'!$I$79:$I$94,0,1,1),0)</f>
        <v>0</v>
      </c>
      <c r="W196" s="429">
        <f>IF('Heat connections'!$E196="Domestic",1,0)</f>
        <v>0</v>
      </c>
      <c r="X196" s="430">
        <f>IF(AND(Heat_connections[[#This Row],[Ref]]&lt;&gt;"-",'Heat connections'!$E196&lt;&gt;"Domestic"),1,0)</f>
        <v>0</v>
      </c>
      <c r="Y196" s="434">
        <v>142</v>
      </c>
      <c r="Z196" s="438">
        <f>IF(Heat_connections[[#This Row],[Existing/planned development]]&lt;&gt;0,1,0)</f>
        <v>0</v>
      </c>
      <c r="AA196" s="430">
        <f>IF('Heat connections'!$M196=1,1,0)</f>
        <v>0</v>
      </c>
      <c r="AB196" s="430">
        <f>IF('Heat connections'!$M196=2,1,0)</f>
        <v>0</v>
      </c>
      <c r="AC196" s="434">
        <f>IF('Heat connections'!$M196=3,1,0)</f>
        <v>0</v>
      </c>
      <c r="AD196" s="46" t="str">
        <f>IF(AND(Heat_connections[[#This Row],[Connected to heat network]]="Yes",Heat_connections[[#This Row],[Ref]]&lt;&gt;"-"),"Yes","No")</f>
        <v>No</v>
      </c>
    </row>
    <row r="197" spans="3:30" ht="12.75" x14ac:dyDescent="0.2">
      <c r="C197" s="208" t="str" cm="1">
        <f t="array" ref="C197">IFERROR(_xlfn.XLOOKUP($C$3,Heat_connections_input[#Headers],Heat_connections_input[#This Row],0,0,),"-")</f>
        <v>-</v>
      </c>
      <c r="D197" s="323" t="str" cm="1">
        <f t="array" ref="D197">IFERROR(_xlfn.XLOOKUP($D$3,Heat_connections_input[#Headers],Heat_connections_input[#This Row],0,0,),"-")</f>
        <v>-</v>
      </c>
      <c r="E197" s="284" t="str" cm="1">
        <f t="array" ref="E197">IFERROR(_xlfn.XLOOKUP($E$3,Heat_connections_input[#Headers],Heat_connections_input[#This Row],0,0,),"-")</f>
        <v>-</v>
      </c>
      <c r="F197" s="259" cm="1">
        <f t="array" ref="F197">IFERROR(_xlfn.XLOOKUP($F$3,Heat_connections_input[#Headers],Heat_connections_input[#This Row],0,0,),0)</f>
        <v>0</v>
      </c>
      <c r="G197" s="259" cm="1">
        <f t="array" ref="G197">IFERROR(_xlfn.XLOOKUP($G$3,Heat_connections_input[#Headers],Heat_connections_input[#This Row],0,0,),0)</f>
        <v>0</v>
      </c>
      <c r="H197" s="341" cm="1">
        <f t="array" ref="H197">IFERROR(_xlfn.XLOOKUP($H$3,Heat_connections_input[#Headers],Heat_connections_input[#This Row],0,0,),0)</f>
        <v>0</v>
      </c>
      <c r="I197" s="326" t="str" cm="1">
        <f t="array" ref="I197">IFERROR(_xlfn.XLOOKUP($I$3,Heat_connections_input[#Headers],Heat_connections_input[#This Row],0,0,),"-")</f>
        <v>-</v>
      </c>
      <c r="J197" s="326" t="str" cm="1">
        <f t="array" ref="J197">IFERROR(_xlfn.XLOOKUP($J$3,Heat_connections_input[#Headers],Heat_connections_input[#This Row],0,0,1),"-")</f>
        <v>-</v>
      </c>
      <c r="K197" s="260"/>
      <c r="L197" s="261"/>
      <c r="M197" s="262"/>
      <c r="N197" s="263"/>
      <c r="O197" s="264" t="str">
        <f>IF(Heat_connections[[#This Row],[Ref]]&lt;&gt;"-",
IF(M197=1,Dashboard!$C$26,IF(M197=2,Dashboard!$C$27,Dashboard!$C$28)),"-")</f>
        <v>-</v>
      </c>
      <c r="P197" s="341">
        <f>IF(Heat_connections[[#This Row],[Category]]="Domestic",Heat_connections[[#This Row],[No. of connections]],0)</f>
        <v>0</v>
      </c>
      <c r="Q197" s="341">
        <f>IF(Heat_connections[[#This Row],[Category]]&lt;&gt;"Domestic",Heat_connections[[#This Row],[No. of connections]],0)</f>
        <v>0</v>
      </c>
      <c r="R197" s="209"/>
      <c r="S197" s="512">
        <f>IF(Heat_connections[[#This Row],[TOID]]&lt;&gt;"-",
IF(ISBLANK('Heat connections'!$R197),Dashboard!$C$14,'Heat connections'!$R197),0)</f>
        <v>0</v>
      </c>
      <c r="T197" s="513">
        <f>IF(Heat_connections[[#This Row],[Peak Demand, kW]]&lt;&gt;0,'Heat connections'!$G197*Dashboard!$C$21,0)</f>
        <v>0</v>
      </c>
      <c r="U197" s="514">
        <f>IF(Heat_connections[[#This Row],[Ref]]&lt;&gt;"-",48.436*Heat_connections[[#This Row],[Peak Demand, kW]]+1068.7,0)</f>
        <v>0</v>
      </c>
      <c r="V197" s="515">
        <f>IF(Heat_connections[[#This Row],[Ref]]&lt;&gt;"-",
_xlfn.XLOOKUP('Heat connections'!$G197,'Technical inputs'!$F$79:$F$94,'Technical inputs'!$I$79:$I$94,0,1,1),0)</f>
        <v>0</v>
      </c>
      <c r="W197" s="429">
        <f>IF('Heat connections'!$E197="Domestic",1,0)</f>
        <v>0</v>
      </c>
      <c r="X197" s="430">
        <f>IF(AND(Heat_connections[[#This Row],[Ref]]&lt;&gt;"-",'Heat connections'!$E197&lt;&gt;"Domestic"),1,0)</f>
        <v>0</v>
      </c>
      <c r="Y197" s="434">
        <v>143</v>
      </c>
      <c r="Z197" s="438">
        <f>IF(Heat_connections[[#This Row],[Existing/planned development]]&lt;&gt;0,1,0)</f>
        <v>0</v>
      </c>
      <c r="AA197" s="430">
        <f>IF('Heat connections'!$M197=1,1,0)</f>
        <v>0</v>
      </c>
      <c r="AB197" s="430">
        <f>IF('Heat connections'!$M197=2,1,0)</f>
        <v>0</v>
      </c>
      <c r="AC197" s="434">
        <f>IF('Heat connections'!$M197=3,1,0)</f>
        <v>0</v>
      </c>
      <c r="AD197" s="46" t="str">
        <f>IF(AND(Heat_connections[[#This Row],[Connected to heat network]]="Yes",Heat_connections[[#This Row],[Ref]]&lt;&gt;"-"),"Yes","No")</f>
        <v>No</v>
      </c>
    </row>
    <row r="198" spans="3:30" ht="12.75" x14ac:dyDescent="0.2">
      <c r="C198" s="208" t="str" cm="1">
        <f t="array" ref="C198">IFERROR(_xlfn.XLOOKUP($C$3,Heat_connections_input[#Headers],Heat_connections_input[#This Row],0,0,),"-")</f>
        <v>-</v>
      </c>
      <c r="D198" s="323" t="str" cm="1">
        <f t="array" ref="D198">IFERROR(_xlfn.XLOOKUP($D$3,Heat_connections_input[#Headers],Heat_connections_input[#This Row],0,0,),"-")</f>
        <v>-</v>
      </c>
      <c r="E198" s="284" t="str" cm="1">
        <f t="array" ref="E198">IFERROR(_xlfn.XLOOKUP($E$3,Heat_connections_input[#Headers],Heat_connections_input[#This Row],0,0,),"-")</f>
        <v>-</v>
      </c>
      <c r="F198" s="259" cm="1">
        <f t="array" ref="F198">IFERROR(_xlfn.XLOOKUP($F$3,Heat_connections_input[#Headers],Heat_connections_input[#This Row],0,0,),0)</f>
        <v>0</v>
      </c>
      <c r="G198" s="259" cm="1">
        <f t="array" ref="G198">IFERROR(_xlfn.XLOOKUP($G$3,Heat_connections_input[#Headers],Heat_connections_input[#This Row],0,0,),0)</f>
        <v>0</v>
      </c>
      <c r="H198" s="341" cm="1">
        <f t="array" ref="H198">IFERROR(_xlfn.XLOOKUP($H$3,Heat_connections_input[#Headers],Heat_connections_input[#This Row],0,0,),0)</f>
        <v>0</v>
      </c>
      <c r="I198" s="326" t="str" cm="1">
        <f t="array" ref="I198">IFERROR(_xlfn.XLOOKUP($I$3,Heat_connections_input[#Headers],Heat_connections_input[#This Row],0,0,),"-")</f>
        <v>-</v>
      </c>
      <c r="J198" s="326" t="str" cm="1">
        <f t="array" ref="J198">IFERROR(_xlfn.XLOOKUP($J$3,Heat_connections_input[#Headers],Heat_connections_input[#This Row],0,0,1),"-")</f>
        <v>-</v>
      </c>
      <c r="K198" s="260"/>
      <c r="L198" s="261"/>
      <c r="M198" s="262"/>
      <c r="N198" s="263"/>
      <c r="O198" s="264" t="str">
        <f>IF(Heat_connections[[#This Row],[Ref]]&lt;&gt;"-",
IF(M198=1,Dashboard!$C$26,IF(M198=2,Dashboard!$C$27,Dashboard!$C$28)),"-")</f>
        <v>-</v>
      </c>
      <c r="P198" s="341">
        <f>IF(Heat_connections[[#This Row],[Category]]="Domestic",Heat_connections[[#This Row],[No. of connections]],0)</f>
        <v>0</v>
      </c>
      <c r="Q198" s="341">
        <f>IF(Heat_connections[[#This Row],[Category]]&lt;&gt;"Domestic",Heat_connections[[#This Row],[No. of connections]],0)</f>
        <v>0</v>
      </c>
      <c r="R198" s="209"/>
      <c r="S198" s="512">
        <f>IF(Heat_connections[[#This Row],[TOID]]&lt;&gt;"-",
IF(ISBLANK('Heat connections'!$R198),Dashboard!$C$14,'Heat connections'!$R198),0)</f>
        <v>0</v>
      </c>
      <c r="T198" s="513">
        <f>IF(Heat_connections[[#This Row],[Peak Demand, kW]]&lt;&gt;0,'Heat connections'!$G198*Dashboard!$C$21,0)</f>
        <v>0</v>
      </c>
      <c r="U198" s="514">
        <f>IF(Heat_connections[[#This Row],[Ref]]&lt;&gt;"-",48.436*Heat_connections[[#This Row],[Peak Demand, kW]]+1068.7,0)</f>
        <v>0</v>
      </c>
      <c r="V198" s="515">
        <f>IF(Heat_connections[[#This Row],[Ref]]&lt;&gt;"-",
_xlfn.XLOOKUP('Heat connections'!$G198,'Technical inputs'!$F$79:$F$94,'Technical inputs'!$I$79:$I$94,0,1,1),0)</f>
        <v>0</v>
      </c>
      <c r="W198" s="429">
        <f>IF('Heat connections'!$E198="Domestic",1,0)</f>
        <v>0</v>
      </c>
      <c r="X198" s="430">
        <f>IF(AND(Heat_connections[[#This Row],[Ref]]&lt;&gt;"-",'Heat connections'!$E198&lt;&gt;"Domestic"),1,0)</f>
        <v>0</v>
      </c>
      <c r="Y198" s="434">
        <v>144</v>
      </c>
      <c r="Z198" s="438">
        <f>IF(Heat_connections[[#This Row],[Existing/planned development]]&lt;&gt;0,1,0)</f>
        <v>0</v>
      </c>
      <c r="AA198" s="430">
        <f>IF('Heat connections'!$M198=1,1,0)</f>
        <v>0</v>
      </c>
      <c r="AB198" s="430">
        <f>IF('Heat connections'!$M198=2,1,0)</f>
        <v>0</v>
      </c>
      <c r="AC198" s="434">
        <f>IF('Heat connections'!$M198=3,1,0)</f>
        <v>0</v>
      </c>
      <c r="AD198" s="46" t="str">
        <f>IF(AND(Heat_connections[[#This Row],[Connected to heat network]]="Yes",Heat_connections[[#This Row],[Ref]]&lt;&gt;"-"),"Yes","No")</f>
        <v>No</v>
      </c>
    </row>
    <row r="199" spans="3:30" ht="12.75" x14ac:dyDescent="0.2">
      <c r="C199" s="208" t="str" cm="1">
        <f t="array" ref="C199">IFERROR(_xlfn.XLOOKUP($C$3,Heat_connections_input[#Headers],Heat_connections_input[#This Row],0,0,),"-")</f>
        <v>-</v>
      </c>
      <c r="D199" s="323" t="str" cm="1">
        <f t="array" ref="D199">IFERROR(_xlfn.XLOOKUP($D$3,Heat_connections_input[#Headers],Heat_connections_input[#This Row],0,0,),"-")</f>
        <v>-</v>
      </c>
      <c r="E199" s="284" t="str" cm="1">
        <f t="array" ref="E199">IFERROR(_xlfn.XLOOKUP($E$3,Heat_connections_input[#Headers],Heat_connections_input[#This Row],0,0,),"-")</f>
        <v>-</v>
      </c>
      <c r="F199" s="259" cm="1">
        <f t="array" ref="F199">IFERROR(_xlfn.XLOOKUP($F$3,Heat_connections_input[#Headers],Heat_connections_input[#This Row],0,0,),0)</f>
        <v>0</v>
      </c>
      <c r="G199" s="259" cm="1">
        <f t="array" ref="G199">IFERROR(_xlfn.XLOOKUP($G$3,Heat_connections_input[#Headers],Heat_connections_input[#This Row],0,0,),0)</f>
        <v>0</v>
      </c>
      <c r="H199" s="341" cm="1">
        <f t="array" ref="H199">IFERROR(_xlfn.XLOOKUP($H$3,Heat_connections_input[#Headers],Heat_connections_input[#This Row],0,0,),0)</f>
        <v>0</v>
      </c>
      <c r="I199" s="326" t="str" cm="1">
        <f t="array" ref="I199">IFERROR(_xlfn.XLOOKUP($I$3,Heat_connections_input[#Headers],Heat_connections_input[#This Row],0,0,),"-")</f>
        <v>-</v>
      </c>
      <c r="J199" s="326" t="str" cm="1">
        <f t="array" ref="J199">IFERROR(_xlfn.XLOOKUP($J$3,Heat_connections_input[#Headers],Heat_connections_input[#This Row],0,0,1),"-")</f>
        <v>-</v>
      </c>
      <c r="K199" s="260"/>
      <c r="L199" s="261"/>
      <c r="M199" s="262"/>
      <c r="N199" s="263"/>
      <c r="O199" s="264" t="str">
        <f>IF(Heat_connections[[#This Row],[Ref]]&lt;&gt;"-",
IF(M199=1,Dashboard!$C$26,IF(M199=2,Dashboard!$C$27,Dashboard!$C$28)),"-")</f>
        <v>-</v>
      </c>
      <c r="P199" s="341">
        <f>IF(Heat_connections[[#This Row],[Category]]="Domestic",Heat_connections[[#This Row],[No. of connections]],0)</f>
        <v>0</v>
      </c>
      <c r="Q199" s="341">
        <f>IF(Heat_connections[[#This Row],[Category]]&lt;&gt;"Domestic",Heat_connections[[#This Row],[No. of connections]],0)</f>
        <v>0</v>
      </c>
      <c r="R199" s="209"/>
      <c r="S199" s="512">
        <f>IF(Heat_connections[[#This Row],[TOID]]&lt;&gt;"-",
IF(ISBLANK('Heat connections'!$R199),Dashboard!$C$14,'Heat connections'!$R199),0)</f>
        <v>0</v>
      </c>
      <c r="T199" s="513">
        <f>IF(Heat_connections[[#This Row],[Peak Demand, kW]]&lt;&gt;0,'Heat connections'!$G199*Dashboard!$C$21,0)</f>
        <v>0</v>
      </c>
      <c r="U199" s="514">
        <f>IF(Heat_connections[[#This Row],[Ref]]&lt;&gt;"-",48.436*Heat_connections[[#This Row],[Peak Demand, kW]]+1068.7,0)</f>
        <v>0</v>
      </c>
      <c r="V199" s="515">
        <f>IF(Heat_connections[[#This Row],[Ref]]&lt;&gt;"-",
_xlfn.XLOOKUP('Heat connections'!$G199,'Technical inputs'!$F$79:$F$94,'Technical inputs'!$I$79:$I$94,0,1,1),0)</f>
        <v>0</v>
      </c>
      <c r="W199" s="429">
        <f>IF('Heat connections'!$E199="Domestic",1,0)</f>
        <v>0</v>
      </c>
      <c r="X199" s="430">
        <f>IF(AND(Heat_connections[[#This Row],[Ref]]&lt;&gt;"-",'Heat connections'!$E199&lt;&gt;"Domestic"),1,0)</f>
        <v>0</v>
      </c>
      <c r="Y199" s="434">
        <v>145</v>
      </c>
      <c r="Z199" s="438">
        <f>IF(Heat_connections[[#This Row],[Existing/planned development]]&lt;&gt;0,1,0)</f>
        <v>0</v>
      </c>
      <c r="AA199" s="430">
        <f>IF('Heat connections'!$M199=1,1,0)</f>
        <v>0</v>
      </c>
      <c r="AB199" s="430">
        <f>IF('Heat connections'!$M199=2,1,0)</f>
        <v>0</v>
      </c>
      <c r="AC199" s="434">
        <f>IF('Heat connections'!$M199=3,1,0)</f>
        <v>0</v>
      </c>
      <c r="AD199" s="46" t="str">
        <f>IF(AND(Heat_connections[[#This Row],[Connected to heat network]]="Yes",Heat_connections[[#This Row],[Ref]]&lt;&gt;"-"),"Yes","No")</f>
        <v>No</v>
      </c>
    </row>
    <row r="200" spans="3:30" ht="12.75" x14ac:dyDescent="0.2">
      <c r="C200" s="208" t="str" cm="1">
        <f t="array" ref="C200">IFERROR(_xlfn.XLOOKUP($C$3,Heat_connections_input[#Headers],Heat_connections_input[#This Row],0,0,),"-")</f>
        <v>-</v>
      </c>
      <c r="D200" s="323" t="str" cm="1">
        <f t="array" ref="D200">IFERROR(_xlfn.XLOOKUP($D$3,Heat_connections_input[#Headers],Heat_connections_input[#This Row],0,0,),"-")</f>
        <v>-</v>
      </c>
      <c r="E200" s="284" t="str" cm="1">
        <f t="array" ref="E200">IFERROR(_xlfn.XLOOKUP($E$3,Heat_connections_input[#Headers],Heat_connections_input[#This Row],0,0,),"-")</f>
        <v>-</v>
      </c>
      <c r="F200" s="259" cm="1">
        <f t="array" ref="F200">IFERROR(_xlfn.XLOOKUP($F$3,Heat_connections_input[#Headers],Heat_connections_input[#This Row],0,0,),0)</f>
        <v>0</v>
      </c>
      <c r="G200" s="259" cm="1">
        <f t="array" ref="G200">IFERROR(_xlfn.XLOOKUP($G$3,Heat_connections_input[#Headers],Heat_connections_input[#This Row],0,0,),0)</f>
        <v>0</v>
      </c>
      <c r="H200" s="341" cm="1">
        <f t="array" ref="H200">IFERROR(_xlfn.XLOOKUP($H$3,Heat_connections_input[#Headers],Heat_connections_input[#This Row],0,0,),0)</f>
        <v>0</v>
      </c>
      <c r="I200" s="326" t="str" cm="1">
        <f t="array" ref="I200">IFERROR(_xlfn.XLOOKUP($I$3,Heat_connections_input[#Headers],Heat_connections_input[#This Row],0,0,),"-")</f>
        <v>-</v>
      </c>
      <c r="J200" s="326" t="str" cm="1">
        <f t="array" ref="J200">IFERROR(_xlfn.XLOOKUP($J$3,Heat_connections_input[#Headers],Heat_connections_input[#This Row],0,0,1),"-")</f>
        <v>-</v>
      </c>
      <c r="K200" s="260"/>
      <c r="L200" s="261"/>
      <c r="M200" s="262"/>
      <c r="N200" s="263"/>
      <c r="O200" s="264" t="str">
        <f>IF(Heat_connections[[#This Row],[Ref]]&lt;&gt;"-",
IF(M200=1,Dashboard!$C$26,IF(M200=2,Dashboard!$C$27,Dashboard!$C$28)),"-")</f>
        <v>-</v>
      </c>
      <c r="P200" s="341">
        <f>IF(Heat_connections[[#This Row],[Category]]="Domestic",Heat_connections[[#This Row],[No. of connections]],0)</f>
        <v>0</v>
      </c>
      <c r="Q200" s="341">
        <f>IF(Heat_connections[[#This Row],[Category]]&lt;&gt;"Domestic",Heat_connections[[#This Row],[No. of connections]],0)</f>
        <v>0</v>
      </c>
      <c r="R200" s="209"/>
      <c r="S200" s="512">
        <f>IF(Heat_connections[[#This Row],[TOID]]&lt;&gt;"-",
IF(ISBLANK('Heat connections'!$R200),Dashboard!$C$14,'Heat connections'!$R200),0)</f>
        <v>0</v>
      </c>
      <c r="T200" s="513">
        <f>IF(Heat_connections[[#This Row],[Peak Demand, kW]]&lt;&gt;0,'Heat connections'!$G200*Dashboard!$C$21,0)</f>
        <v>0</v>
      </c>
      <c r="U200" s="514">
        <f>IF(Heat_connections[[#This Row],[Ref]]&lt;&gt;"-",48.436*Heat_connections[[#This Row],[Peak Demand, kW]]+1068.7,0)</f>
        <v>0</v>
      </c>
      <c r="V200" s="515">
        <f>IF(Heat_connections[[#This Row],[Ref]]&lt;&gt;"-",
_xlfn.XLOOKUP('Heat connections'!$G200,'Technical inputs'!$F$79:$F$94,'Technical inputs'!$I$79:$I$94,0,1,1),0)</f>
        <v>0</v>
      </c>
      <c r="W200" s="429">
        <f>IF('Heat connections'!$E200="Domestic",1,0)</f>
        <v>0</v>
      </c>
      <c r="X200" s="430">
        <f>IF(AND(Heat_connections[[#This Row],[Ref]]&lt;&gt;"-",'Heat connections'!$E200&lt;&gt;"Domestic"),1,0)</f>
        <v>0</v>
      </c>
      <c r="Y200" s="434">
        <v>146</v>
      </c>
      <c r="Z200" s="438">
        <f>IF(Heat_connections[[#This Row],[Existing/planned development]]&lt;&gt;0,1,0)</f>
        <v>0</v>
      </c>
      <c r="AA200" s="430">
        <f>IF('Heat connections'!$M200=1,1,0)</f>
        <v>0</v>
      </c>
      <c r="AB200" s="430">
        <f>IF('Heat connections'!$M200=2,1,0)</f>
        <v>0</v>
      </c>
      <c r="AC200" s="434">
        <f>IF('Heat connections'!$M200=3,1,0)</f>
        <v>0</v>
      </c>
      <c r="AD200" s="46" t="str">
        <f>IF(AND(Heat_connections[[#This Row],[Connected to heat network]]="Yes",Heat_connections[[#This Row],[Ref]]&lt;&gt;"-"),"Yes","No")</f>
        <v>No</v>
      </c>
    </row>
    <row r="201" spans="3:30" ht="12.75" x14ac:dyDescent="0.2">
      <c r="C201" s="208" t="str" cm="1">
        <f t="array" ref="C201">IFERROR(_xlfn.XLOOKUP($C$3,Heat_connections_input[#Headers],Heat_connections_input[#This Row],0,0,),"-")</f>
        <v>-</v>
      </c>
      <c r="D201" s="323" t="str" cm="1">
        <f t="array" ref="D201">IFERROR(_xlfn.XLOOKUP($D$3,Heat_connections_input[#Headers],Heat_connections_input[#This Row],0,0,),"-")</f>
        <v>-</v>
      </c>
      <c r="E201" s="284" t="str" cm="1">
        <f t="array" ref="E201">IFERROR(_xlfn.XLOOKUP($E$3,Heat_connections_input[#Headers],Heat_connections_input[#This Row],0,0,),"-")</f>
        <v>-</v>
      </c>
      <c r="F201" s="259" cm="1">
        <f t="array" ref="F201">IFERROR(_xlfn.XLOOKUP($F$3,Heat_connections_input[#Headers],Heat_connections_input[#This Row],0,0,),0)</f>
        <v>0</v>
      </c>
      <c r="G201" s="259" cm="1">
        <f t="array" ref="G201">IFERROR(_xlfn.XLOOKUP($G$3,Heat_connections_input[#Headers],Heat_connections_input[#This Row],0,0,),0)</f>
        <v>0</v>
      </c>
      <c r="H201" s="341" cm="1">
        <f t="array" ref="H201">IFERROR(_xlfn.XLOOKUP($H$3,Heat_connections_input[#Headers],Heat_connections_input[#This Row],0,0,),0)</f>
        <v>0</v>
      </c>
      <c r="I201" s="326" t="str" cm="1">
        <f t="array" ref="I201">IFERROR(_xlfn.XLOOKUP($I$3,Heat_connections_input[#Headers],Heat_connections_input[#This Row],0,0,),"-")</f>
        <v>-</v>
      </c>
      <c r="J201" s="326" t="str" cm="1">
        <f t="array" ref="J201">IFERROR(_xlfn.XLOOKUP($J$3,Heat_connections_input[#Headers],Heat_connections_input[#This Row],0,0,1),"-")</f>
        <v>-</v>
      </c>
      <c r="K201" s="260"/>
      <c r="L201" s="261"/>
      <c r="M201" s="262"/>
      <c r="N201" s="263"/>
      <c r="O201" s="264" t="str">
        <f>IF(Heat_connections[[#This Row],[Ref]]&lt;&gt;"-",
IF(M201=1,Dashboard!$C$26,IF(M201=2,Dashboard!$C$27,Dashboard!$C$28)),"-")</f>
        <v>-</v>
      </c>
      <c r="P201" s="341">
        <f>IF(Heat_connections[[#This Row],[Category]]="Domestic",Heat_connections[[#This Row],[No. of connections]],0)</f>
        <v>0</v>
      </c>
      <c r="Q201" s="341">
        <f>IF(Heat_connections[[#This Row],[Category]]&lt;&gt;"Domestic",Heat_connections[[#This Row],[No. of connections]],0)</f>
        <v>0</v>
      </c>
      <c r="R201" s="209"/>
      <c r="S201" s="512">
        <f>IF(Heat_connections[[#This Row],[TOID]]&lt;&gt;"-",
IF(ISBLANK('Heat connections'!$R201),Dashboard!$C$14,'Heat connections'!$R201),0)</f>
        <v>0</v>
      </c>
      <c r="T201" s="513">
        <f>IF(Heat_connections[[#This Row],[Peak Demand, kW]]&lt;&gt;0,'Heat connections'!$G201*Dashboard!$C$21,0)</f>
        <v>0</v>
      </c>
      <c r="U201" s="514">
        <f>IF(Heat_connections[[#This Row],[Ref]]&lt;&gt;"-",48.436*Heat_connections[[#This Row],[Peak Demand, kW]]+1068.7,0)</f>
        <v>0</v>
      </c>
      <c r="V201" s="515">
        <f>IF(Heat_connections[[#This Row],[Ref]]&lt;&gt;"-",
_xlfn.XLOOKUP('Heat connections'!$G201,'Technical inputs'!$F$79:$F$94,'Technical inputs'!$I$79:$I$94,0,1,1),0)</f>
        <v>0</v>
      </c>
      <c r="W201" s="429">
        <f>IF('Heat connections'!$E201="Domestic",1,0)</f>
        <v>0</v>
      </c>
      <c r="X201" s="430">
        <f>IF(AND(Heat_connections[[#This Row],[Ref]]&lt;&gt;"-",'Heat connections'!$E201&lt;&gt;"Domestic"),1,0)</f>
        <v>0</v>
      </c>
      <c r="Y201" s="434">
        <v>147</v>
      </c>
      <c r="Z201" s="438">
        <f>IF(Heat_connections[[#This Row],[Existing/planned development]]&lt;&gt;0,1,0)</f>
        <v>0</v>
      </c>
      <c r="AA201" s="430">
        <f>IF('Heat connections'!$M201=1,1,0)</f>
        <v>0</v>
      </c>
      <c r="AB201" s="430">
        <f>IF('Heat connections'!$M201=2,1,0)</f>
        <v>0</v>
      </c>
      <c r="AC201" s="434">
        <f>IF('Heat connections'!$M201=3,1,0)</f>
        <v>0</v>
      </c>
      <c r="AD201" s="46" t="str">
        <f>IF(AND(Heat_connections[[#This Row],[Connected to heat network]]="Yes",Heat_connections[[#This Row],[Ref]]&lt;&gt;"-"),"Yes","No")</f>
        <v>No</v>
      </c>
    </row>
    <row r="202" spans="3:30" ht="12.75" x14ac:dyDescent="0.2">
      <c r="C202" s="208" t="str" cm="1">
        <f t="array" ref="C202">IFERROR(_xlfn.XLOOKUP($C$3,Heat_connections_input[#Headers],Heat_connections_input[#This Row],0,0,),"-")</f>
        <v>-</v>
      </c>
      <c r="D202" s="323" t="str" cm="1">
        <f t="array" ref="D202">IFERROR(_xlfn.XLOOKUP($D$3,Heat_connections_input[#Headers],Heat_connections_input[#This Row],0,0,),"-")</f>
        <v>-</v>
      </c>
      <c r="E202" s="284" t="str" cm="1">
        <f t="array" ref="E202">IFERROR(_xlfn.XLOOKUP($E$3,Heat_connections_input[#Headers],Heat_connections_input[#This Row],0,0,),"-")</f>
        <v>-</v>
      </c>
      <c r="F202" s="259" cm="1">
        <f t="array" ref="F202">IFERROR(_xlfn.XLOOKUP($F$3,Heat_connections_input[#Headers],Heat_connections_input[#This Row],0,0,),0)</f>
        <v>0</v>
      </c>
      <c r="G202" s="259" cm="1">
        <f t="array" ref="G202">IFERROR(_xlfn.XLOOKUP($G$3,Heat_connections_input[#Headers],Heat_connections_input[#This Row],0,0,),0)</f>
        <v>0</v>
      </c>
      <c r="H202" s="341" cm="1">
        <f t="array" ref="H202">IFERROR(_xlfn.XLOOKUP($H$3,Heat_connections_input[#Headers],Heat_connections_input[#This Row],0,0,),0)</f>
        <v>0</v>
      </c>
      <c r="I202" s="326" t="str" cm="1">
        <f t="array" ref="I202">IFERROR(_xlfn.XLOOKUP($I$3,Heat_connections_input[#Headers],Heat_connections_input[#This Row],0,0,),"-")</f>
        <v>-</v>
      </c>
      <c r="J202" s="326" t="str" cm="1">
        <f t="array" ref="J202">IFERROR(_xlfn.XLOOKUP($J$3,Heat_connections_input[#Headers],Heat_connections_input[#This Row],0,0,1),"-")</f>
        <v>-</v>
      </c>
      <c r="K202" s="260"/>
      <c r="L202" s="261"/>
      <c r="M202" s="262"/>
      <c r="N202" s="263"/>
      <c r="O202" s="264" t="str">
        <f>IF(Heat_connections[[#This Row],[Ref]]&lt;&gt;"-",
IF(M202=1,Dashboard!$C$26,IF(M202=2,Dashboard!$C$27,Dashboard!$C$28)),"-")</f>
        <v>-</v>
      </c>
      <c r="P202" s="341">
        <f>IF(Heat_connections[[#This Row],[Category]]="Domestic",Heat_connections[[#This Row],[No. of connections]],0)</f>
        <v>0</v>
      </c>
      <c r="Q202" s="341">
        <f>IF(Heat_connections[[#This Row],[Category]]&lt;&gt;"Domestic",Heat_connections[[#This Row],[No. of connections]],0)</f>
        <v>0</v>
      </c>
      <c r="R202" s="209"/>
      <c r="S202" s="512">
        <f>IF(Heat_connections[[#This Row],[TOID]]&lt;&gt;"-",
IF(ISBLANK('Heat connections'!$R202),Dashboard!$C$14,'Heat connections'!$R202),0)</f>
        <v>0</v>
      </c>
      <c r="T202" s="513">
        <f>IF(Heat_connections[[#This Row],[Peak Demand, kW]]&lt;&gt;0,'Heat connections'!$G202*Dashboard!$C$21,0)</f>
        <v>0</v>
      </c>
      <c r="U202" s="514">
        <f>IF(Heat_connections[[#This Row],[Ref]]&lt;&gt;"-",48.436*Heat_connections[[#This Row],[Peak Demand, kW]]+1068.7,0)</f>
        <v>0</v>
      </c>
      <c r="V202" s="515">
        <f>IF(Heat_connections[[#This Row],[Ref]]&lt;&gt;"-",
_xlfn.XLOOKUP('Heat connections'!$G202,'Technical inputs'!$F$79:$F$94,'Technical inputs'!$I$79:$I$94,0,1,1),0)</f>
        <v>0</v>
      </c>
      <c r="W202" s="429">
        <f>IF('Heat connections'!$E202="Domestic",1,0)</f>
        <v>0</v>
      </c>
      <c r="X202" s="430">
        <f>IF(AND(Heat_connections[[#This Row],[Ref]]&lt;&gt;"-",'Heat connections'!$E202&lt;&gt;"Domestic"),1,0)</f>
        <v>0</v>
      </c>
      <c r="Y202" s="434">
        <v>148</v>
      </c>
      <c r="Z202" s="438">
        <f>IF(Heat_connections[[#This Row],[Existing/planned development]]&lt;&gt;0,1,0)</f>
        <v>0</v>
      </c>
      <c r="AA202" s="430">
        <f>IF('Heat connections'!$M202=1,1,0)</f>
        <v>0</v>
      </c>
      <c r="AB202" s="430">
        <f>IF('Heat connections'!$M202=2,1,0)</f>
        <v>0</v>
      </c>
      <c r="AC202" s="434">
        <f>IF('Heat connections'!$M202=3,1,0)</f>
        <v>0</v>
      </c>
      <c r="AD202" s="46" t="str">
        <f>IF(AND(Heat_connections[[#This Row],[Connected to heat network]]="Yes",Heat_connections[[#This Row],[Ref]]&lt;&gt;"-"),"Yes","No")</f>
        <v>No</v>
      </c>
    </row>
    <row r="203" spans="3:30" ht="12.75" x14ac:dyDescent="0.2">
      <c r="C203" s="208" t="str" cm="1">
        <f t="array" ref="C203">IFERROR(_xlfn.XLOOKUP($C$3,Heat_connections_input[#Headers],Heat_connections_input[#This Row],0,0,),"-")</f>
        <v>-</v>
      </c>
      <c r="D203" s="323" t="str" cm="1">
        <f t="array" ref="D203">IFERROR(_xlfn.XLOOKUP($D$3,Heat_connections_input[#Headers],Heat_connections_input[#This Row],0,0,),"-")</f>
        <v>-</v>
      </c>
      <c r="E203" s="284" t="str" cm="1">
        <f t="array" ref="E203">IFERROR(_xlfn.XLOOKUP($E$3,Heat_connections_input[#Headers],Heat_connections_input[#This Row],0,0,),"-")</f>
        <v>-</v>
      </c>
      <c r="F203" s="259" cm="1">
        <f t="array" ref="F203">IFERROR(_xlfn.XLOOKUP($F$3,Heat_connections_input[#Headers],Heat_connections_input[#This Row],0,0,),0)</f>
        <v>0</v>
      </c>
      <c r="G203" s="259" cm="1">
        <f t="array" ref="G203">IFERROR(_xlfn.XLOOKUP($G$3,Heat_connections_input[#Headers],Heat_connections_input[#This Row],0,0,),0)</f>
        <v>0</v>
      </c>
      <c r="H203" s="341" cm="1">
        <f t="array" ref="H203">IFERROR(_xlfn.XLOOKUP($H$3,Heat_connections_input[#Headers],Heat_connections_input[#This Row],0,0,),0)</f>
        <v>0</v>
      </c>
      <c r="I203" s="326" t="str" cm="1">
        <f t="array" ref="I203">IFERROR(_xlfn.XLOOKUP($I$3,Heat_connections_input[#Headers],Heat_connections_input[#This Row],0,0,),"-")</f>
        <v>-</v>
      </c>
      <c r="J203" s="326" t="str" cm="1">
        <f t="array" ref="J203">IFERROR(_xlfn.XLOOKUP($J$3,Heat_connections_input[#Headers],Heat_connections_input[#This Row],0,0,1),"-")</f>
        <v>-</v>
      </c>
      <c r="K203" s="260"/>
      <c r="L203" s="261"/>
      <c r="M203" s="262"/>
      <c r="N203" s="263"/>
      <c r="O203" s="264" t="str">
        <f>IF(Heat_connections[[#This Row],[Ref]]&lt;&gt;"-",
IF(M203=1,Dashboard!$C$26,IF(M203=2,Dashboard!$C$27,Dashboard!$C$28)),"-")</f>
        <v>-</v>
      </c>
      <c r="P203" s="341">
        <f>IF(Heat_connections[[#This Row],[Category]]="Domestic",Heat_connections[[#This Row],[No. of connections]],0)</f>
        <v>0</v>
      </c>
      <c r="Q203" s="341">
        <f>IF(Heat_connections[[#This Row],[Category]]&lt;&gt;"Domestic",Heat_connections[[#This Row],[No. of connections]],0)</f>
        <v>0</v>
      </c>
      <c r="R203" s="209"/>
      <c r="S203" s="512">
        <f>IF(Heat_connections[[#This Row],[TOID]]&lt;&gt;"-",
IF(ISBLANK('Heat connections'!$R203),Dashboard!$C$14,'Heat connections'!$R203),0)</f>
        <v>0</v>
      </c>
      <c r="T203" s="513">
        <f>IF(Heat_connections[[#This Row],[Peak Demand, kW]]&lt;&gt;0,'Heat connections'!$G203*Dashboard!$C$21,0)</f>
        <v>0</v>
      </c>
      <c r="U203" s="514">
        <f>IF(Heat_connections[[#This Row],[Ref]]&lt;&gt;"-",48.436*Heat_connections[[#This Row],[Peak Demand, kW]]+1068.7,0)</f>
        <v>0</v>
      </c>
      <c r="V203" s="515">
        <f>IF(Heat_connections[[#This Row],[Ref]]&lt;&gt;"-",
_xlfn.XLOOKUP('Heat connections'!$G203,'Technical inputs'!$F$79:$F$94,'Technical inputs'!$I$79:$I$94,0,1,1),0)</f>
        <v>0</v>
      </c>
      <c r="W203" s="429">
        <f>IF('Heat connections'!$E203="Domestic",1,0)</f>
        <v>0</v>
      </c>
      <c r="X203" s="430">
        <f>IF(AND(Heat_connections[[#This Row],[Ref]]&lt;&gt;"-",'Heat connections'!$E203&lt;&gt;"Domestic"),1,0)</f>
        <v>0</v>
      </c>
      <c r="Y203" s="434">
        <v>149</v>
      </c>
      <c r="Z203" s="438">
        <f>IF(Heat_connections[[#This Row],[Existing/planned development]]&lt;&gt;0,1,0)</f>
        <v>0</v>
      </c>
      <c r="AA203" s="430">
        <f>IF('Heat connections'!$M203=1,1,0)</f>
        <v>0</v>
      </c>
      <c r="AB203" s="430">
        <f>IF('Heat connections'!$M203=2,1,0)</f>
        <v>0</v>
      </c>
      <c r="AC203" s="434">
        <f>IF('Heat connections'!$M203=3,1,0)</f>
        <v>0</v>
      </c>
      <c r="AD203" s="46" t="str">
        <f>IF(AND(Heat_connections[[#This Row],[Connected to heat network]]="Yes",Heat_connections[[#This Row],[Ref]]&lt;&gt;"-"),"Yes","No")</f>
        <v>No</v>
      </c>
    </row>
    <row r="204" spans="3:30" ht="12.75" x14ac:dyDescent="0.2">
      <c r="C204" s="208" t="str" cm="1">
        <f t="array" ref="C204">IFERROR(_xlfn.XLOOKUP($C$3,Heat_connections_input[#Headers],Heat_connections_input[#This Row],0,0,),"-")</f>
        <v>-</v>
      </c>
      <c r="D204" s="323" t="str" cm="1">
        <f t="array" ref="D204">IFERROR(_xlfn.XLOOKUP($D$3,Heat_connections_input[#Headers],Heat_connections_input[#This Row],0,0,),"-")</f>
        <v>-</v>
      </c>
      <c r="E204" s="284" t="str" cm="1">
        <f t="array" ref="E204">IFERROR(_xlfn.XLOOKUP($E$3,Heat_connections_input[#Headers],Heat_connections_input[#This Row],0,0,),"-")</f>
        <v>-</v>
      </c>
      <c r="F204" s="259" cm="1">
        <f t="array" ref="F204">IFERROR(_xlfn.XLOOKUP($F$3,Heat_connections_input[#Headers],Heat_connections_input[#This Row],0,0,),0)</f>
        <v>0</v>
      </c>
      <c r="G204" s="259" cm="1">
        <f t="array" ref="G204">IFERROR(_xlfn.XLOOKUP($G$3,Heat_connections_input[#Headers],Heat_connections_input[#This Row],0,0,),0)</f>
        <v>0</v>
      </c>
      <c r="H204" s="341" cm="1">
        <f t="array" ref="H204">IFERROR(_xlfn.XLOOKUP($H$3,Heat_connections_input[#Headers],Heat_connections_input[#This Row],0,0,),0)</f>
        <v>0</v>
      </c>
      <c r="I204" s="326" t="str" cm="1">
        <f t="array" ref="I204">IFERROR(_xlfn.XLOOKUP($I$3,Heat_connections_input[#Headers],Heat_connections_input[#This Row],0,0,),"-")</f>
        <v>-</v>
      </c>
      <c r="J204" s="326" t="str" cm="1">
        <f t="array" ref="J204">IFERROR(_xlfn.XLOOKUP($J$3,Heat_connections_input[#Headers],Heat_connections_input[#This Row],0,0,1),"-")</f>
        <v>-</v>
      </c>
      <c r="K204" s="260"/>
      <c r="L204" s="261"/>
      <c r="M204" s="262"/>
      <c r="N204" s="263"/>
      <c r="O204" s="264" t="str">
        <f>IF(Heat_connections[[#This Row],[Ref]]&lt;&gt;"-",
IF(M204=1,Dashboard!$C$26,IF(M204=2,Dashboard!$C$27,Dashboard!$C$28)),"-")</f>
        <v>-</v>
      </c>
      <c r="P204" s="341">
        <f>IF(Heat_connections[[#This Row],[Category]]="Domestic",Heat_connections[[#This Row],[No. of connections]],0)</f>
        <v>0</v>
      </c>
      <c r="Q204" s="341">
        <f>IF(Heat_connections[[#This Row],[Category]]&lt;&gt;"Domestic",Heat_connections[[#This Row],[No. of connections]],0)</f>
        <v>0</v>
      </c>
      <c r="R204" s="209"/>
      <c r="S204" s="512">
        <f>IF(Heat_connections[[#This Row],[TOID]]&lt;&gt;"-",
IF(ISBLANK('Heat connections'!$R204),Dashboard!$C$14,'Heat connections'!$R204),0)</f>
        <v>0</v>
      </c>
      <c r="T204" s="513">
        <f>IF(Heat_connections[[#This Row],[Peak Demand, kW]]&lt;&gt;0,'Heat connections'!$G204*Dashboard!$C$21,0)</f>
        <v>0</v>
      </c>
      <c r="U204" s="514">
        <f>IF(Heat_connections[[#This Row],[Ref]]&lt;&gt;"-",48.436*Heat_connections[[#This Row],[Peak Demand, kW]]+1068.7,0)</f>
        <v>0</v>
      </c>
      <c r="V204" s="515">
        <f>IF(Heat_connections[[#This Row],[Ref]]&lt;&gt;"-",
_xlfn.XLOOKUP('Heat connections'!$G204,'Technical inputs'!$F$79:$F$94,'Technical inputs'!$I$79:$I$94,0,1,1),0)</f>
        <v>0</v>
      </c>
      <c r="W204" s="429">
        <f>IF('Heat connections'!$E204="Domestic",1,0)</f>
        <v>0</v>
      </c>
      <c r="X204" s="430">
        <f>IF(AND(Heat_connections[[#This Row],[Ref]]&lt;&gt;"-",'Heat connections'!$E204&lt;&gt;"Domestic"),1,0)</f>
        <v>0</v>
      </c>
      <c r="Y204" s="434">
        <v>150</v>
      </c>
      <c r="Z204" s="438">
        <f>IF(Heat_connections[[#This Row],[Existing/planned development]]&lt;&gt;0,1,0)</f>
        <v>0</v>
      </c>
      <c r="AA204" s="430">
        <f>IF('Heat connections'!$M204=1,1,0)</f>
        <v>0</v>
      </c>
      <c r="AB204" s="430">
        <f>IF('Heat connections'!$M204=2,1,0)</f>
        <v>0</v>
      </c>
      <c r="AC204" s="434">
        <f>IF('Heat connections'!$M204=3,1,0)</f>
        <v>0</v>
      </c>
      <c r="AD204" s="46" t="str">
        <f>IF(AND(Heat_connections[[#This Row],[Connected to heat network]]="Yes",Heat_connections[[#This Row],[Ref]]&lt;&gt;"-"),"Yes","No")</f>
        <v>No</v>
      </c>
    </row>
    <row r="205" spans="3:30" ht="12.75" x14ac:dyDescent="0.2">
      <c r="C205" s="208" t="str" cm="1">
        <f t="array" ref="C205">IFERROR(_xlfn.XLOOKUP($C$3,Heat_connections_input[#Headers],Heat_connections_input[#This Row],0,0,),"-")</f>
        <v>-</v>
      </c>
      <c r="D205" s="323" t="str" cm="1">
        <f t="array" ref="D205">IFERROR(_xlfn.XLOOKUP($D$3,Heat_connections_input[#Headers],Heat_connections_input[#This Row],0,0,),"-")</f>
        <v>-</v>
      </c>
      <c r="E205" s="284" t="str" cm="1">
        <f t="array" ref="E205">IFERROR(_xlfn.XLOOKUP($E$3,Heat_connections_input[#Headers],Heat_connections_input[#This Row],0,0,),"-")</f>
        <v>-</v>
      </c>
      <c r="F205" s="259" cm="1">
        <f t="array" ref="F205">IFERROR(_xlfn.XLOOKUP($F$3,Heat_connections_input[#Headers],Heat_connections_input[#This Row],0,0,),0)</f>
        <v>0</v>
      </c>
      <c r="G205" s="259" cm="1">
        <f t="array" ref="G205">IFERROR(_xlfn.XLOOKUP($G$3,Heat_connections_input[#Headers],Heat_connections_input[#This Row],0,0,),0)</f>
        <v>0</v>
      </c>
      <c r="H205" s="341" cm="1">
        <f t="array" ref="H205">IFERROR(_xlfn.XLOOKUP($H$3,Heat_connections_input[#Headers],Heat_connections_input[#This Row],0,0,),0)</f>
        <v>0</v>
      </c>
      <c r="I205" s="326" t="str" cm="1">
        <f t="array" ref="I205">IFERROR(_xlfn.XLOOKUP($I$3,Heat_connections_input[#Headers],Heat_connections_input[#This Row],0,0,),"-")</f>
        <v>-</v>
      </c>
      <c r="J205" s="326" t="str" cm="1">
        <f t="array" ref="J205">IFERROR(_xlfn.XLOOKUP($J$3,Heat_connections_input[#Headers],Heat_connections_input[#This Row],0,0,1),"-")</f>
        <v>-</v>
      </c>
      <c r="K205" s="260"/>
      <c r="L205" s="261"/>
      <c r="M205" s="262"/>
      <c r="N205" s="263"/>
      <c r="O205" s="264" t="str">
        <f>IF(Heat_connections[[#This Row],[Ref]]&lt;&gt;"-",
IF(M205=1,Dashboard!$C$26,IF(M205=2,Dashboard!$C$27,Dashboard!$C$28)),"-")</f>
        <v>-</v>
      </c>
      <c r="P205" s="341">
        <f>IF(Heat_connections[[#This Row],[Category]]="Domestic",Heat_connections[[#This Row],[No. of connections]],0)</f>
        <v>0</v>
      </c>
      <c r="Q205" s="341">
        <f>IF(Heat_connections[[#This Row],[Category]]&lt;&gt;"Domestic",Heat_connections[[#This Row],[No. of connections]],0)</f>
        <v>0</v>
      </c>
      <c r="R205" s="209"/>
      <c r="S205" s="512">
        <f>IF(Heat_connections[[#This Row],[TOID]]&lt;&gt;"-",
IF(ISBLANK('Heat connections'!$R205),Dashboard!$C$14,'Heat connections'!$R205),0)</f>
        <v>0</v>
      </c>
      <c r="T205" s="513">
        <f>IF(Heat_connections[[#This Row],[Peak Demand, kW]]&lt;&gt;0,'Heat connections'!$G205*Dashboard!$C$21,0)</f>
        <v>0</v>
      </c>
      <c r="U205" s="514">
        <f>IF(Heat_connections[[#This Row],[Ref]]&lt;&gt;"-",48.436*Heat_connections[[#This Row],[Peak Demand, kW]]+1068.7,0)</f>
        <v>0</v>
      </c>
      <c r="V205" s="515">
        <f>IF(Heat_connections[[#This Row],[Ref]]&lt;&gt;"-",
_xlfn.XLOOKUP('Heat connections'!$G205,'Technical inputs'!$F$79:$F$94,'Technical inputs'!$I$79:$I$94,0,1,1),0)</f>
        <v>0</v>
      </c>
      <c r="W205" s="429">
        <f>IF('Heat connections'!$E205="Domestic",1,0)</f>
        <v>0</v>
      </c>
      <c r="X205" s="430">
        <f>IF(AND(Heat_connections[[#This Row],[Ref]]&lt;&gt;"-",'Heat connections'!$E205&lt;&gt;"Domestic"),1,0)</f>
        <v>0</v>
      </c>
      <c r="Y205" s="434">
        <v>151</v>
      </c>
      <c r="Z205" s="438">
        <f>IF(Heat_connections[[#This Row],[Existing/planned development]]&lt;&gt;0,1,0)</f>
        <v>0</v>
      </c>
      <c r="AA205" s="430">
        <f>IF('Heat connections'!$M205=1,1,0)</f>
        <v>0</v>
      </c>
      <c r="AB205" s="430">
        <f>IF('Heat connections'!$M205=2,1,0)</f>
        <v>0</v>
      </c>
      <c r="AC205" s="434">
        <f>IF('Heat connections'!$M205=3,1,0)</f>
        <v>0</v>
      </c>
      <c r="AD205" s="46" t="str">
        <f>IF(AND(Heat_connections[[#This Row],[Connected to heat network]]="Yes",Heat_connections[[#This Row],[Ref]]&lt;&gt;"-"),"Yes","No")</f>
        <v>No</v>
      </c>
    </row>
    <row r="206" spans="3:30" ht="12.75" x14ac:dyDescent="0.2">
      <c r="C206" s="208" t="str" cm="1">
        <f t="array" ref="C206">IFERROR(_xlfn.XLOOKUP($C$3,Heat_connections_input[#Headers],Heat_connections_input[#This Row],0,0,),"-")</f>
        <v>-</v>
      </c>
      <c r="D206" s="323" t="str" cm="1">
        <f t="array" ref="D206">IFERROR(_xlfn.XLOOKUP($D$3,Heat_connections_input[#Headers],Heat_connections_input[#This Row],0,0,),"-")</f>
        <v>-</v>
      </c>
      <c r="E206" s="284" t="str" cm="1">
        <f t="array" ref="E206">IFERROR(_xlfn.XLOOKUP($E$3,Heat_connections_input[#Headers],Heat_connections_input[#This Row],0,0,),"-")</f>
        <v>-</v>
      </c>
      <c r="F206" s="259" cm="1">
        <f t="array" ref="F206">IFERROR(_xlfn.XLOOKUP($F$3,Heat_connections_input[#Headers],Heat_connections_input[#This Row],0,0,),0)</f>
        <v>0</v>
      </c>
      <c r="G206" s="259" cm="1">
        <f t="array" ref="G206">IFERROR(_xlfn.XLOOKUP($G$3,Heat_connections_input[#Headers],Heat_connections_input[#This Row],0,0,),0)</f>
        <v>0</v>
      </c>
      <c r="H206" s="341" cm="1">
        <f t="array" ref="H206">IFERROR(_xlfn.XLOOKUP($H$3,Heat_connections_input[#Headers],Heat_connections_input[#This Row],0,0,),0)</f>
        <v>0</v>
      </c>
      <c r="I206" s="326" t="str" cm="1">
        <f t="array" ref="I206">IFERROR(_xlfn.XLOOKUP($I$3,Heat_connections_input[#Headers],Heat_connections_input[#This Row],0,0,),"-")</f>
        <v>-</v>
      </c>
      <c r="J206" s="326" t="str" cm="1">
        <f t="array" ref="J206">IFERROR(_xlfn.XLOOKUP($J$3,Heat_connections_input[#Headers],Heat_connections_input[#This Row],0,0,1),"-")</f>
        <v>-</v>
      </c>
      <c r="K206" s="260"/>
      <c r="L206" s="261"/>
      <c r="M206" s="262"/>
      <c r="N206" s="263"/>
      <c r="O206" s="264" t="str">
        <f>IF(Heat_connections[[#This Row],[Ref]]&lt;&gt;"-",
IF(M206=1,Dashboard!$C$26,IF(M206=2,Dashboard!$C$27,Dashboard!$C$28)),"-")</f>
        <v>-</v>
      </c>
      <c r="P206" s="341">
        <f>IF(Heat_connections[[#This Row],[Category]]="Domestic",Heat_connections[[#This Row],[No. of connections]],0)</f>
        <v>0</v>
      </c>
      <c r="Q206" s="341">
        <f>IF(Heat_connections[[#This Row],[Category]]&lt;&gt;"Domestic",Heat_connections[[#This Row],[No. of connections]],0)</f>
        <v>0</v>
      </c>
      <c r="R206" s="209"/>
      <c r="S206" s="512">
        <f>IF(Heat_connections[[#This Row],[TOID]]&lt;&gt;"-",
IF(ISBLANK('Heat connections'!$R206),Dashboard!$C$14,'Heat connections'!$R206),0)</f>
        <v>0</v>
      </c>
      <c r="T206" s="513">
        <f>IF(Heat_connections[[#This Row],[Peak Demand, kW]]&lt;&gt;0,'Heat connections'!$G206*Dashboard!$C$21,0)</f>
        <v>0</v>
      </c>
      <c r="U206" s="514">
        <f>IF(Heat_connections[[#This Row],[Ref]]&lt;&gt;"-",48.436*Heat_connections[[#This Row],[Peak Demand, kW]]+1068.7,0)</f>
        <v>0</v>
      </c>
      <c r="V206" s="515">
        <f>IF(Heat_connections[[#This Row],[Ref]]&lt;&gt;"-",
_xlfn.XLOOKUP('Heat connections'!$G206,'Technical inputs'!$F$79:$F$94,'Technical inputs'!$I$79:$I$94,0,1,1),0)</f>
        <v>0</v>
      </c>
      <c r="W206" s="429">
        <f>IF('Heat connections'!$E206="Domestic",1,0)</f>
        <v>0</v>
      </c>
      <c r="X206" s="430">
        <f>IF(AND(Heat_connections[[#This Row],[Ref]]&lt;&gt;"-",'Heat connections'!$E206&lt;&gt;"Domestic"),1,0)</f>
        <v>0</v>
      </c>
      <c r="Y206" s="434">
        <v>152</v>
      </c>
      <c r="Z206" s="438">
        <f>IF(Heat_connections[[#This Row],[Existing/planned development]]&lt;&gt;0,1,0)</f>
        <v>0</v>
      </c>
      <c r="AA206" s="430">
        <f>IF('Heat connections'!$M206=1,1,0)</f>
        <v>0</v>
      </c>
      <c r="AB206" s="430">
        <f>IF('Heat connections'!$M206=2,1,0)</f>
        <v>0</v>
      </c>
      <c r="AC206" s="434">
        <f>IF('Heat connections'!$M206=3,1,0)</f>
        <v>0</v>
      </c>
      <c r="AD206" s="46" t="str">
        <f>IF(AND(Heat_connections[[#This Row],[Connected to heat network]]="Yes",Heat_connections[[#This Row],[Ref]]&lt;&gt;"-"),"Yes","No")</f>
        <v>No</v>
      </c>
    </row>
    <row r="207" spans="3:30" ht="12.75" x14ac:dyDescent="0.2">
      <c r="C207" s="208" t="str" cm="1">
        <f t="array" ref="C207">IFERROR(_xlfn.XLOOKUP($C$3,Heat_connections_input[#Headers],Heat_connections_input[#This Row],0,0,),"-")</f>
        <v>-</v>
      </c>
      <c r="D207" s="323" t="str" cm="1">
        <f t="array" ref="D207">IFERROR(_xlfn.XLOOKUP($D$3,Heat_connections_input[#Headers],Heat_connections_input[#This Row],0,0,),"-")</f>
        <v>-</v>
      </c>
      <c r="E207" s="284" t="str" cm="1">
        <f t="array" ref="E207">IFERROR(_xlfn.XLOOKUP($E$3,Heat_connections_input[#Headers],Heat_connections_input[#This Row],0,0,),"-")</f>
        <v>-</v>
      </c>
      <c r="F207" s="259" cm="1">
        <f t="array" ref="F207">IFERROR(_xlfn.XLOOKUP($F$3,Heat_connections_input[#Headers],Heat_connections_input[#This Row],0,0,),0)</f>
        <v>0</v>
      </c>
      <c r="G207" s="259" cm="1">
        <f t="array" ref="G207">IFERROR(_xlfn.XLOOKUP($G$3,Heat_connections_input[#Headers],Heat_connections_input[#This Row],0,0,),0)</f>
        <v>0</v>
      </c>
      <c r="H207" s="341" cm="1">
        <f t="array" ref="H207">IFERROR(_xlfn.XLOOKUP($H$3,Heat_connections_input[#Headers],Heat_connections_input[#This Row],0,0,),0)</f>
        <v>0</v>
      </c>
      <c r="I207" s="326" t="str" cm="1">
        <f t="array" ref="I207">IFERROR(_xlfn.XLOOKUP($I$3,Heat_connections_input[#Headers],Heat_connections_input[#This Row],0,0,),"-")</f>
        <v>-</v>
      </c>
      <c r="J207" s="326" t="str" cm="1">
        <f t="array" ref="J207">IFERROR(_xlfn.XLOOKUP($J$3,Heat_connections_input[#Headers],Heat_connections_input[#This Row],0,0,1),"-")</f>
        <v>-</v>
      </c>
      <c r="K207" s="260"/>
      <c r="L207" s="261"/>
      <c r="M207" s="262"/>
      <c r="N207" s="263"/>
      <c r="O207" s="264" t="str">
        <f>IF(Heat_connections[[#This Row],[Ref]]&lt;&gt;"-",
IF(M207=1,Dashboard!$C$26,IF(M207=2,Dashboard!$C$27,Dashboard!$C$28)),"-")</f>
        <v>-</v>
      </c>
      <c r="P207" s="341">
        <f>IF(Heat_connections[[#This Row],[Category]]="Domestic",Heat_connections[[#This Row],[No. of connections]],0)</f>
        <v>0</v>
      </c>
      <c r="Q207" s="341">
        <f>IF(Heat_connections[[#This Row],[Category]]&lt;&gt;"Domestic",Heat_connections[[#This Row],[No. of connections]],0)</f>
        <v>0</v>
      </c>
      <c r="R207" s="209"/>
      <c r="S207" s="512">
        <f>IF(Heat_connections[[#This Row],[TOID]]&lt;&gt;"-",
IF(ISBLANK('Heat connections'!$R207),Dashboard!$C$14,'Heat connections'!$R207),0)</f>
        <v>0</v>
      </c>
      <c r="T207" s="513">
        <f>IF(Heat_connections[[#This Row],[Peak Demand, kW]]&lt;&gt;0,'Heat connections'!$G207*Dashboard!$C$21,0)</f>
        <v>0</v>
      </c>
      <c r="U207" s="514">
        <f>IF(Heat_connections[[#This Row],[Ref]]&lt;&gt;"-",48.436*Heat_connections[[#This Row],[Peak Demand, kW]]+1068.7,0)</f>
        <v>0</v>
      </c>
      <c r="V207" s="515">
        <f>IF(Heat_connections[[#This Row],[Ref]]&lt;&gt;"-",
_xlfn.XLOOKUP('Heat connections'!$G207,'Technical inputs'!$F$79:$F$94,'Technical inputs'!$I$79:$I$94,0,1,1),0)</f>
        <v>0</v>
      </c>
      <c r="W207" s="429">
        <f>IF('Heat connections'!$E207="Domestic",1,0)</f>
        <v>0</v>
      </c>
      <c r="X207" s="430">
        <f>IF(AND(Heat_connections[[#This Row],[Ref]]&lt;&gt;"-",'Heat connections'!$E207&lt;&gt;"Domestic"),1,0)</f>
        <v>0</v>
      </c>
      <c r="Y207" s="434">
        <v>153</v>
      </c>
      <c r="Z207" s="438">
        <f>IF(Heat_connections[[#This Row],[Existing/planned development]]&lt;&gt;0,1,0)</f>
        <v>0</v>
      </c>
      <c r="AA207" s="430">
        <f>IF('Heat connections'!$M207=1,1,0)</f>
        <v>0</v>
      </c>
      <c r="AB207" s="430">
        <f>IF('Heat connections'!$M207=2,1,0)</f>
        <v>0</v>
      </c>
      <c r="AC207" s="434">
        <f>IF('Heat connections'!$M207=3,1,0)</f>
        <v>0</v>
      </c>
      <c r="AD207" s="46" t="str">
        <f>IF(AND(Heat_connections[[#This Row],[Connected to heat network]]="Yes",Heat_connections[[#This Row],[Ref]]&lt;&gt;"-"),"Yes","No")</f>
        <v>No</v>
      </c>
    </row>
    <row r="208" spans="3:30" ht="12.75" x14ac:dyDescent="0.2">
      <c r="C208" s="208" t="str" cm="1">
        <f t="array" ref="C208">IFERROR(_xlfn.XLOOKUP($C$3,Heat_connections_input[#Headers],Heat_connections_input[#This Row],0,0,),"-")</f>
        <v>-</v>
      </c>
      <c r="D208" s="323" t="str" cm="1">
        <f t="array" ref="D208">IFERROR(_xlfn.XLOOKUP($D$3,Heat_connections_input[#Headers],Heat_connections_input[#This Row],0,0,),"-")</f>
        <v>-</v>
      </c>
      <c r="E208" s="284" t="str" cm="1">
        <f t="array" ref="E208">IFERROR(_xlfn.XLOOKUP($E$3,Heat_connections_input[#Headers],Heat_connections_input[#This Row],0,0,),"-")</f>
        <v>-</v>
      </c>
      <c r="F208" s="259" cm="1">
        <f t="array" ref="F208">IFERROR(_xlfn.XLOOKUP($F$3,Heat_connections_input[#Headers],Heat_connections_input[#This Row],0,0,),0)</f>
        <v>0</v>
      </c>
      <c r="G208" s="259" cm="1">
        <f t="array" ref="G208">IFERROR(_xlfn.XLOOKUP($G$3,Heat_connections_input[#Headers],Heat_connections_input[#This Row],0,0,),0)</f>
        <v>0</v>
      </c>
      <c r="H208" s="341" cm="1">
        <f t="array" ref="H208">IFERROR(_xlfn.XLOOKUP($H$3,Heat_connections_input[#Headers],Heat_connections_input[#This Row],0,0,),0)</f>
        <v>0</v>
      </c>
      <c r="I208" s="326" t="str" cm="1">
        <f t="array" ref="I208">IFERROR(_xlfn.XLOOKUP($I$3,Heat_connections_input[#Headers],Heat_connections_input[#This Row],0,0,),"-")</f>
        <v>-</v>
      </c>
      <c r="J208" s="326" t="str" cm="1">
        <f t="array" ref="J208">IFERROR(_xlfn.XLOOKUP($J$3,Heat_connections_input[#Headers],Heat_connections_input[#This Row],0,0,1),"-")</f>
        <v>-</v>
      </c>
      <c r="K208" s="260"/>
      <c r="L208" s="261"/>
      <c r="M208" s="262"/>
      <c r="N208" s="263"/>
      <c r="O208" s="264" t="str">
        <f>IF(Heat_connections[[#This Row],[Ref]]&lt;&gt;"-",
IF(M208=1,Dashboard!$C$26,IF(M208=2,Dashboard!$C$27,Dashboard!$C$28)),"-")</f>
        <v>-</v>
      </c>
      <c r="P208" s="341">
        <f>IF(Heat_connections[[#This Row],[Category]]="Domestic",Heat_connections[[#This Row],[No. of connections]],0)</f>
        <v>0</v>
      </c>
      <c r="Q208" s="341">
        <f>IF(Heat_connections[[#This Row],[Category]]&lt;&gt;"Domestic",Heat_connections[[#This Row],[No. of connections]],0)</f>
        <v>0</v>
      </c>
      <c r="R208" s="209"/>
      <c r="S208" s="512">
        <f>IF(Heat_connections[[#This Row],[TOID]]&lt;&gt;"-",
IF(ISBLANK('Heat connections'!$R208),Dashboard!$C$14,'Heat connections'!$R208),0)</f>
        <v>0</v>
      </c>
      <c r="T208" s="513">
        <f>IF(Heat_connections[[#This Row],[Peak Demand, kW]]&lt;&gt;0,'Heat connections'!$G208*Dashboard!$C$21,0)</f>
        <v>0</v>
      </c>
      <c r="U208" s="514">
        <f>IF(Heat_connections[[#This Row],[Ref]]&lt;&gt;"-",48.436*Heat_connections[[#This Row],[Peak Demand, kW]]+1068.7,0)</f>
        <v>0</v>
      </c>
      <c r="V208" s="515">
        <f>IF(Heat_connections[[#This Row],[Ref]]&lt;&gt;"-",
_xlfn.XLOOKUP('Heat connections'!$G208,'Technical inputs'!$F$79:$F$94,'Technical inputs'!$I$79:$I$94,0,1,1),0)</f>
        <v>0</v>
      </c>
      <c r="W208" s="429">
        <f>IF('Heat connections'!$E208="Domestic",1,0)</f>
        <v>0</v>
      </c>
      <c r="X208" s="430">
        <f>IF(AND(Heat_connections[[#This Row],[Ref]]&lt;&gt;"-",'Heat connections'!$E208&lt;&gt;"Domestic"),1,0)</f>
        <v>0</v>
      </c>
      <c r="Y208" s="434">
        <v>154</v>
      </c>
      <c r="Z208" s="438">
        <f>IF(Heat_connections[[#This Row],[Existing/planned development]]&lt;&gt;0,1,0)</f>
        <v>0</v>
      </c>
      <c r="AA208" s="430">
        <f>IF('Heat connections'!$M208=1,1,0)</f>
        <v>0</v>
      </c>
      <c r="AB208" s="430">
        <f>IF('Heat connections'!$M208=2,1,0)</f>
        <v>0</v>
      </c>
      <c r="AC208" s="434">
        <f>IF('Heat connections'!$M208=3,1,0)</f>
        <v>0</v>
      </c>
      <c r="AD208" s="46" t="str">
        <f>IF(AND(Heat_connections[[#This Row],[Connected to heat network]]="Yes",Heat_connections[[#This Row],[Ref]]&lt;&gt;"-"),"Yes","No")</f>
        <v>No</v>
      </c>
    </row>
    <row r="209" spans="3:30" ht="12.75" x14ac:dyDescent="0.2">
      <c r="C209" s="208" t="str" cm="1">
        <f t="array" ref="C209">IFERROR(_xlfn.XLOOKUP($C$3,Heat_connections_input[#Headers],Heat_connections_input[#This Row],0,0,),"-")</f>
        <v>-</v>
      </c>
      <c r="D209" s="323" t="str" cm="1">
        <f t="array" ref="D209">IFERROR(_xlfn.XLOOKUP($D$3,Heat_connections_input[#Headers],Heat_connections_input[#This Row],0,0,),"-")</f>
        <v>-</v>
      </c>
      <c r="E209" s="284" t="str" cm="1">
        <f t="array" ref="E209">IFERROR(_xlfn.XLOOKUP($E$3,Heat_connections_input[#Headers],Heat_connections_input[#This Row],0,0,),"-")</f>
        <v>-</v>
      </c>
      <c r="F209" s="259" cm="1">
        <f t="array" ref="F209">IFERROR(_xlfn.XLOOKUP($F$3,Heat_connections_input[#Headers],Heat_connections_input[#This Row],0,0,),0)</f>
        <v>0</v>
      </c>
      <c r="G209" s="259" cm="1">
        <f t="array" ref="G209">IFERROR(_xlfn.XLOOKUP($G$3,Heat_connections_input[#Headers],Heat_connections_input[#This Row],0,0,),0)</f>
        <v>0</v>
      </c>
      <c r="H209" s="341" cm="1">
        <f t="array" ref="H209">IFERROR(_xlfn.XLOOKUP($H$3,Heat_connections_input[#Headers],Heat_connections_input[#This Row],0,0,),0)</f>
        <v>0</v>
      </c>
      <c r="I209" s="326" t="str" cm="1">
        <f t="array" ref="I209">IFERROR(_xlfn.XLOOKUP($I$3,Heat_connections_input[#Headers],Heat_connections_input[#This Row],0,0,),"-")</f>
        <v>-</v>
      </c>
      <c r="J209" s="326" t="str" cm="1">
        <f t="array" ref="J209">IFERROR(_xlfn.XLOOKUP($J$3,Heat_connections_input[#Headers],Heat_connections_input[#This Row],0,0,1),"-")</f>
        <v>-</v>
      </c>
      <c r="K209" s="260"/>
      <c r="L209" s="261"/>
      <c r="M209" s="262"/>
      <c r="N209" s="263"/>
      <c r="O209" s="264" t="str">
        <f>IF(Heat_connections[[#This Row],[Ref]]&lt;&gt;"-",
IF(M209=1,Dashboard!$C$26,IF(M209=2,Dashboard!$C$27,Dashboard!$C$28)),"-")</f>
        <v>-</v>
      </c>
      <c r="P209" s="341">
        <f>IF(Heat_connections[[#This Row],[Category]]="Domestic",Heat_connections[[#This Row],[No. of connections]],0)</f>
        <v>0</v>
      </c>
      <c r="Q209" s="341">
        <f>IF(Heat_connections[[#This Row],[Category]]&lt;&gt;"Domestic",Heat_connections[[#This Row],[No. of connections]],0)</f>
        <v>0</v>
      </c>
      <c r="R209" s="209"/>
      <c r="S209" s="512">
        <f>IF(Heat_connections[[#This Row],[TOID]]&lt;&gt;"-",
IF(ISBLANK('Heat connections'!$R209),Dashboard!$C$14,'Heat connections'!$R209),0)</f>
        <v>0</v>
      </c>
      <c r="T209" s="513">
        <f>IF(Heat_connections[[#This Row],[Peak Demand, kW]]&lt;&gt;0,'Heat connections'!$G209*Dashboard!$C$21,0)</f>
        <v>0</v>
      </c>
      <c r="U209" s="514">
        <f>IF(Heat_connections[[#This Row],[Ref]]&lt;&gt;"-",48.436*Heat_connections[[#This Row],[Peak Demand, kW]]+1068.7,0)</f>
        <v>0</v>
      </c>
      <c r="V209" s="515">
        <f>IF(Heat_connections[[#This Row],[Ref]]&lt;&gt;"-",
_xlfn.XLOOKUP('Heat connections'!$G209,'Technical inputs'!$F$79:$F$94,'Technical inputs'!$I$79:$I$94,0,1,1),0)</f>
        <v>0</v>
      </c>
      <c r="W209" s="429">
        <f>IF('Heat connections'!$E209="Domestic",1,0)</f>
        <v>0</v>
      </c>
      <c r="X209" s="430">
        <f>IF(AND(Heat_connections[[#This Row],[Ref]]&lt;&gt;"-",'Heat connections'!$E209&lt;&gt;"Domestic"),1,0)</f>
        <v>0</v>
      </c>
      <c r="Y209" s="434">
        <v>155</v>
      </c>
      <c r="Z209" s="438">
        <f>IF(Heat_connections[[#This Row],[Existing/planned development]]&lt;&gt;0,1,0)</f>
        <v>0</v>
      </c>
      <c r="AA209" s="430">
        <f>IF('Heat connections'!$M209=1,1,0)</f>
        <v>0</v>
      </c>
      <c r="AB209" s="430">
        <f>IF('Heat connections'!$M209=2,1,0)</f>
        <v>0</v>
      </c>
      <c r="AC209" s="434">
        <f>IF('Heat connections'!$M209=3,1,0)</f>
        <v>0</v>
      </c>
      <c r="AD209" s="46" t="str">
        <f>IF(AND(Heat_connections[[#This Row],[Connected to heat network]]="Yes",Heat_connections[[#This Row],[Ref]]&lt;&gt;"-"),"Yes","No")</f>
        <v>No</v>
      </c>
    </row>
    <row r="210" spans="3:30" ht="12.75" x14ac:dyDescent="0.2">
      <c r="C210" s="208" t="str" cm="1">
        <f t="array" ref="C210">IFERROR(_xlfn.XLOOKUP($C$3,Heat_connections_input[#Headers],Heat_connections_input[#This Row],0,0,),"-")</f>
        <v>-</v>
      </c>
      <c r="D210" s="323" t="str" cm="1">
        <f t="array" ref="D210">IFERROR(_xlfn.XLOOKUP($D$3,Heat_connections_input[#Headers],Heat_connections_input[#This Row],0,0,),"-")</f>
        <v>-</v>
      </c>
      <c r="E210" s="284" t="str" cm="1">
        <f t="array" ref="E210">IFERROR(_xlfn.XLOOKUP($E$3,Heat_connections_input[#Headers],Heat_connections_input[#This Row],0,0,),"-")</f>
        <v>-</v>
      </c>
      <c r="F210" s="259" cm="1">
        <f t="array" ref="F210">IFERROR(_xlfn.XLOOKUP($F$3,Heat_connections_input[#Headers],Heat_connections_input[#This Row],0,0,),0)</f>
        <v>0</v>
      </c>
      <c r="G210" s="259" cm="1">
        <f t="array" ref="G210">IFERROR(_xlfn.XLOOKUP($G$3,Heat_connections_input[#Headers],Heat_connections_input[#This Row],0,0,),0)</f>
        <v>0</v>
      </c>
      <c r="H210" s="341" cm="1">
        <f t="array" ref="H210">IFERROR(_xlfn.XLOOKUP($H$3,Heat_connections_input[#Headers],Heat_connections_input[#This Row],0,0,),0)</f>
        <v>0</v>
      </c>
      <c r="I210" s="326" t="str" cm="1">
        <f t="array" ref="I210">IFERROR(_xlfn.XLOOKUP($I$3,Heat_connections_input[#Headers],Heat_connections_input[#This Row],0,0,),"-")</f>
        <v>-</v>
      </c>
      <c r="J210" s="326" t="str" cm="1">
        <f t="array" ref="J210">IFERROR(_xlfn.XLOOKUP($J$3,Heat_connections_input[#Headers],Heat_connections_input[#This Row],0,0,1),"-")</f>
        <v>-</v>
      </c>
      <c r="K210" s="260"/>
      <c r="L210" s="261"/>
      <c r="M210" s="262"/>
      <c r="N210" s="263"/>
      <c r="O210" s="264" t="str">
        <f>IF(Heat_connections[[#This Row],[Ref]]&lt;&gt;"-",
IF(M210=1,Dashboard!$C$26,IF(M210=2,Dashboard!$C$27,Dashboard!$C$28)),"-")</f>
        <v>-</v>
      </c>
      <c r="P210" s="341">
        <f>IF(Heat_connections[[#This Row],[Category]]="Domestic",Heat_connections[[#This Row],[No. of connections]],0)</f>
        <v>0</v>
      </c>
      <c r="Q210" s="341">
        <f>IF(Heat_connections[[#This Row],[Category]]&lt;&gt;"Domestic",Heat_connections[[#This Row],[No. of connections]],0)</f>
        <v>0</v>
      </c>
      <c r="R210" s="209"/>
      <c r="S210" s="512">
        <f>IF(Heat_connections[[#This Row],[TOID]]&lt;&gt;"-",
IF(ISBLANK('Heat connections'!$R210),Dashboard!$C$14,'Heat connections'!$R210),0)</f>
        <v>0</v>
      </c>
      <c r="T210" s="513">
        <f>IF(Heat_connections[[#This Row],[Peak Demand, kW]]&lt;&gt;0,'Heat connections'!$G210*Dashboard!$C$21,0)</f>
        <v>0</v>
      </c>
      <c r="U210" s="514">
        <f>IF(Heat_connections[[#This Row],[Ref]]&lt;&gt;"-",48.436*Heat_connections[[#This Row],[Peak Demand, kW]]+1068.7,0)</f>
        <v>0</v>
      </c>
      <c r="V210" s="515">
        <f>IF(Heat_connections[[#This Row],[Ref]]&lt;&gt;"-",
_xlfn.XLOOKUP('Heat connections'!$G210,'Technical inputs'!$F$79:$F$94,'Technical inputs'!$I$79:$I$94,0,1,1),0)</f>
        <v>0</v>
      </c>
      <c r="W210" s="429">
        <f>IF('Heat connections'!$E210="Domestic",1,0)</f>
        <v>0</v>
      </c>
      <c r="X210" s="430">
        <f>IF(AND(Heat_connections[[#This Row],[Ref]]&lt;&gt;"-",'Heat connections'!$E210&lt;&gt;"Domestic"),1,0)</f>
        <v>0</v>
      </c>
      <c r="Y210" s="434">
        <v>156</v>
      </c>
      <c r="Z210" s="438">
        <f>IF(Heat_connections[[#This Row],[Existing/planned development]]&lt;&gt;0,1,0)</f>
        <v>0</v>
      </c>
      <c r="AA210" s="430">
        <f>IF('Heat connections'!$M210=1,1,0)</f>
        <v>0</v>
      </c>
      <c r="AB210" s="430">
        <f>IF('Heat connections'!$M210=2,1,0)</f>
        <v>0</v>
      </c>
      <c r="AC210" s="434">
        <f>IF('Heat connections'!$M210=3,1,0)</f>
        <v>0</v>
      </c>
      <c r="AD210" s="46" t="str">
        <f>IF(AND(Heat_connections[[#This Row],[Connected to heat network]]="Yes",Heat_connections[[#This Row],[Ref]]&lt;&gt;"-"),"Yes","No")</f>
        <v>No</v>
      </c>
    </row>
    <row r="211" spans="3:30" ht="12.75" x14ac:dyDescent="0.2">
      <c r="C211" s="208" t="str" cm="1">
        <f t="array" ref="C211">IFERROR(_xlfn.XLOOKUP($C$3,Heat_connections_input[#Headers],Heat_connections_input[#This Row],0,0,),"-")</f>
        <v>-</v>
      </c>
      <c r="D211" s="323" t="str" cm="1">
        <f t="array" ref="D211">IFERROR(_xlfn.XLOOKUP($D$3,Heat_connections_input[#Headers],Heat_connections_input[#This Row],0,0,),"-")</f>
        <v>-</v>
      </c>
      <c r="E211" s="284" t="str" cm="1">
        <f t="array" ref="E211">IFERROR(_xlfn.XLOOKUP($E$3,Heat_connections_input[#Headers],Heat_connections_input[#This Row],0,0,),"-")</f>
        <v>-</v>
      </c>
      <c r="F211" s="259" cm="1">
        <f t="array" ref="F211">IFERROR(_xlfn.XLOOKUP($F$3,Heat_connections_input[#Headers],Heat_connections_input[#This Row],0,0,),0)</f>
        <v>0</v>
      </c>
      <c r="G211" s="259" cm="1">
        <f t="array" ref="G211">IFERROR(_xlfn.XLOOKUP($G$3,Heat_connections_input[#Headers],Heat_connections_input[#This Row],0,0,),0)</f>
        <v>0</v>
      </c>
      <c r="H211" s="341" cm="1">
        <f t="array" ref="H211">IFERROR(_xlfn.XLOOKUP($H$3,Heat_connections_input[#Headers],Heat_connections_input[#This Row],0,0,),0)</f>
        <v>0</v>
      </c>
      <c r="I211" s="326" t="str" cm="1">
        <f t="array" ref="I211">IFERROR(_xlfn.XLOOKUP($I$3,Heat_connections_input[#Headers],Heat_connections_input[#This Row],0,0,),"-")</f>
        <v>-</v>
      </c>
      <c r="J211" s="326" t="str" cm="1">
        <f t="array" ref="J211">IFERROR(_xlfn.XLOOKUP($J$3,Heat_connections_input[#Headers],Heat_connections_input[#This Row],0,0,1),"-")</f>
        <v>-</v>
      </c>
      <c r="K211" s="260"/>
      <c r="L211" s="261"/>
      <c r="M211" s="262"/>
      <c r="N211" s="263"/>
      <c r="O211" s="264" t="str">
        <f>IF(Heat_connections[[#This Row],[Ref]]&lt;&gt;"-",
IF(M211=1,Dashboard!$C$26,IF(M211=2,Dashboard!$C$27,Dashboard!$C$28)),"-")</f>
        <v>-</v>
      </c>
      <c r="P211" s="341">
        <f>IF(Heat_connections[[#This Row],[Category]]="Domestic",Heat_connections[[#This Row],[No. of connections]],0)</f>
        <v>0</v>
      </c>
      <c r="Q211" s="341">
        <f>IF(Heat_connections[[#This Row],[Category]]&lt;&gt;"Domestic",Heat_connections[[#This Row],[No. of connections]],0)</f>
        <v>0</v>
      </c>
      <c r="R211" s="209"/>
      <c r="S211" s="512">
        <f>IF(Heat_connections[[#This Row],[TOID]]&lt;&gt;"-",
IF(ISBLANK('Heat connections'!$R211),Dashboard!$C$14,'Heat connections'!$R211),0)</f>
        <v>0</v>
      </c>
      <c r="T211" s="513">
        <f>IF(Heat_connections[[#This Row],[Peak Demand, kW]]&lt;&gt;0,'Heat connections'!$G211*Dashboard!$C$21,0)</f>
        <v>0</v>
      </c>
      <c r="U211" s="514">
        <f>IF(Heat_connections[[#This Row],[Ref]]&lt;&gt;"-",48.436*Heat_connections[[#This Row],[Peak Demand, kW]]+1068.7,0)</f>
        <v>0</v>
      </c>
      <c r="V211" s="515">
        <f>IF(Heat_connections[[#This Row],[Ref]]&lt;&gt;"-",
_xlfn.XLOOKUP('Heat connections'!$G211,'Technical inputs'!$F$79:$F$94,'Technical inputs'!$I$79:$I$94,0,1,1),0)</f>
        <v>0</v>
      </c>
      <c r="W211" s="429">
        <f>IF('Heat connections'!$E211="Domestic",1,0)</f>
        <v>0</v>
      </c>
      <c r="X211" s="430">
        <f>IF(AND(Heat_connections[[#This Row],[Ref]]&lt;&gt;"-",'Heat connections'!$E211&lt;&gt;"Domestic"),1,0)</f>
        <v>0</v>
      </c>
      <c r="Y211" s="434">
        <v>157</v>
      </c>
      <c r="Z211" s="438">
        <f>IF(Heat_connections[[#This Row],[Existing/planned development]]&lt;&gt;0,1,0)</f>
        <v>0</v>
      </c>
      <c r="AA211" s="430">
        <f>IF('Heat connections'!$M211=1,1,0)</f>
        <v>0</v>
      </c>
      <c r="AB211" s="430">
        <f>IF('Heat connections'!$M211=2,1,0)</f>
        <v>0</v>
      </c>
      <c r="AC211" s="434">
        <f>IF('Heat connections'!$M211=3,1,0)</f>
        <v>0</v>
      </c>
      <c r="AD211" s="46" t="str">
        <f>IF(AND(Heat_connections[[#This Row],[Connected to heat network]]="Yes",Heat_connections[[#This Row],[Ref]]&lt;&gt;"-"),"Yes","No")</f>
        <v>No</v>
      </c>
    </row>
    <row r="212" spans="3:30" ht="12.75" x14ac:dyDescent="0.2">
      <c r="C212" s="208" t="str" cm="1">
        <f t="array" ref="C212">IFERROR(_xlfn.XLOOKUP($C$3,Heat_connections_input[#Headers],Heat_connections_input[#This Row],0,0,),"-")</f>
        <v>-</v>
      </c>
      <c r="D212" s="323" t="str" cm="1">
        <f t="array" ref="D212">IFERROR(_xlfn.XLOOKUP($D$3,Heat_connections_input[#Headers],Heat_connections_input[#This Row],0,0,),"-")</f>
        <v>-</v>
      </c>
      <c r="E212" s="284" t="str" cm="1">
        <f t="array" ref="E212">IFERROR(_xlfn.XLOOKUP($E$3,Heat_connections_input[#Headers],Heat_connections_input[#This Row],0,0,),"-")</f>
        <v>-</v>
      </c>
      <c r="F212" s="259" cm="1">
        <f t="array" ref="F212">IFERROR(_xlfn.XLOOKUP($F$3,Heat_connections_input[#Headers],Heat_connections_input[#This Row],0,0,),0)</f>
        <v>0</v>
      </c>
      <c r="G212" s="259" cm="1">
        <f t="array" ref="G212">IFERROR(_xlfn.XLOOKUP($G$3,Heat_connections_input[#Headers],Heat_connections_input[#This Row],0,0,),0)</f>
        <v>0</v>
      </c>
      <c r="H212" s="341" cm="1">
        <f t="array" ref="H212">IFERROR(_xlfn.XLOOKUP($H$3,Heat_connections_input[#Headers],Heat_connections_input[#This Row],0,0,),0)</f>
        <v>0</v>
      </c>
      <c r="I212" s="326" t="str" cm="1">
        <f t="array" ref="I212">IFERROR(_xlfn.XLOOKUP($I$3,Heat_connections_input[#Headers],Heat_connections_input[#This Row],0,0,),"-")</f>
        <v>-</v>
      </c>
      <c r="J212" s="326" t="str" cm="1">
        <f t="array" ref="J212">IFERROR(_xlfn.XLOOKUP($J$3,Heat_connections_input[#Headers],Heat_connections_input[#This Row],0,0,1),"-")</f>
        <v>-</v>
      </c>
      <c r="K212" s="260"/>
      <c r="L212" s="261"/>
      <c r="M212" s="262"/>
      <c r="N212" s="263"/>
      <c r="O212" s="264" t="str">
        <f>IF(Heat_connections[[#This Row],[Ref]]&lt;&gt;"-",
IF(M212=1,Dashboard!$C$26,IF(M212=2,Dashboard!$C$27,Dashboard!$C$28)),"-")</f>
        <v>-</v>
      </c>
      <c r="P212" s="341">
        <f>IF(Heat_connections[[#This Row],[Category]]="Domestic",Heat_connections[[#This Row],[No. of connections]],0)</f>
        <v>0</v>
      </c>
      <c r="Q212" s="341">
        <f>IF(Heat_connections[[#This Row],[Category]]&lt;&gt;"Domestic",Heat_connections[[#This Row],[No. of connections]],0)</f>
        <v>0</v>
      </c>
      <c r="R212" s="209"/>
      <c r="S212" s="512">
        <f>IF(Heat_connections[[#This Row],[TOID]]&lt;&gt;"-",
IF(ISBLANK('Heat connections'!$R212),Dashboard!$C$14,'Heat connections'!$R212),0)</f>
        <v>0</v>
      </c>
      <c r="T212" s="513">
        <f>IF(Heat_connections[[#This Row],[Peak Demand, kW]]&lt;&gt;0,'Heat connections'!$G212*Dashboard!$C$21,0)</f>
        <v>0</v>
      </c>
      <c r="U212" s="514">
        <f>IF(Heat_connections[[#This Row],[Ref]]&lt;&gt;"-",48.436*Heat_connections[[#This Row],[Peak Demand, kW]]+1068.7,0)</f>
        <v>0</v>
      </c>
      <c r="V212" s="515">
        <f>IF(Heat_connections[[#This Row],[Ref]]&lt;&gt;"-",
_xlfn.XLOOKUP('Heat connections'!$G212,'Technical inputs'!$F$79:$F$94,'Technical inputs'!$I$79:$I$94,0,1,1),0)</f>
        <v>0</v>
      </c>
      <c r="W212" s="429">
        <f>IF('Heat connections'!$E212="Domestic",1,0)</f>
        <v>0</v>
      </c>
      <c r="X212" s="430">
        <f>IF(AND(Heat_connections[[#This Row],[Ref]]&lt;&gt;"-",'Heat connections'!$E212&lt;&gt;"Domestic"),1,0)</f>
        <v>0</v>
      </c>
      <c r="Y212" s="434">
        <v>158</v>
      </c>
      <c r="Z212" s="438">
        <f>IF(Heat_connections[[#This Row],[Existing/planned development]]&lt;&gt;0,1,0)</f>
        <v>0</v>
      </c>
      <c r="AA212" s="430">
        <f>IF('Heat connections'!$M212=1,1,0)</f>
        <v>0</v>
      </c>
      <c r="AB212" s="430">
        <f>IF('Heat connections'!$M212=2,1,0)</f>
        <v>0</v>
      </c>
      <c r="AC212" s="434">
        <f>IF('Heat connections'!$M212=3,1,0)</f>
        <v>0</v>
      </c>
      <c r="AD212" s="46" t="str">
        <f>IF(AND(Heat_connections[[#This Row],[Connected to heat network]]="Yes",Heat_connections[[#This Row],[Ref]]&lt;&gt;"-"),"Yes","No")</f>
        <v>No</v>
      </c>
    </row>
    <row r="213" spans="3:30" ht="12.75" x14ac:dyDescent="0.2">
      <c r="C213" s="208" t="str" cm="1">
        <f t="array" ref="C213">IFERROR(_xlfn.XLOOKUP($C$3,Heat_connections_input[#Headers],Heat_connections_input[#This Row],0,0,),"-")</f>
        <v>-</v>
      </c>
      <c r="D213" s="323" t="str" cm="1">
        <f t="array" ref="D213">IFERROR(_xlfn.XLOOKUP($D$3,Heat_connections_input[#Headers],Heat_connections_input[#This Row],0,0,),"-")</f>
        <v>-</v>
      </c>
      <c r="E213" s="284" t="str" cm="1">
        <f t="array" ref="E213">IFERROR(_xlfn.XLOOKUP($E$3,Heat_connections_input[#Headers],Heat_connections_input[#This Row],0,0,),"-")</f>
        <v>-</v>
      </c>
      <c r="F213" s="259" cm="1">
        <f t="array" ref="F213">IFERROR(_xlfn.XLOOKUP($F$3,Heat_connections_input[#Headers],Heat_connections_input[#This Row],0,0,),0)</f>
        <v>0</v>
      </c>
      <c r="G213" s="259" cm="1">
        <f t="array" ref="G213">IFERROR(_xlfn.XLOOKUP($G$3,Heat_connections_input[#Headers],Heat_connections_input[#This Row],0,0,),0)</f>
        <v>0</v>
      </c>
      <c r="H213" s="341" cm="1">
        <f t="array" ref="H213">IFERROR(_xlfn.XLOOKUP($H$3,Heat_connections_input[#Headers],Heat_connections_input[#This Row],0,0,),0)</f>
        <v>0</v>
      </c>
      <c r="I213" s="326" t="str" cm="1">
        <f t="array" ref="I213">IFERROR(_xlfn.XLOOKUP($I$3,Heat_connections_input[#Headers],Heat_connections_input[#This Row],0,0,),"-")</f>
        <v>-</v>
      </c>
      <c r="J213" s="326" t="str" cm="1">
        <f t="array" ref="J213">IFERROR(_xlfn.XLOOKUP($J$3,Heat_connections_input[#Headers],Heat_connections_input[#This Row],0,0,1),"-")</f>
        <v>-</v>
      </c>
      <c r="K213" s="260"/>
      <c r="L213" s="261"/>
      <c r="M213" s="262"/>
      <c r="N213" s="263"/>
      <c r="O213" s="264" t="str">
        <f>IF(Heat_connections[[#This Row],[Ref]]&lt;&gt;"-",
IF(M213=1,Dashboard!$C$26,IF(M213=2,Dashboard!$C$27,Dashboard!$C$28)),"-")</f>
        <v>-</v>
      </c>
      <c r="P213" s="341">
        <f>IF(Heat_connections[[#This Row],[Category]]="Domestic",Heat_connections[[#This Row],[No. of connections]],0)</f>
        <v>0</v>
      </c>
      <c r="Q213" s="341">
        <f>IF(Heat_connections[[#This Row],[Category]]&lt;&gt;"Domestic",Heat_connections[[#This Row],[No. of connections]],0)</f>
        <v>0</v>
      </c>
      <c r="R213" s="209"/>
      <c r="S213" s="512">
        <f>IF(Heat_connections[[#This Row],[TOID]]&lt;&gt;"-",
IF(ISBLANK('Heat connections'!$R213),Dashboard!$C$14,'Heat connections'!$R213),0)</f>
        <v>0</v>
      </c>
      <c r="T213" s="513">
        <f>IF(Heat_connections[[#This Row],[Peak Demand, kW]]&lt;&gt;0,'Heat connections'!$G213*Dashboard!$C$21,0)</f>
        <v>0</v>
      </c>
      <c r="U213" s="514">
        <f>IF(Heat_connections[[#This Row],[Ref]]&lt;&gt;"-",48.436*Heat_connections[[#This Row],[Peak Demand, kW]]+1068.7,0)</f>
        <v>0</v>
      </c>
      <c r="V213" s="515">
        <f>IF(Heat_connections[[#This Row],[Ref]]&lt;&gt;"-",
_xlfn.XLOOKUP('Heat connections'!$G213,'Technical inputs'!$F$79:$F$94,'Technical inputs'!$I$79:$I$94,0,1,1),0)</f>
        <v>0</v>
      </c>
      <c r="W213" s="429">
        <f>IF('Heat connections'!$E213="Domestic",1,0)</f>
        <v>0</v>
      </c>
      <c r="X213" s="430">
        <f>IF(AND(Heat_connections[[#This Row],[Ref]]&lt;&gt;"-",'Heat connections'!$E213&lt;&gt;"Domestic"),1,0)</f>
        <v>0</v>
      </c>
      <c r="Y213" s="434">
        <v>159</v>
      </c>
      <c r="Z213" s="438">
        <f>IF(Heat_connections[[#This Row],[Existing/planned development]]&lt;&gt;0,1,0)</f>
        <v>0</v>
      </c>
      <c r="AA213" s="430">
        <f>IF('Heat connections'!$M213=1,1,0)</f>
        <v>0</v>
      </c>
      <c r="AB213" s="430">
        <f>IF('Heat connections'!$M213=2,1,0)</f>
        <v>0</v>
      </c>
      <c r="AC213" s="434">
        <f>IF('Heat connections'!$M213=3,1,0)</f>
        <v>0</v>
      </c>
      <c r="AD213" s="46" t="str">
        <f>IF(AND(Heat_connections[[#This Row],[Connected to heat network]]="Yes",Heat_connections[[#This Row],[Ref]]&lt;&gt;"-"),"Yes","No")</f>
        <v>No</v>
      </c>
    </row>
    <row r="214" spans="3:30" ht="12.75" x14ac:dyDescent="0.2">
      <c r="C214" s="208" t="str" cm="1">
        <f t="array" ref="C214">IFERROR(_xlfn.XLOOKUP($C$3,Heat_connections_input[#Headers],Heat_connections_input[#This Row],0,0,),"-")</f>
        <v>-</v>
      </c>
      <c r="D214" s="323" t="str" cm="1">
        <f t="array" ref="D214">IFERROR(_xlfn.XLOOKUP($D$3,Heat_connections_input[#Headers],Heat_connections_input[#This Row],0,0,),"-")</f>
        <v>-</v>
      </c>
      <c r="E214" s="284" t="str" cm="1">
        <f t="array" ref="E214">IFERROR(_xlfn.XLOOKUP($E$3,Heat_connections_input[#Headers],Heat_connections_input[#This Row],0,0,),"-")</f>
        <v>-</v>
      </c>
      <c r="F214" s="259" cm="1">
        <f t="array" ref="F214">IFERROR(_xlfn.XLOOKUP($F$3,Heat_connections_input[#Headers],Heat_connections_input[#This Row],0,0,),0)</f>
        <v>0</v>
      </c>
      <c r="G214" s="259" cm="1">
        <f t="array" ref="G214">IFERROR(_xlfn.XLOOKUP($G$3,Heat_connections_input[#Headers],Heat_connections_input[#This Row],0,0,),0)</f>
        <v>0</v>
      </c>
      <c r="H214" s="341" cm="1">
        <f t="array" ref="H214">IFERROR(_xlfn.XLOOKUP($H$3,Heat_connections_input[#Headers],Heat_connections_input[#This Row],0,0,),0)</f>
        <v>0</v>
      </c>
      <c r="I214" s="326" t="str" cm="1">
        <f t="array" ref="I214">IFERROR(_xlfn.XLOOKUP($I$3,Heat_connections_input[#Headers],Heat_connections_input[#This Row],0,0,),"-")</f>
        <v>-</v>
      </c>
      <c r="J214" s="326" t="str" cm="1">
        <f t="array" ref="J214">IFERROR(_xlfn.XLOOKUP($J$3,Heat_connections_input[#Headers],Heat_connections_input[#This Row],0,0,1),"-")</f>
        <v>-</v>
      </c>
      <c r="K214" s="260"/>
      <c r="L214" s="261"/>
      <c r="M214" s="262"/>
      <c r="N214" s="263"/>
      <c r="O214" s="264" t="str">
        <f>IF(Heat_connections[[#This Row],[Ref]]&lt;&gt;"-",
IF(M214=1,Dashboard!$C$26,IF(M214=2,Dashboard!$C$27,Dashboard!$C$28)),"-")</f>
        <v>-</v>
      </c>
      <c r="P214" s="341">
        <f>IF(Heat_connections[[#This Row],[Category]]="Domestic",Heat_connections[[#This Row],[No. of connections]],0)</f>
        <v>0</v>
      </c>
      <c r="Q214" s="341">
        <f>IF(Heat_connections[[#This Row],[Category]]&lt;&gt;"Domestic",Heat_connections[[#This Row],[No. of connections]],0)</f>
        <v>0</v>
      </c>
      <c r="R214" s="209"/>
      <c r="S214" s="512">
        <f>IF(Heat_connections[[#This Row],[TOID]]&lt;&gt;"-",
IF(ISBLANK('Heat connections'!$R214),Dashboard!$C$14,'Heat connections'!$R214),0)</f>
        <v>0</v>
      </c>
      <c r="T214" s="513">
        <f>IF(Heat_connections[[#This Row],[Peak Demand, kW]]&lt;&gt;0,'Heat connections'!$G214*Dashboard!$C$21,0)</f>
        <v>0</v>
      </c>
      <c r="U214" s="514">
        <f>IF(Heat_connections[[#This Row],[Ref]]&lt;&gt;"-",48.436*Heat_connections[[#This Row],[Peak Demand, kW]]+1068.7,0)</f>
        <v>0</v>
      </c>
      <c r="V214" s="515">
        <f>IF(Heat_connections[[#This Row],[Ref]]&lt;&gt;"-",
_xlfn.XLOOKUP('Heat connections'!$G214,'Technical inputs'!$F$79:$F$94,'Technical inputs'!$I$79:$I$94,0,1,1),0)</f>
        <v>0</v>
      </c>
      <c r="W214" s="429">
        <f>IF('Heat connections'!$E214="Domestic",1,0)</f>
        <v>0</v>
      </c>
      <c r="X214" s="430">
        <f>IF(AND(Heat_connections[[#This Row],[Ref]]&lt;&gt;"-",'Heat connections'!$E214&lt;&gt;"Domestic"),1,0)</f>
        <v>0</v>
      </c>
      <c r="Y214" s="434">
        <v>160</v>
      </c>
      <c r="Z214" s="438">
        <f>IF(Heat_connections[[#This Row],[Existing/planned development]]&lt;&gt;0,1,0)</f>
        <v>0</v>
      </c>
      <c r="AA214" s="430">
        <f>IF('Heat connections'!$M214=1,1,0)</f>
        <v>0</v>
      </c>
      <c r="AB214" s="430">
        <f>IF('Heat connections'!$M214=2,1,0)</f>
        <v>0</v>
      </c>
      <c r="AC214" s="434">
        <f>IF('Heat connections'!$M214=3,1,0)</f>
        <v>0</v>
      </c>
      <c r="AD214" s="46" t="str">
        <f>IF(AND(Heat_connections[[#This Row],[Connected to heat network]]="Yes",Heat_connections[[#This Row],[Ref]]&lt;&gt;"-"),"Yes","No")</f>
        <v>No</v>
      </c>
    </row>
    <row r="215" spans="3:30" ht="12.75" x14ac:dyDescent="0.2">
      <c r="C215" s="208" t="str" cm="1">
        <f t="array" ref="C215">IFERROR(_xlfn.XLOOKUP($C$3,Heat_connections_input[#Headers],Heat_connections_input[#This Row],0,0,),"-")</f>
        <v>-</v>
      </c>
      <c r="D215" s="323" t="str" cm="1">
        <f t="array" ref="D215">IFERROR(_xlfn.XLOOKUP($D$3,Heat_connections_input[#Headers],Heat_connections_input[#This Row],0,0,),"-")</f>
        <v>-</v>
      </c>
      <c r="E215" s="284" t="str" cm="1">
        <f t="array" ref="E215">IFERROR(_xlfn.XLOOKUP($E$3,Heat_connections_input[#Headers],Heat_connections_input[#This Row],0,0,),"-")</f>
        <v>-</v>
      </c>
      <c r="F215" s="259" cm="1">
        <f t="array" ref="F215">IFERROR(_xlfn.XLOOKUP($F$3,Heat_connections_input[#Headers],Heat_connections_input[#This Row],0,0,),0)</f>
        <v>0</v>
      </c>
      <c r="G215" s="259" cm="1">
        <f t="array" ref="G215">IFERROR(_xlfn.XLOOKUP($G$3,Heat_connections_input[#Headers],Heat_connections_input[#This Row],0,0,),0)</f>
        <v>0</v>
      </c>
      <c r="H215" s="341" cm="1">
        <f t="array" ref="H215">IFERROR(_xlfn.XLOOKUP($H$3,Heat_connections_input[#Headers],Heat_connections_input[#This Row],0,0,),0)</f>
        <v>0</v>
      </c>
      <c r="I215" s="326" t="str" cm="1">
        <f t="array" ref="I215">IFERROR(_xlfn.XLOOKUP($I$3,Heat_connections_input[#Headers],Heat_connections_input[#This Row],0,0,),"-")</f>
        <v>-</v>
      </c>
      <c r="J215" s="326" t="str" cm="1">
        <f t="array" ref="J215">IFERROR(_xlfn.XLOOKUP($J$3,Heat_connections_input[#Headers],Heat_connections_input[#This Row],0,0,1),"-")</f>
        <v>-</v>
      </c>
      <c r="K215" s="260"/>
      <c r="L215" s="261"/>
      <c r="M215" s="262"/>
      <c r="N215" s="263"/>
      <c r="O215" s="264" t="str">
        <f>IF(Heat_connections[[#This Row],[Ref]]&lt;&gt;"-",
IF(M215=1,Dashboard!$C$26,IF(M215=2,Dashboard!$C$27,Dashboard!$C$28)),"-")</f>
        <v>-</v>
      </c>
      <c r="P215" s="341">
        <f>IF(Heat_connections[[#This Row],[Category]]="Domestic",Heat_connections[[#This Row],[No. of connections]],0)</f>
        <v>0</v>
      </c>
      <c r="Q215" s="341">
        <f>IF(Heat_connections[[#This Row],[Category]]&lt;&gt;"Domestic",Heat_connections[[#This Row],[No. of connections]],0)</f>
        <v>0</v>
      </c>
      <c r="R215" s="209"/>
      <c r="S215" s="512">
        <f>IF(Heat_connections[[#This Row],[TOID]]&lt;&gt;"-",
IF(ISBLANK('Heat connections'!$R215),Dashboard!$C$14,'Heat connections'!$R215),0)</f>
        <v>0</v>
      </c>
      <c r="T215" s="513">
        <f>IF(Heat_connections[[#This Row],[Peak Demand, kW]]&lt;&gt;0,'Heat connections'!$G215*Dashboard!$C$21,0)</f>
        <v>0</v>
      </c>
      <c r="U215" s="514">
        <f>IF(Heat_connections[[#This Row],[Ref]]&lt;&gt;"-",48.436*Heat_connections[[#This Row],[Peak Demand, kW]]+1068.7,0)</f>
        <v>0</v>
      </c>
      <c r="V215" s="515">
        <f>IF(Heat_connections[[#This Row],[Ref]]&lt;&gt;"-",
_xlfn.XLOOKUP('Heat connections'!$G215,'Technical inputs'!$F$79:$F$94,'Technical inputs'!$I$79:$I$94,0,1,1),0)</f>
        <v>0</v>
      </c>
      <c r="W215" s="429">
        <f>IF('Heat connections'!$E215="Domestic",1,0)</f>
        <v>0</v>
      </c>
      <c r="X215" s="430">
        <f>IF(AND(Heat_connections[[#This Row],[Ref]]&lt;&gt;"-",'Heat connections'!$E215&lt;&gt;"Domestic"),1,0)</f>
        <v>0</v>
      </c>
      <c r="Y215" s="434">
        <v>161</v>
      </c>
      <c r="Z215" s="438">
        <f>IF(Heat_connections[[#This Row],[Existing/planned development]]&lt;&gt;0,1,0)</f>
        <v>0</v>
      </c>
      <c r="AA215" s="430">
        <f>IF('Heat connections'!$M215=1,1,0)</f>
        <v>0</v>
      </c>
      <c r="AB215" s="430">
        <f>IF('Heat connections'!$M215=2,1,0)</f>
        <v>0</v>
      </c>
      <c r="AC215" s="434">
        <f>IF('Heat connections'!$M215=3,1,0)</f>
        <v>0</v>
      </c>
      <c r="AD215" s="46" t="str">
        <f>IF(AND(Heat_connections[[#This Row],[Connected to heat network]]="Yes",Heat_connections[[#This Row],[Ref]]&lt;&gt;"-"),"Yes","No")</f>
        <v>No</v>
      </c>
    </row>
    <row r="216" spans="3:30" ht="12.75" x14ac:dyDescent="0.2">
      <c r="C216" s="208" t="str" cm="1">
        <f t="array" ref="C216">IFERROR(_xlfn.XLOOKUP($C$3,Heat_connections_input[#Headers],Heat_connections_input[#This Row],0,0,),"-")</f>
        <v>-</v>
      </c>
      <c r="D216" s="323" t="str" cm="1">
        <f t="array" ref="D216">IFERROR(_xlfn.XLOOKUP($D$3,Heat_connections_input[#Headers],Heat_connections_input[#This Row],0,0,),"-")</f>
        <v>-</v>
      </c>
      <c r="E216" s="284" t="str" cm="1">
        <f t="array" ref="E216">IFERROR(_xlfn.XLOOKUP($E$3,Heat_connections_input[#Headers],Heat_connections_input[#This Row],0,0,),"-")</f>
        <v>-</v>
      </c>
      <c r="F216" s="259" cm="1">
        <f t="array" ref="F216">IFERROR(_xlfn.XLOOKUP($F$3,Heat_connections_input[#Headers],Heat_connections_input[#This Row],0,0,),0)</f>
        <v>0</v>
      </c>
      <c r="G216" s="259" cm="1">
        <f t="array" ref="G216">IFERROR(_xlfn.XLOOKUP($G$3,Heat_connections_input[#Headers],Heat_connections_input[#This Row],0,0,),0)</f>
        <v>0</v>
      </c>
      <c r="H216" s="341" cm="1">
        <f t="array" ref="H216">IFERROR(_xlfn.XLOOKUP($H$3,Heat_connections_input[#Headers],Heat_connections_input[#This Row],0,0,),0)</f>
        <v>0</v>
      </c>
      <c r="I216" s="326" t="str" cm="1">
        <f t="array" ref="I216">IFERROR(_xlfn.XLOOKUP($I$3,Heat_connections_input[#Headers],Heat_connections_input[#This Row],0,0,),"-")</f>
        <v>-</v>
      </c>
      <c r="J216" s="326" t="str" cm="1">
        <f t="array" ref="J216">IFERROR(_xlfn.XLOOKUP($J$3,Heat_connections_input[#Headers],Heat_connections_input[#This Row],0,0,1),"-")</f>
        <v>-</v>
      </c>
      <c r="K216" s="260"/>
      <c r="L216" s="261"/>
      <c r="M216" s="262"/>
      <c r="N216" s="263"/>
      <c r="O216" s="264" t="str">
        <f>IF(Heat_connections[[#This Row],[Ref]]&lt;&gt;"-",
IF(M216=1,Dashboard!$C$26,IF(M216=2,Dashboard!$C$27,Dashboard!$C$28)),"-")</f>
        <v>-</v>
      </c>
      <c r="P216" s="341">
        <f>IF(Heat_connections[[#This Row],[Category]]="Domestic",Heat_connections[[#This Row],[No. of connections]],0)</f>
        <v>0</v>
      </c>
      <c r="Q216" s="341">
        <f>IF(Heat_connections[[#This Row],[Category]]&lt;&gt;"Domestic",Heat_connections[[#This Row],[No. of connections]],0)</f>
        <v>0</v>
      </c>
      <c r="R216" s="209"/>
      <c r="S216" s="512">
        <f>IF(Heat_connections[[#This Row],[TOID]]&lt;&gt;"-",
IF(ISBLANK('Heat connections'!$R216),Dashboard!$C$14,'Heat connections'!$R216),0)</f>
        <v>0</v>
      </c>
      <c r="T216" s="513">
        <f>IF(Heat_connections[[#This Row],[Peak Demand, kW]]&lt;&gt;0,'Heat connections'!$G216*Dashboard!$C$21,0)</f>
        <v>0</v>
      </c>
      <c r="U216" s="514">
        <f>IF(Heat_connections[[#This Row],[Ref]]&lt;&gt;"-",48.436*Heat_connections[[#This Row],[Peak Demand, kW]]+1068.7,0)</f>
        <v>0</v>
      </c>
      <c r="V216" s="515">
        <f>IF(Heat_connections[[#This Row],[Ref]]&lt;&gt;"-",
_xlfn.XLOOKUP('Heat connections'!$G216,'Technical inputs'!$F$79:$F$94,'Technical inputs'!$I$79:$I$94,0,1,1),0)</f>
        <v>0</v>
      </c>
      <c r="W216" s="429">
        <f>IF('Heat connections'!$E216="Domestic",1,0)</f>
        <v>0</v>
      </c>
      <c r="X216" s="430">
        <f>IF(AND(Heat_connections[[#This Row],[Ref]]&lt;&gt;"-",'Heat connections'!$E216&lt;&gt;"Domestic"),1,0)</f>
        <v>0</v>
      </c>
      <c r="Y216" s="434">
        <v>162</v>
      </c>
      <c r="Z216" s="438">
        <f>IF(Heat_connections[[#This Row],[Existing/planned development]]&lt;&gt;0,1,0)</f>
        <v>0</v>
      </c>
      <c r="AA216" s="430">
        <f>IF('Heat connections'!$M216=1,1,0)</f>
        <v>0</v>
      </c>
      <c r="AB216" s="430">
        <f>IF('Heat connections'!$M216=2,1,0)</f>
        <v>0</v>
      </c>
      <c r="AC216" s="434">
        <f>IF('Heat connections'!$M216=3,1,0)</f>
        <v>0</v>
      </c>
      <c r="AD216" s="46" t="str">
        <f>IF(AND(Heat_connections[[#This Row],[Connected to heat network]]="Yes",Heat_connections[[#This Row],[Ref]]&lt;&gt;"-"),"Yes","No")</f>
        <v>No</v>
      </c>
    </row>
    <row r="217" spans="3:30" ht="12.75" x14ac:dyDescent="0.2">
      <c r="C217" s="208" t="str" cm="1">
        <f t="array" ref="C217">IFERROR(_xlfn.XLOOKUP($C$3,Heat_connections_input[#Headers],Heat_connections_input[#This Row],0,0,),"-")</f>
        <v>-</v>
      </c>
      <c r="D217" s="323" t="str" cm="1">
        <f t="array" ref="D217">IFERROR(_xlfn.XLOOKUP($D$3,Heat_connections_input[#Headers],Heat_connections_input[#This Row],0,0,),"-")</f>
        <v>-</v>
      </c>
      <c r="E217" s="284" t="str" cm="1">
        <f t="array" ref="E217">IFERROR(_xlfn.XLOOKUP($E$3,Heat_connections_input[#Headers],Heat_connections_input[#This Row],0,0,),"-")</f>
        <v>-</v>
      </c>
      <c r="F217" s="259" cm="1">
        <f t="array" ref="F217">IFERROR(_xlfn.XLOOKUP($F$3,Heat_connections_input[#Headers],Heat_connections_input[#This Row],0,0,),0)</f>
        <v>0</v>
      </c>
      <c r="G217" s="259" cm="1">
        <f t="array" ref="G217">IFERROR(_xlfn.XLOOKUP($G$3,Heat_connections_input[#Headers],Heat_connections_input[#This Row],0,0,),0)</f>
        <v>0</v>
      </c>
      <c r="H217" s="341" cm="1">
        <f t="array" ref="H217">IFERROR(_xlfn.XLOOKUP($H$3,Heat_connections_input[#Headers],Heat_connections_input[#This Row],0,0,),0)</f>
        <v>0</v>
      </c>
      <c r="I217" s="326" t="str" cm="1">
        <f t="array" ref="I217">IFERROR(_xlfn.XLOOKUP($I$3,Heat_connections_input[#Headers],Heat_connections_input[#This Row],0,0,),"-")</f>
        <v>-</v>
      </c>
      <c r="J217" s="326" t="str" cm="1">
        <f t="array" ref="J217">IFERROR(_xlfn.XLOOKUP($J$3,Heat_connections_input[#Headers],Heat_connections_input[#This Row],0,0,1),"-")</f>
        <v>-</v>
      </c>
      <c r="K217" s="260"/>
      <c r="L217" s="261"/>
      <c r="M217" s="262"/>
      <c r="N217" s="263"/>
      <c r="O217" s="264" t="str">
        <f>IF(Heat_connections[[#This Row],[Ref]]&lt;&gt;"-",
IF(M217=1,Dashboard!$C$26,IF(M217=2,Dashboard!$C$27,Dashboard!$C$28)),"-")</f>
        <v>-</v>
      </c>
      <c r="P217" s="341">
        <f>IF(Heat_connections[[#This Row],[Category]]="Domestic",Heat_connections[[#This Row],[No. of connections]],0)</f>
        <v>0</v>
      </c>
      <c r="Q217" s="341">
        <f>IF(Heat_connections[[#This Row],[Category]]&lt;&gt;"Domestic",Heat_connections[[#This Row],[No. of connections]],0)</f>
        <v>0</v>
      </c>
      <c r="R217" s="209"/>
      <c r="S217" s="512">
        <f>IF(Heat_connections[[#This Row],[TOID]]&lt;&gt;"-",
IF(ISBLANK('Heat connections'!$R217),Dashboard!$C$14,'Heat connections'!$R217),0)</f>
        <v>0</v>
      </c>
      <c r="T217" s="513">
        <f>IF(Heat_connections[[#This Row],[Peak Demand, kW]]&lt;&gt;0,'Heat connections'!$G217*Dashboard!$C$21,0)</f>
        <v>0</v>
      </c>
      <c r="U217" s="514">
        <f>IF(Heat_connections[[#This Row],[Ref]]&lt;&gt;"-",48.436*Heat_connections[[#This Row],[Peak Demand, kW]]+1068.7,0)</f>
        <v>0</v>
      </c>
      <c r="V217" s="515">
        <f>IF(Heat_connections[[#This Row],[Ref]]&lt;&gt;"-",
_xlfn.XLOOKUP('Heat connections'!$G217,'Technical inputs'!$F$79:$F$94,'Technical inputs'!$I$79:$I$94,0,1,1),0)</f>
        <v>0</v>
      </c>
      <c r="W217" s="429">
        <f>IF('Heat connections'!$E217="Domestic",1,0)</f>
        <v>0</v>
      </c>
      <c r="X217" s="430">
        <f>IF(AND(Heat_connections[[#This Row],[Ref]]&lt;&gt;"-",'Heat connections'!$E217&lt;&gt;"Domestic"),1,0)</f>
        <v>0</v>
      </c>
      <c r="Y217" s="434">
        <v>163</v>
      </c>
      <c r="Z217" s="438">
        <f>IF(Heat_connections[[#This Row],[Existing/planned development]]&lt;&gt;0,1,0)</f>
        <v>0</v>
      </c>
      <c r="AA217" s="430">
        <f>IF('Heat connections'!$M217=1,1,0)</f>
        <v>0</v>
      </c>
      <c r="AB217" s="430">
        <f>IF('Heat connections'!$M217=2,1,0)</f>
        <v>0</v>
      </c>
      <c r="AC217" s="434">
        <f>IF('Heat connections'!$M217=3,1,0)</f>
        <v>0</v>
      </c>
      <c r="AD217" s="46" t="str">
        <f>IF(AND(Heat_connections[[#This Row],[Connected to heat network]]="Yes",Heat_connections[[#This Row],[Ref]]&lt;&gt;"-"),"Yes","No")</f>
        <v>No</v>
      </c>
    </row>
    <row r="218" spans="3:30" ht="12.75" x14ac:dyDescent="0.2">
      <c r="C218" s="208" t="str" cm="1">
        <f t="array" ref="C218">IFERROR(_xlfn.XLOOKUP($C$3,Heat_connections_input[#Headers],Heat_connections_input[#This Row],0,0,),"-")</f>
        <v>-</v>
      </c>
      <c r="D218" s="323" t="str" cm="1">
        <f t="array" ref="D218">IFERROR(_xlfn.XLOOKUP($D$3,Heat_connections_input[#Headers],Heat_connections_input[#This Row],0,0,),"-")</f>
        <v>-</v>
      </c>
      <c r="E218" s="284" t="str" cm="1">
        <f t="array" ref="E218">IFERROR(_xlfn.XLOOKUP($E$3,Heat_connections_input[#Headers],Heat_connections_input[#This Row],0,0,),"-")</f>
        <v>-</v>
      </c>
      <c r="F218" s="259" cm="1">
        <f t="array" ref="F218">IFERROR(_xlfn.XLOOKUP($F$3,Heat_connections_input[#Headers],Heat_connections_input[#This Row],0,0,),0)</f>
        <v>0</v>
      </c>
      <c r="G218" s="259" cm="1">
        <f t="array" ref="G218">IFERROR(_xlfn.XLOOKUP($G$3,Heat_connections_input[#Headers],Heat_connections_input[#This Row],0,0,),0)</f>
        <v>0</v>
      </c>
      <c r="H218" s="341" cm="1">
        <f t="array" ref="H218">IFERROR(_xlfn.XLOOKUP($H$3,Heat_connections_input[#Headers],Heat_connections_input[#This Row],0,0,),0)</f>
        <v>0</v>
      </c>
      <c r="I218" s="326" t="str" cm="1">
        <f t="array" ref="I218">IFERROR(_xlfn.XLOOKUP($I$3,Heat_connections_input[#Headers],Heat_connections_input[#This Row],0,0,),"-")</f>
        <v>-</v>
      </c>
      <c r="J218" s="326" t="str" cm="1">
        <f t="array" ref="J218">IFERROR(_xlfn.XLOOKUP($J$3,Heat_connections_input[#Headers],Heat_connections_input[#This Row],0,0,1),"-")</f>
        <v>-</v>
      </c>
      <c r="K218" s="260"/>
      <c r="L218" s="261"/>
      <c r="M218" s="262"/>
      <c r="N218" s="263"/>
      <c r="O218" s="264" t="str">
        <f>IF(Heat_connections[[#This Row],[Ref]]&lt;&gt;"-",
IF(M218=1,Dashboard!$C$26,IF(M218=2,Dashboard!$C$27,Dashboard!$C$28)),"-")</f>
        <v>-</v>
      </c>
      <c r="P218" s="341">
        <f>IF(Heat_connections[[#This Row],[Category]]="Domestic",Heat_connections[[#This Row],[No. of connections]],0)</f>
        <v>0</v>
      </c>
      <c r="Q218" s="341">
        <f>IF(Heat_connections[[#This Row],[Category]]&lt;&gt;"Domestic",Heat_connections[[#This Row],[No. of connections]],0)</f>
        <v>0</v>
      </c>
      <c r="R218" s="209"/>
      <c r="S218" s="512">
        <f>IF(Heat_connections[[#This Row],[TOID]]&lt;&gt;"-",
IF(ISBLANK('Heat connections'!$R218),Dashboard!$C$14,'Heat connections'!$R218),0)</f>
        <v>0</v>
      </c>
      <c r="T218" s="513">
        <f>IF(Heat_connections[[#This Row],[Peak Demand, kW]]&lt;&gt;0,'Heat connections'!$G218*Dashboard!$C$21,0)</f>
        <v>0</v>
      </c>
      <c r="U218" s="514">
        <f>IF(Heat_connections[[#This Row],[Ref]]&lt;&gt;"-",48.436*Heat_connections[[#This Row],[Peak Demand, kW]]+1068.7,0)</f>
        <v>0</v>
      </c>
      <c r="V218" s="515">
        <f>IF(Heat_connections[[#This Row],[Ref]]&lt;&gt;"-",
_xlfn.XLOOKUP('Heat connections'!$G218,'Technical inputs'!$F$79:$F$94,'Technical inputs'!$I$79:$I$94,0,1,1),0)</f>
        <v>0</v>
      </c>
      <c r="W218" s="429">
        <f>IF('Heat connections'!$E218="Domestic",1,0)</f>
        <v>0</v>
      </c>
      <c r="X218" s="430">
        <f>IF(AND(Heat_connections[[#This Row],[Ref]]&lt;&gt;"-",'Heat connections'!$E218&lt;&gt;"Domestic"),1,0)</f>
        <v>0</v>
      </c>
      <c r="Y218" s="434">
        <v>164</v>
      </c>
      <c r="Z218" s="438">
        <f>IF(Heat_connections[[#This Row],[Existing/planned development]]&lt;&gt;0,1,0)</f>
        <v>0</v>
      </c>
      <c r="AA218" s="430">
        <f>IF('Heat connections'!$M218=1,1,0)</f>
        <v>0</v>
      </c>
      <c r="AB218" s="430">
        <f>IF('Heat connections'!$M218=2,1,0)</f>
        <v>0</v>
      </c>
      <c r="AC218" s="434">
        <f>IF('Heat connections'!$M218=3,1,0)</f>
        <v>0</v>
      </c>
      <c r="AD218" s="46" t="str">
        <f>IF(AND(Heat_connections[[#This Row],[Connected to heat network]]="Yes",Heat_connections[[#This Row],[Ref]]&lt;&gt;"-"),"Yes","No")</f>
        <v>No</v>
      </c>
    </row>
    <row r="219" spans="3:30" ht="12.75" x14ac:dyDescent="0.2">
      <c r="C219" s="208" t="str" cm="1">
        <f t="array" ref="C219">IFERROR(_xlfn.XLOOKUP($C$3,Heat_connections_input[#Headers],Heat_connections_input[#This Row],0,0,),"-")</f>
        <v>-</v>
      </c>
      <c r="D219" s="323" t="str" cm="1">
        <f t="array" ref="D219">IFERROR(_xlfn.XLOOKUP($D$3,Heat_connections_input[#Headers],Heat_connections_input[#This Row],0,0,),"-")</f>
        <v>-</v>
      </c>
      <c r="E219" s="284" t="str" cm="1">
        <f t="array" ref="E219">IFERROR(_xlfn.XLOOKUP($E$3,Heat_connections_input[#Headers],Heat_connections_input[#This Row],0,0,),"-")</f>
        <v>-</v>
      </c>
      <c r="F219" s="259" cm="1">
        <f t="array" ref="F219">IFERROR(_xlfn.XLOOKUP($F$3,Heat_connections_input[#Headers],Heat_connections_input[#This Row],0,0,),0)</f>
        <v>0</v>
      </c>
      <c r="G219" s="259" cm="1">
        <f t="array" ref="G219">IFERROR(_xlfn.XLOOKUP($G$3,Heat_connections_input[#Headers],Heat_connections_input[#This Row],0,0,),0)</f>
        <v>0</v>
      </c>
      <c r="H219" s="341" cm="1">
        <f t="array" ref="H219">IFERROR(_xlfn.XLOOKUP($H$3,Heat_connections_input[#Headers],Heat_connections_input[#This Row],0,0,),0)</f>
        <v>0</v>
      </c>
      <c r="I219" s="326" t="str" cm="1">
        <f t="array" ref="I219">IFERROR(_xlfn.XLOOKUP($I$3,Heat_connections_input[#Headers],Heat_connections_input[#This Row],0,0,),"-")</f>
        <v>-</v>
      </c>
      <c r="J219" s="326" t="str" cm="1">
        <f t="array" ref="J219">IFERROR(_xlfn.XLOOKUP($J$3,Heat_connections_input[#Headers],Heat_connections_input[#This Row],0,0,1),"-")</f>
        <v>-</v>
      </c>
      <c r="K219" s="260"/>
      <c r="L219" s="261"/>
      <c r="M219" s="262"/>
      <c r="N219" s="263"/>
      <c r="O219" s="264" t="str">
        <f>IF(Heat_connections[[#This Row],[Ref]]&lt;&gt;"-",
IF(M219=1,Dashboard!$C$26,IF(M219=2,Dashboard!$C$27,Dashboard!$C$28)),"-")</f>
        <v>-</v>
      </c>
      <c r="P219" s="341">
        <f>IF(Heat_connections[[#This Row],[Category]]="Domestic",Heat_connections[[#This Row],[No. of connections]],0)</f>
        <v>0</v>
      </c>
      <c r="Q219" s="341">
        <f>IF(Heat_connections[[#This Row],[Category]]&lt;&gt;"Domestic",Heat_connections[[#This Row],[No. of connections]],0)</f>
        <v>0</v>
      </c>
      <c r="R219" s="209"/>
      <c r="S219" s="512">
        <f>IF(Heat_connections[[#This Row],[TOID]]&lt;&gt;"-",
IF(ISBLANK('Heat connections'!$R219),Dashboard!$C$14,'Heat connections'!$R219),0)</f>
        <v>0</v>
      </c>
      <c r="T219" s="513">
        <f>IF(Heat_connections[[#This Row],[Peak Demand, kW]]&lt;&gt;0,'Heat connections'!$G219*Dashboard!$C$21,0)</f>
        <v>0</v>
      </c>
      <c r="U219" s="514">
        <f>IF(Heat_connections[[#This Row],[Ref]]&lt;&gt;"-",48.436*Heat_connections[[#This Row],[Peak Demand, kW]]+1068.7,0)</f>
        <v>0</v>
      </c>
      <c r="V219" s="515">
        <f>IF(Heat_connections[[#This Row],[Ref]]&lt;&gt;"-",
_xlfn.XLOOKUP('Heat connections'!$G219,'Technical inputs'!$F$79:$F$94,'Technical inputs'!$I$79:$I$94,0,1,1),0)</f>
        <v>0</v>
      </c>
      <c r="W219" s="429">
        <f>IF('Heat connections'!$E219="Domestic",1,0)</f>
        <v>0</v>
      </c>
      <c r="X219" s="430">
        <f>IF(AND(Heat_connections[[#This Row],[Ref]]&lt;&gt;"-",'Heat connections'!$E219&lt;&gt;"Domestic"),1,0)</f>
        <v>0</v>
      </c>
      <c r="Y219" s="434">
        <v>165</v>
      </c>
      <c r="Z219" s="438">
        <f>IF(Heat_connections[[#This Row],[Existing/planned development]]&lt;&gt;0,1,0)</f>
        <v>0</v>
      </c>
      <c r="AA219" s="430">
        <f>IF('Heat connections'!$M219=1,1,0)</f>
        <v>0</v>
      </c>
      <c r="AB219" s="430">
        <f>IF('Heat connections'!$M219=2,1,0)</f>
        <v>0</v>
      </c>
      <c r="AC219" s="434">
        <f>IF('Heat connections'!$M219=3,1,0)</f>
        <v>0</v>
      </c>
      <c r="AD219" s="46" t="str">
        <f>IF(AND(Heat_connections[[#This Row],[Connected to heat network]]="Yes",Heat_connections[[#This Row],[Ref]]&lt;&gt;"-"),"Yes","No")</f>
        <v>No</v>
      </c>
    </row>
    <row r="220" spans="3:30" ht="12.75" x14ac:dyDescent="0.2">
      <c r="C220" s="208" t="str" cm="1">
        <f t="array" ref="C220">IFERROR(_xlfn.XLOOKUP($C$3,Heat_connections_input[#Headers],Heat_connections_input[#This Row],0,0,),"-")</f>
        <v>-</v>
      </c>
      <c r="D220" s="323" t="str" cm="1">
        <f t="array" ref="D220">IFERROR(_xlfn.XLOOKUP($D$3,Heat_connections_input[#Headers],Heat_connections_input[#This Row],0,0,),"-")</f>
        <v>-</v>
      </c>
      <c r="E220" s="284" t="str" cm="1">
        <f t="array" ref="E220">IFERROR(_xlfn.XLOOKUP($E$3,Heat_connections_input[#Headers],Heat_connections_input[#This Row],0,0,),"-")</f>
        <v>-</v>
      </c>
      <c r="F220" s="259" cm="1">
        <f t="array" ref="F220">IFERROR(_xlfn.XLOOKUP($F$3,Heat_connections_input[#Headers],Heat_connections_input[#This Row],0,0,),0)</f>
        <v>0</v>
      </c>
      <c r="G220" s="259" cm="1">
        <f t="array" ref="G220">IFERROR(_xlfn.XLOOKUP($G$3,Heat_connections_input[#Headers],Heat_connections_input[#This Row],0,0,),0)</f>
        <v>0</v>
      </c>
      <c r="H220" s="341" cm="1">
        <f t="array" ref="H220">IFERROR(_xlfn.XLOOKUP($H$3,Heat_connections_input[#Headers],Heat_connections_input[#This Row],0,0,),0)</f>
        <v>0</v>
      </c>
      <c r="I220" s="326" t="str" cm="1">
        <f t="array" ref="I220">IFERROR(_xlfn.XLOOKUP($I$3,Heat_connections_input[#Headers],Heat_connections_input[#This Row],0,0,),"-")</f>
        <v>-</v>
      </c>
      <c r="J220" s="326" t="str" cm="1">
        <f t="array" ref="J220">IFERROR(_xlfn.XLOOKUP($J$3,Heat_connections_input[#Headers],Heat_connections_input[#This Row],0,0,1),"-")</f>
        <v>-</v>
      </c>
      <c r="K220" s="260"/>
      <c r="L220" s="261"/>
      <c r="M220" s="262"/>
      <c r="N220" s="263"/>
      <c r="O220" s="264" t="str">
        <f>IF(Heat_connections[[#This Row],[Ref]]&lt;&gt;"-",
IF(M220=1,Dashboard!$C$26,IF(M220=2,Dashboard!$C$27,Dashboard!$C$28)),"-")</f>
        <v>-</v>
      </c>
      <c r="P220" s="341">
        <f>IF(Heat_connections[[#This Row],[Category]]="Domestic",Heat_connections[[#This Row],[No. of connections]],0)</f>
        <v>0</v>
      </c>
      <c r="Q220" s="341">
        <f>IF(Heat_connections[[#This Row],[Category]]&lt;&gt;"Domestic",Heat_connections[[#This Row],[No. of connections]],0)</f>
        <v>0</v>
      </c>
      <c r="R220" s="209"/>
      <c r="S220" s="512">
        <f>IF(Heat_connections[[#This Row],[TOID]]&lt;&gt;"-",
IF(ISBLANK('Heat connections'!$R220),Dashboard!$C$14,'Heat connections'!$R220),0)</f>
        <v>0</v>
      </c>
      <c r="T220" s="513">
        <f>IF(Heat_connections[[#This Row],[Peak Demand, kW]]&lt;&gt;0,'Heat connections'!$G220*Dashboard!$C$21,0)</f>
        <v>0</v>
      </c>
      <c r="U220" s="514">
        <f>IF(Heat_connections[[#This Row],[Ref]]&lt;&gt;"-",48.436*Heat_connections[[#This Row],[Peak Demand, kW]]+1068.7,0)</f>
        <v>0</v>
      </c>
      <c r="V220" s="515">
        <f>IF(Heat_connections[[#This Row],[Ref]]&lt;&gt;"-",
_xlfn.XLOOKUP('Heat connections'!$G220,'Technical inputs'!$F$79:$F$94,'Technical inputs'!$I$79:$I$94,0,1,1),0)</f>
        <v>0</v>
      </c>
      <c r="W220" s="429">
        <f>IF('Heat connections'!$E220="Domestic",1,0)</f>
        <v>0</v>
      </c>
      <c r="X220" s="430">
        <f>IF(AND(Heat_connections[[#This Row],[Ref]]&lt;&gt;"-",'Heat connections'!$E220&lt;&gt;"Domestic"),1,0)</f>
        <v>0</v>
      </c>
      <c r="Y220" s="434">
        <v>166</v>
      </c>
      <c r="Z220" s="438">
        <f>IF(Heat_connections[[#This Row],[Existing/planned development]]&lt;&gt;0,1,0)</f>
        <v>0</v>
      </c>
      <c r="AA220" s="430">
        <f>IF('Heat connections'!$M220=1,1,0)</f>
        <v>0</v>
      </c>
      <c r="AB220" s="430">
        <f>IF('Heat connections'!$M220=2,1,0)</f>
        <v>0</v>
      </c>
      <c r="AC220" s="434">
        <f>IF('Heat connections'!$M220=3,1,0)</f>
        <v>0</v>
      </c>
      <c r="AD220" s="46" t="str">
        <f>IF(AND(Heat_connections[[#This Row],[Connected to heat network]]="Yes",Heat_connections[[#This Row],[Ref]]&lt;&gt;"-"),"Yes","No")</f>
        <v>No</v>
      </c>
    </row>
    <row r="221" spans="3:30" ht="12.75" x14ac:dyDescent="0.2">
      <c r="C221" s="208" t="str" cm="1">
        <f t="array" ref="C221">IFERROR(_xlfn.XLOOKUP($C$3,Heat_connections_input[#Headers],Heat_connections_input[#This Row],0,0,),"-")</f>
        <v>-</v>
      </c>
      <c r="D221" s="323" t="str" cm="1">
        <f t="array" ref="D221">IFERROR(_xlfn.XLOOKUP($D$3,Heat_connections_input[#Headers],Heat_connections_input[#This Row],0,0,),"-")</f>
        <v>-</v>
      </c>
      <c r="E221" s="284" t="str" cm="1">
        <f t="array" ref="E221">IFERROR(_xlfn.XLOOKUP($E$3,Heat_connections_input[#Headers],Heat_connections_input[#This Row],0,0,),"-")</f>
        <v>-</v>
      </c>
      <c r="F221" s="259" cm="1">
        <f t="array" ref="F221">IFERROR(_xlfn.XLOOKUP($F$3,Heat_connections_input[#Headers],Heat_connections_input[#This Row],0,0,),0)</f>
        <v>0</v>
      </c>
      <c r="G221" s="259" cm="1">
        <f t="array" ref="G221">IFERROR(_xlfn.XLOOKUP($G$3,Heat_connections_input[#Headers],Heat_connections_input[#This Row],0,0,),0)</f>
        <v>0</v>
      </c>
      <c r="H221" s="341" cm="1">
        <f t="array" ref="H221">IFERROR(_xlfn.XLOOKUP($H$3,Heat_connections_input[#Headers],Heat_connections_input[#This Row],0,0,),0)</f>
        <v>0</v>
      </c>
      <c r="I221" s="326" t="str" cm="1">
        <f t="array" ref="I221">IFERROR(_xlfn.XLOOKUP($I$3,Heat_connections_input[#Headers],Heat_connections_input[#This Row],0,0,),"-")</f>
        <v>-</v>
      </c>
      <c r="J221" s="326" t="str" cm="1">
        <f t="array" ref="J221">IFERROR(_xlfn.XLOOKUP($J$3,Heat_connections_input[#Headers],Heat_connections_input[#This Row],0,0,1),"-")</f>
        <v>-</v>
      </c>
      <c r="K221" s="260"/>
      <c r="L221" s="261"/>
      <c r="M221" s="262"/>
      <c r="N221" s="263"/>
      <c r="O221" s="264" t="str">
        <f>IF(Heat_connections[[#This Row],[Ref]]&lt;&gt;"-",
IF(M221=1,Dashboard!$C$26,IF(M221=2,Dashboard!$C$27,Dashboard!$C$28)),"-")</f>
        <v>-</v>
      </c>
      <c r="P221" s="341">
        <f>IF(Heat_connections[[#This Row],[Category]]="Domestic",Heat_connections[[#This Row],[No. of connections]],0)</f>
        <v>0</v>
      </c>
      <c r="Q221" s="341">
        <f>IF(Heat_connections[[#This Row],[Category]]&lt;&gt;"Domestic",Heat_connections[[#This Row],[No. of connections]],0)</f>
        <v>0</v>
      </c>
      <c r="R221" s="209"/>
      <c r="S221" s="512">
        <f>IF(Heat_connections[[#This Row],[TOID]]&lt;&gt;"-",
IF(ISBLANK('Heat connections'!$R221),Dashboard!$C$14,'Heat connections'!$R221),0)</f>
        <v>0</v>
      </c>
      <c r="T221" s="513">
        <f>IF(Heat_connections[[#This Row],[Peak Demand, kW]]&lt;&gt;0,'Heat connections'!$G221*Dashboard!$C$21,0)</f>
        <v>0</v>
      </c>
      <c r="U221" s="514">
        <f>IF(Heat_connections[[#This Row],[Ref]]&lt;&gt;"-",48.436*Heat_connections[[#This Row],[Peak Demand, kW]]+1068.7,0)</f>
        <v>0</v>
      </c>
      <c r="V221" s="515">
        <f>IF(Heat_connections[[#This Row],[Ref]]&lt;&gt;"-",
_xlfn.XLOOKUP('Heat connections'!$G221,'Technical inputs'!$F$79:$F$94,'Technical inputs'!$I$79:$I$94,0,1,1),0)</f>
        <v>0</v>
      </c>
      <c r="W221" s="429">
        <f>IF('Heat connections'!$E221="Domestic",1,0)</f>
        <v>0</v>
      </c>
      <c r="X221" s="430">
        <f>IF(AND(Heat_connections[[#This Row],[Ref]]&lt;&gt;"-",'Heat connections'!$E221&lt;&gt;"Domestic"),1,0)</f>
        <v>0</v>
      </c>
      <c r="Y221" s="434">
        <v>167</v>
      </c>
      <c r="Z221" s="438">
        <f>IF(Heat_connections[[#This Row],[Existing/planned development]]&lt;&gt;0,1,0)</f>
        <v>0</v>
      </c>
      <c r="AA221" s="430">
        <f>IF('Heat connections'!$M221=1,1,0)</f>
        <v>0</v>
      </c>
      <c r="AB221" s="430">
        <f>IF('Heat connections'!$M221=2,1,0)</f>
        <v>0</v>
      </c>
      <c r="AC221" s="434">
        <f>IF('Heat connections'!$M221=3,1,0)</f>
        <v>0</v>
      </c>
      <c r="AD221" s="46" t="str">
        <f>IF(AND(Heat_connections[[#This Row],[Connected to heat network]]="Yes",Heat_connections[[#This Row],[Ref]]&lt;&gt;"-"),"Yes","No")</f>
        <v>No</v>
      </c>
    </row>
    <row r="222" spans="3:30" ht="12.75" x14ac:dyDescent="0.2">
      <c r="C222" s="208" t="str" cm="1">
        <f t="array" ref="C222">IFERROR(_xlfn.XLOOKUP($C$3,Heat_connections_input[#Headers],Heat_connections_input[#This Row],0,0,),"-")</f>
        <v>-</v>
      </c>
      <c r="D222" s="323" t="str" cm="1">
        <f t="array" ref="D222">IFERROR(_xlfn.XLOOKUP($D$3,Heat_connections_input[#Headers],Heat_connections_input[#This Row],0,0,),"-")</f>
        <v>-</v>
      </c>
      <c r="E222" s="284" t="str" cm="1">
        <f t="array" ref="E222">IFERROR(_xlfn.XLOOKUP($E$3,Heat_connections_input[#Headers],Heat_connections_input[#This Row],0,0,),"-")</f>
        <v>-</v>
      </c>
      <c r="F222" s="259" cm="1">
        <f t="array" ref="F222">IFERROR(_xlfn.XLOOKUP($F$3,Heat_connections_input[#Headers],Heat_connections_input[#This Row],0,0,),0)</f>
        <v>0</v>
      </c>
      <c r="G222" s="259" cm="1">
        <f t="array" ref="G222">IFERROR(_xlfn.XLOOKUP($G$3,Heat_connections_input[#Headers],Heat_connections_input[#This Row],0,0,),0)</f>
        <v>0</v>
      </c>
      <c r="H222" s="341" cm="1">
        <f t="array" ref="H222">IFERROR(_xlfn.XLOOKUP($H$3,Heat_connections_input[#Headers],Heat_connections_input[#This Row],0,0,),0)</f>
        <v>0</v>
      </c>
      <c r="I222" s="326" t="str" cm="1">
        <f t="array" ref="I222">IFERROR(_xlfn.XLOOKUP($I$3,Heat_connections_input[#Headers],Heat_connections_input[#This Row],0,0,),"-")</f>
        <v>-</v>
      </c>
      <c r="J222" s="326" t="str" cm="1">
        <f t="array" ref="J222">IFERROR(_xlfn.XLOOKUP($J$3,Heat_connections_input[#Headers],Heat_connections_input[#This Row],0,0,1),"-")</f>
        <v>-</v>
      </c>
      <c r="K222" s="260"/>
      <c r="L222" s="261"/>
      <c r="M222" s="262"/>
      <c r="N222" s="263"/>
      <c r="O222" s="264" t="str">
        <f>IF(Heat_connections[[#This Row],[Ref]]&lt;&gt;"-",
IF(M222=1,Dashboard!$C$26,IF(M222=2,Dashboard!$C$27,Dashboard!$C$28)),"-")</f>
        <v>-</v>
      </c>
      <c r="P222" s="341">
        <f>IF(Heat_connections[[#This Row],[Category]]="Domestic",Heat_connections[[#This Row],[No. of connections]],0)</f>
        <v>0</v>
      </c>
      <c r="Q222" s="341">
        <f>IF(Heat_connections[[#This Row],[Category]]&lt;&gt;"Domestic",Heat_connections[[#This Row],[No. of connections]],0)</f>
        <v>0</v>
      </c>
      <c r="R222" s="209"/>
      <c r="S222" s="512">
        <f>IF(Heat_connections[[#This Row],[TOID]]&lt;&gt;"-",
IF(ISBLANK('Heat connections'!$R222),Dashboard!$C$14,'Heat connections'!$R222),0)</f>
        <v>0</v>
      </c>
      <c r="T222" s="513">
        <f>IF(Heat_connections[[#This Row],[Peak Demand, kW]]&lt;&gt;0,'Heat connections'!$G222*Dashboard!$C$21,0)</f>
        <v>0</v>
      </c>
      <c r="U222" s="514">
        <f>IF(Heat_connections[[#This Row],[Ref]]&lt;&gt;"-",48.436*Heat_connections[[#This Row],[Peak Demand, kW]]+1068.7,0)</f>
        <v>0</v>
      </c>
      <c r="V222" s="515">
        <f>IF(Heat_connections[[#This Row],[Ref]]&lt;&gt;"-",
_xlfn.XLOOKUP('Heat connections'!$G222,'Technical inputs'!$F$79:$F$94,'Technical inputs'!$I$79:$I$94,0,1,1),0)</f>
        <v>0</v>
      </c>
      <c r="W222" s="429">
        <f>IF('Heat connections'!$E222="Domestic",1,0)</f>
        <v>0</v>
      </c>
      <c r="X222" s="430">
        <f>IF(AND(Heat_connections[[#This Row],[Ref]]&lt;&gt;"-",'Heat connections'!$E222&lt;&gt;"Domestic"),1,0)</f>
        <v>0</v>
      </c>
      <c r="Y222" s="434">
        <v>168</v>
      </c>
      <c r="Z222" s="438">
        <f>IF(Heat_connections[[#This Row],[Existing/planned development]]&lt;&gt;0,1,0)</f>
        <v>0</v>
      </c>
      <c r="AA222" s="430">
        <f>IF('Heat connections'!$M222=1,1,0)</f>
        <v>0</v>
      </c>
      <c r="AB222" s="430">
        <f>IF('Heat connections'!$M222=2,1,0)</f>
        <v>0</v>
      </c>
      <c r="AC222" s="434">
        <f>IF('Heat connections'!$M222=3,1,0)</f>
        <v>0</v>
      </c>
      <c r="AD222" s="46" t="str">
        <f>IF(AND(Heat_connections[[#This Row],[Connected to heat network]]="Yes",Heat_connections[[#This Row],[Ref]]&lt;&gt;"-"),"Yes","No")</f>
        <v>No</v>
      </c>
    </row>
    <row r="223" spans="3:30" ht="12.75" x14ac:dyDescent="0.2">
      <c r="C223" s="208" t="str" cm="1">
        <f t="array" ref="C223">IFERROR(_xlfn.XLOOKUP($C$3,Heat_connections_input[#Headers],Heat_connections_input[#This Row],0,0,),"-")</f>
        <v>-</v>
      </c>
      <c r="D223" s="323" t="str" cm="1">
        <f t="array" ref="D223">IFERROR(_xlfn.XLOOKUP($D$3,Heat_connections_input[#Headers],Heat_connections_input[#This Row],0,0,),"-")</f>
        <v>-</v>
      </c>
      <c r="E223" s="284" t="str" cm="1">
        <f t="array" ref="E223">IFERROR(_xlfn.XLOOKUP($E$3,Heat_connections_input[#Headers],Heat_connections_input[#This Row],0,0,),"-")</f>
        <v>-</v>
      </c>
      <c r="F223" s="259" cm="1">
        <f t="array" ref="F223">IFERROR(_xlfn.XLOOKUP($F$3,Heat_connections_input[#Headers],Heat_connections_input[#This Row],0,0,),0)</f>
        <v>0</v>
      </c>
      <c r="G223" s="259" cm="1">
        <f t="array" ref="G223">IFERROR(_xlfn.XLOOKUP($G$3,Heat_connections_input[#Headers],Heat_connections_input[#This Row],0,0,),0)</f>
        <v>0</v>
      </c>
      <c r="H223" s="341" cm="1">
        <f t="array" ref="H223">IFERROR(_xlfn.XLOOKUP($H$3,Heat_connections_input[#Headers],Heat_connections_input[#This Row],0,0,),0)</f>
        <v>0</v>
      </c>
      <c r="I223" s="326" t="str" cm="1">
        <f t="array" ref="I223">IFERROR(_xlfn.XLOOKUP($I$3,Heat_connections_input[#Headers],Heat_connections_input[#This Row],0,0,),"-")</f>
        <v>-</v>
      </c>
      <c r="J223" s="326" t="str" cm="1">
        <f t="array" ref="J223">IFERROR(_xlfn.XLOOKUP($J$3,Heat_connections_input[#Headers],Heat_connections_input[#This Row],0,0,1),"-")</f>
        <v>-</v>
      </c>
      <c r="K223" s="260"/>
      <c r="L223" s="261"/>
      <c r="M223" s="262"/>
      <c r="N223" s="263"/>
      <c r="O223" s="264" t="str">
        <f>IF(Heat_connections[[#This Row],[Ref]]&lt;&gt;"-",
IF(M223=1,Dashboard!$C$26,IF(M223=2,Dashboard!$C$27,Dashboard!$C$28)),"-")</f>
        <v>-</v>
      </c>
      <c r="P223" s="341">
        <f>IF(Heat_connections[[#This Row],[Category]]="Domestic",Heat_connections[[#This Row],[No. of connections]],0)</f>
        <v>0</v>
      </c>
      <c r="Q223" s="341">
        <f>IF(Heat_connections[[#This Row],[Category]]&lt;&gt;"Domestic",Heat_connections[[#This Row],[No. of connections]],0)</f>
        <v>0</v>
      </c>
      <c r="R223" s="209"/>
      <c r="S223" s="512">
        <f>IF(Heat_connections[[#This Row],[TOID]]&lt;&gt;"-",
IF(ISBLANK('Heat connections'!$R223),Dashboard!$C$14,'Heat connections'!$R223),0)</f>
        <v>0</v>
      </c>
      <c r="T223" s="513">
        <f>IF(Heat_connections[[#This Row],[Peak Demand, kW]]&lt;&gt;0,'Heat connections'!$G223*Dashboard!$C$21,0)</f>
        <v>0</v>
      </c>
      <c r="U223" s="514">
        <f>IF(Heat_connections[[#This Row],[Ref]]&lt;&gt;"-",48.436*Heat_connections[[#This Row],[Peak Demand, kW]]+1068.7,0)</f>
        <v>0</v>
      </c>
      <c r="V223" s="515">
        <f>IF(Heat_connections[[#This Row],[Ref]]&lt;&gt;"-",
_xlfn.XLOOKUP('Heat connections'!$G223,'Technical inputs'!$F$79:$F$94,'Technical inputs'!$I$79:$I$94,0,1,1),0)</f>
        <v>0</v>
      </c>
      <c r="W223" s="429">
        <f>IF('Heat connections'!$E223="Domestic",1,0)</f>
        <v>0</v>
      </c>
      <c r="X223" s="430">
        <f>IF(AND(Heat_connections[[#This Row],[Ref]]&lt;&gt;"-",'Heat connections'!$E223&lt;&gt;"Domestic"),1,0)</f>
        <v>0</v>
      </c>
      <c r="Y223" s="434">
        <v>169</v>
      </c>
      <c r="Z223" s="438">
        <f>IF(Heat_connections[[#This Row],[Existing/planned development]]&lt;&gt;0,1,0)</f>
        <v>0</v>
      </c>
      <c r="AA223" s="430">
        <f>IF('Heat connections'!$M223=1,1,0)</f>
        <v>0</v>
      </c>
      <c r="AB223" s="430">
        <f>IF('Heat connections'!$M223=2,1,0)</f>
        <v>0</v>
      </c>
      <c r="AC223" s="434">
        <f>IF('Heat connections'!$M223=3,1,0)</f>
        <v>0</v>
      </c>
      <c r="AD223" s="46" t="str">
        <f>IF(AND(Heat_connections[[#This Row],[Connected to heat network]]="Yes",Heat_connections[[#This Row],[Ref]]&lt;&gt;"-"),"Yes","No")</f>
        <v>No</v>
      </c>
    </row>
    <row r="224" spans="3:30" ht="12.75" x14ac:dyDescent="0.2">
      <c r="C224" s="208" t="str" cm="1">
        <f t="array" ref="C224">IFERROR(_xlfn.XLOOKUP($C$3,Heat_connections_input[#Headers],Heat_connections_input[#This Row],0,0,),"-")</f>
        <v>-</v>
      </c>
      <c r="D224" s="323" t="str" cm="1">
        <f t="array" ref="D224">IFERROR(_xlfn.XLOOKUP($D$3,Heat_connections_input[#Headers],Heat_connections_input[#This Row],0,0,),"-")</f>
        <v>-</v>
      </c>
      <c r="E224" s="284" t="str" cm="1">
        <f t="array" ref="E224">IFERROR(_xlfn.XLOOKUP($E$3,Heat_connections_input[#Headers],Heat_connections_input[#This Row],0,0,),"-")</f>
        <v>-</v>
      </c>
      <c r="F224" s="259" cm="1">
        <f t="array" ref="F224">IFERROR(_xlfn.XLOOKUP($F$3,Heat_connections_input[#Headers],Heat_connections_input[#This Row],0,0,),0)</f>
        <v>0</v>
      </c>
      <c r="G224" s="259" cm="1">
        <f t="array" ref="G224">IFERROR(_xlfn.XLOOKUP($G$3,Heat_connections_input[#Headers],Heat_connections_input[#This Row],0,0,),0)</f>
        <v>0</v>
      </c>
      <c r="H224" s="341" cm="1">
        <f t="array" ref="H224">IFERROR(_xlfn.XLOOKUP($H$3,Heat_connections_input[#Headers],Heat_connections_input[#This Row],0,0,),0)</f>
        <v>0</v>
      </c>
      <c r="I224" s="326" t="str" cm="1">
        <f t="array" ref="I224">IFERROR(_xlfn.XLOOKUP($I$3,Heat_connections_input[#Headers],Heat_connections_input[#This Row],0,0,),"-")</f>
        <v>-</v>
      </c>
      <c r="J224" s="326" t="str" cm="1">
        <f t="array" ref="J224">IFERROR(_xlfn.XLOOKUP($J$3,Heat_connections_input[#Headers],Heat_connections_input[#This Row],0,0,1),"-")</f>
        <v>-</v>
      </c>
      <c r="K224" s="260"/>
      <c r="L224" s="261"/>
      <c r="M224" s="262"/>
      <c r="N224" s="263"/>
      <c r="O224" s="264" t="str">
        <f>IF(Heat_connections[[#This Row],[Ref]]&lt;&gt;"-",
IF(M224=1,Dashboard!$C$26,IF(M224=2,Dashboard!$C$27,Dashboard!$C$28)),"-")</f>
        <v>-</v>
      </c>
      <c r="P224" s="341">
        <f>IF(Heat_connections[[#This Row],[Category]]="Domestic",Heat_connections[[#This Row],[No. of connections]],0)</f>
        <v>0</v>
      </c>
      <c r="Q224" s="341">
        <f>IF(Heat_connections[[#This Row],[Category]]&lt;&gt;"Domestic",Heat_connections[[#This Row],[No. of connections]],0)</f>
        <v>0</v>
      </c>
      <c r="R224" s="209"/>
      <c r="S224" s="512">
        <f>IF(Heat_connections[[#This Row],[TOID]]&lt;&gt;"-",
IF(ISBLANK('Heat connections'!$R224),Dashboard!$C$14,'Heat connections'!$R224),0)</f>
        <v>0</v>
      </c>
      <c r="T224" s="513">
        <f>IF(Heat_connections[[#This Row],[Peak Demand, kW]]&lt;&gt;0,'Heat connections'!$G224*Dashboard!$C$21,0)</f>
        <v>0</v>
      </c>
      <c r="U224" s="514">
        <f>IF(Heat_connections[[#This Row],[Ref]]&lt;&gt;"-",48.436*Heat_connections[[#This Row],[Peak Demand, kW]]+1068.7,0)</f>
        <v>0</v>
      </c>
      <c r="V224" s="515">
        <f>IF(Heat_connections[[#This Row],[Ref]]&lt;&gt;"-",
_xlfn.XLOOKUP('Heat connections'!$G224,'Technical inputs'!$F$79:$F$94,'Technical inputs'!$I$79:$I$94,0,1,1),0)</f>
        <v>0</v>
      </c>
      <c r="W224" s="429">
        <f>IF('Heat connections'!$E224="Domestic",1,0)</f>
        <v>0</v>
      </c>
      <c r="X224" s="430">
        <f>IF(AND(Heat_connections[[#This Row],[Ref]]&lt;&gt;"-",'Heat connections'!$E224&lt;&gt;"Domestic"),1,0)</f>
        <v>0</v>
      </c>
      <c r="Y224" s="434">
        <v>170</v>
      </c>
      <c r="Z224" s="438">
        <f>IF(Heat_connections[[#This Row],[Existing/planned development]]&lt;&gt;0,1,0)</f>
        <v>0</v>
      </c>
      <c r="AA224" s="430">
        <f>IF('Heat connections'!$M224=1,1,0)</f>
        <v>0</v>
      </c>
      <c r="AB224" s="430">
        <f>IF('Heat connections'!$M224=2,1,0)</f>
        <v>0</v>
      </c>
      <c r="AC224" s="434">
        <f>IF('Heat connections'!$M224=3,1,0)</f>
        <v>0</v>
      </c>
      <c r="AD224" s="46" t="str">
        <f>IF(AND(Heat_connections[[#This Row],[Connected to heat network]]="Yes",Heat_connections[[#This Row],[Ref]]&lt;&gt;"-"),"Yes","No")</f>
        <v>No</v>
      </c>
    </row>
    <row r="225" spans="3:30" ht="12.75" x14ac:dyDescent="0.2">
      <c r="C225" s="208" t="str" cm="1">
        <f t="array" ref="C225">IFERROR(_xlfn.XLOOKUP($C$3,Heat_connections_input[#Headers],Heat_connections_input[#This Row],0,0,),"-")</f>
        <v>-</v>
      </c>
      <c r="D225" s="323" t="str" cm="1">
        <f t="array" ref="D225">IFERROR(_xlfn.XLOOKUP($D$3,Heat_connections_input[#Headers],Heat_connections_input[#This Row],0,0,),"-")</f>
        <v>-</v>
      </c>
      <c r="E225" s="284" t="str" cm="1">
        <f t="array" ref="E225">IFERROR(_xlfn.XLOOKUP($E$3,Heat_connections_input[#Headers],Heat_connections_input[#This Row],0,0,),"-")</f>
        <v>-</v>
      </c>
      <c r="F225" s="259" cm="1">
        <f t="array" ref="F225">IFERROR(_xlfn.XLOOKUP($F$3,Heat_connections_input[#Headers],Heat_connections_input[#This Row],0,0,),0)</f>
        <v>0</v>
      </c>
      <c r="G225" s="259" cm="1">
        <f t="array" ref="G225">IFERROR(_xlfn.XLOOKUP($G$3,Heat_connections_input[#Headers],Heat_connections_input[#This Row],0,0,),0)</f>
        <v>0</v>
      </c>
      <c r="H225" s="341" cm="1">
        <f t="array" ref="H225">IFERROR(_xlfn.XLOOKUP($H$3,Heat_connections_input[#Headers],Heat_connections_input[#This Row],0,0,),0)</f>
        <v>0</v>
      </c>
      <c r="I225" s="326" t="str" cm="1">
        <f t="array" ref="I225">IFERROR(_xlfn.XLOOKUP($I$3,Heat_connections_input[#Headers],Heat_connections_input[#This Row],0,0,),"-")</f>
        <v>-</v>
      </c>
      <c r="J225" s="326" t="str" cm="1">
        <f t="array" ref="J225">IFERROR(_xlfn.XLOOKUP($J$3,Heat_connections_input[#Headers],Heat_connections_input[#This Row],0,0,1),"-")</f>
        <v>-</v>
      </c>
      <c r="K225" s="260"/>
      <c r="L225" s="261"/>
      <c r="M225" s="262"/>
      <c r="N225" s="263"/>
      <c r="O225" s="264" t="str">
        <f>IF(Heat_connections[[#This Row],[Ref]]&lt;&gt;"-",
IF(M225=1,Dashboard!$C$26,IF(M225=2,Dashboard!$C$27,Dashboard!$C$28)),"-")</f>
        <v>-</v>
      </c>
      <c r="P225" s="341">
        <f>IF(Heat_connections[[#This Row],[Category]]="Domestic",Heat_connections[[#This Row],[No. of connections]],0)</f>
        <v>0</v>
      </c>
      <c r="Q225" s="341">
        <f>IF(Heat_connections[[#This Row],[Category]]&lt;&gt;"Domestic",Heat_connections[[#This Row],[No. of connections]],0)</f>
        <v>0</v>
      </c>
      <c r="R225" s="209"/>
      <c r="S225" s="512">
        <f>IF(Heat_connections[[#This Row],[TOID]]&lt;&gt;"-",
IF(ISBLANK('Heat connections'!$R225),Dashboard!$C$14,'Heat connections'!$R225),0)</f>
        <v>0</v>
      </c>
      <c r="T225" s="513">
        <f>IF(Heat_connections[[#This Row],[Peak Demand, kW]]&lt;&gt;0,'Heat connections'!$G225*Dashboard!$C$21,0)</f>
        <v>0</v>
      </c>
      <c r="U225" s="514">
        <f>IF(Heat_connections[[#This Row],[Ref]]&lt;&gt;"-",48.436*Heat_connections[[#This Row],[Peak Demand, kW]]+1068.7,0)</f>
        <v>0</v>
      </c>
      <c r="V225" s="515">
        <f>IF(Heat_connections[[#This Row],[Ref]]&lt;&gt;"-",
_xlfn.XLOOKUP('Heat connections'!$G225,'Technical inputs'!$F$79:$F$94,'Technical inputs'!$I$79:$I$94,0,1,1),0)</f>
        <v>0</v>
      </c>
      <c r="W225" s="429">
        <f>IF('Heat connections'!$E225="Domestic",1,0)</f>
        <v>0</v>
      </c>
      <c r="X225" s="430">
        <f>IF(AND(Heat_connections[[#This Row],[Ref]]&lt;&gt;"-",'Heat connections'!$E225&lt;&gt;"Domestic"),1,0)</f>
        <v>0</v>
      </c>
      <c r="Y225" s="434">
        <v>171</v>
      </c>
      <c r="Z225" s="438">
        <f>IF(Heat_connections[[#This Row],[Existing/planned development]]&lt;&gt;0,1,0)</f>
        <v>0</v>
      </c>
      <c r="AA225" s="430">
        <f>IF('Heat connections'!$M225=1,1,0)</f>
        <v>0</v>
      </c>
      <c r="AB225" s="430">
        <f>IF('Heat connections'!$M225=2,1,0)</f>
        <v>0</v>
      </c>
      <c r="AC225" s="434">
        <f>IF('Heat connections'!$M225=3,1,0)</f>
        <v>0</v>
      </c>
      <c r="AD225" s="46" t="str">
        <f>IF(AND(Heat_connections[[#This Row],[Connected to heat network]]="Yes",Heat_connections[[#This Row],[Ref]]&lt;&gt;"-"),"Yes","No")</f>
        <v>No</v>
      </c>
    </row>
    <row r="226" spans="3:30" ht="12.75" x14ac:dyDescent="0.2">
      <c r="C226" s="208" t="str" cm="1">
        <f t="array" ref="C226">IFERROR(_xlfn.XLOOKUP($C$3,Heat_connections_input[#Headers],Heat_connections_input[#This Row],0,0,),"-")</f>
        <v>-</v>
      </c>
      <c r="D226" s="323" t="str" cm="1">
        <f t="array" ref="D226">IFERROR(_xlfn.XLOOKUP($D$3,Heat_connections_input[#Headers],Heat_connections_input[#This Row],0,0,),"-")</f>
        <v>-</v>
      </c>
      <c r="E226" s="284" t="str" cm="1">
        <f t="array" ref="E226">IFERROR(_xlfn.XLOOKUP($E$3,Heat_connections_input[#Headers],Heat_connections_input[#This Row],0,0,),"-")</f>
        <v>-</v>
      </c>
      <c r="F226" s="259" cm="1">
        <f t="array" ref="F226">IFERROR(_xlfn.XLOOKUP($F$3,Heat_connections_input[#Headers],Heat_connections_input[#This Row],0,0,),0)</f>
        <v>0</v>
      </c>
      <c r="G226" s="259" cm="1">
        <f t="array" ref="G226">IFERROR(_xlfn.XLOOKUP($G$3,Heat_connections_input[#Headers],Heat_connections_input[#This Row],0,0,),0)</f>
        <v>0</v>
      </c>
      <c r="H226" s="341" cm="1">
        <f t="array" ref="H226">IFERROR(_xlfn.XLOOKUP($H$3,Heat_connections_input[#Headers],Heat_connections_input[#This Row],0,0,),0)</f>
        <v>0</v>
      </c>
      <c r="I226" s="326" t="str" cm="1">
        <f t="array" ref="I226">IFERROR(_xlfn.XLOOKUP($I$3,Heat_connections_input[#Headers],Heat_connections_input[#This Row],0,0,),"-")</f>
        <v>-</v>
      </c>
      <c r="J226" s="326" t="str" cm="1">
        <f t="array" ref="J226">IFERROR(_xlfn.XLOOKUP($J$3,Heat_connections_input[#Headers],Heat_connections_input[#This Row],0,0,1),"-")</f>
        <v>-</v>
      </c>
      <c r="K226" s="260"/>
      <c r="L226" s="261"/>
      <c r="M226" s="262"/>
      <c r="N226" s="263"/>
      <c r="O226" s="264" t="str">
        <f>IF(Heat_connections[[#This Row],[Ref]]&lt;&gt;"-",
IF(M226=1,Dashboard!$C$26,IF(M226=2,Dashboard!$C$27,Dashboard!$C$28)),"-")</f>
        <v>-</v>
      </c>
      <c r="P226" s="341">
        <f>IF(Heat_connections[[#This Row],[Category]]="Domestic",Heat_connections[[#This Row],[No. of connections]],0)</f>
        <v>0</v>
      </c>
      <c r="Q226" s="341">
        <f>IF(Heat_connections[[#This Row],[Category]]&lt;&gt;"Domestic",Heat_connections[[#This Row],[No. of connections]],0)</f>
        <v>0</v>
      </c>
      <c r="R226" s="209"/>
      <c r="S226" s="512">
        <f>IF(Heat_connections[[#This Row],[TOID]]&lt;&gt;"-",
IF(ISBLANK('Heat connections'!$R226),Dashboard!$C$14,'Heat connections'!$R226),0)</f>
        <v>0</v>
      </c>
      <c r="T226" s="513">
        <f>IF(Heat_connections[[#This Row],[Peak Demand, kW]]&lt;&gt;0,'Heat connections'!$G226*Dashboard!$C$21,0)</f>
        <v>0</v>
      </c>
      <c r="U226" s="514">
        <f>IF(Heat_connections[[#This Row],[Ref]]&lt;&gt;"-",48.436*Heat_connections[[#This Row],[Peak Demand, kW]]+1068.7,0)</f>
        <v>0</v>
      </c>
      <c r="V226" s="515">
        <f>IF(Heat_connections[[#This Row],[Ref]]&lt;&gt;"-",
_xlfn.XLOOKUP('Heat connections'!$G226,'Technical inputs'!$F$79:$F$94,'Technical inputs'!$I$79:$I$94,0,1,1),0)</f>
        <v>0</v>
      </c>
      <c r="W226" s="429">
        <f>IF('Heat connections'!$E226="Domestic",1,0)</f>
        <v>0</v>
      </c>
      <c r="X226" s="430">
        <f>IF(AND(Heat_connections[[#This Row],[Ref]]&lt;&gt;"-",'Heat connections'!$E226&lt;&gt;"Domestic"),1,0)</f>
        <v>0</v>
      </c>
      <c r="Y226" s="434">
        <v>172</v>
      </c>
      <c r="Z226" s="438">
        <f>IF(Heat_connections[[#This Row],[Existing/planned development]]&lt;&gt;0,1,0)</f>
        <v>0</v>
      </c>
      <c r="AA226" s="430">
        <f>IF('Heat connections'!$M226=1,1,0)</f>
        <v>0</v>
      </c>
      <c r="AB226" s="430">
        <f>IF('Heat connections'!$M226=2,1,0)</f>
        <v>0</v>
      </c>
      <c r="AC226" s="434">
        <f>IF('Heat connections'!$M226=3,1,0)</f>
        <v>0</v>
      </c>
      <c r="AD226" s="46" t="str">
        <f>IF(AND(Heat_connections[[#This Row],[Connected to heat network]]="Yes",Heat_connections[[#This Row],[Ref]]&lt;&gt;"-"),"Yes","No")</f>
        <v>No</v>
      </c>
    </row>
    <row r="227" spans="3:30" ht="12.75" x14ac:dyDescent="0.2">
      <c r="C227" s="208" t="str" cm="1">
        <f t="array" ref="C227">IFERROR(_xlfn.XLOOKUP($C$3,Heat_connections_input[#Headers],Heat_connections_input[#This Row],0,0,),"-")</f>
        <v>-</v>
      </c>
      <c r="D227" s="323" t="str" cm="1">
        <f t="array" ref="D227">IFERROR(_xlfn.XLOOKUP($D$3,Heat_connections_input[#Headers],Heat_connections_input[#This Row],0,0,),"-")</f>
        <v>-</v>
      </c>
      <c r="E227" s="284" t="str" cm="1">
        <f t="array" ref="E227">IFERROR(_xlfn.XLOOKUP($E$3,Heat_connections_input[#Headers],Heat_connections_input[#This Row],0,0,),"-")</f>
        <v>-</v>
      </c>
      <c r="F227" s="259" cm="1">
        <f t="array" ref="F227">IFERROR(_xlfn.XLOOKUP($F$3,Heat_connections_input[#Headers],Heat_connections_input[#This Row],0,0,),0)</f>
        <v>0</v>
      </c>
      <c r="G227" s="259" cm="1">
        <f t="array" ref="G227">IFERROR(_xlfn.XLOOKUP($G$3,Heat_connections_input[#Headers],Heat_connections_input[#This Row],0,0,),0)</f>
        <v>0</v>
      </c>
      <c r="H227" s="341" cm="1">
        <f t="array" ref="H227">IFERROR(_xlfn.XLOOKUP($H$3,Heat_connections_input[#Headers],Heat_connections_input[#This Row],0,0,),0)</f>
        <v>0</v>
      </c>
      <c r="I227" s="326" t="str" cm="1">
        <f t="array" ref="I227">IFERROR(_xlfn.XLOOKUP($I$3,Heat_connections_input[#Headers],Heat_connections_input[#This Row],0,0,),"-")</f>
        <v>-</v>
      </c>
      <c r="J227" s="326" t="str" cm="1">
        <f t="array" ref="J227">IFERROR(_xlfn.XLOOKUP($J$3,Heat_connections_input[#Headers],Heat_connections_input[#This Row],0,0,1),"-")</f>
        <v>-</v>
      </c>
      <c r="K227" s="260"/>
      <c r="L227" s="261"/>
      <c r="M227" s="262"/>
      <c r="N227" s="263"/>
      <c r="O227" s="264" t="str">
        <f>IF(Heat_connections[[#This Row],[Ref]]&lt;&gt;"-",
IF(M227=1,Dashboard!$C$26,IF(M227=2,Dashboard!$C$27,Dashboard!$C$28)),"-")</f>
        <v>-</v>
      </c>
      <c r="P227" s="341">
        <f>IF(Heat_connections[[#This Row],[Category]]="Domestic",Heat_connections[[#This Row],[No. of connections]],0)</f>
        <v>0</v>
      </c>
      <c r="Q227" s="341">
        <f>IF(Heat_connections[[#This Row],[Category]]&lt;&gt;"Domestic",Heat_connections[[#This Row],[No. of connections]],0)</f>
        <v>0</v>
      </c>
      <c r="R227" s="209"/>
      <c r="S227" s="512">
        <f>IF(Heat_connections[[#This Row],[TOID]]&lt;&gt;"-",
IF(ISBLANK('Heat connections'!$R227),Dashboard!$C$14,'Heat connections'!$R227),0)</f>
        <v>0</v>
      </c>
      <c r="T227" s="513">
        <f>IF(Heat_connections[[#This Row],[Peak Demand, kW]]&lt;&gt;0,'Heat connections'!$G227*Dashboard!$C$21,0)</f>
        <v>0</v>
      </c>
      <c r="U227" s="514">
        <f>IF(Heat_connections[[#This Row],[Ref]]&lt;&gt;"-",48.436*Heat_connections[[#This Row],[Peak Demand, kW]]+1068.7,0)</f>
        <v>0</v>
      </c>
      <c r="V227" s="515">
        <f>IF(Heat_connections[[#This Row],[Ref]]&lt;&gt;"-",
_xlfn.XLOOKUP('Heat connections'!$G227,'Technical inputs'!$F$79:$F$94,'Technical inputs'!$I$79:$I$94,0,1,1),0)</f>
        <v>0</v>
      </c>
      <c r="W227" s="429">
        <f>IF('Heat connections'!$E227="Domestic",1,0)</f>
        <v>0</v>
      </c>
      <c r="X227" s="430">
        <f>IF(AND(Heat_connections[[#This Row],[Ref]]&lt;&gt;"-",'Heat connections'!$E227&lt;&gt;"Domestic"),1,0)</f>
        <v>0</v>
      </c>
      <c r="Y227" s="434">
        <v>173</v>
      </c>
      <c r="Z227" s="438">
        <f>IF(Heat_connections[[#This Row],[Existing/planned development]]&lt;&gt;0,1,0)</f>
        <v>0</v>
      </c>
      <c r="AA227" s="430">
        <f>IF('Heat connections'!$M227=1,1,0)</f>
        <v>0</v>
      </c>
      <c r="AB227" s="430">
        <f>IF('Heat connections'!$M227=2,1,0)</f>
        <v>0</v>
      </c>
      <c r="AC227" s="434">
        <f>IF('Heat connections'!$M227=3,1,0)</f>
        <v>0</v>
      </c>
      <c r="AD227" s="46" t="str">
        <f>IF(AND(Heat_connections[[#This Row],[Connected to heat network]]="Yes",Heat_connections[[#This Row],[Ref]]&lt;&gt;"-"),"Yes","No")</f>
        <v>No</v>
      </c>
    </row>
    <row r="228" spans="3:30" ht="12.75" x14ac:dyDescent="0.2">
      <c r="C228" s="208" t="str" cm="1">
        <f t="array" ref="C228">IFERROR(_xlfn.XLOOKUP($C$3,Heat_connections_input[#Headers],Heat_connections_input[#This Row],0,0,),"-")</f>
        <v>-</v>
      </c>
      <c r="D228" s="323" t="str" cm="1">
        <f t="array" ref="D228">IFERROR(_xlfn.XLOOKUP($D$3,Heat_connections_input[#Headers],Heat_connections_input[#This Row],0,0,),"-")</f>
        <v>-</v>
      </c>
      <c r="E228" s="284" t="str" cm="1">
        <f t="array" ref="E228">IFERROR(_xlfn.XLOOKUP($E$3,Heat_connections_input[#Headers],Heat_connections_input[#This Row],0,0,),"-")</f>
        <v>-</v>
      </c>
      <c r="F228" s="259" cm="1">
        <f t="array" ref="F228">IFERROR(_xlfn.XLOOKUP($F$3,Heat_connections_input[#Headers],Heat_connections_input[#This Row],0,0,),0)</f>
        <v>0</v>
      </c>
      <c r="G228" s="259" cm="1">
        <f t="array" ref="G228">IFERROR(_xlfn.XLOOKUP($G$3,Heat_connections_input[#Headers],Heat_connections_input[#This Row],0,0,),0)</f>
        <v>0</v>
      </c>
      <c r="H228" s="341" cm="1">
        <f t="array" ref="H228">IFERROR(_xlfn.XLOOKUP($H$3,Heat_connections_input[#Headers],Heat_connections_input[#This Row],0,0,),0)</f>
        <v>0</v>
      </c>
      <c r="I228" s="326" t="str" cm="1">
        <f t="array" ref="I228">IFERROR(_xlfn.XLOOKUP($I$3,Heat_connections_input[#Headers],Heat_connections_input[#This Row],0,0,),"-")</f>
        <v>-</v>
      </c>
      <c r="J228" s="326" t="str" cm="1">
        <f t="array" ref="J228">IFERROR(_xlfn.XLOOKUP($J$3,Heat_connections_input[#Headers],Heat_connections_input[#This Row],0,0,1),"-")</f>
        <v>-</v>
      </c>
      <c r="K228" s="260"/>
      <c r="L228" s="261"/>
      <c r="M228" s="262"/>
      <c r="N228" s="263"/>
      <c r="O228" s="264" t="str">
        <f>IF(Heat_connections[[#This Row],[Ref]]&lt;&gt;"-",
IF(M228=1,Dashboard!$C$26,IF(M228=2,Dashboard!$C$27,Dashboard!$C$28)),"-")</f>
        <v>-</v>
      </c>
      <c r="P228" s="341">
        <f>IF(Heat_connections[[#This Row],[Category]]="Domestic",Heat_connections[[#This Row],[No. of connections]],0)</f>
        <v>0</v>
      </c>
      <c r="Q228" s="341">
        <f>IF(Heat_connections[[#This Row],[Category]]&lt;&gt;"Domestic",Heat_connections[[#This Row],[No. of connections]],0)</f>
        <v>0</v>
      </c>
      <c r="R228" s="209"/>
      <c r="S228" s="512">
        <f>IF(Heat_connections[[#This Row],[TOID]]&lt;&gt;"-",
IF(ISBLANK('Heat connections'!$R228),Dashboard!$C$14,'Heat connections'!$R228),0)</f>
        <v>0</v>
      </c>
      <c r="T228" s="513">
        <f>IF(Heat_connections[[#This Row],[Peak Demand, kW]]&lt;&gt;0,'Heat connections'!$G228*Dashboard!$C$21,0)</f>
        <v>0</v>
      </c>
      <c r="U228" s="514">
        <f>IF(Heat_connections[[#This Row],[Ref]]&lt;&gt;"-",48.436*Heat_connections[[#This Row],[Peak Demand, kW]]+1068.7,0)</f>
        <v>0</v>
      </c>
      <c r="V228" s="515">
        <f>IF(Heat_connections[[#This Row],[Ref]]&lt;&gt;"-",
_xlfn.XLOOKUP('Heat connections'!$G228,'Technical inputs'!$F$79:$F$94,'Technical inputs'!$I$79:$I$94,0,1,1),0)</f>
        <v>0</v>
      </c>
      <c r="W228" s="429">
        <f>IF('Heat connections'!$E228="Domestic",1,0)</f>
        <v>0</v>
      </c>
      <c r="X228" s="430">
        <f>IF(AND(Heat_connections[[#This Row],[Ref]]&lt;&gt;"-",'Heat connections'!$E228&lt;&gt;"Domestic"),1,0)</f>
        <v>0</v>
      </c>
      <c r="Y228" s="434">
        <v>174</v>
      </c>
      <c r="Z228" s="438">
        <f>IF(Heat_connections[[#This Row],[Existing/planned development]]&lt;&gt;0,1,0)</f>
        <v>0</v>
      </c>
      <c r="AA228" s="430">
        <f>IF('Heat connections'!$M228=1,1,0)</f>
        <v>0</v>
      </c>
      <c r="AB228" s="430">
        <f>IF('Heat connections'!$M228=2,1,0)</f>
        <v>0</v>
      </c>
      <c r="AC228" s="434">
        <f>IF('Heat connections'!$M228=3,1,0)</f>
        <v>0</v>
      </c>
      <c r="AD228" s="46" t="str">
        <f>IF(AND(Heat_connections[[#This Row],[Connected to heat network]]="Yes",Heat_connections[[#This Row],[Ref]]&lt;&gt;"-"),"Yes","No")</f>
        <v>No</v>
      </c>
    </row>
    <row r="229" spans="3:30" ht="12.75" x14ac:dyDescent="0.2">
      <c r="C229" s="208" t="str" cm="1">
        <f t="array" ref="C229">IFERROR(_xlfn.XLOOKUP($C$3,Heat_connections_input[#Headers],Heat_connections_input[#This Row],0,0,),"-")</f>
        <v>-</v>
      </c>
      <c r="D229" s="323" t="str" cm="1">
        <f t="array" ref="D229">IFERROR(_xlfn.XLOOKUP($D$3,Heat_connections_input[#Headers],Heat_connections_input[#This Row],0,0,),"-")</f>
        <v>-</v>
      </c>
      <c r="E229" s="284" t="str" cm="1">
        <f t="array" ref="E229">IFERROR(_xlfn.XLOOKUP($E$3,Heat_connections_input[#Headers],Heat_connections_input[#This Row],0,0,),"-")</f>
        <v>-</v>
      </c>
      <c r="F229" s="259" cm="1">
        <f t="array" ref="F229">IFERROR(_xlfn.XLOOKUP($F$3,Heat_connections_input[#Headers],Heat_connections_input[#This Row],0,0,),0)</f>
        <v>0</v>
      </c>
      <c r="G229" s="259" cm="1">
        <f t="array" ref="G229">IFERROR(_xlfn.XLOOKUP($G$3,Heat_connections_input[#Headers],Heat_connections_input[#This Row],0,0,),0)</f>
        <v>0</v>
      </c>
      <c r="H229" s="341" cm="1">
        <f t="array" ref="H229">IFERROR(_xlfn.XLOOKUP($H$3,Heat_connections_input[#Headers],Heat_connections_input[#This Row],0,0,),0)</f>
        <v>0</v>
      </c>
      <c r="I229" s="326" t="str" cm="1">
        <f t="array" ref="I229">IFERROR(_xlfn.XLOOKUP($I$3,Heat_connections_input[#Headers],Heat_connections_input[#This Row],0,0,),"-")</f>
        <v>-</v>
      </c>
      <c r="J229" s="326" t="str" cm="1">
        <f t="array" ref="J229">IFERROR(_xlfn.XLOOKUP($J$3,Heat_connections_input[#Headers],Heat_connections_input[#This Row],0,0,1),"-")</f>
        <v>-</v>
      </c>
      <c r="K229" s="260"/>
      <c r="L229" s="261"/>
      <c r="M229" s="262"/>
      <c r="N229" s="263"/>
      <c r="O229" s="264" t="str">
        <f>IF(Heat_connections[[#This Row],[Ref]]&lt;&gt;"-",
IF(M229=1,Dashboard!$C$26,IF(M229=2,Dashboard!$C$27,Dashboard!$C$28)),"-")</f>
        <v>-</v>
      </c>
      <c r="P229" s="341">
        <f>IF(Heat_connections[[#This Row],[Category]]="Domestic",Heat_connections[[#This Row],[No. of connections]],0)</f>
        <v>0</v>
      </c>
      <c r="Q229" s="341">
        <f>IF(Heat_connections[[#This Row],[Category]]&lt;&gt;"Domestic",Heat_connections[[#This Row],[No. of connections]],0)</f>
        <v>0</v>
      </c>
      <c r="R229" s="209"/>
      <c r="S229" s="512">
        <f>IF(Heat_connections[[#This Row],[TOID]]&lt;&gt;"-",
IF(ISBLANK('Heat connections'!$R229),Dashboard!$C$14,'Heat connections'!$R229),0)</f>
        <v>0</v>
      </c>
      <c r="T229" s="513">
        <f>IF(Heat_connections[[#This Row],[Peak Demand, kW]]&lt;&gt;0,'Heat connections'!$G229*Dashboard!$C$21,0)</f>
        <v>0</v>
      </c>
      <c r="U229" s="514">
        <f>IF(Heat_connections[[#This Row],[Ref]]&lt;&gt;"-",48.436*Heat_connections[[#This Row],[Peak Demand, kW]]+1068.7,0)</f>
        <v>0</v>
      </c>
      <c r="V229" s="515">
        <f>IF(Heat_connections[[#This Row],[Ref]]&lt;&gt;"-",
_xlfn.XLOOKUP('Heat connections'!$G229,'Technical inputs'!$F$79:$F$94,'Technical inputs'!$I$79:$I$94,0,1,1),0)</f>
        <v>0</v>
      </c>
      <c r="W229" s="429">
        <f>IF('Heat connections'!$E229="Domestic",1,0)</f>
        <v>0</v>
      </c>
      <c r="X229" s="430">
        <f>IF(AND(Heat_connections[[#This Row],[Ref]]&lt;&gt;"-",'Heat connections'!$E229&lt;&gt;"Domestic"),1,0)</f>
        <v>0</v>
      </c>
      <c r="Y229" s="434">
        <v>175</v>
      </c>
      <c r="Z229" s="438">
        <f>IF(Heat_connections[[#This Row],[Existing/planned development]]&lt;&gt;0,1,0)</f>
        <v>0</v>
      </c>
      <c r="AA229" s="430">
        <f>IF('Heat connections'!$M229=1,1,0)</f>
        <v>0</v>
      </c>
      <c r="AB229" s="430">
        <f>IF('Heat connections'!$M229=2,1,0)</f>
        <v>0</v>
      </c>
      <c r="AC229" s="434">
        <f>IF('Heat connections'!$M229=3,1,0)</f>
        <v>0</v>
      </c>
      <c r="AD229" s="46" t="str">
        <f>IF(AND(Heat_connections[[#This Row],[Connected to heat network]]="Yes",Heat_connections[[#This Row],[Ref]]&lt;&gt;"-"),"Yes","No")</f>
        <v>No</v>
      </c>
    </row>
    <row r="230" spans="3:30" ht="12.75" x14ac:dyDescent="0.2">
      <c r="C230" s="208" t="str" cm="1">
        <f t="array" ref="C230">IFERROR(_xlfn.XLOOKUP($C$3,Heat_connections_input[#Headers],Heat_connections_input[#This Row],0,0,),"-")</f>
        <v>-</v>
      </c>
      <c r="D230" s="323" t="str" cm="1">
        <f t="array" ref="D230">IFERROR(_xlfn.XLOOKUP($D$3,Heat_connections_input[#Headers],Heat_connections_input[#This Row],0,0,),"-")</f>
        <v>-</v>
      </c>
      <c r="E230" s="284" t="str" cm="1">
        <f t="array" ref="E230">IFERROR(_xlfn.XLOOKUP($E$3,Heat_connections_input[#Headers],Heat_connections_input[#This Row],0,0,),"-")</f>
        <v>-</v>
      </c>
      <c r="F230" s="259" cm="1">
        <f t="array" ref="F230">IFERROR(_xlfn.XLOOKUP($F$3,Heat_connections_input[#Headers],Heat_connections_input[#This Row],0,0,),0)</f>
        <v>0</v>
      </c>
      <c r="G230" s="259" cm="1">
        <f t="array" ref="G230">IFERROR(_xlfn.XLOOKUP($G$3,Heat_connections_input[#Headers],Heat_connections_input[#This Row],0,0,),0)</f>
        <v>0</v>
      </c>
      <c r="H230" s="341" cm="1">
        <f t="array" ref="H230">IFERROR(_xlfn.XLOOKUP($H$3,Heat_connections_input[#Headers],Heat_connections_input[#This Row],0,0,),0)</f>
        <v>0</v>
      </c>
      <c r="I230" s="326" t="str" cm="1">
        <f t="array" ref="I230">IFERROR(_xlfn.XLOOKUP($I$3,Heat_connections_input[#Headers],Heat_connections_input[#This Row],0,0,),"-")</f>
        <v>-</v>
      </c>
      <c r="J230" s="326" t="str" cm="1">
        <f t="array" ref="J230">IFERROR(_xlfn.XLOOKUP($J$3,Heat_connections_input[#Headers],Heat_connections_input[#This Row],0,0,1),"-")</f>
        <v>-</v>
      </c>
      <c r="K230" s="260"/>
      <c r="L230" s="261"/>
      <c r="M230" s="262"/>
      <c r="N230" s="263"/>
      <c r="O230" s="264" t="str">
        <f>IF(Heat_connections[[#This Row],[Ref]]&lt;&gt;"-",
IF(M230=1,Dashboard!$C$26,IF(M230=2,Dashboard!$C$27,Dashboard!$C$28)),"-")</f>
        <v>-</v>
      </c>
      <c r="P230" s="341">
        <f>IF(Heat_connections[[#This Row],[Category]]="Domestic",Heat_connections[[#This Row],[No. of connections]],0)</f>
        <v>0</v>
      </c>
      <c r="Q230" s="341">
        <f>IF(Heat_connections[[#This Row],[Category]]&lt;&gt;"Domestic",Heat_connections[[#This Row],[No. of connections]],0)</f>
        <v>0</v>
      </c>
      <c r="R230" s="209"/>
      <c r="S230" s="512">
        <f>IF(Heat_connections[[#This Row],[TOID]]&lt;&gt;"-",
IF(ISBLANK('Heat connections'!$R230),Dashboard!$C$14,'Heat connections'!$R230),0)</f>
        <v>0</v>
      </c>
      <c r="T230" s="513">
        <f>IF(Heat_connections[[#This Row],[Peak Demand, kW]]&lt;&gt;0,'Heat connections'!$G230*Dashboard!$C$21,0)</f>
        <v>0</v>
      </c>
      <c r="U230" s="514">
        <f>IF(Heat_connections[[#This Row],[Ref]]&lt;&gt;"-",48.436*Heat_connections[[#This Row],[Peak Demand, kW]]+1068.7,0)</f>
        <v>0</v>
      </c>
      <c r="V230" s="515">
        <f>IF(Heat_connections[[#This Row],[Ref]]&lt;&gt;"-",
_xlfn.XLOOKUP('Heat connections'!$G230,'Technical inputs'!$F$79:$F$94,'Technical inputs'!$I$79:$I$94,0,1,1),0)</f>
        <v>0</v>
      </c>
      <c r="W230" s="429">
        <f>IF('Heat connections'!$E230="Domestic",1,0)</f>
        <v>0</v>
      </c>
      <c r="X230" s="430">
        <f>IF(AND(Heat_connections[[#This Row],[Ref]]&lt;&gt;"-",'Heat connections'!$E230&lt;&gt;"Domestic"),1,0)</f>
        <v>0</v>
      </c>
      <c r="Y230" s="434">
        <v>176</v>
      </c>
      <c r="Z230" s="438">
        <f>IF(Heat_connections[[#This Row],[Existing/planned development]]&lt;&gt;0,1,0)</f>
        <v>0</v>
      </c>
      <c r="AA230" s="430">
        <f>IF('Heat connections'!$M230=1,1,0)</f>
        <v>0</v>
      </c>
      <c r="AB230" s="430">
        <f>IF('Heat connections'!$M230=2,1,0)</f>
        <v>0</v>
      </c>
      <c r="AC230" s="434">
        <f>IF('Heat connections'!$M230=3,1,0)</f>
        <v>0</v>
      </c>
      <c r="AD230" s="46" t="str">
        <f>IF(AND(Heat_connections[[#This Row],[Connected to heat network]]="Yes",Heat_connections[[#This Row],[Ref]]&lt;&gt;"-"),"Yes","No")</f>
        <v>No</v>
      </c>
    </row>
    <row r="231" spans="3:30" ht="12.75" x14ac:dyDescent="0.2">
      <c r="C231" s="208" t="str" cm="1">
        <f t="array" ref="C231">IFERROR(_xlfn.XLOOKUP($C$3,Heat_connections_input[#Headers],Heat_connections_input[#This Row],0,0,),"-")</f>
        <v>-</v>
      </c>
      <c r="D231" s="323" t="str" cm="1">
        <f t="array" ref="D231">IFERROR(_xlfn.XLOOKUP($D$3,Heat_connections_input[#Headers],Heat_connections_input[#This Row],0,0,),"-")</f>
        <v>-</v>
      </c>
      <c r="E231" s="284" t="str" cm="1">
        <f t="array" ref="E231">IFERROR(_xlfn.XLOOKUP($E$3,Heat_connections_input[#Headers],Heat_connections_input[#This Row],0,0,),"-")</f>
        <v>-</v>
      </c>
      <c r="F231" s="259" cm="1">
        <f t="array" ref="F231">IFERROR(_xlfn.XLOOKUP($F$3,Heat_connections_input[#Headers],Heat_connections_input[#This Row],0,0,),0)</f>
        <v>0</v>
      </c>
      <c r="G231" s="259" cm="1">
        <f t="array" ref="G231">IFERROR(_xlfn.XLOOKUP($G$3,Heat_connections_input[#Headers],Heat_connections_input[#This Row],0,0,),0)</f>
        <v>0</v>
      </c>
      <c r="H231" s="341" cm="1">
        <f t="array" ref="H231">IFERROR(_xlfn.XLOOKUP($H$3,Heat_connections_input[#Headers],Heat_connections_input[#This Row],0,0,),0)</f>
        <v>0</v>
      </c>
      <c r="I231" s="326" t="str" cm="1">
        <f t="array" ref="I231">IFERROR(_xlfn.XLOOKUP($I$3,Heat_connections_input[#Headers],Heat_connections_input[#This Row],0,0,),"-")</f>
        <v>-</v>
      </c>
      <c r="J231" s="326" t="str" cm="1">
        <f t="array" ref="J231">IFERROR(_xlfn.XLOOKUP($J$3,Heat_connections_input[#Headers],Heat_connections_input[#This Row],0,0,1),"-")</f>
        <v>-</v>
      </c>
      <c r="K231" s="260"/>
      <c r="L231" s="261"/>
      <c r="M231" s="262"/>
      <c r="N231" s="263"/>
      <c r="O231" s="264" t="str">
        <f>IF(Heat_connections[[#This Row],[Ref]]&lt;&gt;"-",
IF(M231=1,Dashboard!$C$26,IF(M231=2,Dashboard!$C$27,Dashboard!$C$28)),"-")</f>
        <v>-</v>
      </c>
      <c r="P231" s="341">
        <f>IF(Heat_connections[[#This Row],[Category]]="Domestic",Heat_connections[[#This Row],[No. of connections]],0)</f>
        <v>0</v>
      </c>
      <c r="Q231" s="341">
        <f>IF(Heat_connections[[#This Row],[Category]]&lt;&gt;"Domestic",Heat_connections[[#This Row],[No. of connections]],0)</f>
        <v>0</v>
      </c>
      <c r="R231" s="209"/>
      <c r="S231" s="512">
        <f>IF(Heat_connections[[#This Row],[TOID]]&lt;&gt;"-",
IF(ISBLANK('Heat connections'!$R231),Dashboard!$C$14,'Heat connections'!$R231),0)</f>
        <v>0</v>
      </c>
      <c r="T231" s="513">
        <f>IF(Heat_connections[[#This Row],[Peak Demand, kW]]&lt;&gt;0,'Heat connections'!$G231*Dashboard!$C$21,0)</f>
        <v>0</v>
      </c>
      <c r="U231" s="514">
        <f>IF(Heat_connections[[#This Row],[Ref]]&lt;&gt;"-",48.436*Heat_connections[[#This Row],[Peak Demand, kW]]+1068.7,0)</f>
        <v>0</v>
      </c>
      <c r="V231" s="515">
        <f>IF(Heat_connections[[#This Row],[Ref]]&lt;&gt;"-",
_xlfn.XLOOKUP('Heat connections'!$G231,'Technical inputs'!$F$79:$F$94,'Technical inputs'!$I$79:$I$94,0,1,1),0)</f>
        <v>0</v>
      </c>
      <c r="W231" s="429">
        <f>IF('Heat connections'!$E231="Domestic",1,0)</f>
        <v>0</v>
      </c>
      <c r="X231" s="430">
        <f>IF(AND(Heat_connections[[#This Row],[Ref]]&lt;&gt;"-",'Heat connections'!$E231&lt;&gt;"Domestic"),1,0)</f>
        <v>0</v>
      </c>
      <c r="Y231" s="434">
        <v>177</v>
      </c>
      <c r="Z231" s="438">
        <f>IF(Heat_connections[[#This Row],[Existing/planned development]]&lt;&gt;0,1,0)</f>
        <v>0</v>
      </c>
      <c r="AA231" s="430">
        <f>IF('Heat connections'!$M231=1,1,0)</f>
        <v>0</v>
      </c>
      <c r="AB231" s="430">
        <f>IF('Heat connections'!$M231=2,1,0)</f>
        <v>0</v>
      </c>
      <c r="AC231" s="434">
        <f>IF('Heat connections'!$M231=3,1,0)</f>
        <v>0</v>
      </c>
      <c r="AD231" s="46" t="str">
        <f>IF(AND(Heat_connections[[#This Row],[Connected to heat network]]="Yes",Heat_connections[[#This Row],[Ref]]&lt;&gt;"-"),"Yes","No")</f>
        <v>No</v>
      </c>
    </row>
    <row r="232" spans="3:30" ht="12.75" x14ac:dyDescent="0.2">
      <c r="C232" s="208" t="str" cm="1">
        <f t="array" ref="C232">IFERROR(_xlfn.XLOOKUP($C$3,Heat_connections_input[#Headers],Heat_connections_input[#This Row],0,0,),"-")</f>
        <v>-</v>
      </c>
      <c r="D232" s="323" t="str" cm="1">
        <f t="array" ref="D232">IFERROR(_xlfn.XLOOKUP($D$3,Heat_connections_input[#Headers],Heat_connections_input[#This Row],0,0,),"-")</f>
        <v>-</v>
      </c>
      <c r="E232" s="284" t="str" cm="1">
        <f t="array" ref="E232">IFERROR(_xlfn.XLOOKUP($E$3,Heat_connections_input[#Headers],Heat_connections_input[#This Row],0,0,),"-")</f>
        <v>-</v>
      </c>
      <c r="F232" s="259" cm="1">
        <f t="array" ref="F232">IFERROR(_xlfn.XLOOKUP($F$3,Heat_connections_input[#Headers],Heat_connections_input[#This Row],0,0,),0)</f>
        <v>0</v>
      </c>
      <c r="G232" s="259" cm="1">
        <f t="array" ref="G232">IFERROR(_xlfn.XLOOKUP($G$3,Heat_connections_input[#Headers],Heat_connections_input[#This Row],0,0,),0)</f>
        <v>0</v>
      </c>
      <c r="H232" s="341" cm="1">
        <f t="array" ref="H232">IFERROR(_xlfn.XLOOKUP($H$3,Heat_connections_input[#Headers],Heat_connections_input[#This Row],0,0,),0)</f>
        <v>0</v>
      </c>
      <c r="I232" s="326" t="str" cm="1">
        <f t="array" ref="I232">IFERROR(_xlfn.XLOOKUP($I$3,Heat_connections_input[#Headers],Heat_connections_input[#This Row],0,0,),"-")</f>
        <v>-</v>
      </c>
      <c r="J232" s="326" t="str" cm="1">
        <f t="array" ref="J232">IFERROR(_xlfn.XLOOKUP($J$3,Heat_connections_input[#Headers],Heat_connections_input[#This Row],0,0,1),"-")</f>
        <v>-</v>
      </c>
      <c r="K232" s="260"/>
      <c r="L232" s="261"/>
      <c r="M232" s="262"/>
      <c r="N232" s="263"/>
      <c r="O232" s="264" t="str">
        <f>IF(Heat_connections[[#This Row],[Ref]]&lt;&gt;"-",
IF(M232=1,Dashboard!$C$26,IF(M232=2,Dashboard!$C$27,Dashboard!$C$28)),"-")</f>
        <v>-</v>
      </c>
      <c r="P232" s="341">
        <f>IF(Heat_connections[[#This Row],[Category]]="Domestic",Heat_connections[[#This Row],[No. of connections]],0)</f>
        <v>0</v>
      </c>
      <c r="Q232" s="341">
        <f>IF(Heat_connections[[#This Row],[Category]]&lt;&gt;"Domestic",Heat_connections[[#This Row],[No. of connections]],0)</f>
        <v>0</v>
      </c>
      <c r="R232" s="209"/>
      <c r="S232" s="512">
        <f>IF(Heat_connections[[#This Row],[TOID]]&lt;&gt;"-",
IF(ISBLANK('Heat connections'!$R232),Dashboard!$C$14,'Heat connections'!$R232),0)</f>
        <v>0</v>
      </c>
      <c r="T232" s="513">
        <f>IF(Heat_connections[[#This Row],[Peak Demand, kW]]&lt;&gt;0,'Heat connections'!$G232*Dashboard!$C$21,0)</f>
        <v>0</v>
      </c>
      <c r="U232" s="514">
        <f>IF(Heat_connections[[#This Row],[Ref]]&lt;&gt;"-",48.436*Heat_connections[[#This Row],[Peak Demand, kW]]+1068.7,0)</f>
        <v>0</v>
      </c>
      <c r="V232" s="515">
        <f>IF(Heat_connections[[#This Row],[Ref]]&lt;&gt;"-",
_xlfn.XLOOKUP('Heat connections'!$G232,'Technical inputs'!$F$79:$F$94,'Technical inputs'!$I$79:$I$94,0,1,1),0)</f>
        <v>0</v>
      </c>
      <c r="W232" s="429">
        <f>IF('Heat connections'!$E232="Domestic",1,0)</f>
        <v>0</v>
      </c>
      <c r="X232" s="430">
        <f>IF(AND(Heat_connections[[#This Row],[Ref]]&lt;&gt;"-",'Heat connections'!$E232&lt;&gt;"Domestic"),1,0)</f>
        <v>0</v>
      </c>
      <c r="Y232" s="434">
        <v>178</v>
      </c>
      <c r="Z232" s="438">
        <f>IF(Heat_connections[[#This Row],[Existing/planned development]]&lt;&gt;0,1,0)</f>
        <v>0</v>
      </c>
      <c r="AA232" s="430">
        <f>IF('Heat connections'!$M232=1,1,0)</f>
        <v>0</v>
      </c>
      <c r="AB232" s="430">
        <f>IF('Heat connections'!$M232=2,1,0)</f>
        <v>0</v>
      </c>
      <c r="AC232" s="434">
        <f>IF('Heat connections'!$M232=3,1,0)</f>
        <v>0</v>
      </c>
      <c r="AD232" s="46" t="str">
        <f>IF(AND(Heat_connections[[#This Row],[Connected to heat network]]="Yes",Heat_connections[[#This Row],[Ref]]&lt;&gt;"-"),"Yes","No")</f>
        <v>No</v>
      </c>
    </row>
    <row r="233" spans="3:30" ht="12.75" x14ac:dyDescent="0.2">
      <c r="C233" s="208" t="str" cm="1">
        <f t="array" ref="C233">IFERROR(_xlfn.XLOOKUP($C$3,Heat_connections_input[#Headers],Heat_connections_input[#This Row],0,0,),"-")</f>
        <v>-</v>
      </c>
      <c r="D233" s="323" t="str" cm="1">
        <f t="array" ref="D233">IFERROR(_xlfn.XLOOKUP($D$3,Heat_connections_input[#Headers],Heat_connections_input[#This Row],0,0,),"-")</f>
        <v>-</v>
      </c>
      <c r="E233" s="284" t="str" cm="1">
        <f t="array" ref="E233">IFERROR(_xlfn.XLOOKUP($E$3,Heat_connections_input[#Headers],Heat_connections_input[#This Row],0,0,),"-")</f>
        <v>-</v>
      </c>
      <c r="F233" s="259" cm="1">
        <f t="array" ref="F233">IFERROR(_xlfn.XLOOKUP($F$3,Heat_connections_input[#Headers],Heat_connections_input[#This Row],0,0,),0)</f>
        <v>0</v>
      </c>
      <c r="G233" s="259" cm="1">
        <f t="array" ref="G233">IFERROR(_xlfn.XLOOKUP($G$3,Heat_connections_input[#Headers],Heat_connections_input[#This Row],0,0,),0)</f>
        <v>0</v>
      </c>
      <c r="H233" s="341" cm="1">
        <f t="array" ref="H233">IFERROR(_xlfn.XLOOKUP($H$3,Heat_connections_input[#Headers],Heat_connections_input[#This Row],0,0,),0)</f>
        <v>0</v>
      </c>
      <c r="I233" s="326" t="str" cm="1">
        <f t="array" ref="I233">IFERROR(_xlfn.XLOOKUP($I$3,Heat_connections_input[#Headers],Heat_connections_input[#This Row],0,0,),"-")</f>
        <v>-</v>
      </c>
      <c r="J233" s="326" t="str" cm="1">
        <f t="array" ref="J233">IFERROR(_xlfn.XLOOKUP($J$3,Heat_connections_input[#Headers],Heat_connections_input[#This Row],0,0,1),"-")</f>
        <v>-</v>
      </c>
      <c r="K233" s="260"/>
      <c r="L233" s="261"/>
      <c r="M233" s="262"/>
      <c r="N233" s="263"/>
      <c r="O233" s="264" t="str">
        <f>IF(Heat_connections[[#This Row],[Ref]]&lt;&gt;"-",
IF(M233=1,Dashboard!$C$26,IF(M233=2,Dashboard!$C$27,Dashboard!$C$28)),"-")</f>
        <v>-</v>
      </c>
      <c r="P233" s="341">
        <f>IF(Heat_connections[[#This Row],[Category]]="Domestic",Heat_connections[[#This Row],[No. of connections]],0)</f>
        <v>0</v>
      </c>
      <c r="Q233" s="341">
        <f>IF(Heat_connections[[#This Row],[Category]]&lt;&gt;"Domestic",Heat_connections[[#This Row],[No. of connections]],0)</f>
        <v>0</v>
      </c>
      <c r="R233" s="209"/>
      <c r="S233" s="512">
        <f>IF(Heat_connections[[#This Row],[TOID]]&lt;&gt;"-",
IF(ISBLANK('Heat connections'!$R233),Dashboard!$C$14,'Heat connections'!$R233),0)</f>
        <v>0</v>
      </c>
      <c r="T233" s="513">
        <f>IF(Heat_connections[[#This Row],[Peak Demand, kW]]&lt;&gt;0,'Heat connections'!$G233*Dashboard!$C$21,0)</f>
        <v>0</v>
      </c>
      <c r="U233" s="514">
        <f>IF(Heat_connections[[#This Row],[Ref]]&lt;&gt;"-",48.436*Heat_connections[[#This Row],[Peak Demand, kW]]+1068.7,0)</f>
        <v>0</v>
      </c>
      <c r="V233" s="515">
        <f>IF(Heat_connections[[#This Row],[Ref]]&lt;&gt;"-",
_xlfn.XLOOKUP('Heat connections'!$G233,'Technical inputs'!$F$79:$F$94,'Technical inputs'!$I$79:$I$94,0,1,1),0)</f>
        <v>0</v>
      </c>
      <c r="W233" s="429">
        <f>IF('Heat connections'!$E233="Domestic",1,0)</f>
        <v>0</v>
      </c>
      <c r="X233" s="430">
        <f>IF(AND(Heat_connections[[#This Row],[Ref]]&lt;&gt;"-",'Heat connections'!$E233&lt;&gt;"Domestic"),1,0)</f>
        <v>0</v>
      </c>
      <c r="Y233" s="434">
        <v>179</v>
      </c>
      <c r="Z233" s="438">
        <f>IF(Heat_connections[[#This Row],[Existing/planned development]]&lt;&gt;0,1,0)</f>
        <v>0</v>
      </c>
      <c r="AA233" s="430">
        <f>IF('Heat connections'!$M233=1,1,0)</f>
        <v>0</v>
      </c>
      <c r="AB233" s="430">
        <f>IF('Heat connections'!$M233=2,1,0)</f>
        <v>0</v>
      </c>
      <c r="AC233" s="434">
        <f>IF('Heat connections'!$M233=3,1,0)</f>
        <v>0</v>
      </c>
      <c r="AD233" s="46" t="str">
        <f>IF(AND(Heat_connections[[#This Row],[Connected to heat network]]="Yes",Heat_connections[[#This Row],[Ref]]&lt;&gt;"-"),"Yes","No")</f>
        <v>No</v>
      </c>
    </row>
    <row r="234" spans="3:30" ht="12.75" x14ac:dyDescent="0.2">
      <c r="C234" s="208" t="str" cm="1">
        <f t="array" ref="C234">IFERROR(_xlfn.XLOOKUP($C$3,Heat_connections_input[#Headers],Heat_connections_input[#This Row],0,0,),"-")</f>
        <v>-</v>
      </c>
      <c r="D234" s="323" t="str" cm="1">
        <f t="array" ref="D234">IFERROR(_xlfn.XLOOKUP($D$3,Heat_connections_input[#Headers],Heat_connections_input[#This Row],0,0,),"-")</f>
        <v>-</v>
      </c>
      <c r="E234" s="284" t="str" cm="1">
        <f t="array" ref="E234">IFERROR(_xlfn.XLOOKUP($E$3,Heat_connections_input[#Headers],Heat_connections_input[#This Row],0,0,),"-")</f>
        <v>-</v>
      </c>
      <c r="F234" s="259" cm="1">
        <f t="array" ref="F234">IFERROR(_xlfn.XLOOKUP($F$3,Heat_connections_input[#Headers],Heat_connections_input[#This Row],0,0,),0)</f>
        <v>0</v>
      </c>
      <c r="G234" s="259" cm="1">
        <f t="array" ref="G234">IFERROR(_xlfn.XLOOKUP($G$3,Heat_connections_input[#Headers],Heat_connections_input[#This Row],0,0,),0)</f>
        <v>0</v>
      </c>
      <c r="H234" s="341" cm="1">
        <f t="array" ref="H234">IFERROR(_xlfn.XLOOKUP($H$3,Heat_connections_input[#Headers],Heat_connections_input[#This Row],0,0,),0)</f>
        <v>0</v>
      </c>
      <c r="I234" s="326" t="str" cm="1">
        <f t="array" ref="I234">IFERROR(_xlfn.XLOOKUP($I$3,Heat_connections_input[#Headers],Heat_connections_input[#This Row],0,0,),"-")</f>
        <v>-</v>
      </c>
      <c r="J234" s="326" t="str" cm="1">
        <f t="array" ref="J234">IFERROR(_xlfn.XLOOKUP($J$3,Heat_connections_input[#Headers],Heat_connections_input[#This Row],0,0,1),"-")</f>
        <v>-</v>
      </c>
      <c r="K234" s="260"/>
      <c r="L234" s="261"/>
      <c r="M234" s="262"/>
      <c r="N234" s="263"/>
      <c r="O234" s="264" t="str">
        <f>IF(Heat_connections[[#This Row],[Ref]]&lt;&gt;"-",
IF(M234=1,Dashboard!$C$26,IF(M234=2,Dashboard!$C$27,Dashboard!$C$28)),"-")</f>
        <v>-</v>
      </c>
      <c r="P234" s="341">
        <f>IF(Heat_connections[[#This Row],[Category]]="Domestic",Heat_connections[[#This Row],[No. of connections]],0)</f>
        <v>0</v>
      </c>
      <c r="Q234" s="341">
        <f>IF(Heat_connections[[#This Row],[Category]]&lt;&gt;"Domestic",Heat_connections[[#This Row],[No. of connections]],0)</f>
        <v>0</v>
      </c>
      <c r="R234" s="209"/>
      <c r="S234" s="512">
        <f>IF(Heat_connections[[#This Row],[TOID]]&lt;&gt;"-",
IF(ISBLANK('Heat connections'!$R234),Dashboard!$C$14,'Heat connections'!$R234),0)</f>
        <v>0</v>
      </c>
      <c r="T234" s="513">
        <f>IF(Heat_connections[[#This Row],[Peak Demand, kW]]&lt;&gt;0,'Heat connections'!$G234*Dashboard!$C$21,0)</f>
        <v>0</v>
      </c>
      <c r="U234" s="514">
        <f>IF(Heat_connections[[#This Row],[Ref]]&lt;&gt;"-",48.436*Heat_connections[[#This Row],[Peak Demand, kW]]+1068.7,0)</f>
        <v>0</v>
      </c>
      <c r="V234" s="515">
        <f>IF(Heat_connections[[#This Row],[Ref]]&lt;&gt;"-",
_xlfn.XLOOKUP('Heat connections'!$G234,'Technical inputs'!$F$79:$F$94,'Technical inputs'!$I$79:$I$94,0,1,1),0)</f>
        <v>0</v>
      </c>
      <c r="W234" s="429">
        <f>IF('Heat connections'!$E234="Domestic",1,0)</f>
        <v>0</v>
      </c>
      <c r="X234" s="430">
        <f>IF(AND(Heat_connections[[#This Row],[Ref]]&lt;&gt;"-",'Heat connections'!$E234&lt;&gt;"Domestic"),1,0)</f>
        <v>0</v>
      </c>
      <c r="Y234" s="434">
        <v>180</v>
      </c>
      <c r="Z234" s="438">
        <f>IF(Heat_connections[[#This Row],[Existing/planned development]]&lt;&gt;0,1,0)</f>
        <v>0</v>
      </c>
      <c r="AA234" s="430">
        <f>IF('Heat connections'!$M234=1,1,0)</f>
        <v>0</v>
      </c>
      <c r="AB234" s="430">
        <f>IF('Heat connections'!$M234=2,1,0)</f>
        <v>0</v>
      </c>
      <c r="AC234" s="434">
        <f>IF('Heat connections'!$M234=3,1,0)</f>
        <v>0</v>
      </c>
      <c r="AD234" s="46" t="str">
        <f>IF(AND(Heat_connections[[#This Row],[Connected to heat network]]="Yes",Heat_connections[[#This Row],[Ref]]&lt;&gt;"-"),"Yes","No")</f>
        <v>No</v>
      </c>
    </row>
    <row r="235" spans="3:30" ht="12.75" x14ac:dyDescent="0.2">
      <c r="C235" s="208" t="str" cm="1">
        <f t="array" ref="C235">IFERROR(_xlfn.XLOOKUP($C$3,Heat_connections_input[#Headers],Heat_connections_input[#This Row],0,0,),"-")</f>
        <v>-</v>
      </c>
      <c r="D235" s="323" t="str" cm="1">
        <f t="array" ref="D235">IFERROR(_xlfn.XLOOKUP($D$3,Heat_connections_input[#Headers],Heat_connections_input[#This Row],0,0,),"-")</f>
        <v>-</v>
      </c>
      <c r="E235" s="284" t="str" cm="1">
        <f t="array" ref="E235">IFERROR(_xlfn.XLOOKUP($E$3,Heat_connections_input[#Headers],Heat_connections_input[#This Row],0,0,),"-")</f>
        <v>-</v>
      </c>
      <c r="F235" s="259" cm="1">
        <f t="array" ref="F235">IFERROR(_xlfn.XLOOKUP($F$3,Heat_connections_input[#Headers],Heat_connections_input[#This Row],0,0,),0)</f>
        <v>0</v>
      </c>
      <c r="G235" s="259" cm="1">
        <f t="array" ref="G235">IFERROR(_xlfn.XLOOKUP($G$3,Heat_connections_input[#Headers],Heat_connections_input[#This Row],0,0,),0)</f>
        <v>0</v>
      </c>
      <c r="H235" s="341" cm="1">
        <f t="array" ref="H235">IFERROR(_xlfn.XLOOKUP($H$3,Heat_connections_input[#Headers],Heat_connections_input[#This Row],0,0,),0)</f>
        <v>0</v>
      </c>
      <c r="I235" s="326" t="str" cm="1">
        <f t="array" ref="I235">IFERROR(_xlfn.XLOOKUP($I$3,Heat_connections_input[#Headers],Heat_connections_input[#This Row],0,0,),"-")</f>
        <v>-</v>
      </c>
      <c r="J235" s="326" t="str" cm="1">
        <f t="array" ref="J235">IFERROR(_xlfn.XLOOKUP($J$3,Heat_connections_input[#Headers],Heat_connections_input[#This Row],0,0,1),"-")</f>
        <v>-</v>
      </c>
      <c r="K235" s="260"/>
      <c r="L235" s="261"/>
      <c r="M235" s="262"/>
      <c r="N235" s="263"/>
      <c r="O235" s="264" t="str">
        <f>IF(Heat_connections[[#This Row],[Ref]]&lt;&gt;"-",
IF(M235=1,Dashboard!$C$26,IF(M235=2,Dashboard!$C$27,Dashboard!$C$28)),"-")</f>
        <v>-</v>
      </c>
      <c r="P235" s="341">
        <f>IF(Heat_connections[[#This Row],[Category]]="Domestic",Heat_connections[[#This Row],[No. of connections]],0)</f>
        <v>0</v>
      </c>
      <c r="Q235" s="341">
        <f>IF(Heat_connections[[#This Row],[Category]]&lt;&gt;"Domestic",Heat_connections[[#This Row],[No. of connections]],0)</f>
        <v>0</v>
      </c>
      <c r="R235" s="209"/>
      <c r="S235" s="512">
        <f>IF(Heat_connections[[#This Row],[TOID]]&lt;&gt;"-",
IF(ISBLANK('Heat connections'!$R235),Dashboard!$C$14,'Heat connections'!$R235),0)</f>
        <v>0</v>
      </c>
      <c r="T235" s="513">
        <f>IF(Heat_connections[[#This Row],[Peak Demand, kW]]&lt;&gt;0,'Heat connections'!$G235*Dashboard!$C$21,0)</f>
        <v>0</v>
      </c>
      <c r="U235" s="514">
        <f>IF(Heat_connections[[#This Row],[Ref]]&lt;&gt;"-",48.436*Heat_connections[[#This Row],[Peak Demand, kW]]+1068.7,0)</f>
        <v>0</v>
      </c>
      <c r="V235" s="515">
        <f>IF(Heat_connections[[#This Row],[Ref]]&lt;&gt;"-",
_xlfn.XLOOKUP('Heat connections'!$G235,'Technical inputs'!$F$79:$F$94,'Technical inputs'!$I$79:$I$94,0,1,1),0)</f>
        <v>0</v>
      </c>
      <c r="W235" s="429">
        <f>IF('Heat connections'!$E235="Domestic",1,0)</f>
        <v>0</v>
      </c>
      <c r="X235" s="430">
        <f>IF(AND(Heat_connections[[#This Row],[Ref]]&lt;&gt;"-",'Heat connections'!$E235&lt;&gt;"Domestic"),1,0)</f>
        <v>0</v>
      </c>
      <c r="Y235" s="434">
        <v>181</v>
      </c>
      <c r="Z235" s="438">
        <f>IF(Heat_connections[[#This Row],[Existing/planned development]]&lt;&gt;0,1,0)</f>
        <v>0</v>
      </c>
      <c r="AA235" s="430">
        <f>IF('Heat connections'!$M235=1,1,0)</f>
        <v>0</v>
      </c>
      <c r="AB235" s="430">
        <f>IF('Heat connections'!$M235=2,1,0)</f>
        <v>0</v>
      </c>
      <c r="AC235" s="434">
        <f>IF('Heat connections'!$M235=3,1,0)</f>
        <v>0</v>
      </c>
      <c r="AD235" s="46" t="str">
        <f>IF(AND(Heat_connections[[#This Row],[Connected to heat network]]="Yes",Heat_connections[[#This Row],[Ref]]&lt;&gt;"-"),"Yes","No")</f>
        <v>No</v>
      </c>
    </row>
    <row r="236" spans="3:30" ht="12.75" x14ac:dyDescent="0.2">
      <c r="C236" s="208" t="str" cm="1">
        <f t="array" ref="C236">IFERROR(_xlfn.XLOOKUP($C$3,Heat_connections_input[#Headers],Heat_connections_input[#This Row],0,0,),"-")</f>
        <v>-</v>
      </c>
      <c r="D236" s="323" t="str" cm="1">
        <f t="array" ref="D236">IFERROR(_xlfn.XLOOKUP($D$3,Heat_connections_input[#Headers],Heat_connections_input[#This Row],0,0,),"-")</f>
        <v>-</v>
      </c>
      <c r="E236" s="284" t="str" cm="1">
        <f t="array" ref="E236">IFERROR(_xlfn.XLOOKUP($E$3,Heat_connections_input[#Headers],Heat_connections_input[#This Row],0,0,),"-")</f>
        <v>-</v>
      </c>
      <c r="F236" s="259" cm="1">
        <f t="array" ref="F236">IFERROR(_xlfn.XLOOKUP($F$3,Heat_connections_input[#Headers],Heat_connections_input[#This Row],0,0,),0)</f>
        <v>0</v>
      </c>
      <c r="G236" s="259" cm="1">
        <f t="array" ref="G236">IFERROR(_xlfn.XLOOKUP($G$3,Heat_connections_input[#Headers],Heat_connections_input[#This Row],0,0,),0)</f>
        <v>0</v>
      </c>
      <c r="H236" s="341" cm="1">
        <f t="array" ref="H236">IFERROR(_xlfn.XLOOKUP($H$3,Heat_connections_input[#Headers],Heat_connections_input[#This Row],0,0,),0)</f>
        <v>0</v>
      </c>
      <c r="I236" s="326" t="str" cm="1">
        <f t="array" ref="I236">IFERROR(_xlfn.XLOOKUP($I$3,Heat_connections_input[#Headers],Heat_connections_input[#This Row],0,0,),"-")</f>
        <v>-</v>
      </c>
      <c r="J236" s="326" t="str" cm="1">
        <f t="array" ref="J236">IFERROR(_xlfn.XLOOKUP($J$3,Heat_connections_input[#Headers],Heat_connections_input[#This Row],0,0,1),"-")</f>
        <v>-</v>
      </c>
      <c r="K236" s="260"/>
      <c r="L236" s="261"/>
      <c r="M236" s="262"/>
      <c r="N236" s="263"/>
      <c r="O236" s="264" t="str">
        <f>IF(Heat_connections[[#This Row],[Ref]]&lt;&gt;"-",
IF(M236=1,Dashboard!$C$26,IF(M236=2,Dashboard!$C$27,Dashboard!$C$28)),"-")</f>
        <v>-</v>
      </c>
      <c r="P236" s="341">
        <f>IF(Heat_connections[[#This Row],[Category]]="Domestic",Heat_connections[[#This Row],[No. of connections]],0)</f>
        <v>0</v>
      </c>
      <c r="Q236" s="341">
        <f>IF(Heat_connections[[#This Row],[Category]]&lt;&gt;"Domestic",Heat_connections[[#This Row],[No. of connections]],0)</f>
        <v>0</v>
      </c>
      <c r="R236" s="209"/>
      <c r="S236" s="512">
        <f>IF(Heat_connections[[#This Row],[TOID]]&lt;&gt;"-",
IF(ISBLANK('Heat connections'!$R236),Dashboard!$C$14,'Heat connections'!$R236),0)</f>
        <v>0</v>
      </c>
      <c r="T236" s="513">
        <f>IF(Heat_connections[[#This Row],[Peak Demand, kW]]&lt;&gt;0,'Heat connections'!$G236*Dashboard!$C$21,0)</f>
        <v>0</v>
      </c>
      <c r="U236" s="514">
        <f>IF(Heat_connections[[#This Row],[Ref]]&lt;&gt;"-",48.436*Heat_connections[[#This Row],[Peak Demand, kW]]+1068.7,0)</f>
        <v>0</v>
      </c>
      <c r="V236" s="515">
        <f>IF(Heat_connections[[#This Row],[Ref]]&lt;&gt;"-",
_xlfn.XLOOKUP('Heat connections'!$G236,'Technical inputs'!$F$79:$F$94,'Technical inputs'!$I$79:$I$94,0,1,1),0)</f>
        <v>0</v>
      </c>
      <c r="W236" s="429">
        <f>IF('Heat connections'!$E236="Domestic",1,0)</f>
        <v>0</v>
      </c>
      <c r="X236" s="430">
        <f>IF(AND(Heat_connections[[#This Row],[Ref]]&lt;&gt;"-",'Heat connections'!$E236&lt;&gt;"Domestic"),1,0)</f>
        <v>0</v>
      </c>
      <c r="Y236" s="434">
        <v>182</v>
      </c>
      <c r="Z236" s="438">
        <f>IF(Heat_connections[[#This Row],[Existing/planned development]]&lt;&gt;0,1,0)</f>
        <v>0</v>
      </c>
      <c r="AA236" s="430">
        <f>IF('Heat connections'!$M236=1,1,0)</f>
        <v>0</v>
      </c>
      <c r="AB236" s="430">
        <f>IF('Heat connections'!$M236=2,1,0)</f>
        <v>0</v>
      </c>
      <c r="AC236" s="434">
        <f>IF('Heat connections'!$M236=3,1,0)</f>
        <v>0</v>
      </c>
      <c r="AD236" s="46" t="str">
        <f>IF(AND(Heat_connections[[#This Row],[Connected to heat network]]="Yes",Heat_connections[[#This Row],[Ref]]&lt;&gt;"-"),"Yes","No")</f>
        <v>No</v>
      </c>
    </row>
    <row r="237" spans="3:30" ht="12.75" x14ac:dyDescent="0.2">
      <c r="C237" s="208" t="str" cm="1">
        <f t="array" ref="C237">IFERROR(_xlfn.XLOOKUP($C$3,Heat_connections_input[#Headers],Heat_connections_input[#This Row],0,0,),"-")</f>
        <v>-</v>
      </c>
      <c r="D237" s="323" t="str" cm="1">
        <f t="array" ref="D237">IFERROR(_xlfn.XLOOKUP($D$3,Heat_connections_input[#Headers],Heat_connections_input[#This Row],0,0,),"-")</f>
        <v>-</v>
      </c>
      <c r="E237" s="284" t="str" cm="1">
        <f t="array" ref="E237">IFERROR(_xlfn.XLOOKUP($E$3,Heat_connections_input[#Headers],Heat_connections_input[#This Row],0,0,),"-")</f>
        <v>-</v>
      </c>
      <c r="F237" s="259" cm="1">
        <f t="array" ref="F237">IFERROR(_xlfn.XLOOKUP($F$3,Heat_connections_input[#Headers],Heat_connections_input[#This Row],0,0,),0)</f>
        <v>0</v>
      </c>
      <c r="G237" s="259" cm="1">
        <f t="array" ref="G237">IFERROR(_xlfn.XLOOKUP($G$3,Heat_connections_input[#Headers],Heat_connections_input[#This Row],0,0,),0)</f>
        <v>0</v>
      </c>
      <c r="H237" s="341" cm="1">
        <f t="array" ref="H237">IFERROR(_xlfn.XLOOKUP($H$3,Heat_connections_input[#Headers],Heat_connections_input[#This Row],0,0,),0)</f>
        <v>0</v>
      </c>
      <c r="I237" s="326" t="str" cm="1">
        <f t="array" ref="I237">IFERROR(_xlfn.XLOOKUP($I$3,Heat_connections_input[#Headers],Heat_connections_input[#This Row],0,0,),"-")</f>
        <v>-</v>
      </c>
      <c r="J237" s="326" t="str" cm="1">
        <f t="array" ref="J237">IFERROR(_xlfn.XLOOKUP($J$3,Heat_connections_input[#Headers],Heat_connections_input[#This Row],0,0,1),"-")</f>
        <v>-</v>
      </c>
      <c r="K237" s="260"/>
      <c r="L237" s="261"/>
      <c r="M237" s="262"/>
      <c r="N237" s="263"/>
      <c r="O237" s="264" t="str">
        <f>IF(Heat_connections[[#This Row],[Ref]]&lt;&gt;"-",
IF(M237=1,Dashboard!$C$26,IF(M237=2,Dashboard!$C$27,Dashboard!$C$28)),"-")</f>
        <v>-</v>
      </c>
      <c r="P237" s="341">
        <f>IF(Heat_connections[[#This Row],[Category]]="Domestic",Heat_connections[[#This Row],[No. of connections]],0)</f>
        <v>0</v>
      </c>
      <c r="Q237" s="341">
        <f>IF(Heat_connections[[#This Row],[Category]]&lt;&gt;"Domestic",Heat_connections[[#This Row],[No. of connections]],0)</f>
        <v>0</v>
      </c>
      <c r="R237" s="209"/>
      <c r="S237" s="512">
        <f>IF(Heat_connections[[#This Row],[TOID]]&lt;&gt;"-",
IF(ISBLANK('Heat connections'!$R237),Dashboard!$C$14,'Heat connections'!$R237),0)</f>
        <v>0</v>
      </c>
      <c r="T237" s="513">
        <f>IF(Heat_connections[[#This Row],[Peak Demand, kW]]&lt;&gt;0,'Heat connections'!$G237*Dashboard!$C$21,0)</f>
        <v>0</v>
      </c>
      <c r="U237" s="514">
        <f>IF(Heat_connections[[#This Row],[Ref]]&lt;&gt;"-",48.436*Heat_connections[[#This Row],[Peak Demand, kW]]+1068.7,0)</f>
        <v>0</v>
      </c>
      <c r="V237" s="515">
        <f>IF(Heat_connections[[#This Row],[Ref]]&lt;&gt;"-",
_xlfn.XLOOKUP('Heat connections'!$G237,'Technical inputs'!$F$79:$F$94,'Technical inputs'!$I$79:$I$94,0,1,1),0)</f>
        <v>0</v>
      </c>
      <c r="W237" s="429">
        <f>IF('Heat connections'!$E237="Domestic",1,0)</f>
        <v>0</v>
      </c>
      <c r="X237" s="430">
        <f>IF(AND(Heat_connections[[#This Row],[Ref]]&lt;&gt;"-",'Heat connections'!$E237&lt;&gt;"Domestic"),1,0)</f>
        <v>0</v>
      </c>
      <c r="Y237" s="434">
        <v>183</v>
      </c>
      <c r="Z237" s="438">
        <f>IF(Heat_connections[[#This Row],[Existing/planned development]]&lt;&gt;0,1,0)</f>
        <v>0</v>
      </c>
      <c r="AA237" s="430">
        <f>IF('Heat connections'!$M237=1,1,0)</f>
        <v>0</v>
      </c>
      <c r="AB237" s="430">
        <f>IF('Heat connections'!$M237=2,1,0)</f>
        <v>0</v>
      </c>
      <c r="AC237" s="434">
        <f>IF('Heat connections'!$M237=3,1,0)</f>
        <v>0</v>
      </c>
      <c r="AD237" s="46" t="str">
        <f>IF(AND(Heat_connections[[#This Row],[Connected to heat network]]="Yes",Heat_connections[[#This Row],[Ref]]&lt;&gt;"-"),"Yes","No")</f>
        <v>No</v>
      </c>
    </row>
    <row r="238" spans="3:30" ht="12.75" x14ac:dyDescent="0.2">
      <c r="C238" s="208" t="str" cm="1">
        <f t="array" ref="C238">IFERROR(_xlfn.XLOOKUP($C$3,Heat_connections_input[#Headers],Heat_connections_input[#This Row],0,0,),"-")</f>
        <v>-</v>
      </c>
      <c r="D238" s="323" t="str" cm="1">
        <f t="array" ref="D238">IFERROR(_xlfn.XLOOKUP($D$3,Heat_connections_input[#Headers],Heat_connections_input[#This Row],0,0,),"-")</f>
        <v>-</v>
      </c>
      <c r="E238" s="284" t="str" cm="1">
        <f t="array" ref="E238">IFERROR(_xlfn.XLOOKUP($E$3,Heat_connections_input[#Headers],Heat_connections_input[#This Row],0,0,),"-")</f>
        <v>-</v>
      </c>
      <c r="F238" s="259" cm="1">
        <f t="array" ref="F238">IFERROR(_xlfn.XLOOKUP($F$3,Heat_connections_input[#Headers],Heat_connections_input[#This Row],0,0,),0)</f>
        <v>0</v>
      </c>
      <c r="G238" s="259" cm="1">
        <f t="array" ref="G238">IFERROR(_xlfn.XLOOKUP($G$3,Heat_connections_input[#Headers],Heat_connections_input[#This Row],0,0,),0)</f>
        <v>0</v>
      </c>
      <c r="H238" s="341" cm="1">
        <f t="array" ref="H238">IFERROR(_xlfn.XLOOKUP($H$3,Heat_connections_input[#Headers],Heat_connections_input[#This Row],0,0,),0)</f>
        <v>0</v>
      </c>
      <c r="I238" s="326" t="str" cm="1">
        <f t="array" ref="I238">IFERROR(_xlfn.XLOOKUP($I$3,Heat_connections_input[#Headers],Heat_connections_input[#This Row],0,0,),"-")</f>
        <v>-</v>
      </c>
      <c r="J238" s="326" t="str" cm="1">
        <f t="array" ref="J238">IFERROR(_xlfn.XLOOKUP($J$3,Heat_connections_input[#Headers],Heat_connections_input[#This Row],0,0,1),"-")</f>
        <v>-</v>
      </c>
      <c r="K238" s="260"/>
      <c r="L238" s="261"/>
      <c r="M238" s="262"/>
      <c r="N238" s="263"/>
      <c r="O238" s="264" t="str">
        <f>IF(Heat_connections[[#This Row],[Ref]]&lt;&gt;"-",
IF(M238=1,Dashboard!$C$26,IF(M238=2,Dashboard!$C$27,Dashboard!$C$28)),"-")</f>
        <v>-</v>
      </c>
      <c r="P238" s="341">
        <f>IF(Heat_connections[[#This Row],[Category]]="Domestic",Heat_connections[[#This Row],[No. of connections]],0)</f>
        <v>0</v>
      </c>
      <c r="Q238" s="341">
        <f>IF(Heat_connections[[#This Row],[Category]]&lt;&gt;"Domestic",Heat_connections[[#This Row],[No. of connections]],0)</f>
        <v>0</v>
      </c>
      <c r="R238" s="209"/>
      <c r="S238" s="512">
        <f>IF(Heat_connections[[#This Row],[TOID]]&lt;&gt;"-",
IF(ISBLANK('Heat connections'!$R238),Dashboard!$C$14,'Heat connections'!$R238),0)</f>
        <v>0</v>
      </c>
      <c r="T238" s="513">
        <f>IF(Heat_connections[[#This Row],[Peak Demand, kW]]&lt;&gt;0,'Heat connections'!$G238*Dashboard!$C$21,0)</f>
        <v>0</v>
      </c>
      <c r="U238" s="514">
        <f>IF(Heat_connections[[#This Row],[Ref]]&lt;&gt;"-",48.436*Heat_connections[[#This Row],[Peak Demand, kW]]+1068.7,0)</f>
        <v>0</v>
      </c>
      <c r="V238" s="515">
        <f>IF(Heat_connections[[#This Row],[Ref]]&lt;&gt;"-",
_xlfn.XLOOKUP('Heat connections'!$G238,'Technical inputs'!$F$79:$F$94,'Technical inputs'!$I$79:$I$94,0,1,1),0)</f>
        <v>0</v>
      </c>
      <c r="W238" s="429">
        <f>IF('Heat connections'!$E238="Domestic",1,0)</f>
        <v>0</v>
      </c>
      <c r="X238" s="430">
        <f>IF(AND(Heat_connections[[#This Row],[Ref]]&lt;&gt;"-",'Heat connections'!$E238&lt;&gt;"Domestic"),1,0)</f>
        <v>0</v>
      </c>
      <c r="Y238" s="434">
        <v>184</v>
      </c>
      <c r="Z238" s="438">
        <f>IF(Heat_connections[[#This Row],[Existing/planned development]]&lt;&gt;0,1,0)</f>
        <v>0</v>
      </c>
      <c r="AA238" s="430">
        <f>IF('Heat connections'!$M238=1,1,0)</f>
        <v>0</v>
      </c>
      <c r="AB238" s="430">
        <f>IF('Heat connections'!$M238=2,1,0)</f>
        <v>0</v>
      </c>
      <c r="AC238" s="434">
        <f>IF('Heat connections'!$M238=3,1,0)</f>
        <v>0</v>
      </c>
      <c r="AD238" s="46" t="str">
        <f>IF(AND(Heat_connections[[#This Row],[Connected to heat network]]="Yes",Heat_connections[[#This Row],[Ref]]&lt;&gt;"-"),"Yes","No")</f>
        <v>No</v>
      </c>
    </row>
    <row r="239" spans="3:30" ht="12.75" x14ac:dyDescent="0.2">
      <c r="C239" s="208" t="str" cm="1">
        <f t="array" ref="C239">IFERROR(_xlfn.XLOOKUP($C$3,Heat_connections_input[#Headers],Heat_connections_input[#This Row],0,0,),"-")</f>
        <v>-</v>
      </c>
      <c r="D239" s="323" t="str" cm="1">
        <f t="array" ref="D239">IFERROR(_xlfn.XLOOKUP($D$3,Heat_connections_input[#Headers],Heat_connections_input[#This Row],0,0,),"-")</f>
        <v>-</v>
      </c>
      <c r="E239" s="284" t="str" cm="1">
        <f t="array" ref="E239">IFERROR(_xlfn.XLOOKUP($E$3,Heat_connections_input[#Headers],Heat_connections_input[#This Row],0,0,),"-")</f>
        <v>-</v>
      </c>
      <c r="F239" s="259" cm="1">
        <f t="array" ref="F239">IFERROR(_xlfn.XLOOKUP($F$3,Heat_connections_input[#Headers],Heat_connections_input[#This Row],0,0,),0)</f>
        <v>0</v>
      </c>
      <c r="G239" s="259" cm="1">
        <f t="array" ref="G239">IFERROR(_xlfn.XLOOKUP($G$3,Heat_connections_input[#Headers],Heat_connections_input[#This Row],0,0,),0)</f>
        <v>0</v>
      </c>
      <c r="H239" s="341" cm="1">
        <f t="array" ref="H239">IFERROR(_xlfn.XLOOKUP($H$3,Heat_connections_input[#Headers],Heat_connections_input[#This Row],0,0,),0)</f>
        <v>0</v>
      </c>
      <c r="I239" s="326" t="str" cm="1">
        <f t="array" ref="I239">IFERROR(_xlfn.XLOOKUP($I$3,Heat_connections_input[#Headers],Heat_connections_input[#This Row],0,0,),"-")</f>
        <v>-</v>
      </c>
      <c r="J239" s="326" t="str" cm="1">
        <f t="array" ref="J239">IFERROR(_xlfn.XLOOKUP($J$3,Heat_connections_input[#Headers],Heat_connections_input[#This Row],0,0,1),"-")</f>
        <v>-</v>
      </c>
      <c r="K239" s="260"/>
      <c r="L239" s="261"/>
      <c r="M239" s="262"/>
      <c r="N239" s="263"/>
      <c r="O239" s="264" t="str">
        <f>IF(Heat_connections[[#This Row],[Ref]]&lt;&gt;"-",
IF(M239=1,Dashboard!$C$26,IF(M239=2,Dashboard!$C$27,Dashboard!$C$28)),"-")</f>
        <v>-</v>
      </c>
      <c r="P239" s="341">
        <f>IF(Heat_connections[[#This Row],[Category]]="Domestic",Heat_connections[[#This Row],[No. of connections]],0)</f>
        <v>0</v>
      </c>
      <c r="Q239" s="341">
        <f>IF(Heat_connections[[#This Row],[Category]]&lt;&gt;"Domestic",Heat_connections[[#This Row],[No. of connections]],0)</f>
        <v>0</v>
      </c>
      <c r="R239" s="209"/>
      <c r="S239" s="512">
        <f>IF(Heat_connections[[#This Row],[TOID]]&lt;&gt;"-",
IF(ISBLANK('Heat connections'!$R239),Dashboard!$C$14,'Heat connections'!$R239),0)</f>
        <v>0</v>
      </c>
      <c r="T239" s="513">
        <f>IF(Heat_connections[[#This Row],[Peak Demand, kW]]&lt;&gt;0,'Heat connections'!$G239*Dashboard!$C$21,0)</f>
        <v>0</v>
      </c>
      <c r="U239" s="514">
        <f>IF(Heat_connections[[#This Row],[Ref]]&lt;&gt;"-",48.436*Heat_connections[[#This Row],[Peak Demand, kW]]+1068.7,0)</f>
        <v>0</v>
      </c>
      <c r="V239" s="515">
        <f>IF(Heat_connections[[#This Row],[Ref]]&lt;&gt;"-",
_xlfn.XLOOKUP('Heat connections'!$G239,'Technical inputs'!$F$79:$F$94,'Technical inputs'!$I$79:$I$94,0,1,1),0)</f>
        <v>0</v>
      </c>
      <c r="W239" s="429">
        <f>IF('Heat connections'!$E239="Domestic",1,0)</f>
        <v>0</v>
      </c>
      <c r="X239" s="430">
        <f>IF(AND(Heat_connections[[#This Row],[Ref]]&lt;&gt;"-",'Heat connections'!$E239&lt;&gt;"Domestic"),1,0)</f>
        <v>0</v>
      </c>
      <c r="Y239" s="434">
        <v>185</v>
      </c>
      <c r="Z239" s="438">
        <f>IF(Heat_connections[[#This Row],[Existing/planned development]]&lt;&gt;0,1,0)</f>
        <v>0</v>
      </c>
      <c r="AA239" s="430">
        <f>IF('Heat connections'!$M239=1,1,0)</f>
        <v>0</v>
      </c>
      <c r="AB239" s="430">
        <f>IF('Heat connections'!$M239=2,1,0)</f>
        <v>0</v>
      </c>
      <c r="AC239" s="434">
        <f>IF('Heat connections'!$M239=3,1,0)</f>
        <v>0</v>
      </c>
      <c r="AD239" s="46" t="str">
        <f>IF(AND(Heat_connections[[#This Row],[Connected to heat network]]="Yes",Heat_connections[[#This Row],[Ref]]&lt;&gt;"-"),"Yes","No")</f>
        <v>No</v>
      </c>
    </row>
    <row r="240" spans="3:30" ht="12.75" x14ac:dyDescent="0.2">
      <c r="C240" s="208" t="str" cm="1">
        <f t="array" ref="C240">IFERROR(_xlfn.XLOOKUP($C$3,Heat_connections_input[#Headers],Heat_connections_input[#This Row],0,0,),"-")</f>
        <v>-</v>
      </c>
      <c r="D240" s="323" t="str" cm="1">
        <f t="array" ref="D240">IFERROR(_xlfn.XLOOKUP($D$3,Heat_connections_input[#Headers],Heat_connections_input[#This Row],0,0,),"-")</f>
        <v>-</v>
      </c>
      <c r="E240" s="284" t="str" cm="1">
        <f t="array" ref="E240">IFERROR(_xlfn.XLOOKUP($E$3,Heat_connections_input[#Headers],Heat_connections_input[#This Row],0,0,),"-")</f>
        <v>-</v>
      </c>
      <c r="F240" s="259" cm="1">
        <f t="array" ref="F240">IFERROR(_xlfn.XLOOKUP($F$3,Heat_connections_input[#Headers],Heat_connections_input[#This Row],0,0,),0)</f>
        <v>0</v>
      </c>
      <c r="G240" s="259" cm="1">
        <f t="array" ref="G240">IFERROR(_xlfn.XLOOKUP($G$3,Heat_connections_input[#Headers],Heat_connections_input[#This Row],0,0,),0)</f>
        <v>0</v>
      </c>
      <c r="H240" s="341" cm="1">
        <f t="array" ref="H240">IFERROR(_xlfn.XLOOKUP($H$3,Heat_connections_input[#Headers],Heat_connections_input[#This Row],0,0,),0)</f>
        <v>0</v>
      </c>
      <c r="I240" s="326" t="str" cm="1">
        <f t="array" ref="I240">IFERROR(_xlfn.XLOOKUP($I$3,Heat_connections_input[#Headers],Heat_connections_input[#This Row],0,0,),"-")</f>
        <v>-</v>
      </c>
      <c r="J240" s="326" t="str" cm="1">
        <f t="array" ref="J240">IFERROR(_xlfn.XLOOKUP($J$3,Heat_connections_input[#Headers],Heat_connections_input[#This Row],0,0,1),"-")</f>
        <v>-</v>
      </c>
      <c r="K240" s="260"/>
      <c r="L240" s="261"/>
      <c r="M240" s="262"/>
      <c r="N240" s="263"/>
      <c r="O240" s="264" t="str">
        <f>IF(Heat_connections[[#This Row],[Ref]]&lt;&gt;"-",
IF(M240=1,Dashboard!$C$26,IF(M240=2,Dashboard!$C$27,Dashboard!$C$28)),"-")</f>
        <v>-</v>
      </c>
      <c r="P240" s="341">
        <f>IF(Heat_connections[[#This Row],[Category]]="Domestic",Heat_connections[[#This Row],[No. of connections]],0)</f>
        <v>0</v>
      </c>
      <c r="Q240" s="341">
        <f>IF(Heat_connections[[#This Row],[Category]]&lt;&gt;"Domestic",Heat_connections[[#This Row],[No. of connections]],0)</f>
        <v>0</v>
      </c>
      <c r="R240" s="209"/>
      <c r="S240" s="512">
        <f>IF(Heat_connections[[#This Row],[TOID]]&lt;&gt;"-",
IF(ISBLANK('Heat connections'!$R240),Dashboard!$C$14,'Heat connections'!$R240),0)</f>
        <v>0</v>
      </c>
      <c r="T240" s="513">
        <f>IF(Heat_connections[[#This Row],[Peak Demand, kW]]&lt;&gt;0,'Heat connections'!$G240*Dashboard!$C$21,0)</f>
        <v>0</v>
      </c>
      <c r="U240" s="514">
        <f>IF(Heat_connections[[#This Row],[Ref]]&lt;&gt;"-",48.436*Heat_connections[[#This Row],[Peak Demand, kW]]+1068.7,0)</f>
        <v>0</v>
      </c>
      <c r="V240" s="515">
        <f>IF(Heat_connections[[#This Row],[Ref]]&lt;&gt;"-",
_xlfn.XLOOKUP('Heat connections'!$G240,'Technical inputs'!$F$79:$F$94,'Technical inputs'!$I$79:$I$94,0,1,1),0)</f>
        <v>0</v>
      </c>
      <c r="W240" s="429">
        <f>IF('Heat connections'!$E240="Domestic",1,0)</f>
        <v>0</v>
      </c>
      <c r="X240" s="430">
        <f>IF(AND(Heat_connections[[#This Row],[Ref]]&lt;&gt;"-",'Heat connections'!$E240&lt;&gt;"Domestic"),1,0)</f>
        <v>0</v>
      </c>
      <c r="Y240" s="434">
        <v>186</v>
      </c>
      <c r="Z240" s="438">
        <f>IF(Heat_connections[[#This Row],[Existing/planned development]]&lt;&gt;0,1,0)</f>
        <v>0</v>
      </c>
      <c r="AA240" s="430">
        <f>IF('Heat connections'!$M240=1,1,0)</f>
        <v>0</v>
      </c>
      <c r="AB240" s="430">
        <f>IF('Heat connections'!$M240=2,1,0)</f>
        <v>0</v>
      </c>
      <c r="AC240" s="434">
        <f>IF('Heat connections'!$M240=3,1,0)</f>
        <v>0</v>
      </c>
      <c r="AD240" s="46" t="str">
        <f>IF(AND(Heat_connections[[#This Row],[Connected to heat network]]="Yes",Heat_connections[[#This Row],[Ref]]&lt;&gt;"-"),"Yes","No")</f>
        <v>No</v>
      </c>
    </row>
    <row r="241" spans="3:30" ht="12.75" x14ac:dyDescent="0.2">
      <c r="C241" s="208" t="str" cm="1">
        <f t="array" ref="C241">IFERROR(_xlfn.XLOOKUP($C$3,Heat_connections_input[#Headers],Heat_connections_input[#This Row],0,0,),"-")</f>
        <v>-</v>
      </c>
      <c r="D241" s="323" t="str" cm="1">
        <f t="array" ref="D241">IFERROR(_xlfn.XLOOKUP($D$3,Heat_connections_input[#Headers],Heat_connections_input[#This Row],0,0,),"-")</f>
        <v>-</v>
      </c>
      <c r="E241" s="284" t="str" cm="1">
        <f t="array" ref="E241">IFERROR(_xlfn.XLOOKUP($E$3,Heat_connections_input[#Headers],Heat_connections_input[#This Row],0,0,),"-")</f>
        <v>-</v>
      </c>
      <c r="F241" s="259" cm="1">
        <f t="array" ref="F241">IFERROR(_xlfn.XLOOKUP($F$3,Heat_connections_input[#Headers],Heat_connections_input[#This Row],0,0,),0)</f>
        <v>0</v>
      </c>
      <c r="G241" s="259" cm="1">
        <f t="array" ref="G241">IFERROR(_xlfn.XLOOKUP($G$3,Heat_connections_input[#Headers],Heat_connections_input[#This Row],0,0,),0)</f>
        <v>0</v>
      </c>
      <c r="H241" s="341" cm="1">
        <f t="array" ref="H241">IFERROR(_xlfn.XLOOKUP($H$3,Heat_connections_input[#Headers],Heat_connections_input[#This Row],0,0,),0)</f>
        <v>0</v>
      </c>
      <c r="I241" s="326" t="str" cm="1">
        <f t="array" ref="I241">IFERROR(_xlfn.XLOOKUP($I$3,Heat_connections_input[#Headers],Heat_connections_input[#This Row],0,0,),"-")</f>
        <v>-</v>
      </c>
      <c r="J241" s="326" t="str" cm="1">
        <f t="array" ref="J241">IFERROR(_xlfn.XLOOKUP($J$3,Heat_connections_input[#Headers],Heat_connections_input[#This Row],0,0,1),"-")</f>
        <v>-</v>
      </c>
      <c r="K241" s="260"/>
      <c r="L241" s="261"/>
      <c r="M241" s="262"/>
      <c r="N241" s="263"/>
      <c r="O241" s="264" t="str">
        <f>IF(Heat_connections[[#This Row],[Ref]]&lt;&gt;"-",
IF(M241=1,Dashboard!$C$26,IF(M241=2,Dashboard!$C$27,Dashboard!$C$28)),"-")</f>
        <v>-</v>
      </c>
      <c r="P241" s="341">
        <f>IF(Heat_connections[[#This Row],[Category]]="Domestic",Heat_connections[[#This Row],[No. of connections]],0)</f>
        <v>0</v>
      </c>
      <c r="Q241" s="341">
        <f>IF(Heat_connections[[#This Row],[Category]]&lt;&gt;"Domestic",Heat_connections[[#This Row],[No. of connections]],0)</f>
        <v>0</v>
      </c>
      <c r="R241" s="209"/>
      <c r="S241" s="512">
        <f>IF(Heat_connections[[#This Row],[TOID]]&lt;&gt;"-",
IF(ISBLANK('Heat connections'!$R241),Dashboard!$C$14,'Heat connections'!$R241),0)</f>
        <v>0</v>
      </c>
      <c r="T241" s="513">
        <f>IF(Heat_connections[[#This Row],[Peak Demand, kW]]&lt;&gt;0,'Heat connections'!$G241*Dashboard!$C$21,0)</f>
        <v>0</v>
      </c>
      <c r="U241" s="514">
        <f>IF(Heat_connections[[#This Row],[Ref]]&lt;&gt;"-",48.436*Heat_connections[[#This Row],[Peak Demand, kW]]+1068.7,0)</f>
        <v>0</v>
      </c>
      <c r="V241" s="515">
        <f>IF(Heat_connections[[#This Row],[Ref]]&lt;&gt;"-",
_xlfn.XLOOKUP('Heat connections'!$G241,'Technical inputs'!$F$79:$F$94,'Technical inputs'!$I$79:$I$94,0,1,1),0)</f>
        <v>0</v>
      </c>
      <c r="W241" s="429">
        <f>IF('Heat connections'!$E241="Domestic",1,0)</f>
        <v>0</v>
      </c>
      <c r="X241" s="430">
        <f>IF(AND(Heat_connections[[#This Row],[Ref]]&lt;&gt;"-",'Heat connections'!$E241&lt;&gt;"Domestic"),1,0)</f>
        <v>0</v>
      </c>
      <c r="Y241" s="434">
        <v>187</v>
      </c>
      <c r="Z241" s="438">
        <f>IF(Heat_connections[[#This Row],[Existing/planned development]]&lt;&gt;0,1,0)</f>
        <v>0</v>
      </c>
      <c r="AA241" s="430">
        <f>IF('Heat connections'!$M241=1,1,0)</f>
        <v>0</v>
      </c>
      <c r="AB241" s="430">
        <f>IF('Heat connections'!$M241=2,1,0)</f>
        <v>0</v>
      </c>
      <c r="AC241" s="434">
        <f>IF('Heat connections'!$M241=3,1,0)</f>
        <v>0</v>
      </c>
      <c r="AD241" s="46" t="str">
        <f>IF(AND(Heat_connections[[#This Row],[Connected to heat network]]="Yes",Heat_connections[[#This Row],[Ref]]&lt;&gt;"-"),"Yes","No")</f>
        <v>No</v>
      </c>
    </row>
    <row r="242" spans="3:30" ht="12.75" x14ac:dyDescent="0.2">
      <c r="C242" s="208" t="str" cm="1">
        <f t="array" ref="C242">IFERROR(_xlfn.XLOOKUP($C$3,Heat_connections_input[#Headers],Heat_connections_input[#This Row],0,0,),"-")</f>
        <v>-</v>
      </c>
      <c r="D242" s="323" t="str" cm="1">
        <f t="array" ref="D242">IFERROR(_xlfn.XLOOKUP($D$3,Heat_connections_input[#Headers],Heat_connections_input[#This Row],0,0,),"-")</f>
        <v>-</v>
      </c>
      <c r="E242" s="284" t="str" cm="1">
        <f t="array" ref="E242">IFERROR(_xlfn.XLOOKUP($E$3,Heat_connections_input[#Headers],Heat_connections_input[#This Row],0,0,),"-")</f>
        <v>-</v>
      </c>
      <c r="F242" s="259" cm="1">
        <f t="array" ref="F242">IFERROR(_xlfn.XLOOKUP($F$3,Heat_connections_input[#Headers],Heat_connections_input[#This Row],0,0,),0)</f>
        <v>0</v>
      </c>
      <c r="G242" s="259" cm="1">
        <f t="array" ref="G242">IFERROR(_xlfn.XLOOKUP($G$3,Heat_connections_input[#Headers],Heat_connections_input[#This Row],0,0,),0)</f>
        <v>0</v>
      </c>
      <c r="H242" s="341" cm="1">
        <f t="array" ref="H242">IFERROR(_xlfn.XLOOKUP($H$3,Heat_connections_input[#Headers],Heat_connections_input[#This Row],0,0,),0)</f>
        <v>0</v>
      </c>
      <c r="I242" s="326" t="str" cm="1">
        <f t="array" ref="I242">IFERROR(_xlfn.XLOOKUP($I$3,Heat_connections_input[#Headers],Heat_connections_input[#This Row],0,0,),"-")</f>
        <v>-</v>
      </c>
      <c r="J242" s="326" t="str" cm="1">
        <f t="array" ref="J242">IFERROR(_xlfn.XLOOKUP($J$3,Heat_connections_input[#Headers],Heat_connections_input[#This Row],0,0,1),"-")</f>
        <v>-</v>
      </c>
      <c r="K242" s="260"/>
      <c r="L242" s="261"/>
      <c r="M242" s="262"/>
      <c r="N242" s="263"/>
      <c r="O242" s="264" t="str">
        <f>IF(Heat_connections[[#This Row],[Ref]]&lt;&gt;"-",
IF(M242=1,Dashboard!$C$26,IF(M242=2,Dashboard!$C$27,Dashboard!$C$28)),"-")</f>
        <v>-</v>
      </c>
      <c r="P242" s="341">
        <f>IF(Heat_connections[[#This Row],[Category]]="Domestic",Heat_connections[[#This Row],[No. of connections]],0)</f>
        <v>0</v>
      </c>
      <c r="Q242" s="341">
        <f>IF(Heat_connections[[#This Row],[Category]]&lt;&gt;"Domestic",Heat_connections[[#This Row],[No. of connections]],0)</f>
        <v>0</v>
      </c>
      <c r="R242" s="209"/>
      <c r="S242" s="512">
        <f>IF(Heat_connections[[#This Row],[TOID]]&lt;&gt;"-",
IF(ISBLANK('Heat connections'!$R242),Dashboard!$C$14,'Heat connections'!$R242),0)</f>
        <v>0</v>
      </c>
      <c r="T242" s="513">
        <f>IF(Heat_connections[[#This Row],[Peak Demand, kW]]&lt;&gt;0,'Heat connections'!$G242*Dashboard!$C$21,0)</f>
        <v>0</v>
      </c>
      <c r="U242" s="514">
        <f>IF(Heat_connections[[#This Row],[Ref]]&lt;&gt;"-",48.436*Heat_connections[[#This Row],[Peak Demand, kW]]+1068.7,0)</f>
        <v>0</v>
      </c>
      <c r="V242" s="515">
        <f>IF(Heat_connections[[#This Row],[Ref]]&lt;&gt;"-",
_xlfn.XLOOKUP('Heat connections'!$G242,'Technical inputs'!$F$79:$F$94,'Technical inputs'!$I$79:$I$94,0,1,1),0)</f>
        <v>0</v>
      </c>
      <c r="W242" s="429">
        <f>IF('Heat connections'!$E242="Domestic",1,0)</f>
        <v>0</v>
      </c>
      <c r="X242" s="430">
        <f>IF(AND(Heat_connections[[#This Row],[Ref]]&lt;&gt;"-",'Heat connections'!$E242&lt;&gt;"Domestic"),1,0)</f>
        <v>0</v>
      </c>
      <c r="Y242" s="434">
        <v>188</v>
      </c>
      <c r="Z242" s="438">
        <f>IF(Heat_connections[[#This Row],[Existing/planned development]]&lt;&gt;0,1,0)</f>
        <v>0</v>
      </c>
      <c r="AA242" s="430">
        <f>IF('Heat connections'!$M242=1,1,0)</f>
        <v>0</v>
      </c>
      <c r="AB242" s="430">
        <f>IF('Heat connections'!$M242=2,1,0)</f>
        <v>0</v>
      </c>
      <c r="AC242" s="434">
        <f>IF('Heat connections'!$M242=3,1,0)</f>
        <v>0</v>
      </c>
      <c r="AD242" s="46" t="str">
        <f>IF(AND(Heat_connections[[#This Row],[Connected to heat network]]="Yes",Heat_connections[[#This Row],[Ref]]&lt;&gt;"-"),"Yes","No")</f>
        <v>No</v>
      </c>
    </row>
  </sheetData>
  <phoneticPr fontId="20" type="noConversion"/>
  <conditionalFormatting sqref="H5:K242 N5:N242">
    <cfRule type="cellIs" dxfId="0" priority="1" operator="equal">
      <formula>"No"</formula>
    </cfRule>
  </conditionalFormatting>
  <dataValidations disablePrompts="1" count="1">
    <dataValidation type="list" allowBlank="1" showInputMessage="1" showErrorMessage="1" sqref="N5:N242" xr:uid="{91F584C7-D36A-4122-B0FC-AC7B13E9EB28}">
      <formula1>YesNo</formula1>
    </dataValidation>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48276-1C77-4C00-8A80-685CB8BD4144}">
  <sheetPr>
    <tabColor theme="9" tint="0.79998168889431442"/>
  </sheetPr>
  <dimension ref="A1:R165"/>
  <sheetViews>
    <sheetView workbookViewId="0"/>
  </sheetViews>
  <sheetFormatPr defaultRowHeight="15" x14ac:dyDescent="0.25"/>
  <cols>
    <col min="1" max="2" width="2.85546875" customWidth="1"/>
    <col min="3" max="3" width="19" bestFit="1" customWidth="1"/>
    <col min="4" max="4" width="11" bestFit="1" customWidth="1"/>
    <col min="5" max="5" width="12" bestFit="1" customWidth="1"/>
    <col min="6" max="6" width="20.140625" bestFit="1" customWidth="1"/>
    <col min="7" max="7" width="12" bestFit="1" customWidth="1"/>
    <col min="8" max="8" width="14.140625" bestFit="1" customWidth="1"/>
    <col min="9" max="9" width="20.5703125" bestFit="1" customWidth="1"/>
    <col min="10" max="10" width="21.5703125" bestFit="1" customWidth="1"/>
    <col min="11" max="11" width="38.5703125" bestFit="1" customWidth="1"/>
    <col min="12" max="12" width="23.5703125" bestFit="1" customWidth="1"/>
    <col min="13" max="13" width="30.140625" bestFit="1" customWidth="1"/>
    <col min="14" max="14" width="21.140625" bestFit="1" customWidth="1"/>
    <col min="15" max="15" width="8.140625" bestFit="1" customWidth="1"/>
    <col min="16" max="16" width="18.5703125" bestFit="1" customWidth="1"/>
    <col min="17" max="17" width="10.140625" bestFit="1" customWidth="1"/>
    <col min="18" max="18" width="16.5703125" bestFit="1" customWidth="1"/>
  </cols>
  <sheetData>
    <row r="1" spans="1:18" x14ac:dyDescent="0.25">
      <c r="A1" s="11"/>
      <c r="B1" s="11"/>
    </row>
    <row r="2" spans="1:18" s="11" customFormat="1" ht="14.25" customHeight="1" x14ac:dyDescent="0.2">
      <c r="B2" s="10">
        <v>2</v>
      </c>
      <c r="C2" s="10" t="s">
        <v>400</v>
      </c>
      <c r="D2" s="52"/>
      <c r="E2" s="10"/>
      <c r="F2" s="10"/>
      <c r="G2" s="10"/>
      <c r="H2" s="10"/>
      <c r="I2" s="10"/>
      <c r="J2" s="10"/>
      <c r="K2" s="10"/>
      <c r="L2" s="10"/>
      <c r="M2" s="10"/>
      <c r="N2" s="10"/>
      <c r="O2" s="10"/>
      <c r="P2" s="10"/>
      <c r="Q2" s="10"/>
      <c r="R2" s="10"/>
    </row>
    <row r="3" spans="1:18" x14ac:dyDescent="0.25">
      <c r="L3" s="207"/>
    </row>
    <row r="4" spans="1:18" x14ac:dyDescent="0.25">
      <c r="C4" s="289" t="s">
        <v>149</v>
      </c>
      <c r="D4" s="290" t="s">
        <v>150</v>
      </c>
      <c r="E4" s="290" t="s">
        <v>151</v>
      </c>
      <c r="F4" s="290" t="s">
        <v>763</v>
      </c>
      <c r="G4" s="290" t="s">
        <v>764</v>
      </c>
      <c r="H4" s="290" t="s">
        <v>765</v>
      </c>
      <c r="I4" s="290" t="s">
        <v>1975</v>
      </c>
      <c r="J4" s="290" t="s">
        <v>1976</v>
      </c>
      <c r="K4" s="290" t="s">
        <v>1973</v>
      </c>
      <c r="L4" s="291" t="s">
        <v>1974</v>
      </c>
      <c r="M4" s="292" t="s">
        <v>408</v>
      </c>
    </row>
    <row r="5" spans="1:18" ht="25.5" x14ac:dyDescent="0.25">
      <c r="C5" s="495" t="s">
        <v>149</v>
      </c>
      <c r="D5" s="496" t="s">
        <v>150</v>
      </c>
      <c r="E5" s="496" t="s">
        <v>151</v>
      </c>
      <c r="F5" s="496" t="s">
        <v>152</v>
      </c>
      <c r="G5" s="496" t="s">
        <v>153</v>
      </c>
      <c r="H5" s="496" t="s">
        <v>154</v>
      </c>
      <c r="I5" s="496" t="s">
        <v>155</v>
      </c>
      <c r="J5" s="496" t="s">
        <v>396</v>
      </c>
      <c r="K5" s="496" t="s">
        <v>395</v>
      </c>
      <c r="L5" s="496" t="s">
        <v>394</v>
      </c>
      <c r="M5" s="496" t="s">
        <v>397</v>
      </c>
      <c r="N5" s="496" t="s">
        <v>398</v>
      </c>
      <c r="O5" s="494" t="s">
        <v>412</v>
      </c>
      <c r="P5" s="494" t="s">
        <v>444</v>
      </c>
      <c r="Q5" s="494" t="s">
        <v>147</v>
      </c>
      <c r="R5" s="494" t="s">
        <v>442</v>
      </c>
    </row>
    <row r="6" spans="1:18" x14ac:dyDescent="0.25">
      <c r="C6" s="206" t="str" cm="1">
        <f t="array" ref="C6">_xlfn.XLOOKUP(C$4,Pipe_data_input[#Headers],'Pipe data inputs'!C5:O5,0,0,)</f>
        <v>obbjm8gYsTWhRkpa</v>
      </c>
      <c r="D6" s="293" cm="1">
        <f t="array" ref="D6">_xlfn.XLOOKUP(D$4,Pipe_data_input[#Headers],'Pipe data inputs'!C5:O5,0,0,)</f>
        <v>2.5725194999999998</v>
      </c>
      <c r="E6" s="206" t="str" cm="1">
        <f t="array" ref="E6">_xlfn.XLOOKUP(E$4,Pipe_data_input[#Headers],'Pipe data inputs'!C5:O5,0,0,)</f>
        <v>Hard (default)</v>
      </c>
      <c r="F6" s="206" cm="1">
        <f t="array" ref="F6">_xlfn.XLOOKUP(F$4,Pipe_data_input[#Headers],'Pipe data inputs'!C5:O5,0,0,)</f>
        <v>80</v>
      </c>
      <c r="G6" s="241" cm="1">
        <f t="array" ref="G6">_xlfn.XLOOKUP(G$4,Pipe_data_input[#Headers],'Pipe data inputs'!C5:O5,0,0,)</f>
        <v>609.1355781478411</v>
      </c>
      <c r="H6" s="241" cm="1">
        <f t="array" ref="H6">_xlfn.XLOOKUP(H$4,Pipe_data_input[#Headers],'Pipe data inputs'!C5:O5,0,0,)</f>
        <v>562.93208777304994</v>
      </c>
      <c r="I6" s="206" cm="1">
        <f t="array" ref="I6">_xlfn.XLOOKUP(I$4,Pipe_data_input[#Headers],'Pipe data inputs'!C5:O5,0,0,)</f>
        <v>0</v>
      </c>
      <c r="J6" s="206" cm="1">
        <f t="array" ref="J6">_xlfn.XLOOKUP(J$4,Pipe_data_input[#Headers],'Pipe data inputs'!C5:O5,0,0,)</f>
        <v>0</v>
      </c>
      <c r="K6" s="206" cm="1">
        <f t="array" ref="K6">_xlfn.XLOOKUP(K$4,Pipe_data_input[#Headers],'Pipe data inputs'!C5:O5,0,0,)</f>
        <v>0</v>
      </c>
      <c r="L6" s="206" cm="1">
        <f t="array" ref="L6">_xlfn.XLOOKUP(L$4,Pipe_data_input[#Headers],'Pipe data inputs'!C5:O5,0,0,)</f>
        <v>0</v>
      </c>
      <c r="M6" s="295" cm="1">
        <f t="array" ref="M6">_xlfn.XLOOKUP(M$4,Pipe_data_input[#Headers],'Pipe data inputs'!C5:O5,0,0,)</f>
        <v>0.65</v>
      </c>
      <c r="N6" s="210"/>
      <c r="O6" s="222" t="str">
        <f>IF(Pipe_data[[#This Row],[ID]]&gt;0, IF(Pipe_data[[#This Row],[Assumed diversity from model]]=1, "Feed", "Main"), "-" )</f>
        <v>Main</v>
      </c>
      <c r="P6" s="239">
        <v>0</v>
      </c>
      <c r="Q6" s="273">
        <f>IF(Pipe_data[[#This Row],[Phase overwrite]]&gt;0,Pipe_data[[#This Row],[Phase overwrite]],
IF(Pipe_data[[#This Row],[Tag]]="Feed",
_xlfn.XLOOKUP(Pipe_data[[#This Row],[Connected buildings ID]],'Heat connections'!$D$5:$D$242,'Heat connections'!$M$5:$M$242,1,0,1),1))</f>
        <v>1</v>
      </c>
      <c r="R6" s="497">
        <f>IF(Pipe_data[[#This Row],[Surface]]="Hard (Default)",
_xlfn.XLOOKUP(Pipe_data[[#This Row],[Nominal Diameter]],'Technical inputs'!$B$79:$B$100,'Technical inputs'!$C$79:$C$100,0,0,1),
_xlfn.XLOOKUP(Pipe_data[[#This Row],[Nominal Diameter]],'Technical inputs'!$B$79:$B$100,'Technical inputs'!$D$79:$D$100,0,0,1)) * Pipe_data[[#This Row],[Length]]</f>
        <v>7032.4771721058132</v>
      </c>
    </row>
    <row r="7" spans="1:18" x14ac:dyDescent="0.25">
      <c r="C7" s="206" t="str" cm="1">
        <f t="array" ref="C7">_xlfn.XLOOKUP(C$4,Pipe_data_input[#Headers],'Pipe data inputs'!C6:O6,0,0,)</f>
        <v>FfBO9lUdsLtcb18x</v>
      </c>
      <c r="D7" s="293" cm="1">
        <f t="array" ref="D7">_xlfn.XLOOKUP(D$4,Pipe_data_input[#Headers],'Pipe data inputs'!C6:O6,0,0,)</f>
        <v>3.7837383999999998</v>
      </c>
      <c r="E7" s="206" t="str" cm="1">
        <f t="array" ref="E7">_xlfn.XLOOKUP(E$4,Pipe_data_input[#Headers],'Pipe data inputs'!C6:O6,0,0,)</f>
        <v>Hard (default)</v>
      </c>
      <c r="F7" s="206" cm="1">
        <f t="array" ref="F7">_xlfn.XLOOKUP(F$4,Pipe_data_input[#Headers],'Pipe data inputs'!C6:O6,0,0,)</f>
        <v>125</v>
      </c>
      <c r="G7" s="241" cm="1">
        <f t="array" ref="G7">_xlfn.XLOOKUP(G$4,Pipe_data_input[#Headers],'Pipe data inputs'!C6:O6,0,0,)</f>
        <v>1056.4406945504704</v>
      </c>
      <c r="H7" s="241" cm="1">
        <f t="array" ref="H7">_xlfn.XLOOKUP(H$4,Pipe_data_input[#Headers],'Pipe data inputs'!C6:O6,0,0,)</f>
        <v>1647.9596320257999</v>
      </c>
      <c r="I7" s="206" cm="1">
        <f t="array" ref="I7">_xlfn.XLOOKUP(I$4,Pipe_data_input[#Headers],'Pipe data inputs'!C6:O6,0,0,)</f>
        <v>0</v>
      </c>
      <c r="J7" s="206" cm="1">
        <f t="array" ref="J7">_xlfn.XLOOKUP(J$4,Pipe_data_input[#Headers],'Pipe data inputs'!C6:O6,0,0,)</f>
        <v>0</v>
      </c>
      <c r="K7" s="206" cm="1">
        <f t="array" ref="K7">_xlfn.XLOOKUP(K$4,Pipe_data_input[#Headers],'Pipe data inputs'!C6:O6,0,0,)</f>
        <v>0</v>
      </c>
      <c r="L7" s="206" cm="1">
        <f t="array" ref="L7">_xlfn.XLOOKUP(L$4,Pipe_data_input[#Headers],'Pipe data inputs'!C6:O6,0,0,)</f>
        <v>0</v>
      </c>
      <c r="M7" s="295" cm="1">
        <f t="array" ref="M7">_xlfn.XLOOKUP(M$4,Pipe_data_input[#Headers],'Pipe data inputs'!C6:O6,0,0,)</f>
        <v>0.63</v>
      </c>
      <c r="N7" s="211"/>
      <c r="O7" s="206" t="str">
        <f>IF(Pipe_data[[#This Row],[ID]]&gt;0, IF(Pipe_data[[#This Row],[Assumed diversity from model]]=1, "Feed", "Main"), "-" )</f>
        <v>Main</v>
      </c>
      <c r="P7" s="240">
        <v>0</v>
      </c>
      <c r="Q7" s="274">
        <f>IF(Pipe_data[[#This Row],[Phase overwrite]]&gt;0,Pipe_data[[#This Row],[Phase overwrite]],
IF(Pipe_data[[#This Row],[Tag]]="Feed",
_xlfn.XLOOKUP(Pipe_data[[#This Row],[Connected buildings ID]],'Heat connections'!$D$5:$D$242,'Heat connections'!$M$5:$M$242,1,0,1),1))</f>
        <v>1</v>
      </c>
      <c r="R7" s="498">
        <f>IF(Pipe_data[[#This Row],[Surface]]="Hard (Default)",
_xlfn.XLOOKUP(Pipe_data[[#This Row],[Nominal Diameter]],'Technical inputs'!$B$79:$B$100,'Technical inputs'!$C$79:$C$100,0,0,1),
_xlfn.XLOOKUP(Pipe_data[[#This Row],[Nominal Diameter]],'Technical inputs'!$B$79:$B$100,'Technical inputs'!$D$79:$D$100,0,0,1)) * Pipe_data[[#This Row],[Length]]</f>
        <v>11593.821072801464</v>
      </c>
    </row>
    <row r="8" spans="1:18" x14ac:dyDescent="0.25">
      <c r="C8" s="206" t="str" cm="1">
        <f t="array" ref="C8">_xlfn.XLOOKUP(C$4,Pipe_data_input[#Headers],'Pipe data inputs'!C7:O7,0,0,)</f>
        <v>2hciEoBuWwFvxK7Y</v>
      </c>
      <c r="D8" s="293" cm="1">
        <f t="array" ref="D8">_xlfn.XLOOKUP(D$4,Pipe_data_input[#Headers],'Pipe data inputs'!C7:O7,0,0,)</f>
        <v>10.713592</v>
      </c>
      <c r="E8" s="206" t="str" cm="1">
        <f t="array" ref="E8">_xlfn.XLOOKUP(E$4,Pipe_data_input[#Headers],'Pipe data inputs'!C7:O7,0,0,)</f>
        <v>Hard (default)</v>
      </c>
      <c r="F8" s="206" cm="1">
        <f t="array" ref="F8">_xlfn.XLOOKUP(F$4,Pipe_data_input[#Headers],'Pipe data inputs'!C7:O7,0,0,)</f>
        <v>250</v>
      </c>
      <c r="G8" s="241" cm="1">
        <f t="array" ref="G8">_xlfn.XLOOKUP(G$4,Pipe_data_input[#Headers],'Pipe data inputs'!C7:O7,0,0,)</f>
        <v>3892.5648873383707</v>
      </c>
      <c r="H8" s="241" cm="1">
        <f t="array" ref="H8">_xlfn.XLOOKUP(H$4,Pipe_data_input[#Headers],'Pipe data inputs'!C7:O7,0,0,)</f>
        <v>13386.7484804549</v>
      </c>
      <c r="I8" s="206" cm="1">
        <f t="array" ref="I8">_xlfn.XLOOKUP(I$4,Pipe_data_input[#Headers],'Pipe data inputs'!C7:O7,0,0,)</f>
        <v>0</v>
      </c>
      <c r="J8" s="206" cm="1">
        <f t="array" ref="J8">_xlfn.XLOOKUP(J$4,Pipe_data_input[#Headers],'Pipe data inputs'!C7:O7,0,0,)</f>
        <v>0</v>
      </c>
      <c r="K8" s="206" cm="1">
        <f t="array" ref="K8">_xlfn.XLOOKUP(K$4,Pipe_data_input[#Headers],'Pipe data inputs'!C7:O7,0,0,)</f>
        <v>0</v>
      </c>
      <c r="L8" s="206" cm="1">
        <f t="array" ref="L8">_xlfn.XLOOKUP(L$4,Pipe_data_input[#Headers],'Pipe data inputs'!C7:O7,0,0,)</f>
        <v>0</v>
      </c>
      <c r="M8" s="295" cm="1">
        <f t="array" ref="M8">_xlfn.XLOOKUP(M$4,Pipe_data_input[#Headers],'Pipe data inputs'!C7:O7,0,0,)</f>
        <v>0.63</v>
      </c>
      <c r="N8" s="211"/>
      <c r="O8" s="206" t="str">
        <f>IF(Pipe_data[[#This Row],[ID]]&gt;0, IF(Pipe_data[[#This Row],[Assumed diversity from model]]=1, "Feed", "Main"), "-" )</f>
        <v>Main</v>
      </c>
      <c r="P8" s="240">
        <v>0</v>
      </c>
      <c r="Q8" s="274">
        <f>IF(Pipe_data[[#This Row],[Phase overwrite]]&gt;0,Pipe_data[[#This Row],[Phase overwrite]],
IF(Pipe_data[[#This Row],[Tag]]="Feed",
_xlfn.XLOOKUP(Pipe_data[[#This Row],[Connected buildings ID]],'Heat connections'!$D$5:$D$242,'Heat connections'!$M$5:$M$242,1,0,1),1))</f>
        <v>1</v>
      </c>
      <c r="R8" s="498">
        <f>IF(Pipe_data[[#This Row],[Surface]]="Hard (Default)",
_xlfn.XLOOKUP(Pipe_data[[#This Row],[Nominal Diameter]],'Technical inputs'!$B$79:$B$100,'Technical inputs'!$C$79:$C$100,0,0,1),
_xlfn.XLOOKUP(Pipe_data[[#This Row],[Nominal Diameter]],'Technical inputs'!$B$79:$B$100,'Technical inputs'!$D$79:$D$100,0,0,1)) * Pipe_data[[#This Row],[Length]]</f>
        <v>47984.460346797321</v>
      </c>
    </row>
    <row r="9" spans="1:18" x14ac:dyDescent="0.25">
      <c r="C9" s="206" t="str" cm="1">
        <f t="array" ref="C9">_xlfn.XLOOKUP(C$4,Pipe_data_input[#Headers],'Pipe data inputs'!C8:O8,0,0,)</f>
        <v>ginuvm0p7NimglVW</v>
      </c>
      <c r="D9" s="293" cm="1">
        <f t="array" ref="D9">_xlfn.XLOOKUP(D$4,Pipe_data_input[#Headers],'Pipe data inputs'!C8:O8,0,0,)</f>
        <v>21.820229000000001</v>
      </c>
      <c r="E9" s="206" t="str" cm="1">
        <f t="array" ref="E9">_xlfn.XLOOKUP(E$4,Pipe_data_input[#Headers],'Pipe data inputs'!C8:O8,0,0,)</f>
        <v>Hard (default)</v>
      </c>
      <c r="F9" s="206" cm="1">
        <f t="array" ref="F9">_xlfn.XLOOKUP(F$4,Pipe_data_input[#Headers],'Pipe data inputs'!C8:O8,0,0,)</f>
        <v>65</v>
      </c>
      <c r="G9" s="241" cm="1">
        <f t="array" ref="G9">_xlfn.XLOOKUP(G$4,Pipe_data_input[#Headers],'Pipe data inputs'!C8:O8,0,0,)</f>
        <v>4673.7772310574446</v>
      </c>
      <c r="H9" s="241" cm="1">
        <f t="array" ref="H9">_xlfn.XLOOKUP(H$4,Pipe_data_input[#Headers],'Pipe data inputs'!C8:O8,0,0,)</f>
        <v>366.340331913667</v>
      </c>
      <c r="I9" s="206" cm="1">
        <f t="array" ref="I9">_xlfn.XLOOKUP(I$4,Pipe_data_input[#Headers],'Pipe data inputs'!C8:O8,0,0,)</f>
        <v>0</v>
      </c>
      <c r="J9" s="206" cm="1">
        <f t="array" ref="J9">_xlfn.XLOOKUP(J$4,Pipe_data_input[#Headers],'Pipe data inputs'!C8:O8,0,0,)</f>
        <v>0</v>
      </c>
      <c r="K9" s="206" cm="1">
        <f t="array" ref="K9">_xlfn.XLOOKUP(K$4,Pipe_data_input[#Headers],'Pipe data inputs'!C8:O8,0,0,)</f>
        <v>0</v>
      </c>
      <c r="L9" s="206" cm="1">
        <f t="array" ref="L9">_xlfn.XLOOKUP(L$4,Pipe_data_input[#Headers],'Pipe data inputs'!C8:O8,0,0,)</f>
        <v>0</v>
      </c>
      <c r="M9" s="295" cm="1">
        <f t="array" ref="M9">_xlfn.XLOOKUP(M$4,Pipe_data_input[#Headers],'Pipe data inputs'!C8:O8,0,0,)</f>
        <v>0.74826912236183685</v>
      </c>
      <c r="N9" s="211"/>
      <c r="O9" s="206" t="str">
        <f>IF(Pipe_data[[#This Row],[ID]]&gt;0, IF(Pipe_data[[#This Row],[Assumed diversity from model]]=1, "Feed", "Main"), "-" )</f>
        <v>Main</v>
      </c>
      <c r="P9" s="240">
        <v>0</v>
      </c>
      <c r="Q9" s="274">
        <f>IF(Pipe_data[[#This Row],[Phase overwrite]]&gt;0,Pipe_data[[#This Row],[Phase overwrite]],
IF(Pipe_data[[#This Row],[Tag]]="Feed",
_xlfn.XLOOKUP(Pipe_data[[#This Row],[Connected buildings ID]],'Heat connections'!$D$5:$D$242,'Heat connections'!$M$5:$M$242,1,0,1),1))</f>
        <v>1</v>
      </c>
      <c r="R9" s="498">
        <f>IF(Pipe_data[[#This Row],[Surface]]="Hard (Default)",
_xlfn.XLOOKUP(Pipe_data[[#This Row],[Nominal Diameter]],'Technical inputs'!$B$79:$B$100,'Technical inputs'!$C$79:$C$100,0,0,1),
_xlfn.XLOOKUP(Pipe_data[[#This Row],[Nominal Diameter]],'Technical inputs'!$B$79:$B$100,'Technical inputs'!$D$79:$D$100,0,0,1)) * Pipe_data[[#This Row],[Length]]</f>
        <v>57254.189095676826</v>
      </c>
    </row>
    <row r="10" spans="1:18" x14ac:dyDescent="0.25">
      <c r="C10" s="206" t="str" cm="1">
        <f t="array" ref="C10">_xlfn.XLOOKUP(C$4,Pipe_data_input[#Headers],'Pipe data inputs'!C9:O9,0,0,)</f>
        <v>RMVuXx2w1zNDcnaH</v>
      </c>
      <c r="D10" s="293" cm="1">
        <f t="array" ref="D10">_xlfn.XLOOKUP(D$4,Pipe_data_input[#Headers],'Pipe data inputs'!C9:O9,0,0,)</f>
        <v>8.252732</v>
      </c>
      <c r="E10" s="206" t="str" cm="1">
        <f t="array" ref="E10">_xlfn.XLOOKUP(E$4,Pipe_data_input[#Headers],'Pipe data inputs'!C9:O9,0,0,)</f>
        <v>Hard (default)</v>
      </c>
      <c r="F10" s="206" cm="1">
        <f t="array" ref="F10">_xlfn.XLOOKUP(F$4,Pipe_data_input[#Headers],'Pipe data inputs'!C9:O9,0,0,)</f>
        <v>20</v>
      </c>
      <c r="G10" s="241" cm="1">
        <f t="array" ref="G10">_xlfn.XLOOKUP(G$4,Pipe_data_input[#Headers],'Pipe data inputs'!C9:O9,0,0,)</f>
        <v>966.23372345678229</v>
      </c>
      <c r="H10" s="241" cm="1">
        <f t="array" ref="H10">_xlfn.XLOOKUP(H$4,Pipe_data_input[#Headers],'Pipe data inputs'!C9:O9,0,0,)</f>
        <v>2</v>
      </c>
      <c r="I10" s="206" cm="1">
        <f t="array" ref="I10">_xlfn.XLOOKUP(I$4,Pipe_data_input[#Headers],'Pipe data inputs'!C9:O9,0,0,)</f>
        <v>0</v>
      </c>
      <c r="J10" s="206" cm="1">
        <f t="array" ref="J10">_xlfn.XLOOKUP(J$4,Pipe_data_input[#Headers],'Pipe data inputs'!C9:O9,0,0,)</f>
        <v>0</v>
      </c>
      <c r="K10" s="206" cm="1">
        <f t="array" ref="K10">_xlfn.XLOOKUP(K$4,Pipe_data_input[#Headers],'Pipe data inputs'!C9:O9,0,0,)</f>
        <v>0</v>
      </c>
      <c r="L10" s="206" cm="1">
        <f t="array" ref="L10">_xlfn.XLOOKUP(L$4,Pipe_data_input[#Headers],'Pipe data inputs'!C9:O9,0,0,)</f>
        <v>0</v>
      </c>
      <c r="M10" s="295" cm="1">
        <f t="array" ref="M10">_xlfn.XLOOKUP(M$4,Pipe_data_input[#Headers],'Pipe data inputs'!C9:O9,0,0,)</f>
        <v>1</v>
      </c>
      <c r="N10" s="211"/>
      <c r="O10" s="206" t="str">
        <f>IF(Pipe_data[[#This Row],[ID]]&gt;0, IF(Pipe_data[[#This Row],[Assumed diversity from model]]=1, "Feed", "Main"), "-" )</f>
        <v>Feed</v>
      </c>
      <c r="P10" s="240">
        <v>0</v>
      </c>
      <c r="Q10" s="274">
        <f>IF(Pipe_data[[#This Row],[Phase overwrite]]&gt;0,Pipe_data[[#This Row],[Phase overwrite]],
IF(Pipe_data[[#This Row],[Tag]]="Feed",
_xlfn.XLOOKUP(Pipe_data[[#This Row],[Connected buildings ID]],'Heat connections'!$D$5:$D$242,'Heat connections'!$M$5:$M$242,1,0,1),1))</f>
        <v>1</v>
      </c>
      <c r="R10" s="498">
        <f>IF(Pipe_data[[#This Row],[Surface]]="Hard (Default)",
_xlfn.XLOOKUP(Pipe_data[[#This Row],[Nominal Diameter]],'Technical inputs'!$B$79:$B$100,'Technical inputs'!$C$79:$C$100,0,0,1),
_xlfn.XLOOKUP(Pipe_data[[#This Row],[Nominal Diameter]],'Technical inputs'!$B$79:$B$100,'Technical inputs'!$D$79:$D$100,0,0,1)) * Pipe_data[[#This Row],[Length]]</f>
        <v>17675.313979917555</v>
      </c>
    </row>
    <row r="11" spans="1:18" x14ac:dyDescent="0.25">
      <c r="C11" s="206" t="str" cm="1">
        <f t="array" ref="C11">_xlfn.XLOOKUP(C$4,Pipe_data_input[#Headers],'Pipe data inputs'!C10:O10,0,0,)</f>
        <v>Ix+ibQKMkSGwrB8x</v>
      </c>
      <c r="D11" s="293" cm="1">
        <f t="array" ref="D11">_xlfn.XLOOKUP(D$4,Pipe_data_input[#Headers],'Pipe data inputs'!C10:O10,0,0,)</f>
        <v>2.1997870000000002</v>
      </c>
      <c r="E11" s="206" t="str" cm="1">
        <f t="array" ref="E11">_xlfn.XLOOKUP(E$4,Pipe_data_input[#Headers],'Pipe data inputs'!C10:O10,0,0,)</f>
        <v>Hard (default)</v>
      </c>
      <c r="F11" s="206" cm="1">
        <f t="array" ref="F11">_xlfn.XLOOKUP(F$4,Pipe_data_input[#Headers],'Pipe data inputs'!C10:O10,0,0,)</f>
        <v>80</v>
      </c>
      <c r="G11" s="241" cm="1">
        <f t="array" ref="G11">_xlfn.XLOOKUP(G$4,Pipe_data_input[#Headers],'Pipe data inputs'!C10:O10,0,0,)</f>
        <v>527.95544281225432</v>
      </c>
      <c r="H11" s="241" cm="1">
        <f t="array" ref="H11">_xlfn.XLOOKUP(H$4,Pipe_data_input[#Headers],'Pipe data inputs'!C10:O10,0,0,)</f>
        <v>617.18597412109398</v>
      </c>
      <c r="I11" s="206" cm="1">
        <f t="array" ref="I11">_xlfn.XLOOKUP(I$4,Pipe_data_input[#Headers],'Pipe data inputs'!C10:O10,0,0,)</f>
        <v>0</v>
      </c>
      <c r="J11" s="206" cm="1">
        <f t="array" ref="J11">_xlfn.XLOOKUP(J$4,Pipe_data_input[#Headers],'Pipe data inputs'!C10:O10,0,0,)</f>
        <v>0</v>
      </c>
      <c r="K11" s="206" cm="1">
        <f t="array" ref="K11">_xlfn.XLOOKUP(K$4,Pipe_data_input[#Headers],'Pipe data inputs'!C10:O10,0,0,)</f>
        <v>0</v>
      </c>
      <c r="L11" s="206" cm="1">
        <f t="array" ref="L11">_xlfn.XLOOKUP(L$4,Pipe_data_input[#Headers],'Pipe data inputs'!C10:O10,0,0,)</f>
        <v>0</v>
      </c>
      <c r="M11" s="295" cm="1">
        <f t="array" ref="M11">_xlfn.XLOOKUP(M$4,Pipe_data_input[#Headers],'Pipe data inputs'!C10:O10,0,0,)</f>
        <v>0.7294998052048729</v>
      </c>
      <c r="N11" s="211"/>
      <c r="O11" s="206" t="str">
        <f>IF(Pipe_data[[#This Row],[ID]]&gt;0, IF(Pipe_data[[#This Row],[Assumed diversity from model]]=1, "Feed", "Main"), "-" )</f>
        <v>Main</v>
      </c>
      <c r="P11" s="240">
        <v>0</v>
      </c>
      <c r="Q11" s="274">
        <f>IF(Pipe_data[[#This Row],[Phase overwrite]]&gt;0,Pipe_data[[#This Row],[Phase overwrite]],
IF(Pipe_data[[#This Row],[Tag]]="Feed",
_xlfn.XLOOKUP(Pipe_data[[#This Row],[Connected buildings ID]],'Heat connections'!$D$5:$D$242,'Heat connections'!$M$5:$M$242,1,0,1),1))</f>
        <v>1</v>
      </c>
      <c r="R11" s="499">
        <f>IF(Pipe_data[[#This Row],[Surface]]="Hard (Default)",
_xlfn.XLOOKUP(Pipe_data[[#This Row],[Nominal Diameter]],'Technical inputs'!$B$79:$B$100,'Technical inputs'!$C$79:$C$100,0,0,1),
_xlfn.XLOOKUP(Pipe_data[[#This Row],[Nominal Diameter]],'Technical inputs'!$B$79:$B$100,'Technical inputs'!$D$79:$D$100,0,0,1)) * Pipe_data[[#This Row],[Length]]</f>
        <v>6013.5411455559943</v>
      </c>
    </row>
    <row r="12" spans="1:18" x14ac:dyDescent="0.25">
      <c r="C12" s="206" t="str" cm="1">
        <f t="array" ref="C12">_xlfn.XLOOKUP(C$4,Pipe_data_input[#Headers],'Pipe data inputs'!C11:O11,0,0,)</f>
        <v>lcnsEp/zzE56N5gl</v>
      </c>
      <c r="D12" s="293" cm="1">
        <f t="array" ref="D12">_xlfn.XLOOKUP(D$4,Pipe_data_input[#Headers],'Pipe data inputs'!C11:O11,0,0,)</f>
        <v>5.6714979999999997</v>
      </c>
      <c r="E12" s="206" t="str" cm="1">
        <f t="array" ref="E12">_xlfn.XLOOKUP(E$4,Pipe_data_input[#Headers],'Pipe data inputs'!C11:O11,0,0,)</f>
        <v>Hard (default)</v>
      </c>
      <c r="F12" s="206" cm="1">
        <f t="array" ref="F12">_xlfn.XLOOKUP(F$4,Pipe_data_input[#Headers],'Pipe data inputs'!C11:O11,0,0,)</f>
        <v>125</v>
      </c>
      <c r="G12" s="241" cm="1">
        <f t="array" ref="G12">_xlfn.XLOOKUP(G$4,Pipe_data_input[#Headers],'Pipe data inputs'!C11:O11,0,0,)</f>
        <v>1583.5136187696287</v>
      </c>
      <c r="H12" s="241" cm="1">
        <f t="array" ref="H12">_xlfn.XLOOKUP(H$4,Pipe_data_input[#Headers],'Pipe data inputs'!C11:O11,0,0,)</f>
        <v>1647.9596320257999</v>
      </c>
      <c r="I12" s="206" cm="1">
        <f t="array" ref="I12">_xlfn.XLOOKUP(I$4,Pipe_data_input[#Headers],'Pipe data inputs'!C11:O11,0,0,)</f>
        <v>0</v>
      </c>
      <c r="J12" s="206" cm="1">
        <f t="array" ref="J12">_xlfn.XLOOKUP(J$4,Pipe_data_input[#Headers],'Pipe data inputs'!C11:O11,0,0,)</f>
        <v>0</v>
      </c>
      <c r="K12" s="206" cm="1">
        <f t="array" ref="K12">_xlfn.XLOOKUP(K$4,Pipe_data_input[#Headers],'Pipe data inputs'!C11:O11,0,0,)</f>
        <v>0</v>
      </c>
      <c r="L12" s="206" cm="1">
        <f t="array" ref="L12">_xlfn.XLOOKUP(L$4,Pipe_data_input[#Headers],'Pipe data inputs'!C11:O11,0,0,)</f>
        <v>0</v>
      </c>
      <c r="M12" s="295" cm="1">
        <f t="array" ref="M12">_xlfn.XLOOKUP(M$4,Pipe_data_input[#Headers],'Pipe data inputs'!C11:O11,0,0,)</f>
        <v>0.63</v>
      </c>
      <c r="N12" s="211"/>
      <c r="O12" s="206" t="str">
        <f>IF(Pipe_data[[#This Row],[ID]]&gt;0, IF(Pipe_data[[#This Row],[Assumed diversity from model]]=1, "Feed", "Main"), "-" )</f>
        <v>Main</v>
      </c>
      <c r="P12" s="240">
        <v>0</v>
      </c>
      <c r="Q12" s="274">
        <f>IF(Pipe_data[[#This Row],[Phase overwrite]]&gt;0,Pipe_data[[#This Row],[Phase overwrite]],
IF(Pipe_data[[#This Row],[Tag]]="Feed",
_xlfn.XLOOKUP(Pipe_data[[#This Row],[Connected buildings ID]],'Heat connections'!$D$5:$D$242,'Heat connections'!$M$5:$M$242,1,0,1),1))</f>
        <v>1</v>
      </c>
      <c r="R12" s="499">
        <f>IF(Pipe_data[[#This Row],[Surface]]="Hard (Default)",
_xlfn.XLOOKUP(Pipe_data[[#This Row],[Nominal Diameter]],'Technical inputs'!$B$79:$B$100,'Technical inputs'!$C$79:$C$100,0,0,1),
_xlfn.XLOOKUP(Pipe_data[[#This Row],[Nominal Diameter]],'Technical inputs'!$B$79:$B$100,'Technical inputs'!$D$79:$D$100,0,0,1)) * Pipe_data[[#This Row],[Length]]</f>
        <v>17378.139309723778</v>
      </c>
    </row>
    <row r="13" spans="1:18" x14ac:dyDescent="0.25">
      <c r="C13" s="206" t="str" cm="1">
        <f t="array" ref="C13">_xlfn.XLOOKUP(C$4,Pipe_data_input[#Headers],'Pipe data inputs'!C12:O12,0,0,)</f>
        <v>PV01E/woIySf4ywr</v>
      </c>
      <c r="D13" s="293" cm="1">
        <f t="array" ref="D13">_xlfn.XLOOKUP(D$4,Pipe_data_input[#Headers],'Pipe data inputs'!C12:O12,0,0,)</f>
        <v>21.11506</v>
      </c>
      <c r="E13" s="206" t="str" cm="1">
        <f t="array" ref="E13">_xlfn.XLOOKUP(E$4,Pipe_data_input[#Headers],'Pipe data inputs'!C12:O12,0,0,)</f>
        <v>Hard (default)</v>
      </c>
      <c r="F13" s="206" cm="1">
        <f t="array" ref="F13">_xlfn.XLOOKUP(F$4,Pipe_data_input[#Headers],'Pipe data inputs'!C12:O12,0,0,)</f>
        <v>100</v>
      </c>
      <c r="G13" s="241" cm="1">
        <f t="array" ref="G13">_xlfn.XLOOKUP(G$4,Pipe_data_input[#Headers],'Pipe data inputs'!C12:O12,0,0,)</f>
        <v>5807.6034446052936</v>
      </c>
      <c r="H13" s="241" cm="1">
        <f t="array" ref="H13">_xlfn.XLOOKUP(H$4,Pipe_data_input[#Headers],'Pipe data inputs'!C12:O12,0,0,)</f>
        <v>1483.19997479839</v>
      </c>
      <c r="I13" s="206" cm="1">
        <f t="array" ref="I13">_xlfn.XLOOKUP(I$4,Pipe_data_input[#Headers],'Pipe data inputs'!C12:O12,0,0,)</f>
        <v>0</v>
      </c>
      <c r="J13" s="206" cm="1">
        <f t="array" ref="J13">_xlfn.XLOOKUP(J$4,Pipe_data_input[#Headers],'Pipe data inputs'!C12:O12,0,0,)</f>
        <v>0</v>
      </c>
      <c r="K13" s="206" cm="1">
        <f t="array" ref="K13">_xlfn.XLOOKUP(K$4,Pipe_data_input[#Headers],'Pipe data inputs'!C12:O12,0,0,)</f>
        <v>0</v>
      </c>
      <c r="L13" s="206" cm="1">
        <f t="array" ref="L13">_xlfn.XLOOKUP(L$4,Pipe_data_input[#Headers],'Pipe data inputs'!C12:O12,0,0,)</f>
        <v>0</v>
      </c>
      <c r="M13" s="295" cm="1">
        <f t="array" ref="M13">_xlfn.XLOOKUP(M$4,Pipe_data_input[#Headers],'Pipe data inputs'!C12:O12,0,0,)</f>
        <v>1</v>
      </c>
      <c r="N13" s="211"/>
      <c r="O13" s="206" t="str">
        <f>IF(Pipe_data[[#This Row],[ID]]&gt;0, IF(Pipe_data[[#This Row],[Assumed diversity from model]]=1, "Feed", "Main"), "-" )</f>
        <v>Feed</v>
      </c>
      <c r="P13" s="240">
        <v>0</v>
      </c>
      <c r="Q13" s="274">
        <f>IF(Pipe_data[[#This Row],[Phase overwrite]]&gt;0,Pipe_data[[#This Row],[Phase overwrite]],
IF(Pipe_data[[#This Row],[Tag]]="Feed",
_xlfn.XLOOKUP(Pipe_data[[#This Row],[Connected buildings ID]],'Heat connections'!$D$5:$D$242,'Heat connections'!$M$5:$M$242,1,0,1),1))</f>
        <v>1</v>
      </c>
      <c r="R13" s="499">
        <f>IF(Pipe_data[[#This Row],[Surface]]="Hard (Default)",
_xlfn.XLOOKUP(Pipe_data[[#This Row],[Nominal Diameter]],'Technical inputs'!$B$79:$B$100,'Technical inputs'!$C$79:$C$100,0,0,1),
_xlfn.XLOOKUP(Pipe_data[[#This Row],[Nominal Diameter]],'Technical inputs'!$B$79:$B$100,'Technical inputs'!$D$79:$D$100,0,0,1)) * Pipe_data[[#This Row],[Length]]</f>
        <v>61944.993288179634</v>
      </c>
    </row>
    <row r="14" spans="1:18" x14ac:dyDescent="0.25">
      <c r="C14" s="206" t="str" cm="1">
        <f t="array" ref="C14">_xlfn.XLOOKUP(C$4,Pipe_data_input[#Headers],'Pipe data inputs'!C13:O13,0,0,)</f>
        <v>9q0QcIOp7hPW70Dy</v>
      </c>
      <c r="D14" s="293" cm="1">
        <f t="array" ref="D14">_xlfn.XLOOKUP(D$4,Pipe_data_input[#Headers],'Pipe data inputs'!C13:O13,0,0,)</f>
        <v>7.2148566000000001</v>
      </c>
      <c r="E14" s="206" t="str" cm="1">
        <f t="array" ref="E14">_xlfn.XLOOKUP(E$4,Pipe_data_input[#Headers],'Pipe data inputs'!C13:O13,0,0,)</f>
        <v>Hard (default)</v>
      </c>
      <c r="F14" s="206" cm="1">
        <f t="array" ref="F14">_xlfn.XLOOKUP(F$4,Pipe_data_input[#Headers],'Pipe data inputs'!C13:O13,0,0,)</f>
        <v>200</v>
      </c>
      <c r="G14" s="241" cm="1">
        <f t="array" ref="G14">_xlfn.XLOOKUP(G$4,Pipe_data_input[#Headers],'Pipe data inputs'!C13:O13,0,0,)</f>
        <v>2359.1903007184023</v>
      </c>
      <c r="H14" s="241" cm="1">
        <f t="array" ref="H14">_xlfn.XLOOKUP(H$4,Pipe_data_input[#Headers],'Pipe data inputs'!C13:O13,0,0,)</f>
        <v>5647.44771793778</v>
      </c>
      <c r="I14" s="206" cm="1">
        <f t="array" ref="I14">_xlfn.XLOOKUP(I$4,Pipe_data_input[#Headers],'Pipe data inputs'!C13:O13,0,0,)</f>
        <v>0</v>
      </c>
      <c r="J14" s="206" cm="1">
        <f t="array" ref="J14">_xlfn.XLOOKUP(J$4,Pipe_data_input[#Headers],'Pipe data inputs'!C13:O13,0,0,)</f>
        <v>0</v>
      </c>
      <c r="K14" s="206" cm="1">
        <f t="array" ref="K14">_xlfn.XLOOKUP(K$4,Pipe_data_input[#Headers],'Pipe data inputs'!C13:O13,0,0,)</f>
        <v>0</v>
      </c>
      <c r="L14" s="206" cm="1">
        <f t="array" ref="L14">_xlfn.XLOOKUP(L$4,Pipe_data_input[#Headers],'Pipe data inputs'!C13:O13,0,0,)</f>
        <v>0</v>
      </c>
      <c r="M14" s="295" cm="1">
        <f t="array" ref="M14">_xlfn.XLOOKUP(M$4,Pipe_data_input[#Headers],'Pipe data inputs'!C13:O13,0,0,)</f>
        <v>1</v>
      </c>
      <c r="N14" s="211"/>
      <c r="O14" s="206" t="str">
        <f>IF(Pipe_data[[#This Row],[ID]]&gt;0, IF(Pipe_data[[#This Row],[Assumed diversity from model]]=1, "Feed", "Main"), "-" )</f>
        <v>Feed</v>
      </c>
      <c r="P14" s="240">
        <v>0</v>
      </c>
      <c r="Q14" s="274">
        <f>IF(Pipe_data[[#This Row],[Phase overwrite]]&gt;0,Pipe_data[[#This Row],[Phase overwrite]],
IF(Pipe_data[[#This Row],[Tag]]="Feed",
_xlfn.XLOOKUP(Pipe_data[[#This Row],[Connected buildings ID]],'Heat connections'!$D$5:$D$242,'Heat connections'!$M$5:$M$242,1,0,1),1))</f>
        <v>1</v>
      </c>
      <c r="R14" s="499">
        <f>IF(Pipe_data[[#This Row],[Surface]]="Hard (Default)",
_xlfn.XLOOKUP(Pipe_data[[#This Row],[Nominal Diameter]],'Technical inputs'!$B$79:$B$100,'Technical inputs'!$C$79:$C$100,0,0,1),
_xlfn.XLOOKUP(Pipe_data[[#This Row],[Nominal Diameter]],'Technical inputs'!$B$79:$B$100,'Technical inputs'!$D$79:$D$100,0,0,1)) * Pipe_data[[#This Row],[Length]]</f>
        <v>27721.423050571651</v>
      </c>
    </row>
    <row r="15" spans="1:18" x14ac:dyDescent="0.25">
      <c r="C15" s="206" t="str" cm="1">
        <f t="array" ref="C15">_xlfn.XLOOKUP(C$4,Pipe_data_input[#Headers],'Pipe data inputs'!C14:O14,0,0,)</f>
        <v>03kLrdZ29bVv++4X</v>
      </c>
      <c r="D15" s="293" cm="1">
        <f t="array" ref="D15">_xlfn.XLOOKUP(D$4,Pipe_data_input[#Headers],'Pipe data inputs'!C14:O14,0,0,)</f>
        <v>31.188175000000001</v>
      </c>
      <c r="E15" s="206" t="str" cm="1">
        <f t="array" ref="E15">_xlfn.XLOOKUP(E$4,Pipe_data_input[#Headers],'Pipe data inputs'!C14:O14,0,0,)</f>
        <v>Hard (default)</v>
      </c>
      <c r="F15" s="206" cm="1">
        <f t="array" ref="F15">_xlfn.XLOOKUP(F$4,Pipe_data_input[#Headers],'Pipe data inputs'!C14:O14,0,0,)</f>
        <v>250</v>
      </c>
      <c r="G15" s="241" cm="1">
        <f t="array" ref="G15">_xlfn.XLOOKUP(G$4,Pipe_data_input[#Headers],'Pipe data inputs'!C14:O14,0,0,)</f>
        <v>10774.212331578927</v>
      </c>
      <c r="H15" s="241" cm="1">
        <f t="array" ref="H15">_xlfn.XLOOKUP(H$4,Pipe_data_input[#Headers],'Pipe data inputs'!C14:O14,0,0,)</f>
        <v>8542.2397978336794</v>
      </c>
      <c r="I15" s="206" cm="1">
        <f t="array" ref="I15">_xlfn.XLOOKUP(I$4,Pipe_data_input[#Headers],'Pipe data inputs'!C14:O14,0,0,)</f>
        <v>0</v>
      </c>
      <c r="J15" s="206" cm="1">
        <f t="array" ref="J15">_xlfn.XLOOKUP(J$4,Pipe_data_input[#Headers],'Pipe data inputs'!C14:O14,0,0,)</f>
        <v>0</v>
      </c>
      <c r="K15" s="206" cm="1">
        <f t="array" ref="K15">_xlfn.XLOOKUP(K$4,Pipe_data_input[#Headers],'Pipe data inputs'!C14:O14,0,0,)</f>
        <v>0</v>
      </c>
      <c r="L15" s="206" cm="1">
        <f t="array" ref="L15">_xlfn.XLOOKUP(L$4,Pipe_data_input[#Headers],'Pipe data inputs'!C14:O14,0,0,)</f>
        <v>0</v>
      </c>
      <c r="M15" s="295" cm="1">
        <f t="array" ref="M15">_xlfn.XLOOKUP(M$4,Pipe_data_input[#Headers],'Pipe data inputs'!C14:O14,0,0,)</f>
        <v>1</v>
      </c>
      <c r="N15" s="211"/>
      <c r="O15" s="206" t="str">
        <f>IF(Pipe_data[[#This Row],[ID]]&gt;0, IF(Pipe_data[[#This Row],[Assumed diversity from model]]=1, "Feed", "Main"), "-" )</f>
        <v>Feed</v>
      </c>
      <c r="P15" s="240">
        <v>0</v>
      </c>
      <c r="Q15" s="274">
        <f>IF(Pipe_data[[#This Row],[Phase overwrite]]&gt;0,Pipe_data[[#This Row],[Phase overwrite]],
IF(Pipe_data[[#This Row],[Tag]]="Feed",
_xlfn.XLOOKUP(Pipe_data[[#This Row],[Connected buildings ID]],'Heat connections'!$D$5:$D$242,'Heat connections'!$M$5:$M$242,1,0,1),1))</f>
        <v>1</v>
      </c>
      <c r="R15" s="499">
        <f>IF(Pipe_data[[#This Row],[Surface]]="Hard (Default)",
_xlfn.XLOOKUP(Pipe_data[[#This Row],[Nominal Diameter]],'Technical inputs'!$B$79:$B$100,'Technical inputs'!$C$79:$C$100,0,0,1),
_xlfn.XLOOKUP(Pipe_data[[#This Row],[Nominal Diameter]],'Technical inputs'!$B$79:$B$100,'Technical inputs'!$D$79:$D$100,0,0,1)) * Pipe_data[[#This Row],[Length]]</f>
        <v>139686.83393734571</v>
      </c>
    </row>
    <row r="16" spans="1:18" x14ac:dyDescent="0.25">
      <c r="C16" s="206" t="str" cm="1">
        <f t="array" ref="C16">_xlfn.XLOOKUP(C$4,Pipe_data_input[#Headers],'Pipe data inputs'!C15:O15,0,0,)</f>
        <v>YyTLL3bI7Grw59Tx</v>
      </c>
      <c r="D16" s="293" cm="1">
        <f t="array" ref="D16">_xlfn.XLOOKUP(D$4,Pipe_data_input[#Headers],'Pipe data inputs'!C15:O15,0,0,)</f>
        <v>1.058447E-2</v>
      </c>
      <c r="E16" s="206" t="str" cm="1">
        <f t="array" ref="E16">_xlfn.XLOOKUP(E$4,Pipe_data_input[#Headers],'Pipe data inputs'!C15:O15,0,0,)</f>
        <v>Hard (default)</v>
      </c>
      <c r="F16" s="206" cm="1">
        <f t="array" ref="F16">_xlfn.XLOOKUP(F$4,Pipe_data_input[#Headers],'Pipe data inputs'!C15:O15,0,0,)</f>
        <v>400</v>
      </c>
      <c r="G16" s="241" cm="1">
        <f t="array" ref="G16">_xlfn.XLOOKUP(G$4,Pipe_data_input[#Headers],'Pipe data inputs'!C15:O15,0,0,)</f>
        <v>4.1377746960320314</v>
      </c>
      <c r="H16" s="241" cm="1">
        <f t="array" ref="H16">_xlfn.XLOOKUP(H$4,Pipe_data_input[#Headers],'Pipe data inputs'!C15:O15,0,0,)</f>
        <v>27339.509060267901</v>
      </c>
      <c r="I16" s="206" cm="1">
        <f t="array" ref="I16">_xlfn.XLOOKUP(I$4,Pipe_data_input[#Headers],'Pipe data inputs'!C15:O15,0,0,)</f>
        <v>0</v>
      </c>
      <c r="J16" s="206" cm="1">
        <f t="array" ref="J16">_xlfn.XLOOKUP(J$4,Pipe_data_input[#Headers],'Pipe data inputs'!C15:O15,0,0,)</f>
        <v>0</v>
      </c>
      <c r="K16" s="206" cm="1">
        <f t="array" ref="K16">_xlfn.XLOOKUP(K$4,Pipe_data_input[#Headers],'Pipe data inputs'!C15:O15,0,0,)</f>
        <v>0</v>
      </c>
      <c r="L16" s="206" cm="1">
        <f t="array" ref="L16">_xlfn.XLOOKUP(L$4,Pipe_data_input[#Headers],'Pipe data inputs'!C15:O15,0,0,)</f>
        <v>0</v>
      </c>
      <c r="M16" s="295" cm="1">
        <f t="array" ref="M16">_xlfn.XLOOKUP(M$4,Pipe_data_input[#Headers],'Pipe data inputs'!C15:O15,0,0,)</f>
        <v>0.62</v>
      </c>
      <c r="N16" s="211"/>
      <c r="O16" s="206" t="str">
        <f>IF(Pipe_data[[#This Row],[ID]]&gt;0, IF(Pipe_data[[#This Row],[Assumed diversity from model]]=1, "Feed", "Main"), "-" )</f>
        <v>Main</v>
      </c>
      <c r="P16" s="240">
        <v>0</v>
      </c>
      <c r="Q16" s="274">
        <f>IF(Pipe_data[[#This Row],[Phase overwrite]]&gt;0,Pipe_data[[#This Row],[Phase overwrite]],
IF(Pipe_data[[#This Row],[Tag]]="Feed",
_xlfn.XLOOKUP(Pipe_data[[#This Row],[Connected buildings ID]],'Heat connections'!$D$5:$D$242,'Heat connections'!$M$5:$M$242,1,0,1),1))</f>
        <v>1</v>
      </c>
      <c r="R16" s="499">
        <f>IF(Pipe_data[[#This Row],[Surface]]="Hard (Default)",
_xlfn.XLOOKUP(Pipe_data[[#This Row],[Nominal Diameter]],'Technical inputs'!$B$79:$B$100,'Technical inputs'!$C$79:$C$100,0,0,1),
_xlfn.XLOOKUP(Pipe_data[[#This Row],[Nominal Diameter]],'Technical inputs'!$B$79:$B$100,'Technical inputs'!$D$79:$D$100,0,0,1)) * Pipe_data[[#This Row],[Length]]</f>
        <v>51.245320038904396</v>
      </c>
    </row>
    <row r="17" spans="3:18" x14ac:dyDescent="0.25">
      <c r="C17" s="206" t="str" cm="1">
        <f t="array" ref="C17">_xlfn.XLOOKUP(C$4,Pipe_data_input[#Headers],'Pipe data inputs'!C16:O16,0,0,)</f>
        <v>vqVO+lITa9xGnSuY</v>
      </c>
      <c r="D17" s="293" cm="1">
        <f t="array" ref="D17">_xlfn.XLOOKUP(D$4,Pipe_data_input[#Headers],'Pipe data inputs'!C16:O16,0,0,)</f>
        <v>1.5848943</v>
      </c>
      <c r="E17" s="206" t="str" cm="1">
        <f t="array" ref="E17">_xlfn.XLOOKUP(E$4,Pipe_data_input[#Headers],'Pipe data inputs'!C16:O16,0,0,)</f>
        <v>Hard (default)</v>
      </c>
      <c r="F17" s="206" cm="1">
        <f t="array" ref="F17">_xlfn.XLOOKUP(F$4,Pipe_data_input[#Headers],'Pipe data inputs'!C16:O16,0,0,)</f>
        <v>40</v>
      </c>
      <c r="G17" s="241" cm="1">
        <f t="array" ref="G17">_xlfn.XLOOKUP(G$4,Pipe_data_input[#Headers],'Pipe data inputs'!C16:O16,0,0,)</f>
        <v>268.20888272586831</v>
      </c>
      <c r="H17" s="241" cm="1">
        <f t="array" ref="H17">_xlfn.XLOOKUP(H$4,Pipe_data_input[#Headers],'Pipe data inputs'!C16:O16,0,0,)</f>
        <v>100.29582977294901</v>
      </c>
      <c r="I17" s="206" cm="1">
        <f t="array" ref="I17">_xlfn.XLOOKUP(I$4,Pipe_data_input[#Headers],'Pipe data inputs'!C16:O16,0,0,)</f>
        <v>0</v>
      </c>
      <c r="J17" s="206" cm="1">
        <f t="array" ref="J17">_xlfn.XLOOKUP(J$4,Pipe_data_input[#Headers],'Pipe data inputs'!C16:O16,0,0,)</f>
        <v>0</v>
      </c>
      <c r="K17" s="206" cm="1">
        <f t="array" ref="K17">_xlfn.XLOOKUP(K$4,Pipe_data_input[#Headers],'Pipe data inputs'!C16:O16,0,0,)</f>
        <v>0</v>
      </c>
      <c r="L17" s="206" cm="1">
        <f t="array" ref="L17">_xlfn.XLOOKUP(L$4,Pipe_data_input[#Headers],'Pipe data inputs'!C16:O16,0,0,)</f>
        <v>0</v>
      </c>
      <c r="M17" s="295" cm="1">
        <f t="array" ref="M17">_xlfn.XLOOKUP(M$4,Pipe_data_input[#Headers],'Pipe data inputs'!C16:O16,0,0,)</f>
        <v>1</v>
      </c>
      <c r="N17" s="211"/>
      <c r="O17" s="206" t="str">
        <f>IF(Pipe_data[[#This Row],[ID]]&gt;0, IF(Pipe_data[[#This Row],[Assumed diversity from model]]=1, "Feed", "Main"), "-" )</f>
        <v>Feed</v>
      </c>
      <c r="P17" s="240">
        <v>0</v>
      </c>
      <c r="Q17" s="274">
        <f>IF(Pipe_data[[#This Row],[Phase overwrite]]&gt;0,Pipe_data[[#This Row],[Phase overwrite]],
IF(Pipe_data[[#This Row],[Tag]]="Feed",
_xlfn.XLOOKUP(Pipe_data[[#This Row],[Connected buildings ID]],'Heat connections'!$D$5:$D$242,'Heat connections'!$M$5:$M$242,1,0,1),1))</f>
        <v>1</v>
      </c>
      <c r="R17" s="499">
        <f>IF(Pipe_data[[#This Row],[Surface]]="Hard (Default)",
_xlfn.XLOOKUP(Pipe_data[[#This Row],[Nominal Diameter]],'Technical inputs'!$B$79:$B$100,'Technical inputs'!$C$79:$C$100,0,0,1),
_xlfn.XLOOKUP(Pipe_data[[#This Row],[Nominal Diameter]],'Technical inputs'!$B$79:$B$100,'Technical inputs'!$D$79:$D$100,0,0,1)) * Pipe_data[[#This Row],[Length]]</f>
        <v>3832.1715701484991</v>
      </c>
    </row>
    <row r="18" spans="3:18" x14ac:dyDescent="0.25">
      <c r="C18" s="206" t="str" cm="1">
        <f t="array" ref="C18">_xlfn.XLOOKUP(C$4,Pipe_data_input[#Headers],'Pipe data inputs'!C17:O17,0,0,)</f>
        <v>s+xEjeBco/bmY8zw</v>
      </c>
      <c r="D18" s="293" cm="1">
        <f t="array" ref="D18">_xlfn.XLOOKUP(D$4,Pipe_data_input[#Headers],'Pipe data inputs'!C17:O17,0,0,)</f>
        <v>6.9873820000000003E-2</v>
      </c>
      <c r="E18" s="206" t="str" cm="1">
        <f t="array" ref="E18">_xlfn.XLOOKUP(E$4,Pipe_data_input[#Headers],'Pipe data inputs'!C17:O17,0,0,)</f>
        <v>Hard (default)</v>
      </c>
      <c r="F18" s="206" cm="1">
        <f t="array" ref="F18">_xlfn.XLOOKUP(F$4,Pipe_data_input[#Headers],'Pipe data inputs'!C17:O17,0,0,)</f>
        <v>65</v>
      </c>
      <c r="G18" s="241" cm="1">
        <f t="array" ref="G18">_xlfn.XLOOKUP(G$4,Pipe_data_input[#Headers],'Pipe data inputs'!C17:O17,0,0,)</f>
        <v>16.111305504814837</v>
      </c>
      <c r="H18" s="241" cm="1">
        <f t="array" ref="H18">_xlfn.XLOOKUP(H$4,Pipe_data_input[#Headers],'Pipe data inputs'!C17:O17,0,0,)</f>
        <v>479.31744384765602</v>
      </c>
      <c r="I18" s="206" cm="1">
        <f t="array" ref="I18">_xlfn.XLOOKUP(I$4,Pipe_data_input[#Headers],'Pipe data inputs'!C17:O17,0,0,)</f>
        <v>0</v>
      </c>
      <c r="J18" s="206" cm="1">
        <f t="array" ref="J18">_xlfn.XLOOKUP(J$4,Pipe_data_input[#Headers],'Pipe data inputs'!C17:O17,0,0,)</f>
        <v>0</v>
      </c>
      <c r="K18" s="206" cm="1">
        <f t="array" ref="K18">_xlfn.XLOOKUP(K$4,Pipe_data_input[#Headers],'Pipe data inputs'!C17:O17,0,0,)</f>
        <v>0</v>
      </c>
      <c r="L18" s="206" cm="1">
        <f t="array" ref="L18">_xlfn.XLOOKUP(L$4,Pipe_data_input[#Headers],'Pipe data inputs'!C17:O17,0,0,)</f>
        <v>0</v>
      </c>
      <c r="M18" s="295" cm="1">
        <f t="array" ref="M18">_xlfn.XLOOKUP(M$4,Pipe_data_input[#Headers],'Pipe data inputs'!C17:O17,0,0,)</f>
        <v>0.7</v>
      </c>
      <c r="N18" s="211"/>
      <c r="O18" s="206" t="str">
        <f>IF(Pipe_data[[#This Row],[ID]]&gt;0, IF(Pipe_data[[#This Row],[Assumed diversity from model]]=1, "Feed", "Main"), "-" )</f>
        <v>Main</v>
      </c>
      <c r="P18" s="240">
        <v>0</v>
      </c>
      <c r="Q18" s="274">
        <f>IF(Pipe_data[[#This Row],[Phase overwrite]]&gt;0,Pipe_data[[#This Row],[Phase overwrite]],
IF(Pipe_data[[#This Row],[Tag]]="Feed",
_xlfn.XLOOKUP(Pipe_data[[#This Row],[Connected buildings ID]],'Heat connections'!$D$5:$D$242,'Heat connections'!$M$5:$M$242,1,0,1),1))</f>
        <v>1</v>
      </c>
      <c r="R18" s="499">
        <f>IF(Pipe_data[[#This Row],[Surface]]="Hard (Default)",
_xlfn.XLOOKUP(Pipe_data[[#This Row],[Nominal Diameter]],'Technical inputs'!$B$79:$B$100,'Technical inputs'!$C$79:$C$100,0,0,1),
_xlfn.XLOOKUP(Pipe_data[[#This Row],[Nominal Diameter]],'Technical inputs'!$B$79:$B$100,'Technical inputs'!$D$79:$D$100,0,0,1)) * Pipe_data[[#This Row],[Length]]</f>
        <v>183.34220521321225</v>
      </c>
    </row>
    <row r="19" spans="3:18" x14ac:dyDescent="0.25">
      <c r="C19" s="206" t="str" cm="1">
        <f t="array" ref="C19">_xlfn.XLOOKUP(C$4,Pipe_data_input[#Headers],'Pipe data inputs'!C18:O18,0,0,)</f>
        <v>+vDpF7OJJg3328rv</v>
      </c>
      <c r="D19" s="293" cm="1">
        <f t="array" ref="D19">_xlfn.XLOOKUP(D$4,Pipe_data_input[#Headers],'Pipe data inputs'!C18:O18,0,0,)</f>
        <v>6.7873419999999998</v>
      </c>
      <c r="E19" s="206" t="str" cm="1">
        <f t="array" ref="E19">_xlfn.XLOOKUP(E$4,Pipe_data_input[#Headers],'Pipe data inputs'!C18:O18,0,0,)</f>
        <v>Hard (default)</v>
      </c>
      <c r="F19" s="206" cm="1">
        <f t="array" ref="F19">_xlfn.XLOOKUP(F$4,Pipe_data_input[#Headers],'Pipe data inputs'!C18:O18,0,0,)</f>
        <v>25</v>
      </c>
      <c r="G19" s="241" cm="1">
        <f t="array" ref="G19">_xlfn.XLOOKUP(G$4,Pipe_data_input[#Headers],'Pipe data inputs'!C18:O18,0,0,)</f>
        <v>803.25471027176582</v>
      </c>
      <c r="H19" s="241" cm="1">
        <f t="array" ref="H19">_xlfn.XLOOKUP(H$4,Pipe_data_input[#Headers],'Pipe data inputs'!C18:O18,0,0,)</f>
        <v>25.546085357666001</v>
      </c>
      <c r="I19" s="206" cm="1">
        <f t="array" ref="I19">_xlfn.XLOOKUP(I$4,Pipe_data_input[#Headers],'Pipe data inputs'!C18:O18,0,0,)</f>
        <v>0</v>
      </c>
      <c r="J19" s="206" cm="1">
        <f t="array" ref="J19">_xlfn.XLOOKUP(J$4,Pipe_data_input[#Headers],'Pipe data inputs'!C18:O18,0,0,)</f>
        <v>0</v>
      </c>
      <c r="K19" s="206" cm="1">
        <f t="array" ref="K19">_xlfn.XLOOKUP(K$4,Pipe_data_input[#Headers],'Pipe data inputs'!C18:O18,0,0,)</f>
        <v>0</v>
      </c>
      <c r="L19" s="206" cm="1">
        <f t="array" ref="L19">_xlfn.XLOOKUP(L$4,Pipe_data_input[#Headers],'Pipe data inputs'!C18:O18,0,0,)</f>
        <v>0</v>
      </c>
      <c r="M19" s="295" cm="1">
        <f t="array" ref="M19">_xlfn.XLOOKUP(M$4,Pipe_data_input[#Headers],'Pipe data inputs'!C18:O18,0,0,)</f>
        <v>0.81</v>
      </c>
      <c r="N19" s="211"/>
      <c r="O19" s="206" t="str">
        <f>IF(Pipe_data[[#This Row],[ID]]&gt;0, IF(Pipe_data[[#This Row],[Assumed diversity from model]]=1, "Feed", "Main"), "-" )</f>
        <v>Main</v>
      </c>
      <c r="P19" s="240">
        <v>0</v>
      </c>
      <c r="Q19" s="274">
        <f>IF(Pipe_data[[#This Row],[Phase overwrite]]&gt;0,Pipe_data[[#This Row],[Phase overwrite]],
IF(Pipe_data[[#This Row],[Tag]]="Feed",
_xlfn.XLOOKUP(Pipe_data[[#This Row],[Connected buildings ID]],'Heat connections'!$D$5:$D$242,'Heat connections'!$M$5:$M$242,1,0,1),1))</f>
        <v>1</v>
      </c>
      <c r="R19" s="499">
        <f>IF(Pipe_data[[#This Row],[Surface]]="Hard (Default)",
_xlfn.XLOOKUP(Pipe_data[[#This Row],[Nominal Diameter]],'Technical inputs'!$B$79:$B$100,'Technical inputs'!$C$79:$C$100,0,0,1),
_xlfn.XLOOKUP(Pipe_data[[#This Row],[Nominal Diameter]],'Technical inputs'!$B$79:$B$100,'Technical inputs'!$D$79:$D$100,0,0,1)) * Pipe_data[[#This Row],[Length]]</f>
        <v>14630.624262146137</v>
      </c>
    </row>
    <row r="20" spans="3:18" x14ac:dyDescent="0.25">
      <c r="C20" s="206" t="str" cm="1">
        <f t="array" ref="C20">_xlfn.XLOOKUP(C$4,Pipe_data_input[#Headers],'Pipe data inputs'!C19:O19,0,0,)</f>
        <v>GGfASWfP5FOGBMRu</v>
      </c>
      <c r="D20" s="293" cm="1">
        <f t="array" ref="D20">_xlfn.XLOOKUP(D$4,Pipe_data_input[#Headers],'Pipe data inputs'!C19:O19,0,0,)</f>
        <v>7.5514383</v>
      </c>
      <c r="E20" s="206" t="str" cm="1">
        <f t="array" ref="E20">_xlfn.XLOOKUP(E$4,Pipe_data_input[#Headers],'Pipe data inputs'!C19:O19,0,0,)</f>
        <v>Hard (default)</v>
      </c>
      <c r="F20" s="206" cm="1">
        <f t="array" ref="F20">_xlfn.XLOOKUP(F$4,Pipe_data_input[#Headers],'Pipe data inputs'!C19:O19,0,0,)</f>
        <v>125</v>
      </c>
      <c r="G20" s="241" cm="1">
        <f t="array" ref="G20">_xlfn.XLOOKUP(G$4,Pipe_data_input[#Headers],'Pipe data inputs'!C19:O19,0,0,)</f>
        <v>2108.4033511690513</v>
      </c>
      <c r="H20" s="241" cm="1">
        <f t="array" ref="H20">_xlfn.XLOOKUP(H$4,Pipe_data_input[#Headers],'Pipe data inputs'!C19:O19,0,0,)</f>
        <v>1647.9596320257999</v>
      </c>
      <c r="I20" s="206" cm="1">
        <f t="array" ref="I20">_xlfn.XLOOKUP(I$4,Pipe_data_input[#Headers],'Pipe data inputs'!C19:O19,0,0,)</f>
        <v>0</v>
      </c>
      <c r="J20" s="206" cm="1">
        <f t="array" ref="J20">_xlfn.XLOOKUP(J$4,Pipe_data_input[#Headers],'Pipe data inputs'!C19:O19,0,0,)</f>
        <v>0</v>
      </c>
      <c r="K20" s="206" cm="1">
        <f t="array" ref="K20">_xlfn.XLOOKUP(K$4,Pipe_data_input[#Headers],'Pipe data inputs'!C19:O19,0,0,)</f>
        <v>0</v>
      </c>
      <c r="L20" s="206" cm="1">
        <f t="array" ref="L20">_xlfn.XLOOKUP(L$4,Pipe_data_input[#Headers],'Pipe data inputs'!C19:O19,0,0,)</f>
        <v>0</v>
      </c>
      <c r="M20" s="295" cm="1">
        <f t="array" ref="M20">_xlfn.XLOOKUP(M$4,Pipe_data_input[#Headers],'Pipe data inputs'!C19:O19,0,0,)</f>
        <v>0.63</v>
      </c>
      <c r="N20" s="211"/>
      <c r="O20" s="206" t="str">
        <f>IF(Pipe_data[[#This Row],[ID]]&gt;0, IF(Pipe_data[[#This Row],[Assumed diversity from model]]=1, "Feed", "Main"), "-" )</f>
        <v>Main</v>
      </c>
      <c r="P20" s="240">
        <v>0</v>
      </c>
      <c r="Q20" s="274">
        <f>IF(Pipe_data[[#This Row],[Phase overwrite]]&gt;0,Pipe_data[[#This Row],[Phase overwrite]],
IF(Pipe_data[[#This Row],[Tag]]="Feed",
_xlfn.XLOOKUP(Pipe_data[[#This Row],[Connected buildings ID]],'Heat connections'!$D$5:$D$242,'Heat connections'!$M$5:$M$242,1,0,1),1))</f>
        <v>1</v>
      </c>
      <c r="R20" s="499">
        <f>IF(Pipe_data[[#This Row],[Surface]]="Hard (Default)",
_xlfn.XLOOKUP(Pipe_data[[#This Row],[Nominal Diameter]],'Technical inputs'!$B$79:$B$100,'Technical inputs'!$C$79:$C$100,0,0,1),
_xlfn.XLOOKUP(Pipe_data[[#This Row],[Nominal Diameter]],'Technical inputs'!$B$79:$B$100,'Technical inputs'!$D$79:$D$100,0,0,1)) * Pipe_data[[#This Row],[Length]]</f>
        <v>23138.498288491632</v>
      </c>
    </row>
    <row r="21" spans="3:18" x14ac:dyDescent="0.25">
      <c r="C21" s="206" t="str" cm="1">
        <f t="array" ref="C21">_xlfn.XLOOKUP(C$4,Pipe_data_input[#Headers],'Pipe data inputs'!C20:O20,0,0,)</f>
        <v>fkAJeUL4lI5H9R2s</v>
      </c>
      <c r="D21" s="293" cm="1">
        <f t="array" ref="D21">_xlfn.XLOOKUP(D$4,Pipe_data_input[#Headers],'Pipe data inputs'!C20:O20,0,0,)</f>
        <v>5.4237840000000004</v>
      </c>
      <c r="E21" s="206" t="str" cm="1">
        <f t="array" ref="E21">_xlfn.XLOOKUP(E$4,Pipe_data_input[#Headers],'Pipe data inputs'!C20:O20,0,0,)</f>
        <v>Hard (default)</v>
      </c>
      <c r="F21" s="206" cm="1">
        <f t="array" ref="F21">_xlfn.XLOOKUP(F$4,Pipe_data_input[#Headers],'Pipe data inputs'!C20:O20,0,0,)</f>
        <v>80</v>
      </c>
      <c r="G21" s="241" cm="1">
        <f t="array" ref="G21">_xlfn.XLOOKUP(G$4,Pipe_data_input[#Headers],'Pipe data inputs'!C20:O20,0,0,)</f>
        <v>1284.2739588908892</v>
      </c>
      <c r="H21" s="241" cm="1">
        <f t="array" ref="H21">_xlfn.XLOOKUP(H$4,Pipe_data_input[#Headers],'Pipe data inputs'!C20:O20,0,0,)</f>
        <v>562.93208777304994</v>
      </c>
      <c r="I21" s="206" cm="1">
        <f t="array" ref="I21">_xlfn.XLOOKUP(I$4,Pipe_data_input[#Headers],'Pipe data inputs'!C20:O20,0,0,)</f>
        <v>0</v>
      </c>
      <c r="J21" s="206" cm="1">
        <f t="array" ref="J21">_xlfn.XLOOKUP(J$4,Pipe_data_input[#Headers],'Pipe data inputs'!C20:O20,0,0,)</f>
        <v>0</v>
      </c>
      <c r="K21" s="206" cm="1">
        <f t="array" ref="K21">_xlfn.XLOOKUP(K$4,Pipe_data_input[#Headers],'Pipe data inputs'!C20:O20,0,0,)</f>
        <v>0</v>
      </c>
      <c r="L21" s="206" cm="1">
        <f t="array" ref="L21">_xlfn.XLOOKUP(L$4,Pipe_data_input[#Headers],'Pipe data inputs'!C20:O20,0,0,)</f>
        <v>0</v>
      </c>
      <c r="M21" s="295" cm="1">
        <f t="array" ref="M21">_xlfn.XLOOKUP(M$4,Pipe_data_input[#Headers],'Pipe data inputs'!C20:O20,0,0,)</f>
        <v>0.65</v>
      </c>
      <c r="N21" s="211"/>
      <c r="O21" s="206" t="str">
        <f>IF(Pipe_data[[#This Row],[ID]]&gt;0, IF(Pipe_data[[#This Row],[Assumed diversity from model]]=1, "Feed", "Main"), "-" )</f>
        <v>Main</v>
      </c>
      <c r="P21" s="240">
        <v>0</v>
      </c>
      <c r="Q21" s="274">
        <f>IF(Pipe_data[[#This Row],[Phase overwrite]]&gt;0,Pipe_data[[#This Row],[Phase overwrite]],
IF(Pipe_data[[#This Row],[Tag]]="Feed",
_xlfn.XLOOKUP(Pipe_data[[#This Row],[Connected buildings ID]],'Heat connections'!$D$5:$D$242,'Heat connections'!$M$5:$M$242,1,0,1),1))</f>
        <v>1</v>
      </c>
      <c r="R21" s="499">
        <f>IF(Pipe_data[[#This Row],[Surface]]="Hard (Default)",
_xlfn.XLOOKUP(Pipe_data[[#This Row],[Nominal Diameter]],'Technical inputs'!$B$79:$B$100,'Technical inputs'!$C$79:$C$100,0,0,1),
_xlfn.XLOOKUP(Pipe_data[[#This Row],[Nominal Diameter]],'Technical inputs'!$B$79:$B$100,'Technical inputs'!$D$79:$D$100,0,0,1)) * Pipe_data[[#This Row],[Length]]</f>
        <v>14826.957450247806</v>
      </c>
    </row>
    <row r="22" spans="3:18" x14ac:dyDescent="0.25">
      <c r="C22" s="206" t="str" cm="1">
        <f t="array" ref="C22">_xlfn.XLOOKUP(C$4,Pipe_data_input[#Headers],'Pipe data inputs'!C21:O21,0,0,)</f>
        <v>FJtss87dwl2CzmGt</v>
      </c>
      <c r="D22" s="293" cm="1">
        <f t="array" ref="D22">_xlfn.XLOOKUP(D$4,Pipe_data_input[#Headers],'Pipe data inputs'!C21:O21,0,0,)</f>
        <v>6.0767389999999999</v>
      </c>
      <c r="E22" s="206" t="str" cm="1">
        <f t="array" ref="E22">_xlfn.XLOOKUP(E$4,Pipe_data_input[#Headers],'Pipe data inputs'!C21:O21,0,0,)</f>
        <v>Hard (default)</v>
      </c>
      <c r="F22" s="206" cm="1">
        <f t="array" ref="F22">_xlfn.XLOOKUP(F$4,Pipe_data_input[#Headers],'Pipe data inputs'!C21:O21,0,0,)</f>
        <v>50</v>
      </c>
      <c r="G22" s="241" cm="1">
        <f t="array" ref="G22">_xlfn.XLOOKUP(G$4,Pipe_data_input[#Headers],'Pipe data inputs'!C21:O21,0,0,)</f>
        <v>1127.7227816269926</v>
      </c>
      <c r="H22" s="241" cm="1">
        <f t="array" ref="H22">_xlfn.XLOOKUP(H$4,Pipe_data_input[#Headers],'Pipe data inputs'!C21:O21,0,0,)</f>
        <v>148.388475348707</v>
      </c>
      <c r="I22" s="206" cm="1">
        <f t="array" ref="I22">_xlfn.XLOOKUP(I$4,Pipe_data_input[#Headers],'Pipe data inputs'!C21:O21,0,0,)</f>
        <v>0</v>
      </c>
      <c r="J22" s="206" cm="1">
        <f t="array" ref="J22">_xlfn.XLOOKUP(J$4,Pipe_data_input[#Headers],'Pipe data inputs'!C21:O21,0,0,)</f>
        <v>0</v>
      </c>
      <c r="K22" s="206" cm="1">
        <f t="array" ref="K22">_xlfn.XLOOKUP(K$4,Pipe_data_input[#Headers],'Pipe data inputs'!C21:O21,0,0,)</f>
        <v>0</v>
      </c>
      <c r="L22" s="206" cm="1">
        <f t="array" ref="L22">_xlfn.XLOOKUP(L$4,Pipe_data_input[#Headers],'Pipe data inputs'!C21:O21,0,0,)</f>
        <v>0</v>
      </c>
      <c r="M22" s="295" cm="1">
        <f t="array" ref="M22">_xlfn.XLOOKUP(M$4,Pipe_data_input[#Headers],'Pipe data inputs'!C21:O21,0,0,)</f>
        <v>0.65</v>
      </c>
      <c r="N22" s="211"/>
      <c r="O22" s="206" t="str">
        <f>IF(Pipe_data[[#This Row],[ID]]&gt;0, IF(Pipe_data[[#This Row],[Assumed diversity from model]]=1, "Feed", "Main"), "-" )</f>
        <v>Main</v>
      </c>
      <c r="P22" s="240">
        <v>0</v>
      </c>
      <c r="Q22" s="274">
        <f>IF(Pipe_data[[#This Row],[Phase overwrite]]&gt;0,Pipe_data[[#This Row],[Phase overwrite]],
IF(Pipe_data[[#This Row],[Tag]]="Feed",
_xlfn.XLOOKUP(Pipe_data[[#This Row],[Connected buildings ID]],'Heat connections'!$D$5:$D$242,'Heat connections'!$M$5:$M$242,1,0,1),1))</f>
        <v>1</v>
      </c>
      <c r="R22" s="499">
        <f>IF(Pipe_data[[#This Row],[Surface]]="Hard (Default)",
_xlfn.XLOOKUP(Pipe_data[[#This Row],[Nominal Diameter]],'Technical inputs'!$B$79:$B$100,'Technical inputs'!$C$79:$C$100,0,0,1),
_xlfn.XLOOKUP(Pipe_data[[#This Row],[Nominal Diameter]],'Technical inputs'!$B$79:$B$100,'Technical inputs'!$D$79:$D$100,0,0,1)) * Pipe_data[[#This Row],[Length]]</f>
        <v>15200.567185442658</v>
      </c>
    </row>
    <row r="23" spans="3:18" x14ac:dyDescent="0.25">
      <c r="C23" s="206" t="str" cm="1">
        <f t="array" ref="C23">_xlfn.XLOOKUP(C$4,Pipe_data_input[#Headers],'Pipe data inputs'!C22:O22,0,0,)</f>
        <v>DPy2nBDFSRLTCZ6G</v>
      </c>
      <c r="D23" s="293" cm="1">
        <f t="array" ref="D23">_xlfn.XLOOKUP(D$4,Pipe_data_input[#Headers],'Pipe data inputs'!C22:O22,0,0,)</f>
        <v>7.2587400000000004</v>
      </c>
      <c r="E23" s="206" t="str" cm="1">
        <f t="array" ref="E23">_xlfn.XLOOKUP(E$4,Pipe_data_input[#Headers],'Pipe data inputs'!C22:O22,0,0,)</f>
        <v>Hard (default)</v>
      </c>
      <c r="F23" s="206" cm="1">
        <f t="array" ref="F23">_xlfn.XLOOKUP(F$4,Pipe_data_input[#Headers],'Pipe data inputs'!C22:O22,0,0,)</f>
        <v>20</v>
      </c>
      <c r="G23" s="241" cm="1">
        <f t="array" ref="G23">_xlfn.XLOOKUP(G$4,Pipe_data_input[#Headers],'Pipe data inputs'!C22:O22,0,0,)</f>
        <v>849.85667507495521</v>
      </c>
      <c r="H23" s="241" cm="1">
        <f t="array" ref="H23">_xlfn.XLOOKUP(H$4,Pipe_data_input[#Headers],'Pipe data inputs'!C22:O22,0,0,)</f>
        <v>2</v>
      </c>
      <c r="I23" s="206" cm="1">
        <f t="array" ref="I23">_xlfn.XLOOKUP(I$4,Pipe_data_input[#Headers],'Pipe data inputs'!C22:O22,0,0,)</f>
        <v>0</v>
      </c>
      <c r="J23" s="206" cm="1">
        <f t="array" ref="J23">_xlfn.XLOOKUP(J$4,Pipe_data_input[#Headers],'Pipe data inputs'!C22:O22,0,0,)</f>
        <v>0</v>
      </c>
      <c r="K23" s="206" cm="1">
        <f t="array" ref="K23">_xlfn.XLOOKUP(K$4,Pipe_data_input[#Headers],'Pipe data inputs'!C22:O22,0,0,)</f>
        <v>0</v>
      </c>
      <c r="L23" s="206" cm="1">
        <f t="array" ref="L23">_xlfn.XLOOKUP(L$4,Pipe_data_input[#Headers],'Pipe data inputs'!C22:O22,0,0,)</f>
        <v>0</v>
      </c>
      <c r="M23" s="295" cm="1">
        <f t="array" ref="M23">_xlfn.XLOOKUP(M$4,Pipe_data_input[#Headers],'Pipe data inputs'!C22:O22,0,0,)</f>
        <v>1</v>
      </c>
      <c r="N23" s="211"/>
      <c r="O23" s="206" t="str">
        <f>IF(Pipe_data[[#This Row],[ID]]&gt;0, IF(Pipe_data[[#This Row],[Assumed diversity from model]]=1, "Feed", "Main"), "-" )</f>
        <v>Feed</v>
      </c>
      <c r="P23" s="240">
        <v>0</v>
      </c>
      <c r="Q23" s="274">
        <f>IF(Pipe_data[[#This Row],[Phase overwrite]]&gt;0,Pipe_data[[#This Row],[Phase overwrite]],
IF(Pipe_data[[#This Row],[Tag]]="Feed",
_xlfn.XLOOKUP(Pipe_data[[#This Row],[Connected buildings ID]],'Heat connections'!$D$5:$D$242,'Heat connections'!$M$5:$M$242,1,0,1),1))</f>
        <v>1</v>
      </c>
      <c r="R23" s="499">
        <f>IF(Pipe_data[[#This Row],[Surface]]="Hard (Default)",
_xlfn.XLOOKUP(Pipe_data[[#This Row],[Nominal Diameter]],'Technical inputs'!$B$79:$B$100,'Technical inputs'!$C$79:$C$100,0,0,1),
_xlfn.XLOOKUP(Pipe_data[[#This Row],[Nominal Diameter]],'Technical inputs'!$B$79:$B$100,'Technical inputs'!$D$79:$D$100,0,0,1)) * Pipe_data[[#This Row],[Length]]</f>
        <v>15546.428576450411</v>
      </c>
    </row>
    <row r="24" spans="3:18" x14ac:dyDescent="0.25">
      <c r="C24" s="206" t="str" cm="1">
        <f t="array" ref="C24">_xlfn.XLOOKUP(C$4,Pipe_data_input[#Headers],'Pipe data inputs'!C23:O23,0,0,)</f>
        <v>r96/Bo7Pp1aGqI1j</v>
      </c>
      <c r="D24" s="293" cm="1">
        <f t="array" ref="D24">_xlfn.XLOOKUP(D$4,Pipe_data_input[#Headers],'Pipe data inputs'!C23:O23,0,0,)</f>
        <v>3.9006829999999999</v>
      </c>
      <c r="E24" s="206" t="str" cm="1">
        <f t="array" ref="E24">_xlfn.XLOOKUP(E$4,Pipe_data_input[#Headers],'Pipe data inputs'!C23:O23,0,0,)</f>
        <v>Hard (default)</v>
      </c>
      <c r="F24" s="206" cm="1">
        <f t="array" ref="F24">_xlfn.XLOOKUP(F$4,Pipe_data_input[#Headers],'Pipe data inputs'!C23:O23,0,0,)</f>
        <v>80</v>
      </c>
      <c r="G24" s="241" cm="1">
        <f t="array" ref="G24">_xlfn.XLOOKUP(G$4,Pipe_data_input[#Headers],'Pipe data inputs'!C23:O23,0,0,)</f>
        <v>936.17555724042018</v>
      </c>
      <c r="H24" s="241" cm="1">
        <f t="array" ref="H24">_xlfn.XLOOKUP(H$4,Pipe_data_input[#Headers],'Pipe data inputs'!C23:O23,0,0,)</f>
        <v>617.18597412109398</v>
      </c>
      <c r="I24" s="206" cm="1">
        <f t="array" ref="I24">_xlfn.XLOOKUP(I$4,Pipe_data_input[#Headers],'Pipe data inputs'!C23:O23,0,0,)</f>
        <v>0</v>
      </c>
      <c r="J24" s="206" cm="1">
        <f t="array" ref="J24">_xlfn.XLOOKUP(J$4,Pipe_data_input[#Headers],'Pipe data inputs'!C23:O23,0,0,)</f>
        <v>0</v>
      </c>
      <c r="K24" s="206" cm="1">
        <f t="array" ref="K24">_xlfn.XLOOKUP(K$4,Pipe_data_input[#Headers],'Pipe data inputs'!C23:O23,0,0,)</f>
        <v>0</v>
      </c>
      <c r="L24" s="206" cm="1">
        <f t="array" ref="L24">_xlfn.XLOOKUP(L$4,Pipe_data_input[#Headers],'Pipe data inputs'!C23:O23,0,0,)</f>
        <v>0</v>
      </c>
      <c r="M24" s="295" cm="1">
        <f t="array" ref="M24">_xlfn.XLOOKUP(M$4,Pipe_data_input[#Headers],'Pipe data inputs'!C23:O23,0,0,)</f>
        <v>0.7294998052048729</v>
      </c>
      <c r="N24" s="211"/>
      <c r="O24" s="206" t="str">
        <f>IF(Pipe_data[[#This Row],[ID]]&gt;0, IF(Pipe_data[[#This Row],[Assumed diversity from model]]=1, "Feed", "Main"), "-" )</f>
        <v>Main</v>
      </c>
      <c r="P24" s="240">
        <v>0</v>
      </c>
      <c r="Q24" s="274">
        <f>IF(Pipe_data[[#This Row],[Phase overwrite]]&gt;0,Pipe_data[[#This Row],[Phase overwrite]],
IF(Pipe_data[[#This Row],[Tag]]="Feed",
_xlfn.XLOOKUP(Pipe_data[[#This Row],[Connected buildings ID]],'Heat connections'!$D$5:$D$242,'Heat connections'!$M$5:$M$242,1,0,1),1))</f>
        <v>1</v>
      </c>
      <c r="R24" s="499">
        <f>IF(Pipe_data[[#This Row],[Surface]]="Hard (Default)",
_xlfn.XLOOKUP(Pipe_data[[#This Row],[Nominal Diameter]],'Technical inputs'!$B$79:$B$100,'Technical inputs'!$C$79:$C$100,0,0,1),
_xlfn.XLOOKUP(Pipe_data[[#This Row],[Nominal Diameter]],'Technical inputs'!$B$79:$B$100,'Technical inputs'!$D$79:$D$100,0,0,1)) * Pipe_data[[#This Row],[Length]]</f>
        <v>10663.267723770889</v>
      </c>
    </row>
    <row r="25" spans="3:18" x14ac:dyDescent="0.25">
      <c r="C25" s="206" t="str" cm="1">
        <f t="array" ref="C25">_xlfn.XLOOKUP(C$4,Pipe_data_input[#Headers],'Pipe data inputs'!C24:O24,0,0,)</f>
        <v>uGWdX7TcRMi6e2Ty</v>
      </c>
      <c r="D25" s="293" cm="1">
        <f t="array" ref="D25">_xlfn.XLOOKUP(D$4,Pipe_data_input[#Headers],'Pipe data inputs'!C24:O24,0,0,)</f>
        <v>1.8643738000000001</v>
      </c>
      <c r="E25" s="206" t="str" cm="1">
        <f t="array" ref="E25">_xlfn.XLOOKUP(E$4,Pipe_data_input[#Headers],'Pipe data inputs'!C24:O24,0,0,)</f>
        <v>Hard (default)</v>
      </c>
      <c r="F25" s="206" cm="1">
        <f t="array" ref="F25">_xlfn.XLOOKUP(F$4,Pipe_data_input[#Headers],'Pipe data inputs'!C24:O24,0,0,)</f>
        <v>20</v>
      </c>
      <c r="G25" s="241" cm="1">
        <f t="array" ref="G25">_xlfn.XLOOKUP(G$4,Pipe_data_input[#Headers],'Pipe data inputs'!C24:O24,0,0,)</f>
        <v>276.88895759018556</v>
      </c>
      <c r="H25" s="241" cm="1">
        <f t="array" ref="H25">_xlfn.XLOOKUP(H$4,Pipe_data_input[#Headers],'Pipe data inputs'!C24:O24,0,0,)</f>
        <v>2.91598506120499</v>
      </c>
      <c r="I25" s="206" cm="1">
        <f t="array" ref="I25">_xlfn.XLOOKUP(I$4,Pipe_data_input[#Headers],'Pipe data inputs'!C24:O24,0,0,)</f>
        <v>0</v>
      </c>
      <c r="J25" s="206" cm="1">
        <f t="array" ref="J25">_xlfn.XLOOKUP(J$4,Pipe_data_input[#Headers],'Pipe data inputs'!C24:O24,0,0,)</f>
        <v>0</v>
      </c>
      <c r="K25" s="206" cm="1">
        <f t="array" ref="K25">_xlfn.XLOOKUP(K$4,Pipe_data_input[#Headers],'Pipe data inputs'!C24:O24,0,0,)</f>
        <v>0</v>
      </c>
      <c r="L25" s="206" cm="1">
        <f t="array" ref="L25">_xlfn.XLOOKUP(L$4,Pipe_data_input[#Headers],'Pipe data inputs'!C24:O24,0,0,)</f>
        <v>0</v>
      </c>
      <c r="M25" s="295" cm="1">
        <f t="array" ref="M25">_xlfn.XLOOKUP(M$4,Pipe_data_input[#Headers],'Pipe data inputs'!C24:O24,0,0,)</f>
        <v>1</v>
      </c>
      <c r="N25" s="211"/>
      <c r="O25" s="206" t="str">
        <f>IF(Pipe_data[[#This Row],[ID]]&gt;0, IF(Pipe_data[[#This Row],[Assumed diversity from model]]=1, "Feed", "Main"), "-" )</f>
        <v>Feed</v>
      </c>
      <c r="P25" s="240">
        <v>0</v>
      </c>
      <c r="Q25" s="274">
        <f>IF(Pipe_data[[#This Row],[Phase overwrite]]&gt;0,Pipe_data[[#This Row],[Phase overwrite]],
IF(Pipe_data[[#This Row],[Tag]]="Feed",
_xlfn.XLOOKUP(Pipe_data[[#This Row],[Connected buildings ID]],'Heat connections'!$D$5:$D$242,'Heat connections'!$M$5:$M$242,1,0,1),1))</f>
        <v>1</v>
      </c>
      <c r="R25" s="499">
        <f>IF(Pipe_data[[#This Row],[Surface]]="Hard (Default)",
_xlfn.XLOOKUP(Pipe_data[[#This Row],[Nominal Diameter]],'Technical inputs'!$B$79:$B$100,'Technical inputs'!$C$79:$C$100,0,0,1),
_xlfn.XLOOKUP(Pipe_data[[#This Row],[Nominal Diameter]],'Technical inputs'!$B$79:$B$100,'Technical inputs'!$D$79:$D$100,0,0,1)) * Pipe_data[[#This Row],[Length]]</f>
        <v>3993.0282833529568</v>
      </c>
    </row>
    <row r="26" spans="3:18" x14ac:dyDescent="0.25">
      <c r="C26" s="206" t="str" cm="1">
        <f t="array" ref="C26">_xlfn.XLOOKUP(C$4,Pipe_data_input[#Headers],'Pipe data inputs'!C25:O25,0,0,)</f>
        <v>yqJc0rkyGQNF6CNC</v>
      </c>
      <c r="D26" s="293" cm="1">
        <f t="array" ref="D26">_xlfn.XLOOKUP(D$4,Pipe_data_input[#Headers],'Pipe data inputs'!C25:O25,0,0,)</f>
        <v>42.205967000000001</v>
      </c>
      <c r="E26" s="206" t="str" cm="1">
        <f t="array" ref="E26">_xlfn.XLOOKUP(E$4,Pipe_data_input[#Headers],'Pipe data inputs'!C25:O25,0,0,)</f>
        <v>Hard (default)</v>
      </c>
      <c r="F26" s="206" cm="1">
        <f t="array" ref="F26">_xlfn.XLOOKUP(F$4,Pipe_data_input[#Headers],'Pipe data inputs'!C25:O25,0,0,)</f>
        <v>150</v>
      </c>
      <c r="G26" s="241" cm="1">
        <f t="array" ref="G26">_xlfn.XLOOKUP(G$4,Pipe_data_input[#Headers],'Pipe data inputs'!C25:O25,0,0,)</f>
        <v>12851.631580435071</v>
      </c>
      <c r="H26" s="241" cm="1">
        <f t="array" ref="H26">_xlfn.XLOOKUP(H$4,Pipe_data_input[#Headers],'Pipe data inputs'!C25:O25,0,0,)</f>
        <v>3116.0970923863902</v>
      </c>
      <c r="I26" s="206" cm="1">
        <f t="array" ref="I26">_xlfn.XLOOKUP(I$4,Pipe_data_input[#Headers],'Pipe data inputs'!C25:O25,0,0,)</f>
        <v>0</v>
      </c>
      <c r="J26" s="206" cm="1">
        <f t="array" ref="J26">_xlfn.XLOOKUP(J$4,Pipe_data_input[#Headers],'Pipe data inputs'!C25:O25,0,0,)</f>
        <v>0</v>
      </c>
      <c r="K26" s="206" cm="1">
        <f t="array" ref="K26">_xlfn.XLOOKUP(K$4,Pipe_data_input[#Headers],'Pipe data inputs'!C25:O25,0,0,)</f>
        <v>0</v>
      </c>
      <c r="L26" s="206" cm="1">
        <f t="array" ref="L26">_xlfn.XLOOKUP(L$4,Pipe_data_input[#Headers],'Pipe data inputs'!C25:O25,0,0,)</f>
        <v>0</v>
      </c>
      <c r="M26" s="295" cm="1">
        <f t="array" ref="M26">_xlfn.XLOOKUP(M$4,Pipe_data_input[#Headers],'Pipe data inputs'!C25:O25,0,0,)</f>
        <v>0.63</v>
      </c>
      <c r="N26" s="211"/>
      <c r="O26" s="206" t="str">
        <f>IF(Pipe_data[[#This Row],[ID]]&gt;0, IF(Pipe_data[[#This Row],[Assumed diversity from model]]=1, "Feed", "Main"), "-" )</f>
        <v>Main</v>
      </c>
      <c r="P26" s="240">
        <v>0</v>
      </c>
      <c r="Q26" s="274">
        <f>IF(Pipe_data[[#This Row],[Phase overwrite]]&gt;0,Pipe_data[[#This Row],[Phase overwrite]],
IF(Pipe_data[[#This Row],[Tag]]="Feed",
_xlfn.XLOOKUP(Pipe_data[[#This Row],[Connected buildings ID]],'Heat connections'!$D$5:$D$242,'Heat connections'!$M$5:$M$242,1,0,1),1))</f>
        <v>1</v>
      </c>
      <c r="R26" s="499">
        <f>IF(Pipe_data[[#This Row],[Surface]]="Hard (Default)",
_xlfn.XLOOKUP(Pipe_data[[#This Row],[Nominal Diameter]],'Technical inputs'!$B$79:$B$100,'Technical inputs'!$C$79:$C$100,0,0,1),
_xlfn.XLOOKUP(Pipe_data[[#This Row],[Nominal Diameter]],'Technical inputs'!$B$79:$B$100,'Technical inputs'!$D$79:$D$100,0,0,1)) * Pipe_data[[#This Row],[Length]]</f>
        <v>138439.81983901022</v>
      </c>
    </row>
    <row r="27" spans="3:18" x14ac:dyDescent="0.25">
      <c r="C27" s="206" t="str" cm="1">
        <f t="array" ref="C27">_xlfn.XLOOKUP(C$4,Pipe_data_input[#Headers],'Pipe data inputs'!C26:O26,0,0,)</f>
        <v>puNZ6UtHGJGs8oMS</v>
      </c>
      <c r="D27" s="293" cm="1">
        <f t="array" ref="D27">_xlfn.XLOOKUP(D$4,Pipe_data_input[#Headers],'Pipe data inputs'!C26:O26,0,0,)</f>
        <v>17.331105999999998</v>
      </c>
      <c r="E27" s="206" t="str" cm="1">
        <f t="array" ref="E27">_xlfn.XLOOKUP(E$4,Pipe_data_input[#Headers],'Pipe data inputs'!C26:O26,0,0,)</f>
        <v>Hard (default)</v>
      </c>
      <c r="F27" s="206" cm="1">
        <f t="array" ref="F27">_xlfn.XLOOKUP(F$4,Pipe_data_input[#Headers],'Pipe data inputs'!C26:O26,0,0,)</f>
        <v>150</v>
      </c>
      <c r="G27" s="241" cm="1">
        <f t="array" ref="G27">_xlfn.XLOOKUP(G$4,Pipe_data_input[#Headers],'Pipe data inputs'!C26:O26,0,0,)</f>
        <v>5364.9481255740075</v>
      </c>
      <c r="H27" s="241" cm="1">
        <f t="array" ref="H27">_xlfn.XLOOKUP(H$4,Pipe_data_input[#Headers],'Pipe data inputs'!C26:O26,0,0,)</f>
        <v>3529.0715643295898</v>
      </c>
      <c r="I27" s="206" cm="1">
        <f t="array" ref="I27">_xlfn.XLOOKUP(I$4,Pipe_data_input[#Headers],'Pipe data inputs'!C26:O26,0,0,)</f>
        <v>0</v>
      </c>
      <c r="J27" s="206" cm="1">
        <f t="array" ref="J27">_xlfn.XLOOKUP(J$4,Pipe_data_input[#Headers],'Pipe data inputs'!C26:O26,0,0,)</f>
        <v>0</v>
      </c>
      <c r="K27" s="206" cm="1">
        <f t="array" ref="K27">_xlfn.XLOOKUP(K$4,Pipe_data_input[#Headers],'Pipe data inputs'!C26:O26,0,0,)</f>
        <v>0</v>
      </c>
      <c r="L27" s="206" cm="1">
        <f t="array" ref="L27">_xlfn.XLOOKUP(L$4,Pipe_data_input[#Headers],'Pipe data inputs'!C26:O26,0,0,)</f>
        <v>0</v>
      </c>
      <c r="M27" s="295" cm="1">
        <f t="array" ref="M27">_xlfn.XLOOKUP(M$4,Pipe_data_input[#Headers],'Pipe data inputs'!C26:O26,0,0,)</f>
        <v>0.63</v>
      </c>
      <c r="N27" s="211"/>
      <c r="O27" s="206" t="str">
        <f>IF(Pipe_data[[#This Row],[ID]]&gt;0, IF(Pipe_data[[#This Row],[Assumed diversity from model]]=1, "Feed", "Main"), "-" )</f>
        <v>Main</v>
      </c>
      <c r="P27" s="240">
        <v>0</v>
      </c>
      <c r="Q27" s="274">
        <f>IF(Pipe_data[[#This Row],[Phase overwrite]]&gt;0,Pipe_data[[#This Row],[Phase overwrite]],
IF(Pipe_data[[#This Row],[Tag]]="Feed",
_xlfn.XLOOKUP(Pipe_data[[#This Row],[Connected buildings ID]],'Heat connections'!$D$5:$D$242,'Heat connections'!$M$5:$M$242,1,0,1),1))</f>
        <v>1</v>
      </c>
      <c r="R27" s="499">
        <f>IF(Pipe_data[[#This Row],[Surface]]="Hard (Default)",
_xlfn.XLOOKUP(Pipe_data[[#This Row],[Nominal Diameter]],'Technical inputs'!$B$79:$B$100,'Technical inputs'!$C$79:$C$100,0,0,1),
_xlfn.XLOOKUP(Pipe_data[[#This Row],[Nominal Diameter]],'Technical inputs'!$B$79:$B$100,'Technical inputs'!$D$79:$D$100,0,0,1)) * Pipe_data[[#This Row],[Length]]</f>
        <v>56847.772075706467</v>
      </c>
    </row>
    <row r="28" spans="3:18" x14ac:dyDescent="0.25">
      <c r="C28" s="206" t="str" cm="1">
        <f t="array" ref="C28">_xlfn.XLOOKUP(C$4,Pipe_data_input[#Headers],'Pipe data inputs'!C27:O27,0,0,)</f>
        <v>TkUfqIZ+QlIN2Rtf</v>
      </c>
      <c r="D28" s="293" cm="1">
        <f t="array" ref="D28">_xlfn.XLOOKUP(D$4,Pipe_data_input[#Headers],'Pipe data inputs'!C27:O27,0,0,)</f>
        <v>0.92314273000000002</v>
      </c>
      <c r="E28" s="206" t="str" cm="1">
        <f t="array" ref="E28">_xlfn.XLOOKUP(E$4,Pipe_data_input[#Headers],'Pipe data inputs'!C27:O27,0,0,)</f>
        <v>Hard (default)</v>
      </c>
      <c r="F28" s="206" cm="1">
        <f t="array" ref="F28">_xlfn.XLOOKUP(F$4,Pipe_data_input[#Headers],'Pipe data inputs'!C27:O27,0,0,)</f>
        <v>80</v>
      </c>
      <c r="G28" s="241" cm="1">
        <f t="array" ref="G28">_xlfn.XLOOKUP(G$4,Pipe_data_input[#Headers],'Pipe data inputs'!C27:O27,0,0,)</f>
        <v>218.58690694143479</v>
      </c>
      <c r="H28" s="241" cm="1">
        <f t="array" ref="H28">_xlfn.XLOOKUP(H$4,Pipe_data_input[#Headers],'Pipe data inputs'!C27:O27,0,0,)</f>
        <v>562.93208777304994</v>
      </c>
      <c r="I28" s="206" cm="1">
        <f t="array" ref="I28">_xlfn.XLOOKUP(I$4,Pipe_data_input[#Headers],'Pipe data inputs'!C27:O27,0,0,)</f>
        <v>0</v>
      </c>
      <c r="J28" s="206" cm="1">
        <f t="array" ref="J28">_xlfn.XLOOKUP(J$4,Pipe_data_input[#Headers],'Pipe data inputs'!C27:O27,0,0,)</f>
        <v>0</v>
      </c>
      <c r="K28" s="206" cm="1">
        <f t="array" ref="K28">_xlfn.XLOOKUP(K$4,Pipe_data_input[#Headers],'Pipe data inputs'!C27:O27,0,0,)</f>
        <v>0</v>
      </c>
      <c r="L28" s="206" cm="1">
        <f t="array" ref="L28">_xlfn.XLOOKUP(L$4,Pipe_data_input[#Headers],'Pipe data inputs'!C27:O27,0,0,)</f>
        <v>0</v>
      </c>
      <c r="M28" s="295" cm="1">
        <f t="array" ref="M28">_xlfn.XLOOKUP(M$4,Pipe_data_input[#Headers],'Pipe data inputs'!C27:O27,0,0,)</f>
        <v>0.65</v>
      </c>
      <c r="N28" s="211"/>
      <c r="O28" s="206" t="str">
        <f>IF(Pipe_data[[#This Row],[ID]]&gt;0, IF(Pipe_data[[#This Row],[Assumed diversity from model]]=1, "Feed", "Main"), "-" )</f>
        <v>Main</v>
      </c>
      <c r="P28" s="240">
        <v>0</v>
      </c>
      <c r="Q28" s="274">
        <f>IF(Pipe_data[[#This Row],[Phase overwrite]]&gt;0,Pipe_data[[#This Row],[Phase overwrite]],
IF(Pipe_data[[#This Row],[Tag]]="Feed",
_xlfn.XLOOKUP(Pipe_data[[#This Row],[Connected buildings ID]],'Heat connections'!$D$5:$D$242,'Heat connections'!$M$5:$M$242,1,0,1),1))</f>
        <v>1</v>
      </c>
      <c r="R28" s="499">
        <f>IF(Pipe_data[[#This Row],[Surface]]="Hard (Default)",
_xlfn.XLOOKUP(Pipe_data[[#This Row],[Nominal Diameter]],'Technical inputs'!$B$79:$B$100,'Technical inputs'!$C$79:$C$100,0,0,1),
_xlfn.XLOOKUP(Pipe_data[[#This Row],[Nominal Diameter]],'Technical inputs'!$B$79:$B$100,'Technical inputs'!$D$79:$D$100,0,0,1)) * Pipe_data[[#This Row],[Length]]</f>
        <v>2523.5883247222969</v>
      </c>
    </row>
    <row r="29" spans="3:18" x14ac:dyDescent="0.25">
      <c r="C29" s="206" t="str" cm="1">
        <f t="array" ref="C29">_xlfn.XLOOKUP(C$4,Pipe_data_input[#Headers],'Pipe data inputs'!C28:O28,0,0,)</f>
        <v>bydVFtiJ0ctgBRn5</v>
      </c>
      <c r="D29" s="293" cm="1">
        <f t="array" ref="D29">_xlfn.XLOOKUP(D$4,Pipe_data_input[#Headers],'Pipe data inputs'!C28:O28,0,0,)</f>
        <v>9.2936379999999996</v>
      </c>
      <c r="E29" s="206" t="str" cm="1">
        <f t="array" ref="E29">_xlfn.XLOOKUP(E$4,Pipe_data_input[#Headers],'Pipe data inputs'!C28:O28,0,0,)</f>
        <v>Hard (default)</v>
      </c>
      <c r="F29" s="206" cm="1">
        <f t="array" ref="F29">_xlfn.XLOOKUP(F$4,Pipe_data_input[#Headers],'Pipe data inputs'!C28:O28,0,0,)</f>
        <v>200</v>
      </c>
      <c r="G29" s="241" cm="1">
        <f t="array" ref="G29">_xlfn.XLOOKUP(G$4,Pipe_data_input[#Headers],'Pipe data inputs'!C28:O28,0,0,)</f>
        <v>3039.0929391693971</v>
      </c>
      <c r="H29" s="241" cm="1">
        <f t="array" ref="H29">_xlfn.XLOOKUP(H$4,Pipe_data_input[#Headers],'Pipe data inputs'!C28:O28,0,0,)</f>
        <v>5649.9864774420503</v>
      </c>
      <c r="I29" s="206" cm="1">
        <f t="array" ref="I29">_xlfn.XLOOKUP(I$4,Pipe_data_input[#Headers],'Pipe data inputs'!C28:O28,0,0,)</f>
        <v>0</v>
      </c>
      <c r="J29" s="206" cm="1">
        <f t="array" ref="J29">_xlfn.XLOOKUP(J$4,Pipe_data_input[#Headers],'Pipe data inputs'!C28:O28,0,0,)</f>
        <v>0</v>
      </c>
      <c r="K29" s="206" cm="1">
        <f t="array" ref="K29">_xlfn.XLOOKUP(K$4,Pipe_data_input[#Headers],'Pipe data inputs'!C28:O28,0,0,)</f>
        <v>0</v>
      </c>
      <c r="L29" s="206" cm="1">
        <f t="array" ref="L29">_xlfn.XLOOKUP(L$4,Pipe_data_input[#Headers],'Pipe data inputs'!C28:O28,0,0,)</f>
        <v>0</v>
      </c>
      <c r="M29" s="295" cm="1">
        <f t="array" ref="M29">_xlfn.XLOOKUP(M$4,Pipe_data_input[#Headers],'Pipe data inputs'!C28:O28,0,0,)</f>
        <v>1</v>
      </c>
      <c r="N29" s="211"/>
      <c r="O29" s="206" t="str">
        <f>IF(Pipe_data[[#This Row],[ID]]&gt;0, IF(Pipe_data[[#This Row],[Assumed diversity from model]]=1, "Feed", "Main"), "-" )</f>
        <v>Feed</v>
      </c>
      <c r="P29" s="240">
        <v>0</v>
      </c>
      <c r="Q29" s="274">
        <f>IF(Pipe_data[[#This Row],[Phase overwrite]]&gt;0,Pipe_data[[#This Row],[Phase overwrite]],
IF(Pipe_data[[#This Row],[Tag]]="Feed",
_xlfn.XLOOKUP(Pipe_data[[#This Row],[Connected buildings ID]],'Heat connections'!$D$5:$D$242,'Heat connections'!$M$5:$M$242,1,0,1),1))</f>
        <v>1</v>
      </c>
      <c r="R29" s="499">
        <f>IF(Pipe_data[[#This Row],[Surface]]="Hard (Default)",
_xlfn.XLOOKUP(Pipe_data[[#This Row],[Nominal Diameter]],'Technical inputs'!$B$79:$B$100,'Technical inputs'!$C$79:$C$100,0,0,1),
_xlfn.XLOOKUP(Pipe_data[[#This Row],[Nominal Diameter]],'Technical inputs'!$B$79:$B$100,'Technical inputs'!$D$79:$D$100,0,0,1)) * Pipe_data[[#This Row],[Length]]</f>
        <v>35708.661302688764</v>
      </c>
    </row>
    <row r="30" spans="3:18" x14ac:dyDescent="0.25">
      <c r="C30" s="206" t="str" cm="1">
        <f t="array" ref="C30">_xlfn.XLOOKUP(C$4,Pipe_data_input[#Headers],'Pipe data inputs'!C29:O29,0,0,)</f>
        <v>7Xp9sQU83y5XGkuN</v>
      </c>
      <c r="D30" s="293" cm="1">
        <f t="array" ref="D30">_xlfn.XLOOKUP(D$4,Pipe_data_input[#Headers],'Pipe data inputs'!C29:O29,0,0,)</f>
        <v>0.72683734</v>
      </c>
      <c r="E30" s="206" t="str" cm="1">
        <f t="array" ref="E30">_xlfn.XLOOKUP(E$4,Pipe_data_input[#Headers],'Pipe data inputs'!C29:O29,0,0,)</f>
        <v>Hard (default)</v>
      </c>
      <c r="F30" s="206" cm="1">
        <f t="array" ref="F30">_xlfn.XLOOKUP(F$4,Pipe_data_input[#Headers],'Pipe data inputs'!C29:O29,0,0,)</f>
        <v>400</v>
      </c>
      <c r="G30" s="241" cm="1">
        <f t="array" ref="G30">_xlfn.XLOOKUP(G$4,Pipe_data_input[#Headers],'Pipe data inputs'!C29:O29,0,0,)</f>
        <v>283.73317512950882</v>
      </c>
      <c r="H30" s="241" cm="1">
        <f t="array" ref="H30">_xlfn.XLOOKUP(H$4,Pipe_data_input[#Headers],'Pipe data inputs'!C29:O29,0,0,)</f>
        <v>26893.983908885599</v>
      </c>
      <c r="I30" s="206" cm="1">
        <f t="array" ref="I30">_xlfn.XLOOKUP(I$4,Pipe_data_input[#Headers],'Pipe data inputs'!C29:O29,0,0,)</f>
        <v>0</v>
      </c>
      <c r="J30" s="206" cm="1">
        <f t="array" ref="J30">_xlfn.XLOOKUP(J$4,Pipe_data_input[#Headers],'Pipe data inputs'!C29:O29,0,0,)</f>
        <v>0</v>
      </c>
      <c r="K30" s="206" cm="1">
        <f t="array" ref="K30">_xlfn.XLOOKUP(K$4,Pipe_data_input[#Headers],'Pipe data inputs'!C29:O29,0,0,)</f>
        <v>0</v>
      </c>
      <c r="L30" s="206" cm="1">
        <f t="array" ref="L30">_xlfn.XLOOKUP(L$4,Pipe_data_input[#Headers],'Pipe data inputs'!C29:O29,0,0,)</f>
        <v>0</v>
      </c>
      <c r="M30" s="295" cm="1">
        <f t="array" ref="M30">_xlfn.XLOOKUP(M$4,Pipe_data_input[#Headers],'Pipe data inputs'!C29:O29,0,0,)</f>
        <v>0.62</v>
      </c>
      <c r="N30" s="211"/>
      <c r="O30" s="206" t="str">
        <f>IF(Pipe_data[[#This Row],[ID]]&gt;0, IF(Pipe_data[[#This Row],[Assumed diversity from model]]=1, "Feed", "Main"), "-" )</f>
        <v>Main</v>
      </c>
      <c r="P30" s="240">
        <v>0</v>
      </c>
      <c r="Q30" s="274">
        <f>IF(Pipe_data[[#This Row],[Phase overwrite]]&gt;0,Pipe_data[[#This Row],[Phase overwrite]],
IF(Pipe_data[[#This Row],[Tag]]="Feed",
_xlfn.XLOOKUP(Pipe_data[[#This Row],[Connected buildings ID]],'Heat connections'!$D$5:$D$242,'Heat connections'!$M$5:$M$242,1,0,1),1))</f>
        <v>1</v>
      </c>
      <c r="R30" s="499">
        <f>IF(Pipe_data[[#This Row],[Surface]]="Hard (Default)",
_xlfn.XLOOKUP(Pipe_data[[#This Row],[Nominal Diameter]],'Technical inputs'!$B$79:$B$100,'Technical inputs'!$C$79:$C$100,0,0,1),
_xlfn.XLOOKUP(Pipe_data[[#This Row],[Nominal Diameter]],'Technical inputs'!$B$79:$B$100,'Technical inputs'!$D$79:$D$100,0,0,1)) * Pipe_data[[#This Row],[Length]]</f>
        <v>3519.0247697358454</v>
      </c>
    </row>
    <row r="31" spans="3:18" x14ac:dyDescent="0.25">
      <c r="C31" s="206" t="str" cm="1">
        <f t="array" ref="C31">_xlfn.XLOOKUP(C$4,Pipe_data_input[#Headers],'Pipe data inputs'!C30:O30,0,0,)</f>
        <v>70HUp6zAPTfKyapR</v>
      </c>
      <c r="D31" s="293" cm="1">
        <f t="array" ref="D31">_xlfn.XLOOKUP(D$4,Pipe_data_input[#Headers],'Pipe data inputs'!C30:O30,0,0,)</f>
        <v>17.42314</v>
      </c>
      <c r="E31" s="206" t="str" cm="1">
        <f t="array" ref="E31">_xlfn.XLOOKUP(E$4,Pipe_data_input[#Headers],'Pipe data inputs'!C30:O30,0,0,)</f>
        <v>Hard (default)</v>
      </c>
      <c r="F31" s="206" cm="1">
        <f t="array" ref="F31">_xlfn.XLOOKUP(F$4,Pipe_data_input[#Headers],'Pipe data inputs'!C30:O30,0,0,)</f>
        <v>100</v>
      </c>
      <c r="G31" s="241" cm="1">
        <f t="array" ref="G31">_xlfn.XLOOKUP(G$4,Pipe_data_input[#Headers],'Pipe data inputs'!C30:O30,0,0,)</f>
        <v>4792.1572507887868</v>
      </c>
      <c r="H31" s="241" cm="1">
        <f t="array" ref="H31">_xlfn.XLOOKUP(H$4,Pipe_data_input[#Headers],'Pipe data inputs'!C30:O30,0,0,)</f>
        <v>1483.19997479839</v>
      </c>
      <c r="I31" s="206" cm="1">
        <f t="array" ref="I31">_xlfn.XLOOKUP(I$4,Pipe_data_input[#Headers],'Pipe data inputs'!C30:O30,0,0,)</f>
        <v>0</v>
      </c>
      <c r="J31" s="206" cm="1">
        <f t="array" ref="J31">_xlfn.XLOOKUP(J$4,Pipe_data_input[#Headers],'Pipe data inputs'!C30:O30,0,0,)</f>
        <v>0</v>
      </c>
      <c r="K31" s="206" cm="1">
        <f t="array" ref="K31">_xlfn.XLOOKUP(K$4,Pipe_data_input[#Headers],'Pipe data inputs'!C30:O30,0,0,)</f>
        <v>0</v>
      </c>
      <c r="L31" s="206" cm="1">
        <f t="array" ref="L31">_xlfn.XLOOKUP(L$4,Pipe_data_input[#Headers],'Pipe data inputs'!C30:O30,0,0,)</f>
        <v>0</v>
      </c>
      <c r="M31" s="295" cm="1">
        <f t="array" ref="M31">_xlfn.XLOOKUP(M$4,Pipe_data_input[#Headers],'Pipe data inputs'!C30:O30,0,0,)</f>
        <v>1</v>
      </c>
      <c r="N31" s="211"/>
      <c r="O31" s="206" t="str">
        <f>IF(Pipe_data[[#This Row],[ID]]&gt;0, IF(Pipe_data[[#This Row],[Assumed diversity from model]]=1, "Feed", "Main"), "-" )</f>
        <v>Feed</v>
      </c>
      <c r="P31" s="240">
        <v>0</v>
      </c>
      <c r="Q31" s="274">
        <f>IF(Pipe_data[[#This Row],[Phase overwrite]]&gt;0,Pipe_data[[#This Row],[Phase overwrite]],
IF(Pipe_data[[#This Row],[Tag]]="Feed",
_xlfn.XLOOKUP(Pipe_data[[#This Row],[Connected buildings ID]],'Heat connections'!$D$5:$D$242,'Heat connections'!$M$5:$M$242,1,0,1),1))</f>
        <v>1</v>
      </c>
      <c r="R31" s="499">
        <f>IF(Pipe_data[[#This Row],[Surface]]="Hard (Default)",
_xlfn.XLOOKUP(Pipe_data[[#This Row],[Nominal Diameter]],'Technical inputs'!$B$79:$B$100,'Technical inputs'!$C$79:$C$100,0,0,1),
_xlfn.XLOOKUP(Pipe_data[[#This Row],[Nominal Diameter]],'Technical inputs'!$B$79:$B$100,'Technical inputs'!$D$79:$D$100,0,0,1)) * Pipe_data[[#This Row],[Length]]</f>
        <v>51114.052735773148</v>
      </c>
    </row>
    <row r="32" spans="3:18" x14ac:dyDescent="0.25">
      <c r="C32" s="206" t="str" cm="1">
        <f t="array" ref="C32">_xlfn.XLOOKUP(C$4,Pipe_data_input[#Headers],'Pipe data inputs'!C31:O31,0,0,)</f>
        <v>ff27xNNk/KFn3qt+</v>
      </c>
      <c r="D32" s="293" cm="1">
        <f t="array" ref="D32">_xlfn.XLOOKUP(D$4,Pipe_data_input[#Headers],'Pipe data inputs'!C31:O31,0,0,)</f>
        <v>5.1115994000000002</v>
      </c>
      <c r="E32" s="206" t="str" cm="1">
        <f t="array" ref="E32">_xlfn.XLOOKUP(E$4,Pipe_data_input[#Headers],'Pipe data inputs'!C31:O31,0,0,)</f>
        <v>Hard (default)</v>
      </c>
      <c r="F32" s="206" cm="1">
        <f t="array" ref="F32">_xlfn.XLOOKUP(F$4,Pipe_data_input[#Headers],'Pipe data inputs'!C31:O31,0,0,)</f>
        <v>20</v>
      </c>
      <c r="G32" s="241" cm="1">
        <f t="array" ref="G32">_xlfn.XLOOKUP(G$4,Pipe_data_input[#Headers],'Pipe data inputs'!C31:O31,0,0,)</f>
        <v>598.4684491246602</v>
      </c>
      <c r="H32" s="241" cm="1">
        <f t="array" ref="H32">_xlfn.XLOOKUP(H$4,Pipe_data_input[#Headers],'Pipe data inputs'!C31:O31,0,0,)</f>
        <v>1.6231137227732699</v>
      </c>
      <c r="I32" s="206" cm="1">
        <f t="array" ref="I32">_xlfn.XLOOKUP(I$4,Pipe_data_input[#Headers],'Pipe data inputs'!C31:O31,0,0,)</f>
        <v>0</v>
      </c>
      <c r="J32" s="206" cm="1">
        <f t="array" ref="J32">_xlfn.XLOOKUP(J$4,Pipe_data_input[#Headers],'Pipe data inputs'!C31:O31,0,0,)</f>
        <v>0</v>
      </c>
      <c r="K32" s="206" cm="1">
        <f t="array" ref="K32">_xlfn.XLOOKUP(K$4,Pipe_data_input[#Headers],'Pipe data inputs'!C31:O31,0,0,)</f>
        <v>0</v>
      </c>
      <c r="L32" s="206" cm="1">
        <f t="array" ref="L32">_xlfn.XLOOKUP(L$4,Pipe_data_input[#Headers],'Pipe data inputs'!C31:O31,0,0,)</f>
        <v>0</v>
      </c>
      <c r="M32" s="295" cm="1">
        <f t="array" ref="M32">_xlfn.XLOOKUP(M$4,Pipe_data_input[#Headers],'Pipe data inputs'!C31:O31,0,0,)</f>
        <v>1</v>
      </c>
      <c r="N32" s="211"/>
      <c r="O32" s="206" t="str">
        <f>IF(Pipe_data[[#This Row],[ID]]&gt;0, IF(Pipe_data[[#This Row],[Assumed diversity from model]]=1, "Feed", "Main"), "-" )</f>
        <v>Feed</v>
      </c>
      <c r="P32" s="240">
        <v>0</v>
      </c>
      <c r="Q32" s="274">
        <f>IF(Pipe_data[[#This Row],[Phase overwrite]]&gt;0,Pipe_data[[#This Row],[Phase overwrite]],
IF(Pipe_data[[#This Row],[Tag]]="Feed",
_xlfn.XLOOKUP(Pipe_data[[#This Row],[Connected buildings ID]],'Heat connections'!$D$5:$D$242,'Heat connections'!$M$5:$M$242,1,0,1),1))</f>
        <v>1</v>
      </c>
      <c r="R32" s="499">
        <f>IF(Pipe_data[[#This Row],[Surface]]="Hard (Default)",
_xlfn.XLOOKUP(Pipe_data[[#This Row],[Nominal Diameter]],'Technical inputs'!$B$79:$B$100,'Technical inputs'!$C$79:$C$100,0,0,1),
_xlfn.XLOOKUP(Pipe_data[[#This Row],[Nominal Diameter]],'Technical inputs'!$B$79:$B$100,'Technical inputs'!$D$79:$D$100,0,0,1)) * Pipe_data[[#This Row],[Length]]</f>
        <v>10947.783635111158</v>
      </c>
    </row>
    <row r="33" spans="3:18" x14ac:dyDescent="0.25">
      <c r="C33" s="206" t="str" cm="1">
        <f t="array" ref="C33">_xlfn.XLOOKUP(C$4,Pipe_data_input[#Headers],'Pipe data inputs'!C32:O32,0,0,)</f>
        <v>lQn7hP3JWTDqculj</v>
      </c>
      <c r="D33" s="293" cm="1">
        <f t="array" ref="D33">_xlfn.XLOOKUP(D$4,Pipe_data_input[#Headers],'Pipe data inputs'!C32:O32,0,0,)</f>
        <v>14.206524</v>
      </c>
      <c r="E33" s="206" t="str" cm="1">
        <f t="array" ref="E33">_xlfn.XLOOKUP(E$4,Pipe_data_input[#Headers],'Pipe data inputs'!C32:O32,0,0,)</f>
        <v>Hard (default)</v>
      </c>
      <c r="F33" s="206" cm="1">
        <f t="array" ref="F33">_xlfn.XLOOKUP(F$4,Pipe_data_input[#Headers],'Pipe data inputs'!C32:O32,0,0,)</f>
        <v>200</v>
      </c>
      <c r="G33" s="241" cm="1">
        <f t="array" ref="G33">_xlfn.XLOOKUP(G$4,Pipe_data_input[#Headers],'Pipe data inputs'!C32:O32,0,0,)</f>
        <v>4597.4425991269409</v>
      </c>
      <c r="H33" s="241" cm="1">
        <f t="array" ref="H33">_xlfn.XLOOKUP(H$4,Pipe_data_input[#Headers],'Pipe data inputs'!C32:O32,0,0,)</f>
        <v>5175.2299023437699</v>
      </c>
      <c r="I33" s="206" cm="1">
        <f t="array" ref="I33">_xlfn.XLOOKUP(I$4,Pipe_data_input[#Headers],'Pipe data inputs'!C32:O32,0,0,)</f>
        <v>0</v>
      </c>
      <c r="J33" s="206" cm="1">
        <f t="array" ref="J33">_xlfn.XLOOKUP(J$4,Pipe_data_input[#Headers],'Pipe data inputs'!C32:O32,0,0,)</f>
        <v>0</v>
      </c>
      <c r="K33" s="206" cm="1">
        <f t="array" ref="K33">_xlfn.XLOOKUP(K$4,Pipe_data_input[#Headers],'Pipe data inputs'!C32:O32,0,0,)</f>
        <v>0</v>
      </c>
      <c r="L33" s="206" cm="1">
        <f t="array" ref="L33">_xlfn.XLOOKUP(L$4,Pipe_data_input[#Headers],'Pipe data inputs'!C32:O32,0,0,)</f>
        <v>0</v>
      </c>
      <c r="M33" s="295" cm="1">
        <f t="array" ref="M33">_xlfn.XLOOKUP(M$4,Pipe_data_input[#Headers],'Pipe data inputs'!C32:O32,0,0,)</f>
        <v>0.64</v>
      </c>
      <c r="N33" s="211"/>
      <c r="O33" s="206" t="str">
        <f>IF(Pipe_data[[#This Row],[ID]]&gt;0, IF(Pipe_data[[#This Row],[Assumed diversity from model]]=1, "Feed", "Main"), "-" )</f>
        <v>Main</v>
      </c>
      <c r="P33" s="240">
        <v>0</v>
      </c>
      <c r="Q33" s="274">
        <f>IF(Pipe_data[[#This Row],[Phase overwrite]]&gt;0,Pipe_data[[#This Row],[Phase overwrite]],
IF(Pipe_data[[#This Row],[Tag]]="Feed",
_xlfn.XLOOKUP(Pipe_data[[#This Row],[Connected buildings ID]],'Heat connections'!$D$5:$D$242,'Heat connections'!$M$5:$M$242,1,0,1),1))</f>
        <v>1</v>
      </c>
      <c r="R33" s="499">
        <f>IF(Pipe_data[[#This Row],[Surface]]="Hard (Default)",
_xlfn.XLOOKUP(Pipe_data[[#This Row],[Nominal Diameter]],'Technical inputs'!$B$79:$B$100,'Technical inputs'!$C$79:$C$100,0,0,1),
_xlfn.XLOOKUP(Pipe_data[[#This Row],[Nominal Diameter]],'Technical inputs'!$B$79:$B$100,'Technical inputs'!$D$79:$D$100,0,0,1)) * Pipe_data[[#This Row],[Length]]</f>
        <v>54585.293057952025</v>
      </c>
    </row>
    <row r="34" spans="3:18" x14ac:dyDescent="0.25">
      <c r="C34" s="206" t="str" cm="1">
        <f t="array" ref="C34">_xlfn.XLOOKUP(C$4,Pipe_data_input[#Headers],'Pipe data inputs'!C33:O33,0,0,)</f>
        <v>bcncOmdfPrj9fjBX</v>
      </c>
      <c r="D34" s="293" cm="1">
        <f t="array" ref="D34">_xlfn.XLOOKUP(D$4,Pipe_data_input[#Headers],'Pipe data inputs'!C33:O33,0,0,)</f>
        <v>24.747747</v>
      </c>
      <c r="E34" s="206" t="str" cm="1">
        <f t="array" ref="E34">_xlfn.XLOOKUP(E$4,Pipe_data_input[#Headers],'Pipe data inputs'!C33:O33,0,0,)</f>
        <v>Hard (default)</v>
      </c>
      <c r="F34" s="206" cm="1">
        <f t="array" ref="F34">_xlfn.XLOOKUP(F$4,Pipe_data_input[#Headers],'Pipe data inputs'!C33:O33,0,0,)</f>
        <v>80</v>
      </c>
      <c r="G34" s="241" cm="1">
        <f t="array" ref="G34">_xlfn.XLOOKUP(G$4,Pipe_data_input[#Headers],'Pipe data inputs'!C33:O33,0,0,)</f>
        <v>5616.9512246133772</v>
      </c>
      <c r="H34" s="241" cm="1">
        <f t="array" ref="H34">_xlfn.XLOOKUP(H$4,Pipe_data_input[#Headers],'Pipe data inputs'!C33:O33,0,0,)</f>
        <v>720.47985063224201</v>
      </c>
      <c r="I34" s="206" cm="1">
        <f t="array" ref="I34">_xlfn.XLOOKUP(I$4,Pipe_data_input[#Headers],'Pipe data inputs'!C33:O33,0,0,)</f>
        <v>0</v>
      </c>
      <c r="J34" s="206" cm="1">
        <f t="array" ref="J34">_xlfn.XLOOKUP(J$4,Pipe_data_input[#Headers],'Pipe data inputs'!C33:O33,0,0,)</f>
        <v>0</v>
      </c>
      <c r="K34" s="206" cm="1">
        <f t="array" ref="K34">_xlfn.XLOOKUP(K$4,Pipe_data_input[#Headers],'Pipe data inputs'!C33:O33,0,0,)</f>
        <v>0</v>
      </c>
      <c r="L34" s="206" cm="1">
        <f t="array" ref="L34">_xlfn.XLOOKUP(L$4,Pipe_data_input[#Headers],'Pipe data inputs'!C33:O33,0,0,)</f>
        <v>0</v>
      </c>
      <c r="M34" s="295" cm="1">
        <f t="array" ref="M34">_xlfn.XLOOKUP(M$4,Pipe_data_input[#Headers],'Pipe data inputs'!C33:O33,0,0,)</f>
        <v>1</v>
      </c>
      <c r="N34" s="211"/>
      <c r="O34" s="206" t="str">
        <f>IF(Pipe_data[[#This Row],[ID]]&gt;0, IF(Pipe_data[[#This Row],[Assumed diversity from model]]=1, "Feed", "Main"), "-" )</f>
        <v>Feed</v>
      </c>
      <c r="P34" s="240">
        <v>0</v>
      </c>
      <c r="Q34" s="274">
        <f>IF(Pipe_data[[#This Row],[Phase overwrite]]&gt;0,Pipe_data[[#This Row],[Phase overwrite]],
IF(Pipe_data[[#This Row],[Tag]]="Feed",
_xlfn.XLOOKUP(Pipe_data[[#This Row],[Connected buildings ID]],'Heat connections'!$D$5:$D$242,'Heat connections'!$M$5:$M$242,1,0,1),1))</f>
        <v>1</v>
      </c>
      <c r="R34" s="499">
        <f>IF(Pipe_data[[#This Row],[Surface]]="Hard (Default)",
_xlfn.XLOOKUP(Pipe_data[[#This Row],[Nominal Diameter]],'Technical inputs'!$B$79:$B$100,'Technical inputs'!$C$79:$C$100,0,0,1),
_xlfn.XLOOKUP(Pipe_data[[#This Row],[Nominal Diameter]],'Technical inputs'!$B$79:$B$100,'Technical inputs'!$D$79:$D$100,0,0,1)) * Pipe_data[[#This Row],[Length]]</f>
        <v>67652.729488950485</v>
      </c>
    </row>
    <row r="35" spans="3:18" x14ac:dyDescent="0.25">
      <c r="C35" s="206" t="str" cm="1">
        <f t="array" ref="C35">_xlfn.XLOOKUP(C$4,Pipe_data_input[#Headers],'Pipe data inputs'!C34:O34,0,0,)</f>
        <v>cbJrtHrg6wwtO8uj</v>
      </c>
      <c r="D35" s="293" cm="1">
        <f t="array" ref="D35">_xlfn.XLOOKUP(D$4,Pipe_data_input[#Headers],'Pipe data inputs'!C34:O34,0,0,)</f>
        <v>151.42883</v>
      </c>
      <c r="E35" s="206" t="str" cm="1">
        <f t="array" ref="E35">_xlfn.XLOOKUP(E$4,Pipe_data_input[#Headers],'Pipe data inputs'!C34:O34,0,0,)</f>
        <v>Hard (default)</v>
      </c>
      <c r="F35" s="206" cm="1">
        <f t="array" ref="F35">_xlfn.XLOOKUP(F$4,Pipe_data_input[#Headers],'Pipe data inputs'!C34:O34,0,0,)</f>
        <v>20</v>
      </c>
      <c r="G35" s="241" cm="1">
        <f t="array" ref="G35">_xlfn.XLOOKUP(G$4,Pipe_data_input[#Headers],'Pipe data inputs'!C34:O34,0,0,)</f>
        <v>17729.358259738001</v>
      </c>
      <c r="H35" s="241" cm="1">
        <f t="array" ref="H35">_xlfn.XLOOKUP(H$4,Pipe_data_input[#Headers],'Pipe data inputs'!C34:O34,0,0,)</f>
        <v>3.1871053006503001</v>
      </c>
      <c r="I35" s="206" cm="1">
        <f t="array" ref="I35">_xlfn.XLOOKUP(I$4,Pipe_data_input[#Headers],'Pipe data inputs'!C34:O34,0,0,)</f>
        <v>0</v>
      </c>
      <c r="J35" s="206" cm="1">
        <f t="array" ref="J35">_xlfn.XLOOKUP(J$4,Pipe_data_input[#Headers],'Pipe data inputs'!C34:O34,0,0,)</f>
        <v>0</v>
      </c>
      <c r="K35" s="206" cm="1">
        <f t="array" ref="K35">_xlfn.XLOOKUP(K$4,Pipe_data_input[#Headers],'Pipe data inputs'!C34:O34,0,0,)</f>
        <v>0</v>
      </c>
      <c r="L35" s="206" cm="1">
        <f t="array" ref="L35">_xlfn.XLOOKUP(L$4,Pipe_data_input[#Headers],'Pipe data inputs'!C34:O34,0,0,)</f>
        <v>0</v>
      </c>
      <c r="M35" s="295" cm="1">
        <f t="array" ref="M35">_xlfn.XLOOKUP(M$4,Pipe_data_input[#Headers],'Pipe data inputs'!C34:O34,0,0,)</f>
        <v>1</v>
      </c>
      <c r="N35" s="211"/>
      <c r="O35" s="206" t="str">
        <f>IF(Pipe_data[[#This Row],[ID]]&gt;0, IF(Pipe_data[[#This Row],[Assumed diversity from model]]=1, "Feed", "Main"), "-" )</f>
        <v>Feed</v>
      </c>
      <c r="P35" s="240">
        <v>0</v>
      </c>
      <c r="Q35" s="274">
        <f>IF(Pipe_data[[#This Row],[Phase overwrite]]&gt;0,Pipe_data[[#This Row],[Phase overwrite]],
IF(Pipe_data[[#This Row],[Tag]]="Feed",
_xlfn.XLOOKUP(Pipe_data[[#This Row],[Connected buildings ID]],'Heat connections'!$D$5:$D$242,'Heat connections'!$M$5:$M$242,1,0,1),1))</f>
        <v>1</v>
      </c>
      <c r="R35" s="499">
        <f>IF(Pipe_data[[#This Row],[Surface]]="Hard (Default)",
_xlfn.XLOOKUP(Pipe_data[[#This Row],[Nominal Diameter]],'Technical inputs'!$B$79:$B$100,'Technical inputs'!$C$79:$C$100,0,0,1),
_xlfn.XLOOKUP(Pipe_data[[#This Row],[Nominal Diameter]],'Technical inputs'!$B$79:$B$100,'Technical inputs'!$D$79:$D$100,0,0,1)) * Pipe_data[[#This Row],[Length]]</f>
        <v>324323.15939273912</v>
      </c>
    </row>
    <row r="36" spans="3:18" x14ac:dyDescent="0.25">
      <c r="C36" s="206" t="str" cm="1">
        <f t="array" ref="C36">_xlfn.XLOOKUP(C$4,Pipe_data_input[#Headers],'Pipe data inputs'!C35:O35,0,0,)</f>
        <v>BotnE0tRJOtf+31y</v>
      </c>
      <c r="D36" s="293" cm="1">
        <f t="array" ref="D36">_xlfn.XLOOKUP(D$4,Pipe_data_input[#Headers],'Pipe data inputs'!C35:O35,0,0,)</f>
        <v>5.5143589999999998</v>
      </c>
      <c r="E36" s="206" t="str" cm="1">
        <f t="array" ref="E36">_xlfn.XLOOKUP(E$4,Pipe_data_input[#Headers],'Pipe data inputs'!C35:O35,0,0,)</f>
        <v>Hard (default)</v>
      </c>
      <c r="F36" s="206" cm="1">
        <f t="array" ref="F36">_xlfn.XLOOKUP(F$4,Pipe_data_input[#Headers],'Pipe data inputs'!C35:O35,0,0,)</f>
        <v>65</v>
      </c>
      <c r="G36" s="241" cm="1">
        <f t="array" ref="G36">_xlfn.XLOOKUP(G$4,Pipe_data_input[#Headers],'Pipe data inputs'!C35:O35,0,0,)</f>
        <v>1181.1464278434789</v>
      </c>
      <c r="H36" s="241" cm="1">
        <f t="array" ref="H36">_xlfn.XLOOKUP(H$4,Pipe_data_input[#Headers],'Pipe data inputs'!C35:O35,0,0,)</f>
        <v>366.340331913667</v>
      </c>
      <c r="I36" s="206" cm="1">
        <f t="array" ref="I36">_xlfn.XLOOKUP(I$4,Pipe_data_input[#Headers],'Pipe data inputs'!C35:O35,0,0,)</f>
        <v>0</v>
      </c>
      <c r="J36" s="206" cm="1">
        <f t="array" ref="J36">_xlfn.XLOOKUP(J$4,Pipe_data_input[#Headers],'Pipe data inputs'!C35:O35,0,0,)</f>
        <v>0</v>
      </c>
      <c r="K36" s="206" cm="1">
        <f t="array" ref="K36">_xlfn.XLOOKUP(K$4,Pipe_data_input[#Headers],'Pipe data inputs'!C35:O35,0,0,)</f>
        <v>0</v>
      </c>
      <c r="L36" s="206" cm="1">
        <f t="array" ref="L36">_xlfn.XLOOKUP(L$4,Pipe_data_input[#Headers],'Pipe data inputs'!C35:O35,0,0,)</f>
        <v>0</v>
      </c>
      <c r="M36" s="295" cm="1">
        <f t="array" ref="M36">_xlfn.XLOOKUP(M$4,Pipe_data_input[#Headers],'Pipe data inputs'!C35:O35,0,0,)</f>
        <v>0.74826912236183685</v>
      </c>
      <c r="N36" s="211"/>
      <c r="O36" s="206" t="str">
        <f>IF(Pipe_data[[#This Row],[ID]]&gt;0, IF(Pipe_data[[#This Row],[Assumed diversity from model]]=1, "Feed", "Main"), "-" )</f>
        <v>Main</v>
      </c>
      <c r="P36" s="240">
        <v>0</v>
      </c>
      <c r="Q36" s="274">
        <f>IF(Pipe_data[[#This Row],[Phase overwrite]]&gt;0,Pipe_data[[#This Row],[Phase overwrite]],
IF(Pipe_data[[#This Row],[Tag]]="Feed",
_xlfn.XLOOKUP(Pipe_data[[#This Row],[Connected buildings ID]],'Heat connections'!$D$5:$D$242,'Heat connections'!$M$5:$M$242,1,0,1),1))</f>
        <v>1</v>
      </c>
      <c r="R36" s="499">
        <f>IF(Pipe_data[[#This Row],[Surface]]="Hard (Default)",
_xlfn.XLOOKUP(Pipe_data[[#This Row],[Nominal Diameter]],'Technical inputs'!$B$79:$B$100,'Technical inputs'!$C$79:$C$100,0,0,1),
_xlfn.XLOOKUP(Pipe_data[[#This Row],[Nominal Diameter]],'Technical inputs'!$B$79:$B$100,'Technical inputs'!$D$79:$D$100,0,0,1)) * Pipe_data[[#This Row],[Length]]</f>
        <v>14469.149380945879</v>
      </c>
    </row>
    <row r="37" spans="3:18" x14ac:dyDescent="0.25">
      <c r="C37" s="206" t="str" cm="1">
        <f t="array" ref="C37">_xlfn.XLOOKUP(C$4,Pipe_data_input[#Headers],'Pipe data inputs'!C36:O36,0,0,)</f>
        <v>Agu0JAuQtzSVD/Vb</v>
      </c>
      <c r="D37" s="293" cm="1">
        <f t="array" ref="D37">_xlfn.XLOOKUP(D$4,Pipe_data_input[#Headers],'Pipe data inputs'!C36:O36,0,0,)</f>
        <v>4.8456539999999997</v>
      </c>
      <c r="E37" s="206" t="str" cm="1">
        <f t="array" ref="E37">_xlfn.XLOOKUP(E$4,Pipe_data_input[#Headers],'Pipe data inputs'!C36:O36,0,0,)</f>
        <v>Hard (default)</v>
      </c>
      <c r="F37" s="206" cm="1">
        <f t="array" ref="F37">_xlfn.XLOOKUP(F$4,Pipe_data_input[#Headers],'Pipe data inputs'!C36:O36,0,0,)</f>
        <v>40</v>
      </c>
      <c r="G37" s="241" cm="1">
        <f t="array" ref="G37">_xlfn.XLOOKUP(G$4,Pipe_data_input[#Headers],'Pipe data inputs'!C36:O36,0,0,)</f>
        <v>820.02152788115552</v>
      </c>
      <c r="H37" s="241" cm="1">
        <f t="array" ref="H37">_xlfn.XLOOKUP(H$4,Pipe_data_input[#Headers],'Pipe data inputs'!C36:O36,0,0,)</f>
        <v>100.29582977294901</v>
      </c>
      <c r="I37" s="206" cm="1">
        <f t="array" ref="I37">_xlfn.XLOOKUP(I$4,Pipe_data_input[#Headers],'Pipe data inputs'!C36:O36,0,0,)</f>
        <v>0</v>
      </c>
      <c r="J37" s="206" cm="1">
        <f t="array" ref="J37">_xlfn.XLOOKUP(J$4,Pipe_data_input[#Headers],'Pipe data inputs'!C36:O36,0,0,)</f>
        <v>0</v>
      </c>
      <c r="K37" s="206" cm="1">
        <f t="array" ref="K37">_xlfn.XLOOKUP(K$4,Pipe_data_input[#Headers],'Pipe data inputs'!C36:O36,0,0,)</f>
        <v>0</v>
      </c>
      <c r="L37" s="206" cm="1">
        <f t="array" ref="L37">_xlfn.XLOOKUP(L$4,Pipe_data_input[#Headers],'Pipe data inputs'!C36:O36,0,0,)</f>
        <v>0</v>
      </c>
      <c r="M37" s="295" cm="1">
        <f t="array" ref="M37">_xlfn.XLOOKUP(M$4,Pipe_data_input[#Headers],'Pipe data inputs'!C36:O36,0,0,)</f>
        <v>1</v>
      </c>
      <c r="N37" s="211"/>
      <c r="O37" s="206" t="str">
        <f>IF(Pipe_data[[#This Row],[ID]]&gt;0, IF(Pipe_data[[#This Row],[Assumed diversity from model]]=1, "Feed", "Main"), "-" )</f>
        <v>Feed</v>
      </c>
      <c r="P37" s="240">
        <v>0</v>
      </c>
      <c r="Q37" s="274">
        <f>IF(Pipe_data[[#This Row],[Phase overwrite]]&gt;0,Pipe_data[[#This Row],[Phase overwrite]],
IF(Pipe_data[[#This Row],[Tag]]="Feed",
_xlfn.XLOOKUP(Pipe_data[[#This Row],[Connected buildings ID]],'Heat connections'!$D$5:$D$242,'Heat connections'!$M$5:$M$242,1,0,1),1))</f>
        <v>1</v>
      </c>
      <c r="R37" s="499">
        <f>IF(Pipe_data[[#This Row],[Surface]]="Hard (Default)",
_xlfn.XLOOKUP(Pipe_data[[#This Row],[Nominal Diameter]],'Technical inputs'!$B$79:$B$100,'Technical inputs'!$C$79:$C$100,0,0,1),
_xlfn.XLOOKUP(Pipe_data[[#This Row],[Nominal Diameter]],'Technical inputs'!$B$79:$B$100,'Technical inputs'!$D$79:$D$100,0,0,1)) * Pipe_data[[#This Row],[Length]]</f>
        <v>11716.476926932197</v>
      </c>
    </row>
    <row r="38" spans="3:18" x14ac:dyDescent="0.25">
      <c r="C38" s="206" t="str" cm="1">
        <f t="array" ref="C38">_xlfn.XLOOKUP(C$4,Pipe_data_input[#Headers],'Pipe data inputs'!C37:O37,0,0,)</f>
        <v>WZ68dWy+oSPYAwoQ</v>
      </c>
      <c r="D38" s="293" cm="1">
        <f t="array" ref="D38">_xlfn.XLOOKUP(D$4,Pipe_data_input[#Headers],'Pipe data inputs'!C37:O37,0,0,)</f>
        <v>17.893469</v>
      </c>
      <c r="E38" s="206" t="str" cm="1">
        <f t="array" ref="E38">_xlfn.XLOOKUP(E$4,Pipe_data_input[#Headers],'Pipe data inputs'!C37:O37,0,0,)</f>
        <v>Hard (default)</v>
      </c>
      <c r="F38" s="206" cm="1">
        <f t="array" ref="F38">_xlfn.XLOOKUP(F$4,Pipe_data_input[#Headers],'Pipe data inputs'!C37:O37,0,0,)</f>
        <v>65</v>
      </c>
      <c r="G38" s="241" cm="1">
        <f t="array" ref="G38">_xlfn.XLOOKUP(G$4,Pipe_data_input[#Headers],'Pipe data inputs'!C37:O37,0,0,)</f>
        <v>3832.6860821136293</v>
      </c>
      <c r="H38" s="241" cm="1">
        <f t="array" ref="H38">_xlfn.XLOOKUP(H$4,Pipe_data_input[#Headers],'Pipe data inputs'!C37:O37,0,0,)</f>
        <v>324.22964477539102</v>
      </c>
      <c r="I38" s="206" cm="1">
        <f t="array" ref="I38">_xlfn.XLOOKUP(I$4,Pipe_data_input[#Headers],'Pipe data inputs'!C37:O37,0,0,)</f>
        <v>0</v>
      </c>
      <c r="J38" s="206" cm="1">
        <f t="array" ref="J38">_xlfn.XLOOKUP(J$4,Pipe_data_input[#Headers],'Pipe data inputs'!C37:O37,0,0,)</f>
        <v>0</v>
      </c>
      <c r="K38" s="206" cm="1">
        <f t="array" ref="K38">_xlfn.XLOOKUP(K$4,Pipe_data_input[#Headers],'Pipe data inputs'!C37:O37,0,0,)</f>
        <v>0</v>
      </c>
      <c r="L38" s="206" cm="1">
        <f t="array" ref="L38">_xlfn.XLOOKUP(L$4,Pipe_data_input[#Headers],'Pipe data inputs'!C37:O37,0,0,)</f>
        <v>0</v>
      </c>
      <c r="M38" s="295" cm="1">
        <f t="array" ref="M38">_xlfn.XLOOKUP(M$4,Pipe_data_input[#Headers],'Pipe data inputs'!C37:O37,0,0,)</f>
        <v>0.75000000000000022</v>
      </c>
      <c r="N38" s="211"/>
      <c r="O38" s="206" t="str">
        <f>IF(Pipe_data[[#This Row],[ID]]&gt;0, IF(Pipe_data[[#This Row],[Assumed diversity from model]]=1, "Feed", "Main"), "-" )</f>
        <v>Main</v>
      </c>
      <c r="P38" s="240">
        <v>0</v>
      </c>
      <c r="Q38" s="274">
        <f>IF(Pipe_data[[#This Row],[Phase overwrite]]&gt;0,Pipe_data[[#This Row],[Phase overwrite]],
IF(Pipe_data[[#This Row],[Tag]]="Feed",
_xlfn.XLOOKUP(Pipe_data[[#This Row],[Connected buildings ID]],'Heat connections'!$D$5:$D$242,'Heat connections'!$M$5:$M$242,1,0,1),1))</f>
        <v>1</v>
      </c>
      <c r="R38" s="499">
        <f>IF(Pipe_data[[#This Row],[Surface]]="Hard (Default)",
_xlfn.XLOOKUP(Pipe_data[[#This Row],[Nominal Diameter]],'Technical inputs'!$B$79:$B$100,'Technical inputs'!$C$79:$C$100,0,0,1),
_xlfn.XLOOKUP(Pipe_data[[#This Row],[Nominal Diameter]],'Technical inputs'!$B$79:$B$100,'Technical inputs'!$D$79:$D$100,0,0,1)) * Pipe_data[[#This Row],[Length]]</f>
        <v>46950.747295256675</v>
      </c>
    </row>
    <row r="39" spans="3:18" x14ac:dyDescent="0.25">
      <c r="C39" s="206" t="str" cm="1">
        <f t="array" ref="C39">_xlfn.XLOOKUP(C$4,Pipe_data_input[#Headers],'Pipe data inputs'!C38:O38,0,0,)</f>
        <v>cQICzthvazc7od4L</v>
      </c>
      <c r="D39" s="293" cm="1">
        <f t="array" ref="D39">_xlfn.XLOOKUP(D$4,Pipe_data_input[#Headers],'Pipe data inputs'!C38:O38,0,0,)</f>
        <v>12.252518999999999</v>
      </c>
      <c r="E39" s="206" t="str" cm="1">
        <f t="array" ref="E39">_xlfn.XLOOKUP(E$4,Pipe_data_input[#Headers],'Pipe data inputs'!C38:O38,0,0,)</f>
        <v>Hard (default)</v>
      </c>
      <c r="F39" s="206" cm="1">
        <f t="array" ref="F39">_xlfn.XLOOKUP(F$4,Pipe_data_input[#Headers],'Pipe data inputs'!C38:O38,0,0,)</f>
        <v>100</v>
      </c>
      <c r="G39" s="241" cm="1">
        <f t="array" ref="G39">_xlfn.XLOOKUP(G$4,Pipe_data_input[#Headers],'Pipe data inputs'!C38:O38,0,0,)</f>
        <v>3370.0009163834634</v>
      </c>
      <c r="H39" s="241" cm="1">
        <f t="array" ref="H39">_xlfn.XLOOKUP(H$4,Pipe_data_input[#Headers],'Pipe data inputs'!C38:O38,0,0,)</f>
        <v>1483.19997479839</v>
      </c>
      <c r="I39" s="206" cm="1">
        <f t="array" ref="I39">_xlfn.XLOOKUP(I$4,Pipe_data_input[#Headers],'Pipe data inputs'!C38:O38,0,0,)</f>
        <v>0</v>
      </c>
      <c r="J39" s="206" cm="1">
        <f t="array" ref="J39">_xlfn.XLOOKUP(J$4,Pipe_data_input[#Headers],'Pipe data inputs'!C38:O38,0,0,)</f>
        <v>0</v>
      </c>
      <c r="K39" s="206" cm="1">
        <f t="array" ref="K39">_xlfn.XLOOKUP(K$4,Pipe_data_input[#Headers],'Pipe data inputs'!C38:O38,0,0,)</f>
        <v>0</v>
      </c>
      <c r="L39" s="206" cm="1">
        <f t="array" ref="L39">_xlfn.XLOOKUP(L$4,Pipe_data_input[#Headers],'Pipe data inputs'!C38:O38,0,0,)</f>
        <v>0</v>
      </c>
      <c r="M39" s="295" cm="1">
        <f t="array" ref="M39">_xlfn.XLOOKUP(M$4,Pipe_data_input[#Headers],'Pipe data inputs'!C38:O38,0,0,)</f>
        <v>1</v>
      </c>
      <c r="N39" s="211"/>
      <c r="O39" s="206" t="str">
        <f>IF(Pipe_data[[#This Row],[ID]]&gt;0, IF(Pipe_data[[#This Row],[Assumed diversity from model]]=1, "Feed", "Main"), "-" )</f>
        <v>Feed</v>
      </c>
      <c r="P39" s="240">
        <v>0</v>
      </c>
      <c r="Q39" s="274">
        <f>IF(Pipe_data[[#This Row],[Phase overwrite]]&gt;0,Pipe_data[[#This Row],[Phase overwrite]],
IF(Pipe_data[[#This Row],[Tag]]="Feed",
_xlfn.XLOOKUP(Pipe_data[[#This Row],[Connected buildings ID]],'Heat connections'!$D$5:$D$242,'Heat connections'!$M$5:$M$242,1,0,1),1))</f>
        <v>1</v>
      </c>
      <c r="R39" s="499">
        <f>IF(Pipe_data[[#This Row],[Surface]]="Hard (Default)",
_xlfn.XLOOKUP(Pipe_data[[#This Row],[Nominal Diameter]],'Technical inputs'!$B$79:$B$100,'Technical inputs'!$C$79:$C$100,0,0,1),
_xlfn.XLOOKUP(Pipe_data[[#This Row],[Nominal Diameter]],'Technical inputs'!$B$79:$B$100,'Technical inputs'!$D$79:$D$100,0,0,1)) * Pipe_data[[#This Row],[Length]]</f>
        <v>35945.065143944339</v>
      </c>
    </row>
    <row r="40" spans="3:18" x14ac:dyDescent="0.25">
      <c r="C40" s="206" t="str" cm="1">
        <f t="array" ref="C40">_xlfn.XLOOKUP(C$4,Pipe_data_input[#Headers],'Pipe data inputs'!C39:O39,0,0,)</f>
        <v>vfXUPQ7uXqH0tqax</v>
      </c>
      <c r="D40" s="293" cm="1">
        <f t="array" ref="D40">_xlfn.XLOOKUP(D$4,Pipe_data_input[#Headers],'Pipe data inputs'!C39:O39,0,0,)</f>
        <v>4.5542689999999997</v>
      </c>
      <c r="E40" s="206" t="str" cm="1">
        <f t="array" ref="E40">_xlfn.XLOOKUP(E$4,Pipe_data_input[#Headers],'Pipe data inputs'!C39:O39,0,0,)</f>
        <v>Hard (default)</v>
      </c>
      <c r="F40" s="206" cm="1">
        <f t="array" ref="F40">_xlfn.XLOOKUP(F$4,Pipe_data_input[#Headers],'Pipe data inputs'!C39:O39,0,0,)</f>
        <v>400</v>
      </c>
      <c r="G40" s="241" cm="1">
        <f t="array" ref="G40">_xlfn.XLOOKUP(G$4,Pipe_data_input[#Headers],'Pipe data inputs'!C39:O39,0,0,)</f>
        <v>1780.3951475249212</v>
      </c>
      <c r="H40" s="241" cm="1">
        <f t="array" ref="H40">_xlfn.XLOOKUP(H$4,Pipe_data_input[#Headers],'Pipe data inputs'!C39:O39,0,0,)</f>
        <v>27339.509060267901</v>
      </c>
      <c r="I40" s="206" cm="1">
        <f t="array" ref="I40">_xlfn.XLOOKUP(I$4,Pipe_data_input[#Headers],'Pipe data inputs'!C39:O39,0,0,)</f>
        <v>0</v>
      </c>
      <c r="J40" s="206" cm="1">
        <f t="array" ref="J40">_xlfn.XLOOKUP(J$4,Pipe_data_input[#Headers],'Pipe data inputs'!C39:O39,0,0,)</f>
        <v>0</v>
      </c>
      <c r="K40" s="206" cm="1">
        <f t="array" ref="K40">_xlfn.XLOOKUP(K$4,Pipe_data_input[#Headers],'Pipe data inputs'!C39:O39,0,0,)</f>
        <v>0</v>
      </c>
      <c r="L40" s="206" cm="1">
        <f t="array" ref="L40">_xlfn.XLOOKUP(L$4,Pipe_data_input[#Headers],'Pipe data inputs'!C39:O39,0,0,)</f>
        <v>0</v>
      </c>
      <c r="M40" s="295" cm="1">
        <f t="array" ref="M40">_xlfn.XLOOKUP(M$4,Pipe_data_input[#Headers],'Pipe data inputs'!C39:O39,0,0,)</f>
        <v>0.62</v>
      </c>
      <c r="N40" s="211"/>
      <c r="O40" s="206" t="str">
        <f>IF(Pipe_data[[#This Row],[ID]]&gt;0, IF(Pipe_data[[#This Row],[Assumed diversity from model]]=1, "Feed", "Main"), "-" )</f>
        <v>Main</v>
      </c>
      <c r="P40" s="240">
        <v>0</v>
      </c>
      <c r="Q40" s="274">
        <f>IF(Pipe_data[[#This Row],[Phase overwrite]]&gt;0,Pipe_data[[#This Row],[Phase overwrite]],
IF(Pipe_data[[#This Row],[Tag]]="Feed",
_xlfn.XLOOKUP(Pipe_data[[#This Row],[Connected buildings ID]],'Heat connections'!$D$5:$D$242,'Heat connections'!$M$5:$M$242,1,0,1),1))</f>
        <v>1</v>
      </c>
      <c r="R40" s="499">
        <f>IF(Pipe_data[[#This Row],[Surface]]="Hard (Default)",
_xlfn.XLOOKUP(Pipe_data[[#This Row],[Nominal Diameter]],'Technical inputs'!$B$79:$B$100,'Technical inputs'!$C$79:$C$100,0,0,1),
_xlfn.XLOOKUP(Pipe_data[[#This Row],[Nominal Diameter]],'Technical inputs'!$B$79:$B$100,'Technical inputs'!$D$79:$D$100,0,0,1)) * Pipe_data[[#This Row],[Length]]</f>
        <v>22049.755202505279</v>
      </c>
    </row>
    <row r="41" spans="3:18" x14ac:dyDescent="0.25">
      <c r="C41" s="206" t="str" cm="1">
        <f t="array" ref="C41">_xlfn.XLOOKUP(C$4,Pipe_data_input[#Headers],'Pipe data inputs'!C40:O40,0,0,)</f>
        <v>dIIaJf2FavuuxI5L</v>
      </c>
      <c r="D41" s="293" cm="1">
        <f t="array" ref="D41">_xlfn.XLOOKUP(D$4,Pipe_data_input[#Headers],'Pipe data inputs'!C40:O40,0,0,)</f>
        <v>0.71549130000000005</v>
      </c>
      <c r="E41" s="206" t="str" cm="1">
        <f t="array" ref="E41">_xlfn.XLOOKUP(E$4,Pipe_data_input[#Headers],'Pipe data inputs'!C40:O40,0,0,)</f>
        <v>Hard (default)</v>
      </c>
      <c r="F41" s="206" cm="1">
        <f t="array" ref="F41">_xlfn.XLOOKUP(F$4,Pipe_data_input[#Headers],'Pipe data inputs'!C40:O40,0,0,)</f>
        <v>40</v>
      </c>
      <c r="G41" s="241" cm="1">
        <f t="array" ref="G41">_xlfn.XLOOKUP(G$4,Pipe_data_input[#Headers],'Pipe data inputs'!C40:O40,0,0,)</f>
        <v>130.53447353468744</v>
      </c>
      <c r="H41" s="241" cm="1">
        <f t="array" ref="H41">_xlfn.XLOOKUP(H$4,Pipe_data_input[#Headers],'Pipe data inputs'!C40:O40,0,0,)</f>
        <v>139.01399230957</v>
      </c>
      <c r="I41" s="206" cm="1">
        <f t="array" ref="I41">_xlfn.XLOOKUP(I$4,Pipe_data_input[#Headers],'Pipe data inputs'!C40:O40,0,0,)</f>
        <v>0</v>
      </c>
      <c r="J41" s="206" cm="1">
        <f t="array" ref="J41">_xlfn.XLOOKUP(J$4,Pipe_data_input[#Headers],'Pipe data inputs'!C40:O40,0,0,)</f>
        <v>0</v>
      </c>
      <c r="K41" s="206" cm="1">
        <f t="array" ref="K41">_xlfn.XLOOKUP(K$4,Pipe_data_input[#Headers],'Pipe data inputs'!C40:O40,0,0,)</f>
        <v>0</v>
      </c>
      <c r="L41" s="206" cm="1">
        <f t="array" ref="L41">_xlfn.XLOOKUP(L$4,Pipe_data_input[#Headers],'Pipe data inputs'!C40:O40,0,0,)</f>
        <v>0</v>
      </c>
      <c r="M41" s="295" cm="1">
        <f t="array" ref="M41">_xlfn.XLOOKUP(M$4,Pipe_data_input[#Headers],'Pipe data inputs'!C40:O40,0,0,)</f>
        <v>0.81</v>
      </c>
      <c r="N41" s="211"/>
      <c r="O41" s="206" t="str">
        <f>IF(Pipe_data[[#This Row],[ID]]&gt;0, IF(Pipe_data[[#This Row],[Assumed diversity from model]]=1, "Feed", "Main"), "-" )</f>
        <v>Main</v>
      </c>
      <c r="P41" s="240">
        <v>0</v>
      </c>
      <c r="Q41" s="274">
        <f>IF(Pipe_data[[#This Row],[Phase overwrite]]&gt;0,Pipe_data[[#This Row],[Phase overwrite]],
IF(Pipe_data[[#This Row],[Tag]]="Feed",
_xlfn.XLOOKUP(Pipe_data[[#This Row],[Connected buildings ID]],'Heat connections'!$D$5:$D$242,'Heat connections'!$M$5:$M$242,1,0,1),1))</f>
        <v>1</v>
      </c>
      <c r="R41" s="499">
        <f>IF(Pipe_data[[#This Row],[Surface]]="Hard (Default)",
_xlfn.XLOOKUP(Pipe_data[[#This Row],[Nominal Diameter]],'Technical inputs'!$B$79:$B$100,'Technical inputs'!$C$79:$C$100,0,0,1),
_xlfn.XLOOKUP(Pipe_data[[#This Row],[Nominal Diameter]],'Technical inputs'!$B$79:$B$100,'Technical inputs'!$D$79:$D$100,0,0,1)) * Pipe_data[[#This Row],[Length]]</f>
        <v>1730.0115336073775</v>
      </c>
    </row>
    <row r="42" spans="3:18" x14ac:dyDescent="0.25">
      <c r="C42" s="206" t="str" cm="1">
        <f t="array" ref="C42">_xlfn.XLOOKUP(C$4,Pipe_data_input[#Headers],'Pipe data inputs'!C41:O41,0,0,)</f>
        <v>K4GCVJXYymiUyb/E</v>
      </c>
      <c r="D42" s="293" cm="1">
        <f t="array" ref="D42">_xlfn.XLOOKUP(D$4,Pipe_data_input[#Headers],'Pipe data inputs'!C41:O41,0,0,)</f>
        <v>6.0888660000000003</v>
      </c>
      <c r="E42" s="206" t="str" cm="1">
        <f t="array" ref="E42">_xlfn.XLOOKUP(E$4,Pipe_data_input[#Headers],'Pipe data inputs'!C41:O41,0,0,)</f>
        <v>Hard (default)</v>
      </c>
      <c r="F42" s="206" cm="1">
        <f t="array" ref="F42">_xlfn.XLOOKUP(F$4,Pipe_data_input[#Headers],'Pipe data inputs'!C41:O41,0,0,)</f>
        <v>80</v>
      </c>
      <c r="G42" s="241" cm="1">
        <f t="array" ref="G42">_xlfn.XLOOKUP(G$4,Pipe_data_input[#Headers],'Pipe data inputs'!C41:O41,0,0,)</f>
        <v>1381.9788660037113</v>
      </c>
      <c r="H42" s="241" cm="1">
        <f t="array" ref="H42">_xlfn.XLOOKUP(H$4,Pipe_data_input[#Headers],'Pipe data inputs'!C41:O41,0,0,)</f>
        <v>709.63623789476401</v>
      </c>
      <c r="I42" s="206" cm="1">
        <f t="array" ref="I42">_xlfn.XLOOKUP(I$4,Pipe_data_input[#Headers],'Pipe data inputs'!C41:O41,0,0,)</f>
        <v>0</v>
      </c>
      <c r="J42" s="206" cm="1">
        <f t="array" ref="J42">_xlfn.XLOOKUP(J$4,Pipe_data_input[#Headers],'Pipe data inputs'!C41:O41,0,0,)</f>
        <v>0</v>
      </c>
      <c r="K42" s="206" cm="1">
        <f t="array" ref="K42">_xlfn.XLOOKUP(K$4,Pipe_data_input[#Headers],'Pipe data inputs'!C41:O41,0,0,)</f>
        <v>0</v>
      </c>
      <c r="L42" s="206" cm="1">
        <f t="array" ref="L42">_xlfn.XLOOKUP(L$4,Pipe_data_input[#Headers],'Pipe data inputs'!C41:O41,0,0,)</f>
        <v>0</v>
      </c>
      <c r="M42" s="295" cm="1">
        <f t="array" ref="M42">_xlfn.XLOOKUP(M$4,Pipe_data_input[#Headers],'Pipe data inputs'!C41:O41,0,0,)</f>
        <v>1</v>
      </c>
      <c r="N42" s="211"/>
      <c r="O42" s="206" t="str">
        <f>IF(Pipe_data[[#This Row],[ID]]&gt;0, IF(Pipe_data[[#This Row],[Assumed diversity from model]]=1, "Feed", "Main"), "-" )</f>
        <v>Feed</v>
      </c>
      <c r="P42" s="240">
        <v>0</v>
      </c>
      <c r="Q42" s="274">
        <f>IF(Pipe_data[[#This Row],[Phase overwrite]]&gt;0,Pipe_data[[#This Row],[Phase overwrite]],
IF(Pipe_data[[#This Row],[Tag]]="Feed",
_xlfn.XLOOKUP(Pipe_data[[#This Row],[Connected buildings ID]],'Heat connections'!$D$5:$D$242,'Heat connections'!$M$5:$M$242,1,0,1),1))</f>
        <v>1</v>
      </c>
      <c r="R42" s="499">
        <f>IF(Pipe_data[[#This Row],[Surface]]="Hard (Default)",
_xlfn.XLOOKUP(Pipe_data[[#This Row],[Nominal Diameter]],'Technical inputs'!$B$79:$B$100,'Technical inputs'!$C$79:$C$100,0,0,1),
_xlfn.XLOOKUP(Pipe_data[[#This Row],[Nominal Diameter]],'Technical inputs'!$B$79:$B$100,'Technical inputs'!$D$79:$D$100,0,0,1)) * Pipe_data[[#This Row],[Length]]</f>
        <v>16645.087101968027</v>
      </c>
    </row>
    <row r="43" spans="3:18" x14ac:dyDescent="0.25">
      <c r="C43" s="206" t="str" cm="1">
        <f t="array" ref="C43">_xlfn.XLOOKUP(C$4,Pipe_data_input[#Headers],'Pipe data inputs'!C42:O42,0,0,)</f>
        <v>pB9OJgQVC/Sn5oFs</v>
      </c>
      <c r="D43" s="293" cm="1">
        <f t="array" ref="D43">_xlfn.XLOOKUP(D$4,Pipe_data_input[#Headers],'Pipe data inputs'!C42:O42,0,0,)</f>
        <v>27.182570999999999</v>
      </c>
      <c r="E43" s="206" t="str" cm="1">
        <f t="array" ref="E43">_xlfn.XLOOKUP(E$4,Pipe_data_input[#Headers],'Pipe data inputs'!C42:O42,0,0,)</f>
        <v>Hard (default)</v>
      </c>
      <c r="F43" s="206" cm="1">
        <f t="array" ref="F43">_xlfn.XLOOKUP(F$4,Pipe_data_input[#Headers],'Pipe data inputs'!C42:O42,0,0,)</f>
        <v>80</v>
      </c>
      <c r="G43" s="241" cm="1">
        <f t="array" ref="G43">_xlfn.XLOOKUP(G$4,Pipe_data_input[#Headers],'Pipe data inputs'!C42:O42,0,0,)</f>
        <v>6523.8981360834205</v>
      </c>
      <c r="H43" s="241" cm="1">
        <f t="array" ref="H43">_xlfn.XLOOKUP(H$4,Pipe_data_input[#Headers],'Pipe data inputs'!C42:O42,0,0,)</f>
        <v>617.18597412109398</v>
      </c>
      <c r="I43" s="206" cm="1">
        <f t="array" ref="I43">_xlfn.XLOOKUP(I$4,Pipe_data_input[#Headers],'Pipe data inputs'!C42:O42,0,0,)</f>
        <v>0</v>
      </c>
      <c r="J43" s="206" cm="1">
        <f t="array" ref="J43">_xlfn.XLOOKUP(J$4,Pipe_data_input[#Headers],'Pipe data inputs'!C42:O42,0,0,)</f>
        <v>0</v>
      </c>
      <c r="K43" s="206" cm="1">
        <f t="array" ref="K43">_xlfn.XLOOKUP(K$4,Pipe_data_input[#Headers],'Pipe data inputs'!C42:O42,0,0,)</f>
        <v>0</v>
      </c>
      <c r="L43" s="206" cm="1">
        <f t="array" ref="L43">_xlfn.XLOOKUP(L$4,Pipe_data_input[#Headers],'Pipe data inputs'!C42:O42,0,0,)</f>
        <v>0</v>
      </c>
      <c r="M43" s="295" cm="1">
        <f t="array" ref="M43">_xlfn.XLOOKUP(M$4,Pipe_data_input[#Headers],'Pipe data inputs'!C42:O42,0,0,)</f>
        <v>0.7294998052048729</v>
      </c>
      <c r="N43" s="211"/>
      <c r="O43" s="206" t="str">
        <f>IF(Pipe_data[[#This Row],[ID]]&gt;0, IF(Pipe_data[[#This Row],[Assumed diversity from model]]=1, "Feed", "Main"), "-" )</f>
        <v>Main</v>
      </c>
      <c r="P43" s="240">
        <v>0</v>
      </c>
      <c r="Q43" s="274">
        <f>IF(Pipe_data[[#This Row],[Phase overwrite]]&gt;0,Pipe_data[[#This Row],[Phase overwrite]],
IF(Pipe_data[[#This Row],[Tag]]="Feed",
_xlfn.XLOOKUP(Pipe_data[[#This Row],[Connected buildings ID]],'Heat connections'!$D$5:$D$242,'Heat connections'!$M$5:$M$242,1,0,1),1))</f>
        <v>1</v>
      </c>
      <c r="R43" s="499">
        <f>IF(Pipe_data[[#This Row],[Surface]]="Hard (Default)",
_xlfn.XLOOKUP(Pipe_data[[#This Row],[Nominal Diameter]],'Technical inputs'!$B$79:$B$100,'Technical inputs'!$C$79:$C$100,0,0,1),
_xlfn.XLOOKUP(Pipe_data[[#This Row],[Nominal Diameter]],'Technical inputs'!$B$79:$B$100,'Technical inputs'!$D$79:$D$100,0,0,1)) * Pipe_data[[#This Row],[Length]]</f>
        <v>74308.789510301285</v>
      </c>
    </row>
    <row r="44" spans="3:18" x14ac:dyDescent="0.25">
      <c r="C44" s="206" t="str" cm="1">
        <f t="array" ref="C44">_xlfn.XLOOKUP(C$4,Pipe_data_input[#Headers],'Pipe data inputs'!C43:O43,0,0,)</f>
        <v>t5o8WxAquslCIFp2</v>
      </c>
      <c r="D44" s="293" cm="1">
        <f t="array" ref="D44">_xlfn.XLOOKUP(D$4,Pipe_data_input[#Headers],'Pipe data inputs'!C43:O43,0,0,)</f>
        <v>5.3413024</v>
      </c>
      <c r="E44" s="206" t="str" cm="1">
        <f t="array" ref="E44">_xlfn.XLOOKUP(E$4,Pipe_data_input[#Headers],'Pipe data inputs'!C43:O43,0,0,)</f>
        <v>Hard (default)</v>
      </c>
      <c r="F44" s="206" cm="1">
        <f t="array" ref="F44">_xlfn.XLOOKUP(F$4,Pipe_data_input[#Headers],'Pipe data inputs'!C43:O43,0,0,)</f>
        <v>200</v>
      </c>
      <c r="G44" s="241" cm="1">
        <f t="array" ref="G44">_xlfn.XLOOKUP(G$4,Pipe_data_input[#Headers],'Pipe data inputs'!C43:O43,0,0,)</f>
        <v>1746.5556855674615</v>
      </c>
      <c r="H44" s="241" cm="1">
        <f t="array" ref="H44">_xlfn.XLOOKUP(H$4,Pipe_data_input[#Headers],'Pipe data inputs'!C43:O43,0,0,)</f>
        <v>5647.44771793778</v>
      </c>
      <c r="I44" s="206" cm="1">
        <f t="array" ref="I44">_xlfn.XLOOKUP(I$4,Pipe_data_input[#Headers],'Pipe data inputs'!C43:O43,0,0,)</f>
        <v>0</v>
      </c>
      <c r="J44" s="206" cm="1">
        <f t="array" ref="J44">_xlfn.XLOOKUP(J$4,Pipe_data_input[#Headers],'Pipe data inputs'!C43:O43,0,0,)</f>
        <v>0</v>
      </c>
      <c r="K44" s="206" cm="1">
        <f t="array" ref="K44">_xlfn.XLOOKUP(K$4,Pipe_data_input[#Headers],'Pipe data inputs'!C43:O43,0,0,)</f>
        <v>0</v>
      </c>
      <c r="L44" s="206" cm="1">
        <f t="array" ref="L44">_xlfn.XLOOKUP(L$4,Pipe_data_input[#Headers],'Pipe data inputs'!C43:O43,0,0,)</f>
        <v>0</v>
      </c>
      <c r="M44" s="295" cm="1">
        <f t="array" ref="M44">_xlfn.XLOOKUP(M$4,Pipe_data_input[#Headers],'Pipe data inputs'!C43:O43,0,0,)</f>
        <v>1</v>
      </c>
      <c r="N44" s="211"/>
      <c r="O44" s="206" t="str">
        <f>IF(Pipe_data[[#This Row],[ID]]&gt;0, IF(Pipe_data[[#This Row],[Assumed diversity from model]]=1, "Feed", "Main"), "-" )</f>
        <v>Feed</v>
      </c>
      <c r="P44" s="240">
        <v>0</v>
      </c>
      <c r="Q44" s="274">
        <f>IF(Pipe_data[[#This Row],[Phase overwrite]]&gt;0,Pipe_data[[#This Row],[Phase overwrite]],
IF(Pipe_data[[#This Row],[Tag]]="Feed",
_xlfn.XLOOKUP(Pipe_data[[#This Row],[Connected buildings ID]],'Heat connections'!$D$5:$D$242,'Heat connections'!$M$5:$M$242,1,0,1),1))</f>
        <v>1</v>
      </c>
      <c r="R44" s="499">
        <f>IF(Pipe_data[[#This Row],[Surface]]="Hard (Default)",
_xlfn.XLOOKUP(Pipe_data[[#This Row],[Nominal Diameter]],'Technical inputs'!$B$79:$B$100,'Technical inputs'!$C$79:$C$100,0,0,1),
_xlfn.XLOOKUP(Pipe_data[[#This Row],[Nominal Diameter]],'Technical inputs'!$B$79:$B$100,'Technical inputs'!$D$79:$D$100,0,0,1)) * Pipe_data[[#This Row],[Length]]</f>
        <v>20522.722997908742</v>
      </c>
    </row>
    <row r="45" spans="3:18" x14ac:dyDescent="0.25">
      <c r="C45" s="206" t="str" cm="1">
        <f t="array" ref="C45">_xlfn.XLOOKUP(C$4,Pipe_data_input[#Headers],'Pipe data inputs'!C44:O44,0,0,)</f>
        <v>ZnTIHbWCzQUiz46K</v>
      </c>
      <c r="D45" s="293" cm="1">
        <f t="array" ref="D45">_xlfn.XLOOKUP(D$4,Pipe_data_input[#Headers],'Pipe data inputs'!C44:O44,0,0,)</f>
        <v>14.21682</v>
      </c>
      <c r="E45" s="206" t="str" cm="1">
        <f t="array" ref="E45">_xlfn.XLOOKUP(E$4,Pipe_data_input[#Headers],'Pipe data inputs'!C44:O44,0,0,)</f>
        <v>Hard (default)</v>
      </c>
      <c r="F45" s="206" cm="1">
        <f t="array" ref="F45">_xlfn.XLOOKUP(F$4,Pipe_data_input[#Headers],'Pipe data inputs'!C44:O44,0,0,)</f>
        <v>125</v>
      </c>
      <c r="G45" s="241" cm="1">
        <f t="array" ref="G45">_xlfn.XLOOKUP(G$4,Pipe_data_input[#Headers],'Pipe data inputs'!C44:O44,0,0,)</f>
        <v>4197.6399904377186</v>
      </c>
      <c r="H45" s="241" cm="1">
        <f t="array" ref="H45">_xlfn.XLOOKUP(H$4,Pipe_data_input[#Headers],'Pipe data inputs'!C44:O44,0,0,)</f>
        <v>2448.1711902533598</v>
      </c>
      <c r="I45" s="206" cm="1">
        <f t="array" ref="I45">_xlfn.XLOOKUP(I$4,Pipe_data_input[#Headers],'Pipe data inputs'!C44:O44,0,0,)</f>
        <v>0</v>
      </c>
      <c r="J45" s="206" cm="1">
        <f t="array" ref="J45">_xlfn.XLOOKUP(J$4,Pipe_data_input[#Headers],'Pipe data inputs'!C44:O44,0,0,)</f>
        <v>0</v>
      </c>
      <c r="K45" s="206" cm="1">
        <f t="array" ref="K45">_xlfn.XLOOKUP(K$4,Pipe_data_input[#Headers],'Pipe data inputs'!C44:O44,0,0,)</f>
        <v>0</v>
      </c>
      <c r="L45" s="206" cm="1">
        <f t="array" ref="L45">_xlfn.XLOOKUP(L$4,Pipe_data_input[#Headers],'Pipe data inputs'!C44:O44,0,0,)</f>
        <v>0</v>
      </c>
      <c r="M45" s="295" cm="1">
        <f t="array" ref="M45">_xlfn.XLOOKUP(M$4,Pipe_data_input[#Headers],'Pipe data inputs'!C44:O44,0,0,)</f>
        <v>0.63</v>
      </c>
      <c r="N45" s="211"/>
      <c r="O45" s="206" t="str">
        <f>IF(Pipe_data[[#This Row],[ID]]&gt;0, IF(Pipe_data[[#This Row],[Assumed diversity from model]]=1, "Feed", "Main"), "-" )</f>
        <v>Main</v>
      </c>
      <c r="P45" s="240">
        <v>0</v>
      </c>
      <c r="Q45" s="274">
        <f>IF(Pipe_data[[#This Row],[Phase overwrite]]&gt;0,Pipe_data[[#This Row],[Phase overwrite]],
IF(Pipe_data[[#This Row],[Tag]]="Feed",
_xlfn.XLOOKUP(Pipe_data[[#This Row],[Connected buildings ID]],'Heat connections'!$D$5:$D$242,'Heat connections'!$M$5:$M$242,1,0,1),1))</f>
        <v>1</v>
      </c>
      <c r="R45" s="499">
        <f>IF(Pipe_data[[#This Row],[Surface]]="Hard (Default)",
_xlfn.XLOOKUP(Pipe_data[[#This Row],[Nominal Diameter]],'Technical inputs'!$B$79:$B$100,'Technical inputs'!$C$79:$C$100,0,0,1),
_xlfn.XLOOKUP(Pipe_data[[#This Row],[Nominal Diameter]],'Technical inputs'!$B$79:$B$100,'Technical inputs'!$D$79:$D$100,0,0,1)) * Pipe_data[[#This Row],[Length]]</f>
        <v>43562.014568508574</v>
      </c>
    </row>
    <row r="46" spans="3:18" x14ac:dyDescent="0.25">
      <c r="C46" s="206" t="str" cm="1">
        <f t="array" ref="C46">_xlfn.XLOOKUP(C$4,Pipe_data_input[#Headers],'Pipe data inputs'!C45:O45,0,0,)</f>
        <v>Gu7WW6H/BIl2cOTT</v>
      </c>
      <c r="D46" s="293" cm="1">
        <f t="array" ref="D46">_xlfn.XLOOKUP(D$4,Pipe_data_input[#Headers],'Pipe data inputs'!C45:O45,0,0,)</f>
        <v>2.1339157000000002</v>
      </c>
      <c r="E46" s="206" t="str" cm="1">
        <f t="array" ref="E46">_xlfn.XLOOKUP(E$4,Pipe_data_input[#Headers],'Pipe data inputs'!C45:O45,0,0,)</f>
        <v>Hard (default)</v>
      </c>
      <c r="F46" s="206" cm="1">
        <f t="array" ref="F46">_xlfn.XLOOKUP(F$4,Pipe_data_input[#Headers],'Pipe data inputs'!C45:O45,0,0,)</f>
        <v>50</v>
      </c>
      <c r="G46" s="241" cm="1">
        <f t="array" ref="G46">_xlfn.XLOOKUP(G$4,Pipe_data_input[#Headers],'Pipe data inputs'!C45:O45,0,0,)</f>
        <v>396.01262271779507</v>
      </c>
      <c r="H46" s="241" cm="1">
        <f t="array" ref="H46">_xlfn.XLOOKUP(H$4,Pipe_data_input[#Headers],'Pipe data inputs'!C45:O45,0,0,)</f>
        <v>148.388475348707</v>
      </c>
      <c r="I46" s="206" cm="1">
        <f t="array" ref="I46">_xlfn.XLOOKUP(I$4,Pipe_data_input[#Headers],'Pipe data inputs'!C45:O45,0,0,)</f>
        <v>0</v>
      </c>
      <c r="J46" s="206" cm="1">
        <f t="array" ref="J46">_xlfn.XLOOKUP(J$4,Pipe_data_input[#Headers],'Pipe data inputs'!C45:O45,0,0,)</f>
        <v>0</v>
      </c>
      <c r="K46" s="206" cm="1">
        <f t="array" ref="K46">_xlfn.XLOOKUP(K$4,Pipe_data_input[#Headers],'Pipe data inputs'!C45:O45,0,0,)</f>
        <v>0</v>
      </c>
      <c r="L46" s="206" cm="1">
        <f t="array" ref="L46">_xlfn.XLOOKUP(L$4,Pipe_data_input[#Headers],'Pipe data inputs'!C45:O45,0,0,)</f>
        <v>0</v>
      </c>
      <c r="M46" s="295" cm="1">
        <f t="array" ref="M46">_xlfn.XLOOKUP(M$4,Pipe_data_input[#Headers],'Pipe data inputs'!C45:O45,0,0,)</f>
        <v>0.65</v>
      </c>
      <c r="N46" s="211"/>
      <c r="O46" s="206" t="str">
        <f>IF(Pipe_data[[#This Row],[ID]]&gt;0, IF(Pipe_data[[#This Row],[Assumed diversity from model]]=1, "Feed", "Main"), "-" )</f>
        <v>Main</v>
      </c>
      <c r="P46" s="240">
        <v>0</v>
      </c>
      <c r="Q46" s="274">
        <f>IF(Pipe_data[[#This Row],[Phase overwrite]]&gt;0,Pipe_data[[#This Row],[Phase overwrite]],
IF(Pipe_data[[#This Row],[Tag]]="Feed",
_xlfn.XLOOKUP(Pipe_data[[#This Row],[Connected buildings ID]],'Heat connections'!$D$5:$D$242,'Heat connections'!$M$5:$M$242,1,0,1),1))</f>
        <v>1</v>
      </c>
      <c r="R46" s="499">
        <f>IF(Pipe_data[[#This Row],[Surface]]="Hard (Default)",
_xlfn.XLOOKUP(Pipe_data[[#This Row],[Nominal Diameter]],'Technical inputs'!$B$79:$B$100,'Technical inputs'!$C$79:$C$100,0,0,1),
_xlfn.XLOOKUP(Pipe_data[[#This Row],[Nominal Diameter]],'Technical inputs'!$B$79:$B$100,'Technical inputs'!$D$79:$D$100,0,0,1)) * Pipe_data[[#This Row],[Length]]</f>
        <v>5337.8512662664798</v>
      </c>
    </row>
    <row r="47" spans="3:18" x14ac:dyDescent="0.25">
      <c r="C47" s="206" t="str" cm="1">
        <f t="array" ref="C47">_xlfn.XLOOKUP(C$4,Pipe_data_input[#Headers],'Pipe data inputs'!C46:O46,0,0,)</f>
        <v>6K0xQaVwJDFEvt4g</v>
      </c>
      <c r="D47" s="293" cm="1">
        <f t="array" ref="D47">_xlfn.XLOOKUP(D$4,Pipe_data_input[#Headers],'Pipe data inputs'!C46:O46,0,0,)</f>
        <v>2.1611125000000002</v>
      </c>
      <c r="E47" s="206" t="str" cm="1">
        <f t="array" ref="E47">_xlfn.XLOOKUP(E$4,Pipe_data_input[#Headers],'Pipe data inputs'!C46:O46,0,0,)</f>
        <v>Hard (default)</v>
      </c>
      <c r="F47" s="206" cm="1">
        <f t="array" ref="F47">_xlfn.XLOOKUP(F$4,Pipe_data_input[#Headers],'Pipe data inputs'!C46:O46,0,0,)</f>
        <v>20</v>
      </c>
      <c r="G47" s="241" cm="1">
        <f t="array" ref="G47">_xlfn.XLOOKUP(G$4,Pipe_data_input[#Headers],'Pipe data inputs'!C46:O46,0,0,)</f>
        <v>253.02406253880483</v>
      </c>
      <c r="H47" s="241" cm="1">
        <f t="array" ref="H47">_xlfn.XLOOKUP(H$4,Pipe_data_input[#Headers],'Pipe data inputs'!C46:O46,0,0,)</f>
        <v>2</v>
      </c>
      <c r="I47" s="206" cm="1">
        <f t="array" ref="I47">_xlfn.XLOOKUP(I$4,Pipe_data_input[#Headers],'Pipe data inputs'!C46:O46,0,0,)</f>
        <v>0</v>
      </c>
      <c r="J47" s="206" cm="1">
        <f t="array" ref="J47">_xlfn.XLOOKUP(J$4,Pipe_data_input[#Headers],'Pipe data inputs'!C46:O46,0,0,)</f>
        <v>0</v>
      </c>
      <c r="K47" s="206" cm="1">
        <f t="array" ref="K47">_xlfn.XLOOKUP(K$4,Pipe_data_input[#Headers],'Pipe data inputs'!C46:O46,0,0,)</f>
        <v>0</v>
      </c>
      <c r="L47" s="206" cm="1">
        <f t="array" ref="L47">_xlfn.XLOOKUP(L$4,Pipe_data_input[#Headers],'Pipe data inputs'!C46:O46,0,0,)</f>
        <v>0</v>
      </c>
      <c r="M47" s="295" cm="1">
        <f t="array" ref="M47">_xlfn.XLOOKUP(M$4,Pipe_data_input[#Headers],'Pipe data inputs'!C46:O46,0,0,)</f>
        <v>1</v>
      </c>
      <c r="N47" s="211"/>
      <c r="O47" s="206" t="str">
        <f>IF(Pipe_data[[#This Row],[ID]]&gt;0, IF(Pipe_data[[#This Row],[Assumed diversity from model]]=1, "Feed", "Main"), "-" )</f>
        <v>Feed</v>
      </c>
      <c r="P47" s="240">
        <v>0</v>
      </c>
      <c r="Q47" s="274">
        <f>IF(Pipe_data[[#This Row],[Phase overwrite]]&gt;0,Pipe_data[[#This Row],[Phase overwrite]],
IF(Pipe_data[[#This Row],[Tag]]="Feed",
_xlfn.XLOOKUP(Pipe_data[[#This Row],[Connected buildings ID]],'Heat connections'!$D$5:$D$242,'Heat connections'!$M$5:$M$242,1,0,1),1))</f>
        <v>1</v>
      </c>
      <c r="R47" s="499">
        <f>IF(Pipe_data[[#This Row],[Surface]]="Hard (Default)",
_xlfn.XLOOKUP(Pipe_data[[#This Row],[Nominal Diameter]],'Technical inputs'!$B$79:$B$100,'Technical inputs'!$C$79:$C$100,0,0,1),
_xlfn.XLOOKUP(Pipe_data[[#This Row],[Nominal Diameter]],'Technical inputs'!$B$79:$B$100,'Technical inputs'!$D$79:$D$100,0,0,1)) * Pipe_data[[#This Row],[Length]]</f>
        <v>4628.5693008599555</v>
      </c>
    </row>
    <row r="48" spans="3:18" x14ac:dyDescent="0.25">
      <c r="C48" s="206" t="str" cm="1">
        <f t="array" ref="C48">_xlfn.XLOOKUP(C$4,Pipe_data_input[#Headers],'Pipe data inputs'!C47:O47,0,0,)</f>
        <v>97LU/GJHjytQgSYD</v>
      </c>
      <c r="D48" s="293" cm="1">
        <f t="array" ref="D48">_xlfn.XLOOKUP(D$4,Pipe_data_input[#Headers],'Pipe data inputs'!C47:O47,0,0,)</f>
        <v>1.4341424</v>
      </c>
      <c r="E48" s="206" t="str" cm="1">
        <f t="array" ref="E48">_xlfn.XLOOKUP(E$4,Pipe_data_input[#Headers],'Pipe data inputs'!C47:O47,0,0,)</f>
        <v>Hard (default)</v>
      </c>
      <c r="F48" s="206" cm="1">
        <f t="array" ref="F48">_xlfn.XLOOKUP(F$4,Pipe_data_input[#Headers],'Pipe data inputs'!C47:O47,0,0,)</f>
        <v>40</v>
      </c>
      <c r="G48" s="241" cm="1">
        <f t="array" ref="G48">_xlfn.XLOOKUP(G$4,Pipe_data_input[#Headers],'Pipe data inputs'!C47:O47,0,0,)</f>
        <v>252.07476753735233</v>
      </c>
      <c r="H48" s="241" cm="1">
        <f t="array" ref="H48">_xlfn.XLOOKUP(H$4,Pipe_data_input[#Headers],'Pipe data inputs'!C47:O47,0,0,)</f>
        <v>119.457427711459</v>
      </c>
      <c r="I48" s="206" cm="1">
        <f t="array" ref="I48">_xlfn.XLOOKUP(I$4,Pipe_data_input[#Headers],'Pipe data inputs'!C47:O47,0,0,)</f>
        <v>0</v>
      </c>
      <c r="J48" s="206" cm="1">
        <f t="array" ref="J48">_xlfn.XLOOKUP(J$4,Pipe_data_input[#Headers],'Pipe data inputs'!C47:O47,0,0,)</f>
        <v>0</v>
      </c>
      <c r="K48" s="206" cm="1">
        <f t="array" ref="K48">_xlfn.XLOOKUP(K$4,Pipe_data_input[#Headers],'Pipe data inputs'!C47:O47,0,0,)</f>
        <v>0</v>
      </c>
      <c r="L48" s="206" cm="1">
        <f t="array" ref="L48">_xlfn.XLOOKUP(L$4,Pipe_data_input[#Headers],'Pipe data inputs'!C47:O47,0,0,)</f>
        <v>0</v>
      </c>
      <c r="M48" s="295" cm="1">
        <f t="array" ref="M48">_xlfn.XLOOKUP(M$4,Pipe_data_input[#Headers],'Pipe data inputs'!C47:O47,0,0,)</f>
        <v>0.81</v>
      </c>
      <c r="N48" s="211"/>
      <c r="O48" s="206" t="str">
        <f>IF(Pipe_data[[#This Row],[ID]]&gt;0, IF(Pipe_data[[#This Row],[Assumed diversity from model]]=1, "Feed", "Main"), "-" )</f>
        <v>Main</v>
      </c>
      <c r="P48" s="240">
        <v>0</v>
      </c>
      <c r="Q48" s="274">
        <f>IF(Pipe_data[[#This Row],[Phase overwrite]]&gt;0,Pipe_data[[#This Row],[Phase overwrite]],
IF(Pipe_data[[#This Row],[Tag]]="Feed",
_xlfn.XLOOKUP(Pipe_data[[#This Row],[Connected buildings ID]],'Heat connections'!$D$5:$D$242,'Heat connections'!$M$5:$M$242,1,0,1),1))</f>
        <v>1</v>
      </c>
      <c r="R48" s="499">
        <f>IF(Pipe_data[[#This Row],[Surface]]="Hard (Default)",
_xlfn.XLOOKUP(Pipe_data[[#This Row],[Nominal Diameter]],'Technical inputs'!$B$79:$B$100,'Technical inputs'!$C$79:$C$100,0,0,1),
_xlfn.XLOOKUP(Pipe_data[[#This Row],[Nominal Diameter]],'Technical inputs'!$B$79:$B$100,'Technical inputs'!$D$79:$D$100,0,0,1)) * Pipe_data[[#This Row],[Length]]</f>
        <v>3467.6632585684338</v>
      </c>
    </row>
    <row r="49" spans="3:18" x14ac:dyDescent="0.25">
      <c r="C49" s="206" t="str" cm="1">
        <f t="array" ref="C49">_xlfn.XLOOKUP(C$4,Pipe_data_input[#Headers],'Pipe data inputs'!C48:O48,0,0,)</f>
        <v>yYhhniuwd54yzNZy</v>
      </c>
      <c r="D49" s="293" cm="1">
        <f t="array" ref="D49">_xlfn.XLOOKUP(D$4,Pipe_data_input[#Headers],'Pipe data inputs'!C48:O48,0,0,)</f>
        <v>10.859947999999999</v>
      </c>
      <c r="E49" s="206" t="str" cm="1">
        <f t="array" ref="E49">_xlfn.XLOOKUP(E$4,Pipe_data_input[#Headers],'Pipe data inputs'!C48:O48,0,0,)</f>
        <v>Hard (default)</v>
      </c>
      <c r="F49" s="206" cm="1">
        <f t="array" ref="F49">_xlfn.XLOOKUP(F$4,Pipe_data_input[#Headers],'Pipe data inputs'!C48:O48,0,0,)</f>
        <v>20</v>
      </c>
      <c r="G49" s="241" cm="1">
        <f t="array" ref="G49">_xlfn.XLOOKUP(G$4,Pipe_data_input[#Headers],'Pipe data inputs'!C48:O48,0,0,)</f>
        <v>1271.4877924773321</v>
      </c>
      <c r="H49" s="241" cm="1">
        <f t="array" ref="H49">_xlfn.XLOOKUP(H$4,Pipe_data_input[#Headers],'Pipe data inputs'!C48:O48,0,0,)</f>
        <v>2</v>
      </c>
      <c r="I49" s="206" cm="1">
        <f t="array" ref="I49">_xlfn.XLOOKUP(I$4,Pipe_data_input[#Headers],'Pipe data inputs'!C48:O48,0,0,)</f>
        <v>0</v>
      </c>
      <c r="J49" s="206" cm="1">
        <f t="array" ref="J49">_xlfn.XLOOKUP(J$4,Pipe_data_input[#Headers],'Pipe data inputs'!C48:O48,0,0,)</f>
        <v>0</v>
      </c>
      <c r="K49" s="206" cm="1">
        <f t="array" ref="K49">_xlfn.XLOOKUP(K$4,Pipe_data_input[#Headers],'Pipe data inputs'!C48:O48,0,0,)</f>
        <v>0</v>
      </c>
      <c r="L49" s="206" cm="1">
        <f t="array" ref="L49">_xlfn.XLOOKUP(L$4,Pipe_data_input[#Headers],'Pipe data inputs'!C48:O48,0,0,)</f>
        <v>0</v>
      </c>
      <c r="M49" s="295" cm="1">
        <f t="array" ref="M49">_xlfn.XLOOKUP(M$4,Pipe_data_input[#Headers],'Pipe data inputs'!C48:O48,0,0,)</f>
        <v>1</v>
      </c>
      <c r="N49" s="211"/>
      <c r="O49" s="206" t="str">
        <f>IF(Pipe_data[[#This Row],[ID]]&gt;0, IF(Pipe_data[[#This Row],[Assumed diversity from model]]=1, "Feed", "Main"), "-" )</f>
        <v>Feed</v>
      </c>
      <c r="P49" s="240">
        <v>0</v>
      </c>
      <c r="Q49" s="274">
        <f>IF(Pipe_data[[#This Row],[Phase overwrite]]&gt;0,Pipe_data[[#This Row],[Phase overwrite]],
IF(Pipe_data[[#This Row],[Tag]]="Feed",
_xlfn.XLOOKUP(Pipe_data[[#This Row],[Connected buildings ID]],'Heat connections'!$D$5:$D$242,'Heat connections'!$M$5:$M$242,1,0,1),1))</f>
        <v>1</v>
      </c>
      <c r="R49" s="499">
        <f>IF(Pipe_data[[#This Row],[Surface]]="Hard (Default)",
_xlfn.XLOOKUP(Pipe_data[[#This Row],[Nominal Diameter]],'Technical inputs'!$B$79:$B$100,'Technical inputs'!$C$79:$C$100,0,0,1),
_xlfn.XLOOKUP(Pipe_data[[#This Row],[Nominal Diameter]],'Technical inputs'!$B$79:$B$100,'Technical inputs'!$D$79:$D$100,0,0,1)) * Pipe_data[[#This Row],[Length]]</f>
        <v>23259.326815117427</v>
      </c>
    </row>
    <row r="50" spans="3:18" x14ac:dyDescent="0.25">
      <c r="C50" s="206" t="str" cm="1">
        <f t="array" ref="C50">_xlfn.XLOOKUP(C$4,Pipe_data_input[#Headers],'Pipe data inputs'!C49:O49,0,0,)</f>
        <v>WAi51fsHa7OMYjBl</v>
      </c>
      <c r="D50" s="293" cm="1">
        <f t="array" ref="D50">_xlfn.XLOOKUP(D$4,Pipe_data_input[#Headers],'Pipe data inputs'!C49:O49,0,0,)</f>
        <v>22.04468</v>
      </c>
      <c r="E50" s="206" t="str" cm="1">
        <f t="array" ref="E50">_xlfn.XLOOKUP(E$4,Pipe_data_input[#Headers],'Pipe data inputs'!C49:O49,0,0,)</f>
        <v>Hard (default)</v>
      </c>
      <c r="F50" s="206" cm="1">
        <f t="array" ref="F50">_xlfn.XLOOKUP(F$4,Pipe_data_input[#Headers],'Pipe data inputs'!C49:O49,0,0,)</f>
        <v>20</v>
      </c>
      <c r="G50" s="241" cm="1">
        <f t="array" ref="G50">_xlfn.XLOOKUP(G$4,Pipe_data_input[#Headers],'Pipe data inputs'!C49:O49,0,0,)</f>
        <v>2581.0014476191959</v>
      </c>
      <c r="H50" s="241" cm="1">
        <f t="array" ref="H50">_xlfn.XLOOKUP(H$4,Pipe_data_input[#Headers],'Pipe data inputs'!C49:O49,0,0,)</f>
        <v>1</v>
      </c>
      <c r="I50" s="206" cm="1">
        <f t="array" ref="I50">_xlfn.XLOOKUP(I$4,Pipe_data_input[#Headers],'Pipe data inputs'!C49:O49,0,0,)</f>
        <v>0</v>
      </c>
      <c r="J50" s="206" cm="1">
        <f t="array" ref="J50">_xlfn.XLOOKUP(J$4,Pipe_data_input[#Headers],'Pipe data inputs'!C49:O49,0,0,)</f>
        <v>0</v>
      </c>
      <c r="K50" s="206" cm="1">
        <f t="array" ref="K50">_xlfn.XLOOKUP(K$4,Pipe_data_input[#Headers],'Pipe data inputs'!C49:O49,0,0,)</f>
        <v>0</v>
      </c>
      <c r="L50" s="206" cm="1">
        <f t="array" ref="L50">_xlfn.XLOOKUP(L$4,Pipe_data_input[#Headers],'Pipe data inputs'!C49:O49,0,0,)</f>
        <v>0</v>
      </c>
      <c r="M50" s="295" cm="1">
        <f t="array" ref="M50">_xlfn.XLOOKUP(M$4,Pipe_data_input[#Headers],'Pipe data inputs'!C49:O49,0,0,)</f>
        <v>1</v>
      </c>
      <c r="N50" s="211"/>
      <c r="O50" s="206" t="str">
        <f>IF(Pipe_data[[#This Row],[ID]]&gt;0, IF(Pipe_data[[#This Row],[Assumed diversity from model]]=1, "Feed", "Main"), "-" )</f>
        <v>Feed</v>
      </c>
      <c r="P50" s="240">
        <v>0</v>
      </c>
      <c r="Q50" s="274">
        <f>IF(Pipe_data[[#This Row],[Phase overwrite]]&gt;0,Pipe_data[[#This Row],[Phase overwrite]],
IF(Pipe_data[[#This Row],[Tag]]="Feed",
_xlfn.XLOOKUP(Pipe_data[[#This Row],[Connected buildings ID]],'Heat connections'!$D$5:$D$242,'Heat connections'!$M$5:$M$242,1,0,1),1))</f>
        <v>1</v>
      </c>
      <c r="R50" s="499">
        <f>IF(Pipe_data[[#This Row],[Surface]]="Hard (Default)",
_xlfn.XLOOKUP(Pipe_data[[#This Row],[Nominal Diameter]],'Technical inputs'!$B$79:$B$100,'Technical inputs'!$C$79:$C$100,0,0,1),
_xlfn.XLOOKUP(Pipe_data[[#This Row],[Nominal Diameter]],'Technical inputs'!$B$79:$B$100,'Technical inputs'!$D$79:$D$100,0,0,1)) * Pipe_data[[#This Row],[Length]]</f>
        <v>47214.260754718423</v>
      </c>
    </row>
    <row r="51" spans="3:18" x14ac:dyDescent="0.25">
      <c r="C51" s="206" t="str" cm="1">
        <f t="array" ref="C51">_xlfn.XLOOKUP(C$4,Pipe_data_input[#Headers],'Pipe data inputs'!C50:O50,0,0,)</f>
        <v>sgIQQfdWW+kaLUOl</v>
      </c>
      <c r="D51" s="293" cm="1">
        <f t="array" ref="D51">_xlfn.XLOOKUP(D$4,Pipe_data_input[#Headers],'Pipe data inputs'!C50:O50,0,0,)</f>
        <v>13.793627000000001</v>
      </c>
      <c r="E51" s="206" t="str" cm="1">
        <f t="array" ref="E51">_xlfn.XLOOKUP(E$4,Pipe_data_input[#Headers],'Pipe data inputs'!C50:O50,0,0,)</f>
        <v>Hard (default)</v>
      </c>
      <c r="F51" s="206" cm="1">
        <f t="array" ref="F51">_xlfn.XLOOKUP(F$4,Pipe_data_input[#Headers],'Pipe data inputs'!C50:O50,0,0,)</f>
        <v>40</v>
      </c>
      <c r="G51" s="241" cm="1">
        <f t="array" ref="G51">_xlfn.XLOOKUP(G$4,Pipe_data_input[#Headers],'Pipe data inputs'!C50:O50,0,0,)</f>
        <v>2470.2560214940422</v>
      </c>
      <c r="H51" s="241" cm="1">
        <f t="array" ref="H51">_xlfn.XLOOKUP(H$4,Pipe_data_input[#Headers],'Pipe data inputs'!C50:O50,0,0,)</f>
        <v>83.601570015664905</v>
      </c>
      <c r="I51" s="206" cm="1">
        <f t="array" ref="I51">_xlfn.XLOOKUP(I$4,Pipe_data_input[#Headers],'Pipe data inputs'!C50:O50,0,0,)</f>
        <v>0</v>
      </c>
      <c r="J51" s="206" cm="1">
        <f t="array" ref="J51">_xlfn.XLOOKUP(J$4,Pipe_data_input[#Headers],'Pipe data inputs'!C50:O50,0,0,)</f>
        <v>0</v>
      </c>
      <c r="K51" s="206" cm="1">
        <f t="array" ref="K51">_xlfn.XLOOKUP(K$4,Pipe_data_input[#Headers],'Pipe data inputs'!C50:O50,0,0,)</f>
        <v>0</v>
      </c>
      <c r="L51" s="206" cm="1">
        <f t="array" ref="L51">_xlfn.XLOOKUP(L$4,Pipe_data_input[#Headers],'Pipe data inputs'!C50:O50,0,0,)</f>
        <v>0</v>
      </c>
      <c r="M51" s="295" cm="1">
        <f t="array" ref="M51">_xlfn.XLOOKUP(M$4,Pipe_data_input[#Headers],'Pipe data inputs'!C50:O50,0,0,)</f>
        <v>0.81</v>
      </c>
      <c r="N51" s="211"/>
      <c r="O51" s="206" t="str">
        <f>IF(Pipe_data[[#This Row],[ID]]&gt;0, IF(Pipe_data[[#This Row],[Assumed diversity from model]]=1, "Feed", "Main"), "-" )</f>
        <v>Main</v>
      </c>
      <c r="P51" s="240">
        <v>0</v>
      </c>
      <c r="Q51" s="274">
        <f>IF(Pipe_data[[#This Row],[Phase overwrite]]&gt;0,Pipe_data[[#This Row],[Phase overwrite]],
IF(Pipe_data[[#This Row],[Tag]]="Feed",
_xlfn.XLOOKUP(Pipe_data[[#This Row],[Connected buildings ID]],'Heat connections'!$D$5:$D$242,'Heat connections'!$M$5:$M$242,1,0,1),1))</f>
        <v>1</v>
      </c>
      <c r="R51" s="499">
        <f>IF(Pipe_data[[#This Row],[Surface]]="Hard (Default)",
_xlfn.XLOOKUP(Pipe_data[[#This Row],[Nominal Diameter]],'Technical inputs'!$B$79:$B$100,'Technical inputs'!$C$79:$C$100,0,0,1),
_xlfn.XLOOKUP(Pipe_data[[#This Row],[Nominal Diameter]],'Technical inputs'!$B$79:$B$100,'Technical inputs'!$D$79:$D$100,0,0,1)) * Pipe_data[[#This Row],[Length]]</f>
        <v>33352.094987427699</v>
      </c>
    </row>
    <row r="52" spans="3:18" x14ac:dyDescent="0.25">
      <c r="C52" s="206" t="str" cm="1">
        <f t="array" ref="C52">_xlfn.XLOOKUP(C$4,Pipe_data_input[#Headers],'Pipe data inputs'!C51:O51,0,0,)</f>
        <v>ziAcyhmBIfKG9afK</v>
      </c>
      <c r="D52" s="293" cm="1">
        <f t="array" ref="D52">_xlfn.XLOOKUP(D$4,Pipe_data_input[#Headers],'Pipe data inputs'!C51:O51,0,0,)</f>
        <v>29.890394000000001</v>
      </c>
      <c r="E52" s="206" t="str" cm="1">
        <f t="array" ref="E52">_xlfn.XLOOKUP(E$4,Pipe_data_input[#Headers],'Pipe data inputs'!C51:O51,0,0,)</f>
        <v>Hard (default)</v>
      </c>
      <c r="F52" s="206" cm="1">
        <f t="array" ref="F52">_xlfn.XLOOKUP(F$4,Pipe_data_input[#Headers],'Pipe data inputs'!C51:O51,0,0,)</f>
        <v>80</v>
      </c>
      <c r="G52" s="241" cm="1">
        <f t="array" ref="G52">_xlfn.XLOOKUP(G$4,Pipe_data_input[#Headers],'Pipe data inputs'!C51:O51,0,0,)</f>
        <v>6784.1684813763577</v>
      </c>
      <c r="H52" s="241" cm="1">
        <f t="array" ref="H52">_xlfn.XLOOKUP(H$4,Pipe_data_input[#Headers],'Pipe data inputs'!C51:O51,0,0,)</f>
        <v>709.63623789476401</v>
      </c>
      <c r="I52" s="206" cm="1">
        <f t="array" ref="I52">_xlfn.XLOOKUP(I$4,Pipe_data_input[#Headers],'Pipe data inputs'!C51:O51,0,0,)</f>
        <v>0</v>
      </c>
      <c r="J52" s="206" cm="1">
        <f t="array" ref="J52">_xlfn.XLOOKUP(J$4,Pipe_data_input[#Headers],'Pipe data inputs'!C51:O51,0,0,)</f>
        <v>0</v>
      </c>
      <c r="K52" s="206" cm="1">
        <f t="array" ref="K52">_xlfn.XLOOKUP(K$4,Pipe_data_input[#Headers],'Pipe data inputs'!C51:O51,0,0,)</f>
        <v>0</v>
      </c>
      <c r="L52" s="206" cm="1">
        <f t="array" ref="L52">_xlfn.XLOOKUP(L$4,Pipe_data_input[#Headers],'Pipe data inputs'!C51:O51,0,0,)</f>
        <v>0</v>
      </c>
      <c r="M52" s="295" cm="1">
        <f t="array" ref="M52">_xlfn.XLOOKUP(M$4,Pipe_data_input[#Headers],'Pipe data inputs'!C51:O51,0,0,)</f>
        <v>1</v>
      </c>
      <c r="N52" s="211"/>
      <c r="O52" s="206" t="str">
        <f>IF(Pipe_data[[#This Row],[ID]]&gt;0, IF(Pipe_data[[#This Row],[Assumed diversity from model]]=1, "Feed", "Main"), "-" )</f>
        <v>Feed</v>
      </c>
      <c r="P52" s="240">
        <v>0</v>
      </c>
      <c r="Q52" s="274">
        <f>IF(Pipe_data[[#This Row],[Phase overwrite]]&gt;0,Pipe_data[[#This Row],[Phase overwrite]],
IF(Pipe_data[[#This Row],[Tag]]="Feed",
_xlfn.XLOOKUP(Pipe_data[[#This Row],[Connected buildings ID]],'Heat connections'!$D$5:$D$242,'Heat connections'!$M$5:$M$242,1,0,1),1))</f>
        <v>1</v>
      </c>
      <c r="R52" s="499">
        <f>IF(Pipe_data[[#This Row],[Surface]]="Hard (Default)",
_xlfn.XLOOKUP(Pipe_data[[#This Row],[Nominal Diameter]],'Technical inputs'!$B$79:$B$100,'Technical inputs'!$C$79:$C$100,0,0,1),
_xlfn.XLOOKUP(Pipe_data[[#This Row],[Nominal Diameter]],'Technical inputs'!$B$79:$B$100,'Technical inputs'!$D$79:$D$100,0,0,1)) * Pipe_data[[#This Row],[Length]]</f>
        <v>81711.144840786859</v>
      </c>
    </row>
    <row r="53" spans="3:18" x14ac:dyDescent="0.25">
      <c r="C53" s="206" t="str" cm="1">
        <f t="array" ref="C53">_xlfn.XLOOKUP(C$4,Pipe_data_input[#Headers],'Pipe data inputs'!C52:O52,0,0,)</f>
        <v>5u+Q/yaf6tSUuDiH</v>
      </c>
      <c r="D53" s="293" cm="1">
        <f t="array" ref="D53">_xlfn.XLOOKUP(D$4,Pipe_data_input[#Headers],'Pipe data inputs'!C52:O52,0,0,)</f>
        <v>5.6778750000000002</v>
      </c>
      <c r="E53" s="206" t="str" cm="1">
        <f t="array" ref="E53">_xlfn.XLOOKUP(E$4,Pipe_data_input[#Headers],'Pipe data inputs'!C52:O52,0,0,)</f>
        <v>Hard (default)</v>
      </c>
      <c r="F53" s="206" cm="1">
        <f t="array" ref="F53">_xlfn.XLOOKUP(F$4,Pipe_data_input[#Headers],'Pipe data inputs'!C52:O52,0,0,)</f>
        <v>125</v>
      </c>
      <c r="G53" s="241" cm="1">
        <f t="array" ref="G53">_xlfn.XLOOKUP(G$4,Pipe_data_input[#Headers],'Pipe data inputs'!C52:O52,0,0,)</f>
        <v>1571.0701735284267</v>
      </c>
      <c r="H53" s="241" cm="1">
        <f t="array" ref="H53">_xlfn.XLOOKUP(H$4,Pipe_data_input[#Headers],'Pipe data inputs'!C52:O52,0,0,)</f>
        <v>1523.083984375</v>
      </c>
      <c r="I53" s="206" cm="1">
        <f t="array" ref="I53">_xlfn.XLOOKUP(I$4,Pipe_data_input[#Headers],'Pipe data inputs'!C52:O52,0,0,)</f>
        <v>0</v>
      </c>
      <c r="J53" s="206" cm="1">
        <f t="array" ref="J53">_xlfn.XLOOKUP(J$4,Pipe_data_input[#Headers],'Pipe data inputs'!C52:O52,0,0,)</f>
        <v>0</v>
      </c>
      <c r="K53" s="206" cm="1">
        <f t="array" ref="K53">_xlfn.XLOOKUP(K$4,Pipe_data_input[#Headers],'Pipe data inputs'!C52:O52,0,0,)</f>
        <v>0</v>
      </c>
      <c r="L53" s="206" cm="1">
        <f t="array" ref="L53">_xlfn.XLOOKUP(L$4,Pipe_data_input[#Headers],'Pipe data inputs'!C52:O52,0,0,)</f>
        <v>0</v>
      </c>
      <c r="M53" s="295" cm="1">
        <f t="array" ref="M53">_xlfn.XLOOKUP(M$4,Pipe_data_input[#Headers],'Pipe data inputs'!C52:O52,0,0,)</f>
        <v>0.80547730167345055</v>
      </c>
      <c r="N53" s="211"/>
      <c r="O53" s="206" t="str">
        <f>IF(Pipe_data[[#This Row],[ID]]&gt;0, IF(Pipe_data[[#This Row],[Assumed diversity from model]]=1, "Feed", "Main"), "-" )</f>
        <v>Main</v>
      </c>
      <c r="P53" s="240">
        <v>0</v>
      </c>
      <c r="Q53" s="274">
        <f>IF(Pipe_data[[#This Row],[Phase overwrite]]&gt;0,Pipe_data[[#This Row],[Phase overwrite]],
IF(Pipe_data[[#This Row],[Tag]]="Feed",
_xlfn.XLOOKUP(Pipe_data[[#This Row],[Connected buildings ID]],'Heat connections'!$D$5:$D$242,'Heat connections'!$M$5:$M$242,1,0,1),1))</f>
        <v>1</v>
      </c>
      <c r="R53" s="499">
        <f>IF(Pipe_data[[#This Row],[Surface]]="Hard (Default)",
_xlfn.XLOOKUP(Pipe_data[[#This Row],[Nominal Diameter]],'Technical inputs'!$B$79:$B$100,'Technical inputs'!$C$79:$C$100,0,0,1),
_xlfn.XLOOKUP(Pipe_data[[#This Row],[Nominal Diameter]],'Technical inputs'!$B$79:$B$100,'Technical inputs'!$D$79:$D$100,0,0,1)) * Pipe_data[[#This Row],[Length]]</f>
        <v>17397.679190435738</v>
      </c>
    </row>
    <row r="54" spans="3:18" x14ac:dyDescent="0.25">
      <c r="C54" s="206" t="str" cm="1">
        <f t="array" ref="C54">_xlfn.XLOOKUP(C$4,Pipe_data_input[#Headers],'Pipe data inputs'!C53:O53,0,0,)</f>
        <v>nqyHr6BK8NNIlg4V</v>
      </c>
      <c r="D54" s="293" cm="1">
        <f t="array" ref="D54">_xlfn.XLOOKUP(D$4,Pipe_data_input[#Headers],'Pipe data inputs'!C53:O53,0,0,)</f>
        <v>4.351604</v>
      </c>
      <c r="E54" s="206" t="str" cm="1">
        <f t="array" ref="E54">_xlfn.XLOOKUP(E$4,Pipe_data_input[#Headers],'Pipe data inputs'!C53:O53,0,0,)</f>
        <v>Hard (default)</v>
      </c>
      <c r="F54" s="206" cm="1">
        <f t="array" ref="F54">_xlfn.XLOOKUP(F$4,Pipe_data_input[#Headers],'Pipe data inputs'!C53:O53,0,0,)</f>
        <v>80</v>
      </c>
      <c r="G54" s="241" cm="1">
        <f t="array" ref="G54">_xlfn.XLOOKUP(G$4,Pipe_data_input[#Headers],'Pipe data inputs'!C53:O53,0,0,)</f>
        <v>1044.3979425115144</v>
      </c>
      <c r="H54" s="241" cm="1">
        <f t="array" ref="H54">_xlfn.XLOOKUP(H$4,Pipe_data_input[#Headers],'Pipe data inputs'!C53:O53,0,0,)</f>
        <v>617.18597412109398</v>
      </c>
      <c r="I54" s="206" cm="1">
        <f t="array" ref="I54">_xlfn.XLOOKUP(I$4,Pipe_data_input[#Headers],'Pipe data inputs'!C53:O53,0,0,)</f>
        <v>0</v>
      </c>
      <c r="J54" s="206" cm="1">
        <f t="array" ref="J54">_xlfn.XLOOKUP(J$4,Pipe_data_input[#Headers],'Pipe data inputs'!C53:O53,0,0,)</f>
        <v>0</v>
      </c>
      <c r="K54" s="206" cm="1">
        <f t="array" ref="K54">_xlfn.XLOOKUP(K$4,Pipe_data_input[#Headers],'Pipe data inputs'!C53:O53,0,0,)</f>
        <v>0</v>
      </c>
      <c r="L54" s="206" cm="1">
        <f t="array" ref="L54">_xlfn.XLOOKUP(L$4,Pipe_data_input[#Headers],'Pipe data inputs'!C53:O53,0,0,)</f>
        <v>0</v>
      </c>
      <c r="M54" s="295" cm="1">
        <f t="array" ref="M54">_xlfn.XLOOKUP(M$4,Pipe_data_input[#Headers],'Pipe data inputs'!C53:O53,0,0,)</f>
        <v>0.7294998052048729</v>
      </c>
      <c r="N54" s="211"/>
      <c r="O54" s="206" t="str">
        <f>IF(Pipe_data[[#This Row],[ID]]&gt;0, IF(Pipe_data[[#This Row],[Assumed diversity from model]]=1, "Feed", "Main"), "-" )</f>
        <v>Main</v>
      </c>
      <c r="P54" s="240">
        <v>0</v>
      </c>
      <c r="Q54" s="274">
        <f>IF(Pipe_data[[#This Row],[Phase overwrite]]&gt;0,Pipe_data[[#This Row],[Phase overwrite]],
IF(Pipe_data[[#This Row],[Tag]]="Feed",
_xlfn.XLOOKUP(Pipe_data[[#This Row],[Connected buildings ID]],'Heat connections'!$D$5:$D$242,'Heat connections'!$M$5:$M$242,1,0,1),1))</f>
        <v>1</v>
      </c>
      <c r="R54" s="499">
        <f>IF(Pipe_data[[#This Row],[Surface]]="Hard (Default)",
_xlfn.XLOOKUP(Pipe_data[[#This Row],[Nominal Diameter]],'Technical inputs'!$B$79:$B$100,'Technical inputs'!$C$79:$C$100,0,0,1),
_xlfn.XLOOKUP(Pipe_data[[#This Row],[Nominal Diameter]],'Technical inputs'!$B$79:$B$100,'Technical inputs'!$D$79:$D$100,0,0,1)) * Pipe_data[[#This Row],[Length]]</f>
        <v>11895.947063586631</v>
      </c>
    </row>
    <row r="55" spans="3:18" x14ac:dyDescent="0.25">
      <c r="C55" s="206" t="str" cm="1">
        <f t="array" ref="C55">_xlfn.XLOOKUP(C$4,Pipe_data_input[#Headers],'Pipe data inputs'!C54:O54,0,0,)</f>
        <v>xYytH2rzpzBJqHpP</v>
      </c>
      <c r="D55" s="293" cm="1">
        <f t="array" ref="D55">_xlfn.XLOOKUP(D$4,Pipe_data_input[#Headers],'Pipe data inputs'!C54:O54,0,0,)</f>
        <v>7.6132726999999996</v>
      </c>
      <c r="E55" s="206" t="str" cm="1">
        <f t="array" ref="E55">_xlfn.XLOOKUP(E$4,Pipe_data_input[#Headers],'Pipe data inputs'!C54:O54,0,0,)</f>
        <v>Hard (default)</v>
      </c>
      <c r="F55" s="206" cm="1">
        <f t="array" ref="F55">_xlfn.XLOOKUP(F$4,Pipe_data_input[#Headers],'Pipe data inputs'!C54:O54,0,0,)</f>
        <v>25</v>
      </c>
      <c r="G55" s="241" cm="1">
        <f t="array" ref="G55">_xlfn.XLOOKUP(G$4,Pipe_data_input[#Headers],'Pipe data inputs'!C54:O54,0,0,)</f>
        <v>901.00029685529955</v>
      </c>
      <c r="H55" s="241" cm="1">
        <f t="array" ref="H55">_xlfn.XLOOKUP(H$4,Pipe_data_input[#Headers],'Pipe data inputs'!C54:O54,0,0,)</f>
        <v>25.546085357666001</v>
      </c>
      <c r="I55" s="206" cm="1">
        <f t="array" ref="I55">_xlfn.XLOOKUP(I$4,Pipe_data_input[#Headers],'Pipe data inputs'!C54:O54,0,0,)</f>
        <v>0</v>
      </c>
      <c r="J55" s="206" cm="1">
        <f t="array" ref="J55">_xlfn.XLOOKUP(J$4,Pipe_data_input[#Headers],'Pipe data inputs'!C54:O54,0,0,)</f>
        <v>0</v>
      </c>
      <c r="K55" s="206" cm="1">
        <f t="array" ref="K55">_xlfn.XLOOKUP(K$4,Pipe_data_input[#Headers],'Pipe data inputs'!C54:O54,0,0,)</f>
        <v>0</v>
      </c>
      <c r="L55" s="206" cm="1">
        <f t="array" ref="L55">_xlfn.XLOOKUP(L$4,Pipe_data_input[#Headers],'Pipe data inputs'!C54:O54,0,0,)</f>
        <v>0</v>
      </c>
      <c r="M55" s="295" cm="1">
        <f t="array" ref="M55">_xlfn.XLOOKUP(M$4,Pipe_data_input[#Headers],'Pipe data inputs'!C54:O54,0,0,)</f>
        <v>0.81000000000011196</v>
      </c>
      <c r="N55" s="212"/>
      <c r="O55" s="206" t="str">
        <f>IF(Pipe_data[[#This Row],[ID]]&gt;0, IF(Pipe_data[[#This Row],[Assumed diversity from model]]=1, "Feed", "Main"), "-" )</f>
        <v>Main</v>
      </c>
      <c r="P55" s="240">
        <v>0</v>
      </c>
      <c r="Q55" s="274">
        <f>IF(Pipe_data[[#This Row],[Phase overwrite]]&gt;0,Pipe_data[[#This Row],[Phase overwrite]],
IF(Pipe_data[[#This Row],[Tag]]="Feed",
_xlfn.XLOOKUP(Pipe_data[[#This Row],[Connected buildings ID]],'Heat connections'!$D$5:$D$242,'Heat connections'!$M$5:$M$242,1,0,1),1))</f>
        <v>1</v>
      </c>
      <c r="R55" s="499">
        <f>IF(Pipe_data[[#This Row],[Surface]]="Hard (Default)",
_xlfn.XLOOKUP(Pipe_data[[#This Row],[Nominal Diameter]],'Technical inputs'!$B$79:$B$100,'Technical inputs'!$C$79:$C$100,0,0,1),
_xlfn.XLOOKUP(Pipe_data[[#This Row],[Nominal Diameter]],'Technical inputs'!$B$79:$B$100,'Technical inputs'!$D$79:$D$100,0,0,1)) * Pipe_data[[#This Row],[Length]]</f>
        <v>16410.97977366616</v>
      </c>
    </row>
    <row r="56" spans="3:18" x14ac:dyDescent="0.25">
      <c r="C56" s="206" t="str" cm="1">
        <f t="array" ref="C56">_xlfn.XLOOKUP(C$4,Pipe_data_input[#Headers],'Pipe data inputs'!C55:O55,0,0,)</f>
        <v>AblY6FIJIl9447qs</v>
      </c>
      <c r="D56" s="293" cm="1">
        <f t="array" ref="D56">_xlfn.XLOOKUP(D$4,Pipe_data_input[#Headers],'Pipe data inputs'!C55:O55,0,0,)</f>
        <v>6.1021570000000001</v>
      </c>
      <c r="E56" s="206" t="str" cm="1">
        <f t="array" ref="E56">_xlfn.XLOOKUP(E$4,Pipe_data_input[#Headers],'Pipe data inputs'!C55:O55,0,0,)</f>
        <v>Hard (default)</v>
      </c>
      <c r="F56" s="206" cm="1">
        <f t="array" ref="F56">_xlfn.XLOOKUP(F$4,Pipe_data_input[#Headers],'Pipe data inputs'!C55:O55,0,0,)</f>
        <v>200</v>
      </c>
      <c r="G56" s="241" cm="1">
        <f t="array" ref="G56">_xlfn.XLOOKUP(G$4,Pipe_data_input[#Headers],'Pipe data inputs'!C55:O55,0,0,)</f>
        <v>2001.8335023726406</v>
      </c>
      <c r="H56" s="241" cm="1">
        <f t="array" ref="H56">_xlfn.XLOOKUP(H$4,Pipe_data_input[#Headers],'Pipe data inputs'!C55:O55,0,0,)</f>
        <v>5825.9935531513001</v>
      </c>
      <c r="I56" s="206" cm="1">
        <f t="array" ref="I56">_xlfn.XLOOKUP(I$4,Pipe_data_input[#Headers],'Pipe data inputs'!C55:O55,0,0,)</f>
        <v>0</v>
      </c>
      <c r="J56" s="206" cm="1">
        <f t="array" ref="J56">_xlfn.XLOOKUP(J$4,Pipe_data_input[#Headers],'Pipe data inputs'!C55:O55,0,0,)</f>
        <v>0</v>
      </c>
      <c r="K56" s="206" cm="1">
        <f t="array" ref="K56">_xlfn.XLOOKUP(K$4,Pipe_data_input[#Headers],'Pipe data inputs'!C55:O55,0,0,)</f>
        <v>0</v>
      </c>
      <c r="L56" s="206" cm="1">
        <f t="array" ref="L56">_xlfn.XLOOKUP(L$4,Pipe_data_input[#Headers],'Pipe data inputs'!C55:O55,0,0,)</f>
        <v>0</v>
      </c>
      <c r="M56" s="295" cm="1">
        <f t="array" ref="M56">_xlfn.XLOOKUP(M$4,Pipe_data_input[#Headers],'Pipe data inputs'!C55:O55,0,0,)</f>
        <v>1</v>
      </c>
      <c r="N56" s="210"/>
      <c r="O56" s="206" t="str">
        <f>IF(Pipe_data[[#This Row],[ID]]&gt;0, IF(Pipe_data[[#This Row],[Assumed diversity from model]]=1, "Feed", "Main"), "-" )</f>
        <v>Feed</v>
      </c>
      <c r="P56" s="240">
        <v>0</v>
      </c>
      <c r="Q56" s="274">
        <f>IF(Pipe_data[[#This Row],[Phase overwrite]]&gt;0,Pipe_data[[#This Row],[Phase overwrite]],
IF(Pipe_data[[#This Row],[Tag]]="Feed",
_xlfn.XLOOKUP(Pipe_data[[#This Row],[Connected buildings ID]],'Heat connections'!$D$5:$D$242,'Heat connections'!$M$5:$M$242,1,0,1),1))</f>
        <v>1</v>
      </c>
      <c r="R56" s="499">
        <f>IF(Pipe_data[[#This Row],[Surface]]="Hard (Default)",
_xlfn.XLOOKUP(Pipe_data[[#This Row],[Nominal Diameter]],'Technical inputs'!$B$79:$B$100,'Technical inputs'!$C$79:$C$100,0,0,1),
_xlfn.XLOOKUP(Pipe_data[[#This Row],[Nominal Diameter]],'Technical inputs'!$B$79:$B$100,'Technical inputs'!$D$79:$D$100,0,0,1)) * Pipe_data[[#This Row],[Length]]</f>
        <v>23446.131378135382</v>
      </c>
    </row>
    <row r="57" spans="3:18" x14ac:dyDescent="0.25">
      <c r="C57" s="206" t="str" cm="1">
        <f t="array" ref="C57">_xlfn.XLOOKUP(C$4,Pipe_data_input[#Headers],'Pipe data inputs'!C56:O56,0,0,)</f>
        <v>kcNRQ9CotlqCTN73</v>
      </c>
      <c r="D57" s="293" cm="1">
        <f t="array" ref="D57">_xlfn.XLOOKUP(D$4,Pipe_data_input[#Headers],'Pipe data inputs'!C56:O56,0,0,)</f>
        <v>6.2894964</v>
      </c>
      <c r="E57" s="206" t="str" cm="1">
        <f t="array" ref="E57">_xlfn.XLOOKUP(E$4,Pipe_data_input[#Headers],'Pipe data inputs'!C56:O56,0,0,)</f>
        <v>Hard (default)</v>
      </c>
      <c r="F57" s="206" cm="1">
        <f t="array" ref="F57">_xlfn.XLOOKUP(F$4,Pipe_data_input[#Headers],'Pipe data inputs'!C56:O56,0,0,)</f>
        <v>80</v>
      </c>
      <c r="G57" s="241" cm="1">
        <f t="array" ref="G57">_xlfn.XLOOKUP(G$4,Pipe_data_input[#Headers],'Pipe data inputs'!C56:O56,0,0,)</f>
        <v>1489.2621905772787</v>
      </c>
      <c r="H57" s="241" cm="1">
        <f t="array" ref="H57">_xlfn.XLOOKUP(H$4,Pipe_data_input[#Headers],'Pipe data inputs'!C56:O56,0,0,)</f>
        <v>562.93208777304994</v>
      </c>
      <c r="I57" s="206" cm="1">
        <f t="array" ref="I57">_xlfn.XLOOKUP(I$4,Pipe_data_input[#Headers],'Pipe data inputs'!C56:O56,0,0,)</f>
        <v>0</v>
      </c>
      <c r="J57" s="206" cm="1">
        <f t="array" ref="J57">_xlfn.XLOOKUP(J$4,Pipe_data_input[#Headers],'Pipe data inputs'!C56:O56,0,0,)</f>
        <v>0</v>
      </c>
      <c r="K57" s="206" cm="1">
        <f t="array" ref="K57">_xlfn.XLOOKUP(K$4,Pipe_data_input[#Headers],'Pipe data inputs'!C56:O56,0,0,)</f>
        <v>0</v>
      </c>
      <c r="L57" s="206" cm="1">
        <f t="array" ref="L57">_xlfn.XLOOKUP(L$4,Pipe_data_input[#Headers],'Pipe data inputs'!C56:O56,0,0,)</f>
        <v>0</v>
      </c>
      <c r="M57" s="295" cm="1">
        <f t="array" ref="M57">_xlfn.XLOOKUP(M$4,Pipe_data_input[#Headers],'Pipe data inputs'!C56:O56,0,0,)</f>
        <v>0.65</v>
      </c>
      <c r="N57" s="211"/>
      <c r="O57" s="206" t="str">
        <f>IF(Pipe_data[[#This Row],[ID]]&gt;0, IF(Pipe_data[[#This Row],[Assumed diversity from model]]=1, "Feed", "Main"), "-" )</f>
        <v>Main</v>
      </c>
      <c r="P57" s="240">
        <v>0</v>
      </c>
      <c r="Q57" s="274">
        <f>IF(Pipe_data[[#This Row],[Phase overwrite]]&gt;0,Pipe_data[[#This Row],[Phase overwrite]],
IF(Pipe_data[[#This Row],[Tag]]="Feed",
_xlfn.XLOOKUP(Pipe_data[[#This Row],[Connected buildings ID]],'Heat connections'!$D$5:$D$242,'Heat connections'!$M$5:$M$242,1,0,1),1))</f>
        <v>1</v>
      </c>
      <c r="R57" s="499">
        <f>IF(Pipe_data[[#This Row],[Surface]]="Hard (Default)",
_xlfn.XLOOKUP(Pipe_data[[#This Row],[Nominal Diameter]],'Technical inputs'!$B$79:$B$100,'Technical inputs'!$C$79:$C$100,0,0,1),
_xlfn.XLOOKUP(Pipe_data[[#This Row],[Nominal Diameter]],'Technical inputs'!$B$79:$B$100,'Technical inputs'!$D$79:$D$100,0,0,1)) * Pipe_data[[#This Row],[Length]]</f>
        <v>17193.548914611412</v>
      </c>
    </row>
    <row r="58" spans="3:18" x14ac:dyDescent="0.25">
      <c r="C58" s="206" t="str" cm="1">
        <f t="array" ref="C58">_xlfn.XLOOKUP(C$4,Pipe_data_input[#Headers],'Pipe data inputs'!C57:O57,0,0,)</f>
        <v>LdGnLcQMknyuUajC</v>
      </c>
      <c r="D58" s="293" cm="1">
        <f t="array" ref="D58">_xlfn.XLOOKUP(D$4,Pipe_data_input[#Headers],'Pipe data inputs'!C57:O57,0,0,)</f>
        <v>16.678473</v>
      </c>
      <c r="E58" s="206" t="str" cm="1">
        <f t="array" ref="E58">_xlfn.XLOOKUP(E$4,Pipe_data_input[#Headers],'Pipe data inputs'!C57:O57,0,0,)</f>
        <v>Hard (default)</v>
      </c>
      <c r="F58" s="206" cm="1">
        <f t="array" ref="F58">_xlfn.XLOOKUP(F$4,Pipe_data_input[#Headers],'Pipe data inputs'!C57:O57,0,0,)</f>
        <v>65</v>
      </c>
      <c r="G58" s="241" cm="1">
        <f t="array" ref="G58">_xlfn.XLOOKUP(G$4,Pipe_data_input[#Headers],'Pipe data inputs'!C57:O57,0,0,)</f>
        <v>3466.0963092910329</v>
      </c>
      <c r="H58" s="241" cm="1">
        <f t="array" ref="H58">_xlfn.XLOOKUP(H$4,Pipe_data_input[#Headers],'Pipe data inputs'!C57:O57,0,0,)</f>
        <v>263.868719256367</v>
      </c>
      <c r="I58" s="206" cm="1">
        <f t="array" ref="I58">_xlfn.XLOOKUP(I$4,Pipe_data_input[#Headers],'Pipe data inputs'!C57:O57,0,0,)</f>
        <v>0</v>
      </c>
      <c r="J58" s="206" cm="1">
        <f t="array" ref="J58">_xlfn.XLOOKUP(J$4,Pipe_data_input[#Headers],'Pipe data inputs'!C57:O57,0,0,)</f>
        <v>0</v>
      </c>
      <c r="K58" s="206" cm="1">
        <f t="array" ref="K58">_xlfn.XLOOKUP(K$4,Pipe_data_input[#Headers],'Pipe data inputs'!C57:O57,0,0,)</f>
        <v>0</v>
      </c>
      <c r="L58" s="206" cm="1">
        <f t="array" ref="L58">_xlfn.XLOOKUP(L$4,Pipe_data_input[#Headers],'Pipe data inputs'!C57:O57,0,0,)</f>
        <v>0</v>
      </c>
      <c r="M58" s="295" cm="1">
        <f t="array" ref="M58">_xlfn.XLOOKUP(M$4,Pipe_data_input[#Headers],'Pipe data inputs'!C57:O57,0,0,)</f>
        <v>0.7</v>
      </c>
      <c r="N58" s="211"/>
      <c r="O58" s="206" t="str">
        <f>IF(Pipe_data[[#This Row],[ID]]&gt;0, IF(Pipe_data[[#This Row],[Assumed diversity from model]]=1, "Feed", "Main"), "-" )</f>
        <v>Main</v>
      </c>
      <c r="P58" s="240">
        <v>0</v>
      </c>
      <c r="Q58" s="274">
        <f>IF(Pipe_data[[#This Row],[Phase overwrite]]&gt;0,Pipe_data[[#This Row],[Phase overwrite]],
IF(Pipe_data[[#This Row],[Tag]]="Feed",
_xlfn.XLOOKUP(Pipe_data[[#This Row],[Connected buildings ID]],'Heat connections'!$D$5:$D$242,'Heat connections'!$M$5:$M$242,1,0,1),1))</f>
        <v>1</v>
      </c>
      <c r="R58" s="499">
        <f>IF(Pipe_data[[#This Row],[Surface]]="Hard (Default)",
_xlfn.XLOOKUP(Pipe_data[[#This Row],[Nominal Diameter]],'Technical inputs'!$B$79:$B$100,'Technical inputs'!$C$79:$C$100,0,0,1),
_xlfn.XLOOKUP(Pipe_data[[#This Row],[Nominal Diameter]],'Technical inputs'!$B$79:$B$100,'Technical inputs'!$D$79:$D$100,0,0,1)) * Pipe_data[[#This Row],[Length]]</f>
        <v>43762.714267074844</v>
      </c>
    </row>
    <row r="59" spans="3:18" x14ac:dyDescent="0.25">
      <c r="C59" s="206" t="str" cm="1">
        <f t="array" ref="C59">_xlfn.XLOOKUP(C$4,Pipe_data_input[#Headers],'Pipe data inputs'!C58:O58,0,0,)</f>
        <v>VHOeiTJ/ais4nZS9</v>
      </c>
      <c r="D59" s="293" cm="1">
        <f t="array" ref="D59">_xlfn.XLOOKUP(D$4,Pipe_data_input[#Headers],'Pipe data inputs'!C58:O58,0,0,)</f>
        <v>10.622226</v>
      </c>
      <c r="E59" s="206" t="str" cm="1">
        <f t="array" ref="E59">_xlfn.XLOOKUP(E$4,Pipe_data_input[#Headers],'Pipe data inputs'!C58:O58,0,0,)</f>
        <v>Hard (default)</v>
      </c>
      <c r="F59" s="206" cm="1">
        <f t="array" ref="F59">_xlfn.XLOOKUP(F$4,Pipe_data_input[#Headers],'Pipe data inputs'!C58:O58,0,0,)</f>
        <v>200</v>
      </c>
      <c r="G59" s="241" cm="1">
        <f t="array" ref="G59">_xlfn.XLOOKUP(G$4,Pipe_data_input[#Headers],'Pipe data inputs'!C58:O58,0,0,)</f>
        <v>3437.5104219690729</v>
      </c>
      <c r="H59" s="241" cm="1">
        <f t="array" ref="H59">_xlfn.XLOOKUP(H$4,Pipe_data_input[#Headers],'Pipe data inputs'!C58:O58,0,0,)</f>
        <v>5175.2299023437699</v>
      </c>
      <c r="I59" s="206" cm="1">
        <f t="array" ref="I59">_xlfn.XLOOKUP(I$4,Pipe_data_input[#Headers],'Pipe data inputs'!C58:O58,0,0,)</f>
        <v>0</v>
      </c>
      <c r="J59" s="206" cm="1">
        <f t="array" ref="J59">_xlfn.XLOOKUP(J$4,Pipe_data_input[#Headers],'Pipe data inputs'!C58:O58,0,0,)</f>
        <v>0</v>
      </c>
      <c r="K59" s="206" cm="1">
        <f t="array" ref="K59">_xlfn.XLOOKUP(K$4,Pipe_data_input[#Headers],'Pipe data inputs'!C58:O58,0,0,)</f>
        <v>0</v>
      </c>
      <c r="L59" s="206" cm="1">
        <f t="array" ref="L59">_xlfn.XLOOKUP(L$4,Pipe_data_input[#Headers],'Pipe data inputs'!C58:O58,0,0,)</f>
        <v>0</v>
      </c>
      <c r="M59" s="295" cm="1">
        <f t="array" ref="M59">_xlfn.XLOOKUP(M$4,Pipe_data_input[#Headers],'Pipe data inputs'!C58:O58,0,0,)</f>
        <v>0.64</v>
      </c>
      <c r="N59" s="211"/>
      <c r="O59" s="206" t="str">
        <f>IF(Pipe_data[[#This Row],[ID]]&gt;0, IF(Pipe_data[[#This Row],[Assumed diversity from model]]=1, "Feed", "Main"), "-" )</f>
        <v>Main</v>
      </c>
      <c r="P59" s="240">
        <v>0</v>
      </c>
      <c r="Q59" s="274">
        <f>IF(Pipe_data[[#This Row],[Phase overwrite]]&gt;0,Pipe_data[[#This Row],[Phase overwrite]],
IF(Pipe_data[[#This Row],[Tag]]="Feed",
_xlfn.XLOOKUP(Pipe_data[[#This Row],[Connected buildings ID]],'Heat connections'!$D$5:$D$242,'Heat connections'!$M$5:$M$242,1,0,1),1))</f>
        <v>1</v>
      </c>
      <c r="R59" s="499">
        <f>IF(Pipe_data[[#This Row],[Surface]]="Hard (Default)",
_xlfn.XLOOKUP(Pipe_data[[#This Row],[Nominal Diameter]],'Technical inputs'!$B$79:$B$100,'Technical inputs'!$C$79:$C$100,0,0,1),
_xlfn.XLOOKUP(Pipe_data[[#This Row],[Nominal Diameter]],'Technical inputs'!$B$79:$B$100,'Technical inputs'!$D$79:$D$100,0,0,1)) * Pipe_data[[#This Row],[Length]]</f>
        <v>40813.454377566079</v>
      </c>
    </row>
    <row r="60" spans="3:18" x14ac:dyDescent="0.25">
      <c r="C60" s="206" t="str" cm="1">
        <f t="array" ref="C60">_xlfn.XLOOKUP(C$4,Pipe_data_input[#Headers],'Pipe data inputs'!C59:O59,0,0,)</f>
        <v>S0fKpSm48f2AgV2z</v>
      </c>
      <c r="D60" s="293" cm="1">
        <f t="array" ref="D60">_xlfn.XLOOKUP(D$4,Pipe_data_input[#Headers],'Pipe data inputs'!C59:O59,0,0,)</f>
        <v>8.3645390000000006</v>
      </c>
      <c r="E60" s="206" t="str" cm="1">
        <f t="array" ref="E60">_xlfn.XLOOKUP(E$4,Pipe_data_input[#Headers],'Pipe data inputs'!C59:O59,0,0,)</f>
        <v>Hard (default)</v>
      </c>
      <c r="F60" s="206" cm="1">
        <f t="array" ref="F60">_xlfn.XLOOKUP(F$4,Pipe_data_input[#Headers],'Pipe data inputs'!C59:O59,0,0,)</f>
        <v>125</v>
      </c>
      <c r="G60" s="241" cm="1">
        <f t="array" ref="G60">_xlfn.XLOOKUP(G$4,Pipe_data_input[#Headers],'Pipe data inputs'!C59:O59,0,0,)</f>
        <v>2327.0540352611652</v>
      </c>
      <c r="H60" s="241" cm="1">
        <f t="array" ref="H60">_xlfn.XLOOKUP(H$4,Pipe_data_input[#Headers],'Pipe data inputs'!C59:O59,0,0,)</f>
        <v>1598.07043457031</v>
      </c>
      <c r="I60" s="206" cm="1">
        <f t="array" ref="I60">_xlfn.XLOOKUP(I$4,Pipe_data_input[#Headers],'Pipe data inputs'!C59:O59,0,0,)</f>
        <v>0</v>
      </c>
      <c r="J60" s="206" cm="1">
        <f t="array" ref="J60">_xlfn.XLOOKUP(J$4,Pipe_data_input[#Headers],'Pipe data inputs'!C59:O59,0,0,)</f>
        <v>0</v>
      </c>
      <c r="K60" s="206" cm="1">
        <f t="array" ref="K60">_xlfn.XLOOKUP(K$4,Pipe_data_input[#Headers],'Pipe data inputs'!C59:O59,0,0,)</f>
        <v>0</v>
      </c>
      <c r="L60" s="206" cm="1">
        <f t="array" ref="L60">_xlfn.XLOOKUP(L$4,Pipe_data_input[#Headers],'Pipe data inputs'!C59:O59,0,0,)</f>
        <v>0</v>
      </c>
      <c r="M60" s="295" cm="1">
        <f t="array" ref="M60">_xlfn.XLOOKUP(M$4,Pipe_data_input[#Headers],'Pipe data inputs'!C59:O59,0,0,)</f>
        <v>0.81000000000000183</v>
      </c>
      <c r="N60" s="211"/>
      <c r="O60" s="206" t="str">
        <f>IF(Pipe_data[[#This Row],[ID]]&gt;0, IF(Pipe_data[[#This Row],[Assumed diversity from model]]=1, "Feed", "Main"), "-" )</f>
        <v>Main</v>
      </c>
      <c r="P60" s="240">
        <v>0</v>
      </c>
      <c r="Q60" s="274">
        <f>IF(Pipe_data[[#This Row],[Phase overwrite]]&gt;0,Pipe_data[[#This Row],[Phase overwrite]],
IF(Pipe_data[[#This Row],[Tag]]="Feed",
_xlfn.XLOOKUP(Pipe_data[[#This Row],[Connected buildings ID]],'Heat connections'!$D$5:$D$242,'Heat connections'!$M$5:$M$242,1,0,1),1))</f>
        <v>1</v>
      </c>
      <c r="R60" s="499">
        <f>IF(Pipe_data[[#This Row],[Surface]]="Hard (Default)",
_xlfn.XLOOKUP(Pipe_data[[#This Row],[Nominal Diameter]],'Technical inputs'!$B$79:$B$100,'Technical inputs'!$C$79:$C$100,0,0,1),
_xlfn.XLOOKUP(Pipe_data[[#This Row],[Nominal Diameter]],'Technical inputs'!$B$79:$B$100,'Technical inputs'!$D$79:$D$100,0,0,1)) * Pipe_data[[#This Row],[Length]]</f>
        <v>25629.934807985057</v>
      </c>
    </row>
    <row r="61" spans="3:18" x14ac:dyDescent="0.25">
      <c r="C61" s="206" t="str" cm="1">
        <f t="array" ref="C61">_xlfn.XLOOKUP(C$4,Pipe_data_input[#Headers],'Pipe data inputs'!C60:O60,0,0,)</f>
        <v>74TlOjfaLXtu4Ofb</v>
      </c>
      <c r="D61" s="293" cm="1">
        <f t="array" ref="D61">_xlfn.XLOOKUP(D$4,Pipe_data_input[#Headers],'Pipe data inputs'!C60:O60,0,0,)</f>
        <v>6.1180744000000002</v>
      </c>
      <c r="E61" s="206" t="str" cm="1">
        <f t="array" ref="E61">_xlfn.XLOOKUP(E$4,Pipe_data_input[#Headers],'Pipe data inputs'!C60:O60,0,0,)</f>
        <v>Hard (default)</v>
      </c>
      <c r="F61" s="206" cm="1">
        <f t="array" ref="F61">_xlfn.XLOOKUP(F$4,Pipe_data_input[#Headers],'Pipe data inputs'!C60:O60,0,0,)</f>
        <v>20</v>
      </c>
      <c r="G61" s="241" cm="1">
        <f t="array" ref="G61">_xlfn.XLOOKUP(G$4,Pipe_data_input[#Headers],'Pipe data inputs'!C60:O60,0,0,)</f>
        <v>908.6306850456707</v>
      </c>
      <c r="H61" s="241" cm="1">
        <f t="array" ref="H61">_xlfn.XLOOKUP(H$4,Pipe_data_input[#Headers],'Pipe data inputs'!C60:O60,0,0,)</f>
        <v>2.91598506120499</v>
      </c>
      <c r="I61" s="206" cm="1">
        <f t="array" ref="I61">_xlfn.XLOOKUP(I$4,Pipe_data_input[#Headers],'Pipe data inputs'!C60:O60,0,0,)</f>
        <v>0</v>
      </c>
      <c r="J61" s="206" cm="1">
        <f t="array" ref="J61">_xlfn.XLOOKUP(J$4,Pipe_data_input[#Headers],'Pipe data inputs'!C60:O60,0,0,)</f>
        <v>0</v>
      </c>
      <c r="K61" s="206" cm="1">
        <f t="array" ref="K61">_xlfn.XLOOKUP(K$4,Pipe_data_input[#Headers],'Pipe data inputs'!C60:O60,0,0,)</f>
        <v>0</v>
      </c>
      <c r="L61" s="206" cm="1">
        <f t="array" ref="L61">_xlfn.XLOOKUP(L$4,Pipe_data_input[#Headers],'Pipe data inputs'!C60:O60,0,0,)</f>
        <v>0</v>
      </c>
      <c r="M61" s="295" cm="1">
        <f t="array" ref="M61">_xlfn.XLOOKUP(M$4,Pipe_data_input[#Headers],'Pipe data inputs'!C60:O60,0,0,)</f>
        <v>1</v>
      </c>
      <c r="N61" s="211"/>
      <c r="O61" s="206" t="str">
        <f>IF(Pipe_data[[#This Row],[ID]]&gt;0, IF(Pipe_data[[#This Row],[Assumed diversity from model]]=1, "Feed", "Main"), "-" )</f>
        <v>Feed</v>
      </c>
      <c r="P61" s="240">
        <v>0</v>
      </c>
      <c r="Q61" s="274">
        <f>IF(Pipe_data[[#This Row],[Phase overwrite]]&gt;0,Pipe_data[[#This Row],[Phase overwrite]],
IF(Pipe_data[[#This Row],[Tag]]="Feed",
_xlfn.XLOOKUP(Pipe_data[[#This Row],[Connected buildings ID]],'Heat connections'!$D$5:$D$242,'Heat connections'!$M$5:$M$242,1,0,1),1))</f>
        <v>1</v>
      </c>
      <c r="R61" s="499">
        <f>IF(Pipe_data[[#This Row],[Surface]]="Hard (Default)",
_xlfn.XLOOKUP(Pipe_data[[#This Row],[Nominal Diameter]],'Technical inputs'!$B$79:$B$100,'Technical inputs'!$C$79:$C$100,0,0,1),
_xlfn.XLOOKUP(Pipe_data[[#This Row],[Nominal Diameter]],'Technical inputs'!$B$79:$B$100,'Technical inputs'!$D$79:$D$100,0,0,1)) * Pipe_data[[#This Row],[Length]]</f>
        <v>13103.404541974185</v>
      </c>
    </row>
    <row r="62" spans="3:18" x14ac:dyDescent="0.25">
      <c r="C62" s="206" t="str" cm="1">
        <f t="array" ref="C62">_xlfn.XLOOKUP(C$4,Pipe_data_input[#Headers],'Pipe data inputs'!C61:O61,0,0,)</f>
        <v>YmOSpmvYHBgP2ohD</v>
      </c>
      <c r="D62" s="293" cm="1">
        <f t="array" ref="D62">_xlfn.XLOOKUP(D$4,Pipe_data_input[#Headers],'Pipe data inputs'!C61:O61,0,0,)</f>
        <v>17.660252</v>
      </c>
      <c r="E62" s="206" t="str" cm="1">
        <f t="array" ref="E62">_xlfn.XLOOKUP(E$4,Pipe_data_input[#Headers],'Pipe data inputs'!C61:O61,0,0,)</f>
        <v>Hard (default)</v>
      </c>
      <c r="F62" s="206" cm="1">
        <f t="array" ref="F62">_xlfn.XLOOKUP(F$4,Pipe_data_input[#Headers],'Pipe data inputs'!C61:O61,0,0,)</f>
        <v>100</v>
      </c>
      <c r="G62" s="241" cm="1">
        <f t="array" ref="G62">_xlfn.XLOOKUP(G$4,Pipe_data_input[#Headers],'Pipe data inputs'!C61:O61,0,0,)</f>
        <v>4491.2969292448579</v>
      </c>
      <c r="H62" s="241" cm="1">
        <f t="array" ref="H62">_xlfn.XLOOKUP(H$4,Pipe_data_input[#Headers],'Pipe data inputs'!C61:O61,0,0,)</f>
        <v>863.24011230468795</v>
      </c>
      <c r="I62" s="206" cm="1">
        <f t="array" ref="I62">_xlfn.XLOOKUP(I$4,Pipe_data_input[#Headers],'Pipe data inputs'!C61:O61,0,0,)</f>
        <v>0</v>
      </c>
      <c r="J62" s="206" cm="1">
        <f t="array" ref="J62">_xlfn.XLOOKUP(J$4,Pipe_data_input[#Headers],'Pipe data inputs'!C61:O61,0,0,)</f>
        <v>0</v>
      </c>
      <c r="K62" s="206" cm="1">
        <f t="array" ref="K62">_xlfn.XLOOKUP(K$4,Pipe_data_input[#Headers],'Pipe data inputs'!C61:O61,0,0,)</f>
        <v>0</v>
      </c>
      <c r="L62" s="206" cm="1">
        <f t="array" ref="L62">_xlfn.XLOOKUP(L$4,Pipe_data_input[#Headers],'Pipe data inputs'!C61:O61,0,0,)</f>
        <v>0</v>
      </c>
      <c r="M62" s="295" cm="1">
        <f t="array" ref="M62">_xlfn.XLOOKUP(M$4,Pipe_data_input[#Headers],'Pipe data inputs'!C61:O61,0,0,)</f>
        <v>0.81000000000000061</v>
      </c>
      <c r="N62" s="211"/>
      <c r="O62" s="206" t="str">
        <f>IF(Pipe_data[[#This Row],[ID]]&gt;0, IF(Pipe_data[[#This Row],[Assumed diversity from model]]=1, "Feed", "Main"), "-" )</f>
        <v>Main</v>
      </c>
      <c r="P62" s="240">
        <v>0</v>
      </c>
      <c r="Q62" s="274">
        <f>IF(Pipe_data[[#This Row],[Phase overwrite]]&gt;0,Pipe_data[[#This Row],[Phase overwrite]],
IF(Pipe_data[[#This Row],[Tag]]="Feed",
_xlfn.XLOOKUP(Pipe_data[[#This Row],[Connected buildings ID]],'Heat connections'!$D$5:$D$242,'Heat connections'!$M$5:$M$242,1,0,1),1))</f>
        <v>1</v>
      </c>
      <c r="R62" s="499">
        <f>IF(Pipe_data[[#This Row],[Surface]]="Hard (Default)",
_xlfn.XLOOKUP(Pipe_data[[#This Row],[Nominal Diameter]],'Technical inputs'!$B$79:$B$100,'Technical inputs'!$C$79:$C$100,0,0,1),
_xlfn.XLOOKUP(Pipe_data[[#This Row],[Nominal Diameter]],'Technical inputs'!$B$79:$B$100,'Technical inputs'!$D$79:$D$100,0,0,1)) * Pipe_data[[#This Row],[Length]]</f>
        <v>51809.665310331155</v>
      </c>
    </row>
    <row r="63" spans="3:18" x14ac:dyDescent="0.25">
      <c r="C63" s="206" t="str" cm="1">
        <f t="array" ref="C63">_xlfn.XLOOKUP(C$4,Pipe_data_input[#Headers],'Pipe data inputs'!C62:O62,0,0,)</f>
        <v>n4hCBjr9bMsSarFF</v>
      </c>
      <c r="D63" s="293" cm="1">
        <f t="array" ref="D63">_xlfn.XLOOKUP(D$4,Pipe_data_input[#Headers],'Pipe data inputs'!C62:O62,0,0,)</f>
        <v>12.22889</v>
      </c>
      <c r="E63" s="206" t="str" cm="1">
        <f t="array" ref="E63">_xlfn.XLOOKUP(E$4,Pipe_data_input[#Headers],'Pipe data inputs'!C62:O62,0,0,)</f>
        <v>Hard (default)</v>
      </c>
      <c r="F63" s="206" cm="1">
        <f t="array" ref="F63">_xlfn.XLOOKUP(F$4,Pipe_data_input[#Headers],'Pipe data inputs'!C62:O62,0,0,)</f>
        <v>65</v>
      </c>
      <c r="G63" s="241" cm="1">
        <f t="array" ref="G63">_xlfn.XLOOKUP(G$4,Pipe_data_input[#Headers],'Pipe data inputs'!C62:O62,0,0,)</f>
        <v>2835.9696706286759</v>
      </c>
      <c r="H63" s="241" cm="1">
        <f t="array" ref="H63">_xlfn.XLOOKUP(H$4,Pipe_data_input[#Headers],'Pipe data inputs'!C62:O62,0,0,)</f>
        <v>491.91031249461201</v>
      </c>
      <c r="I63" s="206" cm="1">
        <f t="array" ref="I63">_xlfn.XLOOKUP(I$4,Pipe_data_input[#Headers],'Pipe data inputs'!C62:O62,0,0,)</f>
        <v>0</v>
      </c>
      <c r="J63" s="206" cm="1">
        <f t="array" ref="J63">_xlfn.XLOOKUP(J$4,Pipe_data_input[#Headers],'Pipe data inputs'!C62:O62,0,0,)</f>
        <v>0</v>
      </c>
      <c r="K63" s="206" cm="1">
        <f t="array" ref="K63">_xlfn.XLOOKUP(K$4,Pipe_data_input[#Headers],'Pipe data inputs'!C62:O62,0,0,)</f>
        <v>0</v>
      </c>
      <c r="L63" s="206" cm="1">
        <f t="array" ref="L63">_xlfn.XLOOKUP(L$4,Pipe_data_input[#Headers],'Pipe data inputs'!C62:O62,0,0,)</f>
        <v>0</v>
      </c>
      <c r="M63" s="295" cm="1">
        <f t="array" ref="M63">_xlfn.XLOOKUP(M$4,Pipe_data_input[#Headers],'Pipe data inputs'!C62:O62,0,0,)</f>
        <v>0.64</v>
      </c>
      <c r="N63" s="211"/>
      <c r="O63" s="206" t="str">
        <f>IF(Pipe_data[[#This Row],[ID]]&gt;0, IF(Pipe_data[[#This Row],[Assumed diversity from model]]=1, "Feed", "Main"), "-" )</f>
        <v>Main</v>
      </c>
      <c r="P63" s="240">
        <v>0</v>
      </c>
      <c r="Q63" s="274">
        <f>IF(Pipe_data[[#This Row],[Phase overwrite]]&gt;0,Pipe_data[[#This Row],[Phase overwrite]],
IF(Pipe_data[[#This Row],[Tag]]="Feed",
_xlfn.XLOOKUP(Pipe_data[[#This Row],[Connected buildings ID]],'Heat connections'!$D$5:$D$242,'Heat connections'!$M$5:$M$242,1,0,1),1))</f>
        <v>1</v>
      </c>
      <c r="R63" s="499">
        <f>IF(Pipe_data[[#This Row],[Surface]]="Hard (Default)",
_xlfn.XLOOKUP(Pipe_data[[#This Row],[Nominal Diameter]],'Technical inputs'!$B$79:$B$100,'Technical inputs'!$C$79:$C$100,0,0,1),
_xlfn.XLOOKUP(Pipe_data[[#This Row],[Nominal Diameter]],'Technical inputs'!$B$79:$B$100,'Technical inputs'!$D$79:$D$100,0,0,1)) * Pipe_data[[#This Row],[Length]]</f>
        <v>32087.435035179114</v>
      </c>
    </row>
    <row r="64" spans="3:18" x14ac:dyDescent="0.25">
      <c r="C64" s="206" t="str" cm="1">
        <f t="array" ref="C64">_xlfn.XLOOKUP(C$4,Pipe_data_input[#Headers],'Pipe data inputs'!C63:O63,0,0,)</f>
        <v>SV66McNAQcAZwxFK</v>
      </c>
      <c r="D64" s="293" cm="1">
        <f t="array" ref="D64">_xlfn.XLOOKUP(D$4,Pipe_data_input[#Headers],'Pipe data inputs'!C63:O63,0,0,)</f>
        <v>14.608414</v>
      </c>
      <c r="E64" s="206" t="str" cm="1">
        <f t="array" ref="E64">_xlfn.XLOOKUP(E$4,Pipe_data_input[#Headers],'Pipe data inputs'!C63:O63,0,0,)</f>
        <v>Hard (default)</v>
      </c>
      <c r="F64" s="206" cm="1">
        <f t="array" ref="F64">_xlfn.XLOOKUP(F$4,Pipe_data_input[#Headers],'Pipe data inputs'!C63:O63,0,0,)</f>
        <v>65</v>
      </c>
      <c r="G64" s="241" cm="1">
        <f t="array" ref="G64">_xlfn.XLOOKUP(G$4,Pipe_data_input[#Headers],'Pipe data inputs'!C63:O63,0,0,)</f>
        <v>3387.7988141186424</v>
      </c>
      <c r="H64" s="241" cm="1">
        <f t="array" ref="H64">_xlfn.XLOOKUP(H$4,Pipe_data_input[#Headers],'Pipe data inputs'!C63:O63,0,0,)</f>
        <v>491.91031249461201</v>
      </c>
      <c r="I64" s="206" cm="1">
        <f t="array" ref="I64">_xlfn.XLOOKUP(I$4,Pipe_data_input[#Headers],'Pipe data inputs'!C63:O63,0,0,)</f>
        <v>0</v>
      </c>
      <c r="J64" s="206" cm="1">
        <f t="array" ref="J64">_xlfn.XLOOKUP(J$4,Pipe_data_input[#Headers],'Pipe data inputs'!C63:O63,0,0,)</f>
        <v>0</v>
      </c>
      <c r="K64" s="206" cm="1">
        <f t="array" ref="K64">_xlfn.XLOOKUP(K$4,Pipe_data_input[#Headers],'Pipe data inputs'!C63:O63,0,0,)</f>
        <v>0</v>
      </c>
      <c r="L64" s="206" cm="1">
        <f t="array" ref="L64">_xlfn.XLOOKUP(L$4,Pipe_data_input[#Headers],'Pipe data inputs'!C63:O63,0,0,)</f>
        <v>0</v>
      </c>
      <c r="M64" s="295" cm="1">
        <f t="array" ref="M64">_xlfn.XLOOKUP(M$4,Pipe_data_input[#Headers],'Pipe data inputs'!C63:O63,0,0,)</f>
        <v>0.64</v>
      </c>
      <c r="N64" s="211"/>
      <c r="O64" s="206" t="str">
        <f>IF(Pipe_data[[#This Row],[ID]]&gt;0, IF(Pipe_data[[#This Row],[Assumed diversity from model]]=1, "Feed", "Main"), "-" )</f>
        <v>Main</v>
      </c>
      <c r="P64" s="240">
        <v>0</v>
      </c>
      <c r="Q64" s="274">
        <f>IF(Pipe_data[[#This Row],[Phase overwrite]]&gt;0,Pipe_data[[#This Row],[Phase overwrite]],
IF(Pipe_data[[#This Row],[Tag]]="Feed",
_xlfn.XLOOKUP(Pipe_data[[#This Row],[Connected buildings ID]],'Heat connections'!$D$5:$D$242,'Heat connections'!$M$5:$M$242,1,0,1),1))</f>
        <v>1</v>
      </c>
      <c r="R64" s="499">
        <f>IF(Pipe_data[[#This Row],[Surface]]="Hard (Default)",
_xlfn.XLOOKUP(Pipe_data[[#This Row],[Nominal Diameter]],'Technical inputs'!$B$79:$B$100,'Technical inputs'!$C$79:$C$100,0,0,1),
_xlfn.XLOOKUP(Pipe_data[[#This Row],[Nominal Diameter]],'Technical inputs'!$B$79:$B$100,'Technical inputs'!$D$79:$D$100,0,0,1)) * Pipe_data[[#This Row],[Length]]</f>
        <v>38331.077897667004</v>
      </c>
    </row>
    <row r="65" spans="3:18" x14ac:dyDescent="0.25">
      <c r="C65" s="206" t="str" cm="1">
        <f t="array" ref="C65">_xlfn.XLOOKUP(C$4,Pipe_data_input[#Headers],'Pipe data inputs'!C64:O64,0,0,)</f>
        <v>WpRd/Ct+/lzKlJbF</v>
      </c>
      <c r="D65" s="293" cm="1">
        <f t="array" ref="D65">_xlfn.XLOOKUP(D$4,Pipe_data_input[#Headers],'Pipe data inputs'!C64:O64,0,0,)</f>
        <v>13.673894000000001</v>
      </c>
      <c r="E65" s="206" t="str" cm="1">
        <f t="array" ref="E65">_xlfn.XLOOKUP(E$4,Pipe_data_input[#Headers],'Pipe data inputs'!C64:O64,0,0,)</f>
        <v>Hard (default)</v>
      </c>
      <c r="F65" s="206" cm="1">
        <f t="array" ref="F65">_xlfn.XLOOKUP(F$4,Pipe_data_input[#Headers],'Pipe data inputs'!C64:O64,0,0,)</f>
        <v>40</v>
      </c>
      <c r="G65" s="241" cm="1">
        <f t="array" ref="G65">_xlfn.XLOOKUP(G$4,Pipe_data_input[#Headers],'Pipe data inputs'!C64:O64,0,0,)</f>
        <v>2448.8134259952985</v>
      </c>
      <c r="H65" s="241" cm="1">
        <f t="array" ref="H65">_xlfn.XLOOKUP(H$4,Pipe_data_input[#Headers],'Pipe data inputs'!C64:O64,0,0,)</f>
        <v>83.601570015664905</v>
      </c>
      <c r="I65" s="206" cm="1">
        <f t="array" ref="I65">_xlfn.XLOOKUP(I$4,Pipe_data_input[#Headers],'Pipe data inputs'!C64:O64,0,0,)</f>
        <v>0</v>
      </c>
      <c r="J65" s="206" cm="1">
        <f t="array" ref="J65">_xlfn.XLOOKUP(J$4,Pipe_data_input[#Headers],'Pipe data inputs'!C64:O64,0,0,)</f>
        <v>0</v>
      </c>
      <c r="K65" s="206" cm="1">
        <f t="array" ref="K65">_xlfn.XLOOKUP(K$4,Pipe_data_input[#Headers],'Pipe data inputs'!C64:O64,0,0,)</f>
        <v>0</v>
      </c>
      <c r="L65" s="206" cm="1">
        <f t="array" ref="L65">_xlfn.XLOOKUP(L$4,Pipe_data_input[#Headers],'Pipe data inputs'!C64:O64,0,0,)</f>
        <v>0</v>
      </c>
      <c r="M65" s="295" cm="1">
        <f t="array" ref="M65">_xlfn.XLOOKUP(M$4,Pipe_data_input[#Headers],'Pipe data inputs'!C64:O64,0,0,)</f>
        <v>0.81</v>
      </c>
      <c r="N65" s="211"/>
      <c r="O65" s="206" t="str">
        <f>IF(Pipe_data[[#This Row],[ID]]&gt;0, IF(Pipe_data[[#This Row],[Assumed diversity from model]]=1, "Feed", "Main"), "-" )</f>
        <v>Main</v>
      </c>
      <c r="P65" s="240">
        <v>0</v>
      </c>
      <c r="Q65" s="274">
        <f>IF(Pipe_data[[#This Row],[Phase overwrite]]&gt;0,Pipe_data[[#This Row],[Phase overwrite]],
IF(Pipe_data[[#This Row],[Tag]]="Feed",
_xlfn.XLOOKUP(Pipe_data[[#This Row],[Connected buildings ID]],'Heat connections'!$D$5:$D$242,'Heat connections'!$M$5:$M$242,1,0,1),1))</f>
        <v>1</v>
      </c>
      <c r="R65" s="499">
        <f>IF(Pipe_data[[#This Row],[Surface]]="Hard (Default)",
_xlfn.XLOOKUP(Pipe_data[[#This Row],[Nominal Diameter]],'Technical inputs'!$B$79:$B$100,'Technical inputs'!$C$79:$C$100,0,0,1),
_xlfn.XLOOKUP(Pipe_data[[#This Row],[Nominal Diameter]],'Technical inputs'!$B$79:$B$100,'Technical inputs'!$D$79:$D$100,0,0,1)) * Pipe_data[[#This Row],[Length]]</f>
        <v>33062.588363163493</v>
      </c>
    </row>
    <row r="66" spans="3:18" x14ac:dyDescent="0.25">
      <c r="C66" s="206" t="str" cm="1">
        <f t="array" ref="C66">_xlfn.XLOOKUP(C$4,Pipe_data_input[#Headers],'Pipe data inputs'!C65:O65,0,0,)</f>
        <v>JDqBKwXwfJWMzSiD</v>
      </c>
      <c r="D66" s="293" cm="1">
        <f t="array" ref="D66">_xlfn.XLOOKUP(D$4,Pipe_data_input[#Headers],'Pipe data inputs'!C65:O65,0,0,)</f>
        <v>6.1271934999999997</v>
      </c>
      <c r="E66" s="206" t="str" cm="1">
        <f t="array" ref="E66">_xlfn.XLOOKUP(E$4,Pipe_data_input[#Headers],'Pipe data inputs'!C65:O65,0,0,)</f>
        <v>Hard (default)</v>
      </c>
      <c r="F66" s="206" cm="1">
        <f t="array" ref="F66">_xlfn.XLOOKUP(F$4,Pipe_data_input[#Headers],'Pipe data inputs'!C65:O65,0,0,)</f>
        <v>200</v>
      </c>
      <c r="G66" s="241" cm="1">
        <f t="array" ref="G66">_xlfn.XLOOKUP(G$4,Pipe_data_input[#Headers],'Pipe data inputs'!C65:O65,0,0,)</f>
        <v>2010.046811942052</v>
      </c>
      <c r="H66" s="241" cm="1">
        <f t="array" ref="H66">_xlfn.XLOOKUP(H$4,Pipe_data_input[#Headers],'Pipe data inputs'!C65:O65,0,0,)</f>
        <v>5825.9935531513001</v>
      </c>
      <c r="I66" s="206" cm="1">
        <f t="array" ref="I66">_xlfn.XLOOKUP(I$4,Pipe_data_input[#Headers],'Pipe data inputs'!C65:O65,0,0,)</f>
        <v>0</v>
      </c>
      <c r="J66" s="206" cm="1">
        <f t="array" ref="J66">_xlfn.XLOOKUP(J$4,Pipe_data_input[#Headers],'Pipe data inputs'!C65:O65,0,0,)</f>
        <v>0</v>
      </c>
      <c r="K66" s="206" cm="1">
        <f t="array" ref="K66">_xlfn.XLOOKUP(K$4,Pipe_data_input[#Headers],'Pipe data inputs'!C65:O65,0,0,)</f>
        <v>0</v>
      </c>
      <c r="L66" s="206" cm="1">
        <f t="array" ref="L66">_xlfn.XLOOKUP(L$4,Pipe_data_input[#Headers],'Pipe data inputs'!C65:O65,0,0,)</f>
        <v>0</v>
      </c>
      <c r="M66" s="295" cm="1">
        <f t="array" ref="M66">_xlfn.XLOOKUP(M$4,Pipe_data_input[#Headers],'Pipe data inputs'!C65:O65,0,0,)</f>
        <v>1</v>
      </c>
      <c r="N66" s="211"/>
      <c r="O66" s="206" t="str">
        <f>IF(Pipe_data[[#This Row],[ID]]&gt;0, IF(Pipe_data[[#This Row],[Assumed diversity from model]]=1, "Feed", "Main"), "-" )</f>
        <v>Feed</v>
      </c>
      <c r="P66" s="240">
        <v>0</v>
      </c>
      <c r="Q66" s="274">
        <f>IF(Pipe_data[[#This Row],[Phase overwrite]]&gt;0,Pipe_data[[#This Row],[Phase overwrite]],
IF(Pipe_data[[#This Row],[Tag]]="Feed",
_xlfn.XLOOKUP(Pipe_data[[#This Row],[Connected buildings ID]],'Heat connections'!$D$5:$D$242,'Heat connections'!$M$5:$M$242,1,0,1),1))</f>
        <v>1</v>
      </c>
      <c r="R66" s="499">
        <f>IF(Pipe_data[[#This Row],[Surface]]="Hard (Default)",
_xlfn.XLOOKUP(Pipe_data[[#This Row],[Nominal Diameter]],'Technical inputs'!$B$79:$B$100,'Technical inputs'!$C$79:$C$100,0,0,1),
_xlfn.XLOOKUP(Pipe_data[[#This Row],[Nominal Diameter]],'Technical inputs'!$B$79:$B$100,'Technical inputs'!$D$79:$D$100,0,0,1)) * Pipe_data[[#This Row],[Length]]</f>
        <v>23542.328357047703</v>
      </c>
    </row>
    <row r="67" spans="3:18" x14ac:dyDescent="0.25">
      <c r="C67" s="206" t="str" cm="1">
        <f t="array" ref="C67">_xlfn.XLOOKUP(C$4,Pipe_data_input[#Headers],'Pipe data inputs'!C66:O66,0,0,)</f>
        <v>PboM/3TJrRd68qiR</v>
      </c>
      <c r="D67" s="293" cm="1">
        <f t="array" ref="D67">_xlfn.XLOOKUP(D$4,Pipe_data_input[#Headers],'Pipe data inputs'!C66:O66,0,0,)</f>
        <v>4.7743526000000003</v>
      </c>
      <c r="E67" s="206" t="str" cm="1">
        <f t="array" ref="E67">_xlfn.XLOOKUP(E$4,Pipe_data_input[#Headers],'Pipe data inputs'!C66:O66,0,0,)</f>
        <v>Hard (default)</v>
      </c>
      <c r="F67" s="206" cm="1">
        <f t="array" ref="F67">_xlfn.XLOOKUP(F$4,Pipe_data_input[#Headers],'Pipe data inputs'!C66:O66,0,0,)</f>
        <v>65</v>
      </c>
      <c r="G67" s="241" cm="1">
        <f t="array" ref="G67">_xlfn.XLOOKUP(G$4,Pipe_data_input[#Headers],'Pipe data inputs'!C66:O66,0,0,)</f>
        <v>1022.6409848824184</v>
      </c>
      <c r="H67" s="241" cm="1">
        <f t="array" ref="H67">_xlfn.XLOOKUP(H$4,Pipe_data_input[#Headers],'Pipe data inputs'!C66:O66,0,0,)</f>
        <v>366.340331913667</v>
      </c>
      <c r="I67" s="206" cm="1">
        <f t="array" ref="I67">_xlfn.XLOOKUP(I$4,Pipe_data_input[#Headers],'Pipe data inputs'!C66:O66,0,0,)</f>
        <v>0</v>
      </c>
      <c r="J67" s="206" cm="1">
        <f t="array" ref="J67">_xlfn.XLOOKUP(J$4,Pipe_data_input[#Headers],'Pipe data inputs'!C66:O66,0,0,)</f>
        <v>0</v>
      </c>
      <c r="K67" s="206" cm="1">
        <f t="array" ref="K67">_xlfn.XLOOKUP(K$4,Pipe_data_input[#Headers],'Pipe data inputs'!C66:O66,0,0,)</f>
        <v>0</v>
      </c>
      <c r="L67" s="206" cm="1">
        <f t="array" ref="L67">_xlfn.XLOOKUP(L$4,Pipe_data_input[#Headers],'Pipe data inputs'!C66:O66,0,0,)</f>
        <v>0</v>
      </c>
      <c r="M67" s="295" cm="1">
        <f t="array" ref="M67">_xlfn.XLOOKUP(M$4,Pipe_data_input[#Headers],'Pipe data inputs'!C66:O66,0,0,)</f>
        <v>0.74826912236183685</v>
      </c>
      <c r="N67" s="211"/>
      <c r="O67" s="206" t="str">
        <f>IF(Pipe_data[[#This Row],[ID]]&gt;0, IF(Pipe_data[[#This Row],[Assumed diversity from model]]=1, "Feed", "Main"), "-" )</f>
        <v>Main</v>
      </c>
      <c r="P67" s="240">
        <v>0</v>
      </c>
      <c r="Q67" s="274">
        <f>IF(Pipe_data[[#This Row],[Phase overwrite]]&gt;0,Pipe_data[[#This Row],[Phase overwrite]],
IF(Pipe_data[[#This Row],[Tag]]="Feed",
_xlfn.XLOOKUP(Pipe_data[[#This Row],[Connected buildings ID]],'Heat connections'!$D$5:$D$242,'Heat connections'!$M$5:$M$242,1,0,1),1))</f>
        <v>1</v>
      </c>
      <c r="R67" s="499">
        <f>IF(Pipe_data[[#This Row],[Surface]]="Hard (Default)",
_xlfn.XLOOKUP(Pipe_data[[#This Row],[Nominal Diameter]],'Technical inputs'!$B$79:$B$100,'Technical inputs'!$C$79:$C$100,0,0,1),
_xlfn.XLOOKUP(Pipe_data[[#This Row],[Nominal Diameter]],'Technical inputs'!$B$79:$B$100,'Technical inputs'!$D$79:$D$100,0,0,1)) * Pipe_data[[#This Row],[Length]]</f>
        <v>12527.443528197449</v>
      </c>
    </row>
    <row r="68" spans="3:18" x14ac:dyDescent="0.25">
      <c r="C68" s="206" t="str" cm="1">
        <f t="array" ref="C68">_xlfn.XLOOKUP(C$4,Pipe_data_input[#Headers],'Pipe data inputs'!C67:O67,0,0,)</f>
        <v>nV1hN/FdbYVKNM+N</v>
      </c>
      <c r="D68" s="293" cm="1">
        <f t="array" ref="D68">_xlfn.XLOOKUP(D$4,Pipe_data_input[#Headers],'Pipe data inputs'!C67:O67,0,0,)</f>
        <v>17.872532</v>
      </c>
      <c r="E68" s="206" t="str" cm="1">
        <f t="array" ref="E68">_xlfn.XLOOKUP(E$4,Pipe_data_input[#Headers],'Pipe data inputs'!C67:O67,0,0,)</f>
        <v>Hard (default)</v>
      </c>
      <c r="F68" s="206" cm="1">
        <f t="array" ref="F68">_xlfn.XLOOKUP(F$4,Pipe_data_input[#Headers],'Pipe data inputs'!C67:O67,0,0,)</f>
        <v>80</v>
      </c>
      <c r="G68" s="241" cm="1">
        <f t="array" ref="G68">_xlfn.XLOOKUP(G$4,Pipe_data_input[#Headers],'Pipe data inputs'!C67:O67,0,0,)</f>
        <v>4056.4961531383747</v>
      </c>
      <c r="H68" s="241" cm="1">
        <f t="array" ref="H68">_xlfn.XLOOKUP(H$4,Pipe_data_input[#Headers],'Pipe data inputs'!C67:O67,0,0,)</f>
        <v>709.63623789476401</v>
      </c>
      <c r="I68" s="206" cm="1">
        <f t="array" ref="I68">_xlfn.XLOOKUP(I$4,Pipe_data_input[#Headers],'Pipe data inputs'!C67:O67,0,0,)</f>
        <v>0</v>
      </c>
      <c r="J68" s="206" cm="1">
        <f t="array" ref="J68">_xlfn.XLOOKUP(J$4,Pipe_data_input[#Headers],'Pipe data inputs'!C67:O67,0,0,)</f>
        <v>0</v>
      </c>
      <c r="K68" s="206" cm="1">
        <f t="array" ref="K68">_xlfn.XLOOKUP(K$4,Pipe_data_input[#Headers],'Pipe data inputs'!C67:O67,0,0,)</f>
        <v>0</v>
      </c>
      <c r="L68" s="206" cm="1">
        <f t="array" ref="L68">_xlfn.XLOOKUP(L$4,Pipe_data_input[#Headers],'Pipe data inputs'!C67:O67,0,0,)</f>
        <v>0</v>
      </c>
      <c r="M68" s="295" cm="1">
        <f t="array" ref="M68">_xlfn.XLOOKUP(M$4,Pipe_data_input[#Headers],'Pipe data inputs'!C67:O67,0,0,)</f>
        <v>1</v>
      </c>
      <c r="N68" s="211"/>
      <c r="O68" s="206" t="str">
        <f>IF(Pipe_data[[#This Row],[ID]]&gt;0, IF(Pipe_data[[#This Row],[Assumed diversity from model]]=1, "Feed", "Main"), "-" )</f>
        <v>Feed</v>
      </c>
      <c r="P68" s="240">
        <v>0</v>
      </c>
      <c r="Q68" s="274">
        <f>IF(Pipe_data[[#This Row],[Phase overwrite]]&gt;0,Pipe_data[[#This Row],[Phase overwrite]],
IF(Pipe_data[[#This Row],[Tag]]="Feed",
_xlfn.XLOOKUP(Pipe_data[[#This Row],[Connected buildings ID]],'Heat connections'!$D$5:$D$242,'Heat connections'!$M$5:$M$242,1,0,1),1))</f>
        <v>1</v>
      </c>
      <c r="R68" s="499">
        <f>IF(Pipe_data[[#This Row],[Surface]]="Hard (Default)",
_xlfn.XLOOKUP(Pipe_data[[#This Row],[Nominal Diameter]],'Technical inputs'!$B$79:$B$100,'Technical inputs'!$C$79:$C$100,0,0,1),
_xlfn.XLOOKUP(Pipe_data[[#This Row],[Nominal Diameter]],'Technical inputs'!$B$79:$B$100,'Technical inputs'!$D$79:$D$100,0,0,1)) * Pipe_data[[#This Row],[Length]]</f>
        <v>48858.006051161385</v>
      </c>
    </row>
    <row r="69" spans="3:18" x14ac:dyDescent="0.25">
      <c r="C69" s="206" t="str" cm="1">
        <f t="array" ref="C69">_xlfn.XLOOKUP(C$4,Pipe_data_input[#Headers],'Pipe data inputs'!C68:O68,0,0,)</f>
        <v>NQAK3I5dSfyIVoNZ</v>
      </c>
      <c r="D69" s="293" cm="1">
        <f t="array" ref="D69">_xlfn.XLOOKUP(D$4,Pipe_data_input[#Headers],'Pipe data inputs'!C68:O68,0,0,)</f>
        <v>7.0613685000000004</v>
      </c>
      <c r="E69" s="206" t="str" cm="1">
        <f t="array" ref="E69">_xlfn.XLOOKUP(E$4,Pipe_data_input[#Headers],'Pipe data inputs'!C68:O68,0,0,)</f>
        <v>Hard (default)</v>
      </c>
      <c r="F69" s="206" cm="1">
        <f t="array" ref="F69">_xlfn.XLOOKUP(F$4,Pipe_data_input[#Headers],'Pipe data inputs'!C68:O68,0,0,)</f>
        <v>40</v>
      </c>
      <c r="G69" s="241" cm="1">
        <f t="array" ref="G69">_xlfn.XLOOKUP(G$4,Pipe_data_input[#Headers],'Pipe data inputs'!C68:O68,0,0,)</f>
        <v>1264.5976331760569</v>
      </c>
      <c r="H69" s="241" cm="1">
        <f t="array" ref="H69">_xlfn.XLOOKUP(H$4,Pipe_data_input[#Headers],'Pipe data inputs'!C68:O68,0,0,)</f>
        <v>83.601570015664905</v>
      </c>
      <c r="I69" s="206" cm="1">
        <f t="array" ref="I69">_xlfn.XLOOKUP(I$4,Pipe_data_input[#Headers],'Pipe data inputs'!C68:O68,0,0,)</f>
        <v>0</v>
      </c>
      <c r="J69" s="206" cm="1">
        <f t="array" ref="J69">_xlfn.XLOOKUP(J$4,Pipe_data_input[#Headers],'Pipe data inputs'!C68:O68,0,0,)</f>
        <v>0</v>
      </c>
      <c r="K69" s="206" cm="1">
        <f t="array" ref="K69">_xlfn.XLOOKUP(K$4,Pipe_data_input[#Headers],'Pipe data inputs'!C68:O68,0,0,)</f>
        <v>0</v>
      </c>
      <c r="L69" s="206" cm="1">
        <f t="array" ref="L69">_xlfn.XLOOKUP(L$4,Pipe_data_input[#Headers],'Pipe data inputs'!C68:O68,0,0,)</f>
        <v>0</v>
      </c>
      <c r="M69" s="295" cm="1">
        <f t="array" ref="M69">_xlfn.XLOOKUP(M$4,Pipe_data_input[#Headers],'Pipe data inputs'!C68:O68,0,0,)</f>
        <v>0.81</v>
      </c>
      <c r="N69" s="211"/>
      <c r="O69" s="206" t="str">
        <f>IF(Pipe_data[[#This Row],[ID]]&gt;0, IF(Pipe_data[[#This Row],[Assumed diversity from model]]=1, "Feed", "Main"), "-" )</f>
        <v>Main</v>
      </c>
      <c r="P69" s="240">
        <v>0</v>
      </c>
      <c r="Q69" s="274">
        <f>IF(Pipe_data[[#This Row],[Phase overwrite]]&gt;0,Pipe_data[[#This Row],[Phase overwrite]],
IF(Pipe_data[[#This Row],[Tag]]="Feed",
_xlfn.XLOOKUP(Pipe_data[[#This Row],[Connected buildings ID]],'Heat connections'!$D$5:$D$242,'Heat connections'!$M$5:$M$242,1,0,1),1))</f>
        <v>1</v>
      </c>
      <c r="R69" s="499">
        <f>IF(Pipe_data[[#This Row],[Surface]]="Hard (Default)",
_xlfn.XLOOKUP(Pipe_data[[#This Row],[Nominal Diameter]],'Technical inputs'!$B$79:$B$100,'Technical inputs'!$C$79:$C$100,0,0,1),
_xlfn.XLOOKUP(Pipe_data[[#This Row],[Nominal Diameter]],'Technical inputs'!$B$79:$B$100,'Technical inputs'!$D$79:$D$100,0,0,1)) * Pipe_data[[#This Row],[Length]]</f>
        <v>17073.93080538062</v>
      </c>
    </row>
    <row r="70" spans="3:18" x14ac:dyDescent="0.25">
      <c r="C70" s="206" t="str" cm="1">
        <f t="array" ref="C70">_xlfn.XLOOKUP(C$4,Pipe_data_input[#Headers],'Pipe data inputs'!C69:O69,0,0,)</f>
        <v>zq7PXw9Zzb24Z3gO</v>
      </c>
      <c r="D70" s="293" cm="1">
        <f t="array" ref="D70">_xlfn.XLOOKUP(D$4,Pipe_data_input[#Headers],'Pipe data inputs'!C69:O69,0,0,)</f>
        <v>3.0168360000000001</v>
      </c>
      <c r="E70" s="206" t="str" cm="1">
        <f t="array" ref="E70">_xlfn.XLOOKUP(E$4,Pipe_data_input[#Headers],'Pipe data inputs'!C69:O69,0,0,)</f>
        <v>Hard (default)</v>
      </c>
      <c r="F70" s="206" cm="1">
        <f t="array" ref="F70">_xlfn.XLOOKUP(F$4,Pipe_data_input[#Headers],'Pipe data inputs'!C69:O69,0,0,)</f>
        <v>80</v>
      </c>
      <c r="G70" s="241" cm="1">
        <f t="array" ref="G70">_xlfn.XLOOKUP(G$4,Pipe_data_input[#Headers],'Pipe data inputs'!C69:O69,0,0,)</f>
        <v>714.34332802422705</v>
      </c>
      <c r="H70" s="241" cm="1">
        <f t="array" ref="H70">_xlfn.XLOOKUP(H$4,Pipe_data_input[#Headers],'Pipe data inputs'!C69:O69,0,0,)</f>
        <v>562.93208777304994</v>
      </c>
      <c r="I70" s="206" cm="1">
        <f t="array" ref="I70">_xlfn.XLOOKUP(I$4,Pipe_data_input[#Headers],'Pipe data inputs'!C69:O69,0,0,)</f>
        <v>0</v>
      </c>
      <c r="J70" s="206" cm="1">
        <f t="array" ref="J70">_xlfn.XLOOKUP(J$4,Pipe_data_input[#Headers],'Pipe data inputs'!C69:O69,0,0,)</f>
        <v>0</v>
      </c>
      <c r="K70" s="206" cm="1">
        <f t="array" ref="K70">_xlfn.XLOOKUP(K$4,Pipe_data_input[#Headers],'Pipe data inputs'!C69:O69,0,0,)</f>
        <v>0</v>
      </c>
      <c r="L70" s="206" cm="1">
        <f t="array" ref="L70">_xlfn.XLOOKUP(L$4,Pipe_data_input[#Headers],'Pipe data inputs'!C69:O69,0,0,)</f>
        <v>0</v>
      </c>
      <c r="M70" s="295" cm="1">
        <f t="array" ref="M70">_xlfn.XLOOKUP(M$4,Pipe_data_input[#Headers],'Pipe data inputs'!C69:O69,0,0,)</f>
        <v>0.65</v>
      </c>
      <c r="N70" s="211"/>
      <c r="O70" s="206" t="str">
        <f>IF(Pipe_data[[#This Row],[ID]]&gt;0, IF(Pipe_data[[#This Row],[Assumed diversity from model]]=1, "Feed", "Main"), "-" )</f>
        <v>Main</v>
      </c>
      <c r="P70" s="240">
        <v>0</v>
      </c>
      <c r="Q70" s="274">
        <f>IF(Pipe_data[[#This Row],[Phase overwrite]]&gt;0,Pipe_data[[#This Row],[Phase overwrite]],
IF(Pipe_data[[#This Row],[Tag]]="Feed",
_xlfn.XLOOKUP(Pipe_data[[#This Row],[Connected buildings ID]],'Heat connections'!$D$5:$D$242,'Heat connections'!$M$5:$M$242,1,0,1),1))</f>
        <v>1</v>
      </c>
      <c r="R70" s="499">
        <f>IF(Pipe_data[[#This Row],[Surface]]="Hard (Default)",
_xlfn.XLOOKUP(Pipe_data[[#This Row],[Nominal Diameter]],'Technical inputs'!$B$79:$B$100,'Technical inputs'!$C$79:$C$100,0,0,1),
_xlfn.XLOOKUP(Pipe_data[[#This Row],[Nominal Diameter]],'Technical inputs'!$B$79:$B$100,'Technical inputs'!$D$79:$D$100,0,0,1)) * Pipe_data[[#This Row],[Length]]</f>
        <v>8247.1018400393132</v>
      </c>
    </row>
    <row r="71" spans="3:18" x14ac:dyDescent="0.25">
      <c r="C71" s="206" t="str" cm="1">
        <f t="array" ref="C71">_xlfn.XLOOKUP(C$4,Pipe_data_input[#Headers],'Pipe data inputs'!C70:O70,0,0,)</f>
        <v>nU0GGLvRU9/7cf1e</v>
      </c>
      <c r="D71" s="293" cm="1">
        <f t="array" ref="D71">_xlfn.XLOOKUP(D$4,Pipe_data_input[#Headers],'Pipe data inputs'!C70:O70,0,0,)</f>
        <v>8.1205435000000001</v>
      </c>
      <c r="E71" s="206" t="str" cm="1">
        <f t="array" ref="E71">_xlfn.XLOOKUP(E$4,Pipe_data_input[#Headers],'Pipe data inputs'!C70:O70,0,0,)</f>
        <v>Hard (default)</v>
      </c>
      <c r="F71" s="206" cm="1">
        <f t="array" ref="F71">_xlfn.XLOOKUP(F$4,Pipe_data_input[#Headers],'Pipe data inputs'!C70:O70,0,0,)</f>
        <v>150</v>
      </c>
      <c r="G71" s="241" cm="1">
        <f t="array" ref="G71">_xlfn.XLOOKUP(G$4,Pipe_data_input[#Headers],'Pipe data inputs'!C70:O70,0,0,)</f>
        <v>2513.8589770780313</v>
      </c>
      <c r="H71" s="241" cm="1">
        <f t="array" ref="H71">_xlfn.XLOOKUP(H$4,Pipe_data_input[#Headers],'Pipe data inputs'!C70:O70,0,0,)</f>
        <v>3530.03561769525</v>
      </c>
      <c r="I71" s="206" cm="1">
        <f t="array" ref="I71">_xlfn.XLOOKUP(I$4,Pipe_data_input[#Headers],'Pipe data inputs'!C70:O70,0,0,)</f>
        <v>0</v>
      </c>
      <c r="J71" s="206" cm="1">
        <f t="array" ref="J71">_xlfn.XLOOKUP(J$4,Pipe_data_input[#Headers],'Pipe data inputs'!C70:O70,0,0,)</f>
        <v>0</v>
      </c>
      <c r="K71" s="206" cm="1">
        <f t="array" ref="K71">_xlfn.XLOOKUP(K$4,Pipe_data_input[#Headers],'Pipe data inputs'!C70:O70,0,0,)</f>
        <v>0</v>
      </c>
      <c r="L71" s="206" cm="1">
        <f t="array" ref="L71">_xlfn.XLOOKUP(L$4,Pipe_data_input[#Headers],'Pipe data inputs'!C70:O70,0,0,)</f>
        <v>0</v>
      </c>
      <c r="M71" s="295" cm="1">
        <f t="array" ref="M71">_xlfn.XLOOKUP(M$4,Pipe_data_input[#Headers],'Pipe data inputs'!C70:O70,0,0,)</f>
        <v>0.63</v>
      </c>
      <c r="N71" s="211"/>
      <c r="O71" s="206" t="str">
        <f>IF(Pipe_data[[#This Row],[ID]]&gt;0, IF(Pipe_data[[#This Row],[Assumed diversity from model]]=1, "Feed", "Main"), "-" )</f>
        <v>Main</v>
      </c>
      <c r="P71" s="240">
        <v>0</v>
      </c>
      <c r="Q71" s="274">
        <f>IF(Pipe_data[[#This Row],[Phase overwrite]]&gt;0,Pipe_data[[#This Row],[Phase overwrite]],
IF(Pipe_data[[#This Row],[Tag]]="Feed",
_xlfn.XLOOKUP(Pipe_data[[#This Row],[Connected buildings ID]],'Heat connections'!$D$5:$D$242,'Heat connections'!$M$5:$M$242,1,0,1),1))</f>
        <v>1</v>
      </c>
      <c r="R71" s="499">
        <f>IF(Pipe_data[[#This Row],[Surface]]="Hard (Default)",
_xlfn.XLOOKUP(Pipe_data[[#This Row],[Nominal Diameter]],'Technical inputs'!$B$79:$B$100,'Technical inputs'!$C$79:$C$100,0,0,1),
_xlfn.XLOOKUP(Pipe_data[[#This Row],[Nominal Diameter]],'Technical inputs'!$B$79:$B$100,'Technical inputs'!$D$79:$D$100,0,0,1)) * Pipe_data[[#This Row],[Length]]</f>
        <v>26636.200022021661</v>
      </c>
    </row>
    <row r="72" spans="3:18" x14ac:dyDescent="0.25">
      <c r="C72" s="206" t="str" cm="1">
        <f t="array" ref="C72">_xlfn.XLOOKUP(C$4,Pipe_data_input[#Headers],'Pipe data inputs'!C71:O71,0,0,)</f>
        <v>TUD5VdJdF8dR54H9</v>
      </c>
      <c r="D72" s="293" cm="1">
        <f t="array" ref="D72">_xlfn.XLOOKUP(D$4,Pipe_data_input[#Headers],'Pipe data inputs'!C71:O71,0,0,)</f>
        <v>2.3294432</v>
      </c>
      <c r="E72" s="206" t="str" cm="1">
        <f t="array" ref="E72">_xlfn.XLOOKUP(E$4,Pipe_data_input[#Headers],'Pipe data inputs'!C71:O71,0,0,)</f>
        <v>Hard (default)</v>
      </c>
      <c r="F72" s="206" cm="1">
        <f t="array" ref="F72">_xlfn.XLOOKUP(F$4,Pipe_data_input[#Headers],'Pipe data inputs'!C71:O71,0,0,)</f>
        <v>40</v>
      </c>
      <c r="G72" s="241" cm="1">
        <f t="array" ref="G72">_xlfn.XLOOKUP(G$4,Pipe_data_input[#Headers],'Pipe data inputs'!C71:O71,0,0,)</f>
        <v>396.70993562217149</v>
      </c>
      <c r="H72" s="241" cm="1">
        <f t="array" ref="H72">_xlfn.XLOOKUP(H$4,Pipe_data_input[#Headers],'Pipe data inputs'!C71:O71,0,0,)</f>
        <v>103.443859683932</v>
      </c>
      <c r="I72" s="206" cm="1">
        <f t="array" ref="I72">_xlfn.XLOOKUP(I$4,Pipe_data_input[#Headers],'Pipe data inputs'!C71:O71,0,0,)</f>
        <v>0</v>
      </c>
      <c r="J72" s="206" cm="1">
        <f t="array" ref="J72">_xlfn.XLOOKUP(J$4,Pipe_data_input[#Headers],'Pipe data inputs'!C71:O71,0,0,)</f>
        <v>0</v>
      </c>
      <c r="K72" s="206" cm="1">
        <f t="array" ref="K72">_xlfn.XLOOKUP(K$4,Pipe_data_input[#Headers],'Pipe data inputs'!C71:O71,0,0,)</f>
        <v>0</v>
      </c>
      <c r="L72" s="206" cm="1">
        <f t="array" ref="L72">_xlfn.XLOOKUP(L$4,Pipe_data_input[#Headers],'Pipe data inputs'!C71:O71,0,0,)</f>
        <v>0</v>
      </c>
      <c r="M72" s="295" cm="1">
        <f t="array" ref="M72">_xlfn.XLOOKUP(M$4,Pipe_data_input[#Headers],'Pipe data inputs'!C71:O71,0,0,)</f>
        <v>0.66</v>
      </c>
      <c r="N72" s="211"/>
      <c r="O72" s="206" t="str">
        <f>IF(Pipe_data[[#This Row],[ID]]&gt;0, IF(Pipe_data[[#This Row],[Assumed diversity from model]]=1, "Feed", "Main"), "-" )</f>
        <v>Main</v>
      </c>
      <c r="P72" s="240">
        <v>0</v>
      </c>
      <c r="Q72" s="274">
        <f>IF(Pipe_data[[#This Row],[Phase overwrite]]&gt;0,Pipe_data[[#This Row],[Phase overwrite]],
IF(Pipe_data[[#This Row],[Tag]]="Feed",
_xlfn.XLOOKUP(Pipe_data[[#This Row],[Connected buildings ID]],'Heat connections'!$D$5:$D$242,'Heat connections'!$M$5:$M$242,1,0,1),1))</f>
        <v>1</v>
      </c>
      <c r="R72" s="499">
        <f>IF(Pipe_data[[#This Row],[Surface]]="Hard (Default)",
_xlfn.XLOOKUP(Pipe_data[[#This Row],[Nominal Diameter]],'Technical inputs'!$B$79:$B$100,'Technical inputs'!$C$79:$C$100,0,0,1),
_xlfn.XLOOKUP(Pipe_data[[#This Row],[Nominal Diameter]],'Technical inputs'!$B$79:$B$100,'Technical inputs'!$D$79:$D$100,0,0,1)) * Pipe_data[[#This Row],[Length]]</f>
        <v>5632.4424949447703</v>
      </c>
    </row>
    <row r="73" spans="3:18" x14ac:dyDescent="0.25">
      <c r="C73" s="206" t="str" cm="1">
        <f t="array" ref="C73">_xlfn.XLOOKUP(C$4,Pipe_data_input[#Headers],'Pipe data inputs'!C72:O72,0,0,)</f>
        <v>8BLtGXD8iCi94I5+</v>
      </c>
      <c r="D73" s="293" cm="1">
        <f t="array" ref="D73">_xlfn.XLOOKUP(D$4,Pipe_data_input[#Headers],'Pipe data inputs'!C72:O72,0,0,)</f>
        <v>10.898051000000001</v>
      </c>
      <c r="E73" s="206" t="str" cm="1">
        <f t="array" ref="E73">_xlfn.XLOOKUP(E$4,Pipe_data_input[#Headers],'Pipe data inputs'!C72:O72,0,0,)</f>
        <v>Hard (default)</v>
      </c>
      <c r="F73" s="206" cm="1">
        <f t="array" ref="F73">_xlfn.XLOOKUP(F$4,Pipe_data_input[#Headers],'Pipe data inputs'!C72:O72,0,0,)</f>
        <v>150</v>
      </c>
      <c r="G73" s="241" cm="1">
        <f t="array" ref="G73">_xlfn.XLOOKUP(G$4,Pipe_data_input[#Headers],'Pipe data inputs'!C72:O72,0,0,)</f>
        <v>3373.6859286578806</v>
      </c>
      <c r="H73" s="241" cm="1">
        <f t="array" ref="H73">_xlfn.XLOOKUP(H$4,Pipe_data_input[#Headers],'Pipe data inputs'!C72:O72,0,0,)</f>
        <v>3530.03561769525</v>
      </c>
      <c r="I73" s="206" cm="1">
        <f t="array" ref="I73">_xlfn.XLOOKUP(I$4,Pipe_data_input[#Headers],'Pipe data inputs'!C72:O72,0,0,)</f>
        <v>0</v>
      </c>
      <c r="J73" s="206" cm="1">
        <f t="array" ref="J73">_xlfn.XLOOKUP(J$4,Pipe_data_input[#Headers],'Pipe data inputs'!C72:O72,0,0,)</f>
        <v>0</v>
      </c>
      <c r="K73" s="206" cm="1">
        <f t="array" ref="K73">_xlfn.XLOOKUP(K$4,Pipe_data_input[#Headers],'Pipe data inputs'!C72:O72,0,0,)</f>
        <v>0</v>
      </c>
      <c r="L73" s="206" cm="1">
        <f t="array" ref="L73">_xlfn.XLOOKUP(L$4,Pipe_data_input[#Headers],'Pipe data inputs'!C72:O72,0,0,)</f>
        <v>0</v>
      </c>
      <c r="M73" s="295" cm="1">
        <f t="array" ref="M73">_xlfn.XLOOKUP(M$4,Pipe_data_input[#Headers],'Pipe data inputs'!C72:O72,0,0,)</f>
        <v>0.63</v>
      </c>
      <c r="N73" s="211"/>
      <c r="O73" s="206" t="str">
        <f>IF(Pipe_data[[#This Row],[ID]]&gt;0, IF(Pipe_data[[#This Row],[Assumed diversity from model]]=1, "Feed", "Main"), "-" )</f>
        <v>Main</v>
      </c>
      <c r="P73" s="240">
        <v>0</v>
      </c>
      <c r="Q73" s="274">
        <f>IF(Pipe_data[[#This Row],[Phase overwrite]]&gt;0,Pipe_data[[#This Row],[Phase overwrite]],
IF(Pipe_data[[#This Row],[Tag]]="Feed",
_xlfn.XLOOKUP(Pipe_data[[#This Row],[Connected buildings ID]],'Heat connections'!$D$5:$D$242,'Heat connections'!$M$5:$M$242,1,0,1),1))</f>
        <v>1</v>
      </c>
      <c r="R73" s="499">
        <f>IF(Pipe_data[[#This Row],[Surface]]="Hard (Default)",
_xlfn.XLOOKUP(Pipe_data[[#This Row],[Nominal Diameter]],'Technical inputs'!$B$79:$B$100,'Technical inputs'!$C$79:$C$100,0,0,1),
_xlfn.XLOOKUP(Pipe_data[[#This Row],[Nominal Diameter]],'Technical inputs'!$B$79:$B$100,'Technical inputs'!$D$79:$D$100,0,0,1)) * Pipe_data[[#This Row],[Length]]</f>
        <v>35746.704181338748</v>
      </c>
    </row>
    <row r="74" spans="3:18" x14ac:dyDescent="0.25">
      <c r="C74" s="206" t="str" cm="1">
        <f t="array" ref="C74">_xlfn.XLOOKUP(C$4,Pipe_data_input[#Headers],'Pipe data inputs'!C73:O73,0,0,)</f>
        <v>a1uervWiLMcKqOPp</v>
      </c>
      <c r="D74" s="293" cm="1">
        <f t="array" ref="D74">_xlfn.XLOOKUP(D$4,Pipe_data_input[#Headers],'Pipe data inputs'!C73:O73,0,0,)</f>
        <v>18.291482999999999</v>
      </c>
      <c r="E74" s="206" t="str" cm="1">
        <f t="array" ref="E74">_xlfn.XLOOKUP(E$4,Pipe_data_input[#Headers],'Pipe data inputs'!C73:O73,0,0,)</f>
        <v>Hard (default)</v>
      </c>
      <c r="F74" s="206" cm="1">
        <f t="array" ref="F74">_xlfn.XLOOKUP(F$4,Pipe_data_input[#Headers],'Pipe data inputs'!C73:O73,0,0,)</f>
        <v>400</v>
      </c>
      <c r="G74" s="241" cm="1">
        <f t="array" ref="G74">_xlfn.XLOOKUP(G$4,Pipe_data_input[#Headers],'Pipe data inputs'!C73:O73,0,0,)</f>
        <v>7143.0119081144821</v>
      </c>
      <c r="H74" s="241" cm="1">
        <f t="array" ref="H74">_xlfn.XLOOKUP(H$4,Pipe_data_input[#Headers],'Pipe data inputs'!C73:O73,0,0,)</f>
        <v>27007.699886683899</v>
      </c>
      <c r="I74" s="206" cm="1">
        <f t="array" ref="I74">_xlfn.XLOOKUP(I$4,Pipe_data_input[#Headers],'Pipe data inputs'!C73:O73,0,0,)</f>
        <v>0</v>
      </c>
      <c r="J74" s="206" cm="1">
        <f t="array" ref="J74">_xlfn.XLOOKUP(J$4,Pipe_data_input[#Headers],'Pipe data inputs'!C73:O73,0,0,)</f>
        <v>0</v>
      </c>
      <c r="K74" s="206" cm="1">
        <f t="array" ref="K74">_xlfn.XLOOKUP(K$4,Pipe_data_input[#Headers],'Pipe data inputs'!C73:O73,0,0,)</f>
        <v>0</v>
      </c>
      <c r="L74" s="206" cm="1">
        <f t="array" ref="L74">_xlfn.XLOOKUP(L$4,Pipe_data_input[#Headers],'Pipe data inputs'!C73:O73,0,0,)</f>
        <v>0</v>
      </c>
      <c r="M74" s="295" cm="1">
        <f t="array" ref="M74">_xlfn.XLOOKUP(M$4,Pipe_data_input[#Headers],'Pipe data inputs'!C73:O73,0,0,)</f>
        <v>0.62</v>
      </c>
      <c r="N74" s="211"/>
      <c r="O74" s="206" t="str">
        <f>IF(Pipe_data[[#This Row],[ID]]&gt;0, IF(Pipe_data[[#This Row],[Assumed diversity from model]]=1, "Feed", "Main"), "-" )</f>
        <v>Main</v>
      </c>
      <c r="P74" s="240">
        <v>0</v>
      </c>
      <c r="Q74" s="274">
        <f>IF(Pipe_data[[#This Row],[Phase overwrite]]&gt;0,Pipe_data[[#This Row],[Phase overwrite]],
IF(Pipe_data[[#This Row],[Tag]]="Feed",
_xlfn.XLOOKUP(Pipe_data[[#This Row],[Connected buildings ID]],'Heat connections'!$D$5:$D$242,'Heat connections'!$M$5:$M$242,1,0,1),1))</f>
        <v>1</v>
      </c>
      <c r="R74" s="499">
        <f>IF(Pipe_data[[#This Row],[Surface]]="Hard (Default)",
_xlfn.XLOOKUP(Pipe_data[[#This Row],[Nominal Diameter]],'Technical inputs'!$B$79:$B$100,'Technical inputs'!$C$79:$C$100,0,0,1),
_xlfn.XLOOKUP(Pipe_data[[#This Row],[Nominal Diameter]],'Technical inputs'!$B$79:$B$100,'Technical inputs'!$D$79:$D$100,0,0,1)) * Pipe_data[[#This Row],[Length]]</f>
        <v>88559.266578409603</v>
      </c>
    </row>
    <row r="75" spans="3:18" x14ac:dyDescent="0.25">
      <c r="C75" s="206" t="str" cm="1">
        <f t="array" ref="C75">_xlfn.XLOOKUP(C$4,Pipe_data_input[#Headers],'Pipe data inputs'!C74:O74,0,0,)</f>
        <v>uQIk+BQsdNa6f4XB</v>
      </c>
      <c r="D75" s="293" cm="1">
        <f t="array" ref="D75">_xlfn.XLOOKUP(D$4,Pipe_data_input[#Headers],'Pipe data inputs'!C74:O74,0,0,)</f>
        <v>4.6970830000000001</v>
      </c>
      <c r="E75" s="206" t="str" cm="1">
        <f t="array" ref="E75">_xlfn.XLOOKUP(E$4,Pipe_data_input[#Headers],'Pipe data inputs'!C74:O74,0,0,)</f>
        <v>Hard (default)</v>
      </c>
      <c r="F75" s="206" cm="1">
        <f t="array" ref="F75">_xlfn.XLOOKUP(F$4,Pipe_data_input[#Headers],'Pipe data inputs'!C74:O74,0,0,)</f>
        <v>150</v>
      </c>
      <c r="G75" s="241" cm="1">
        <f t="array" ref="G75">_xlfn.XLOOKUP(G$4,Pipe_data_input[#Headers],'Pipe data inputs'!C74:O74,0,0,)</f>
        <v>1454.0103001225391</v>
      </c>
      <c r="H75" s="241" cm="1">
        <f t="array" ref="H75">_xlfn.XLOOKUP(H$4,Pipe_data_input[#Headers],'Pipe data inputs'!C74:O74,0,0,)</f>
        <v>3529.0715643295898</v>
      </c>
      <c r="I75" s="206" cm="1">
        <f t="array" ref="I75">_xlfn.XLOOKUP(I$4,Pipe_data_input[#Headers],'Pipe data inputs'!C74:O74,0,0,)</f>
        <v>0</v>
      </c>
      <c r="J75" s="206" cm="1">
        <f t="array" ref="J75">_xlfn.XLOOKUP(J$4,Pipe_data_input[#Headers],'Pipe data inputs'!C74:O74,0,0,)</f>
        <v>0</v>
      </c>
      <c r="K75" s="206" cm="1">
        <f t="array" ref="K75">_xlfn.XLOOKUP(K$4,Pipe_data_input[#Headers],'Pipe data inputs'!C74:O74,0,0,)</f>
        <v>0</v>
      </c>
      <c r="L75" s="206" cm="1">
        <f t="array" ref="L75">_xlfn.XLOOKUP(L$4,Pipe_data_input[#Headers],'Pipe data inputs'!C74:O74,0,0,)</f>
        <v>0</v>
      </c>
      <c r="M75" s="295" cm="1">
        <f t="array" ref="M75">_xlfn.XLOOKUP(M$4,Pipe_data_input[#Headers],'Pipe data inputs'!C74:O74,0,0,)</f>
        <v>0.63</v>
      </c>
      <c r="N75" s="211"/>
      <c r="O75" s="206" t="str">
        <f>IF(Pipe_data[[#This Row],[ID]]&gt;0, IF(Pipe_data[[#This Row],[Assumed diversity from model]]=1, "Feed", "Main"), "-" )</f>
        <v>Main</v>
      </c>
      <c r="P75" s="240">
        <v>0</v>
      </c>
      <c r="Q75" s="274">
        <f>IF(Pipe_data[[#This Row],[Phase overwrite]]&gt;0,Pipe_data[[#This Row],[Phase overwrite]],
IF(Pipe_data[[#This Row],[Tag]]="Feed",
_xlfn.XLOOKUP(Pipe_data[[#This Row],[Connected buildings ID]],'Heat connections'!$D$5:$D$242,'Heat connections'!$M$5:$M$242,1,0,1),1))</f>
        <v>1</v>
      </c>
      <c r="R75" s="499">
        <f>IF(Pipe_data[[#This Row],[Surface]]="Hard (Default)",
_xlfn.XLOOKUP(Pipe_data[[#This Row],[Nominal Diameter]],'Technical inputs'!$B$79:$B$100,'Technical inputs'!$C$79:$C$100,0,0,1),
_xlfn.XLOOKUP(Pipe_data[[#This Row],[Nominal Diameter]],'Technical inputs'!$B$79:$B$100,'Technical inputs'!$D$79:$D$100,0,0,1)) * Pipe_data[[#This Row],[Length]]</f>
        <v>15406.905006793888</v>
      </c>
    </row>
    <row r="76" spans="3:18" x14ac:dyDescent="0.25">
      <c r="C76" s="206" t="str" cm="1">
        <f t="array" ref="C76">_xlfn.XLOOKUP(C$4,Pipe_data_input[#Headers],'Pipe data inputs'!C75:O75,0,0,)</f>
        <v>fucEIxRBjLRg4tdP</v>
      </c>
      <c r="D76" s="293" cm="1">
        <f t="array" ref="D76">_xlfn.XLOOKUP(D$4,Pipe_data_input[#Headers],'Pipe data inputs'!C75:O75,0,0,)</f>
        <v>3.2646145999999998</v>
      </c>
      <c r="E76" s="206" t="str" cm="1">
        <f t="array" ref="E76">_xlfn.XLOOKUP(E$4,Pipe_data_input[#Headers],'Pipe data inputs'!C75:O75,0,0,)</f>
        <v>Hard (default)</v>
      </c>
      <c r="F76" s="206" cm="1">
        <f t="array" ref="F76">_xlfn.XLOOKUP(F$4,Pipe_data_input[#Headers],'Pipe data inputs'!C75:O75,0,0,)</f>
        <v>25</v>
      </c>
      <c r="G76" s="241" cm="1">
        <f t="array" ref="G76">_xlfn.XLOOKUP(G$4,Pipe_data_input[#Headers],'Pipe data inputs'!C75:O75,0,0,)</f>
        <v>446.17708470996422</v>
      </c>
      <c r="H76" s="241" cm="1">
        <f t="array" ref="H76">_xlfn.XLOOKUP(H$4,Pipe_data_input[#Headers],'Pipe data inputs'!C75:O75,0,0,)</f>
        <v>41.786688880936701</v>
      </c>
      <c r="I76" s="206" cm="1">
        <f t="array" ref="I76">_xlfn.XLOOKUP(I$4,Pipe_data_input[#Headers],'Pipe data inputs'!C75:O75,0,0,)</f>
        <v>0</v>
      </c>
      <c r="J76" s="206" cm="1">
        <f t="array" ref="J76">_xlfn.XLOOKUP(J$4,Pipe_data_input[#Headers],'Pipe data inputs'!C75:O75,0,0,)</f>
        <v>0</v>
      </c>
      <c r="K76" s="206" cm="1">
        <f t="array" ref="K76">_xlfn.XLOOKUP(K$4,Pipe_data_input[#Headers],'Pipe data inputs'!C75:O75,0,0,)</f>
        <v>0</v>
      </c>
      <c r="L76" s="206" cm="1">
        <f t="array" ref="L76">_xlfn.XLOOKUP(L$4,Pipe_data_input[#Headers],'Pipe data inputs'!C75:O75,0,0,)</f>
        <v>0</v>
      </c>
      <c r="M76" s="295" cm="1">
        <f t="array" ref="M76">_xlfn.XLOOKUP(M$4,Pipe_data_input[#Headers],'Pipe data inputs'!C75:O75,0,0,)</f>
        <v>0.81</v>
      </c>
      <c r="N76" s="211"/>
      <c r="O76" s="206" t="str">
        <f>IF(Pipe_data[[#This Row],[ID]]&gt;0, IF(Pipe_data[[#This Row],[Assumed diversity from model]]=1, "Feed", "Main"), "-" )</f>
        <v>Main</v>
      </c>
      <c r="P76" s="240">
        <v>0</v>
      </c>
      <c r="Q76" s="274">
        <f>IF(Pipe_data[[#This Row],[Phase overwrite]]&gt;0,Pipe_data[[#This Row],[Phase overwrite]],
IF(Pipe_data[[#This Row],[Tag]]="Feed",
_xlfn.XLOOKUP(Pipe_data[[#This Row],[Connected buildings ID]],'Heat connections'!$D$5:$D$242,'Heat connections'!$M$5:$M$242,1,0,1),1))</f>
        <v>1</v>
      </c>
      <c r="R76" s="499">
        <f>IF(Pipe_data[[#This Row],[Surface]]="Hard (Default)",
_xlfn.XLOOKUP(Pipe_data[[#This Row],[Nominal Diameter]],'Technical inputs'!$B$79:$B$100,'Technical inputs'!$C$79:$C$100,0,0,1),
_xlfn.XLOOKUP(Pipe_data[[#This Row],[Nominal Diameter]],'Technical inputs'!$B$79:$B$100,'Technical inputs'!$D$79:$D$100,0,0,1)) * Pipe_data[[#This Row],[Length]]</f>
        <v>7037.1213905703444</v>
      </c>
    </row>
    <row r="77" spans="3:18" x14ac:dyDescent="0.25">
      <c r="C77" s="206" t="str" cm="1">
        <f t="array" ref="C77">_xlfn.XLOOKUP(C$4,Pipe_data_input[#Headers],'Pipe data inputs'!C76:O76,0,0,)</f>
        <v>hPS29UfKdAu4hfEO</v>
      </c>
      <c r="D77" s="293" cm="1">
        <f t="array" ref="D77">_xlfn.XLOOKUP(D$4,Pipe_data_input[#Headers],'Pipe data inputs'!C76:O76,0,0,)</f>
        <v>17.330321999999999</v>
      </c>
      <c r="E77" s="206" t="str" cm="1">
        <f t="array" ref="E77">_xlfn.XLOOKUP(E$4,Pipe_data_input[#Headers],'Pipe data inputs'!C76:O76,0,0,)</f>
        <v>Hard (default)</v>
      </c>
      <c r="F77" s="206" cm="1">
        <f t="array" ref="F77">_xlfn.XLOOKUP(F$4,Pipe_data_input[#Headers],'Pipe data inputs'!C76:O76,0,0,)</f>
        <v>80</v>
      </c>
      <c r="G77" s="241" cm="1">
        <f t="array" ref="G77">_xlfn.XLOOKUP(G$4,Pipe_data_input[#Headers],'Pipe data inputs'!C76:O76,0,0,)</f>
        <v>4103.5707254923664</v>
      </c>
      <c r="H77" s="241" cm="1">
        <f t="array" ref="H77">_xlfn.XLOOKUP(H$4,Pipe_data_input[#Headers],'Pipe data inputs'!C76:O76,0,0,)</f>
        <v>562.93208777304994</v>
      </c>
      <c r="I77" s="206" cm="1">
        <f t="array" ref="I77">_xlfn.XLOOKUP(I$4,Pipe_data_input[#Headers],'Pipe data inputs'!C76:O76,0,0,)</f>
        <v>0</v>
      </c>
      <c r="J77" s="206" cm="1">
        <f t="array" ref="J77">_xlfn.XLOOKUP(J$4,Pipe_data_input[#Headers],'Pipe data inputs'!C76:O76,0,0,)</f>
        <v>0</v>
      </c>
      <c r="K77" s="206" cm="1">
        <f t="array" ref="K77">_xlfn.XLOOKUP(K$4,Pipe_data_input[#Headers],'Pipe data inputs'!C76:O76,0,0,)</f>
        <v>0</v>
      </c>
      <c r="L77" s="206" cm="1">
        <f t="array" ref="L77">_xlfn.XLOOKUP(L$4,Pipe_data_input[#Headers],'Pipe data inputs'!C76:O76,0,0,)</f>
        <v>0</v>
      </c>
      <c r="M77" s="295" cm="1">
        <f t="array" ref="M77">_xlfn.XLOOKUP(M$4,Pipe_data_input[#Headers],'Pipe data inputs'!C76:O76,0,0,)</f>
        <v>0.65</v>
      </c>
      <c r="N77" s="211"/>
      <c r="O77" s="206" t="str">
        <f>IF(Pipe_data[[#This Row],[ID]]&gt;0, IF(Pipe_data[[#This Row],[Assumed diversity from model]]=1, "Feed", "Main"), "-" )</f>
        <v>Main</v>
      </c>
      <c r="P77" s="240">
        <v>0</v>
      </c>
      <c r="Q77" s="274">
        <f>IF(Pipe_data[[#This Row],[Phase overwrite]]&gt;0,Pipe_data[[#This Row],[Phase overwrite]],
IF(Pipe_data[[#This Row],[Tag]]="Feed",
_xlfn.XLOOKUP(Pipe_data[[#This Row],[Connected buildings ID]],'Heat connections'!$D$5:$D$242,'Heat connections'!$M$5:$M$242,1,0,1),1))</f>
        <v>1</v>
      </c>
      <c r="R77" s="499">
        <f>IF(Pipe_data[[#This Row],[Surface]]="Hard (Default)",
_xlfn.XLOOKUP(Pipe_data[[#This Row],[Nominal Diameter]],'Technical inputs'!$B$79:$B$100,'Technical inputs'!$C$79:$C$100,0,0,1),
_xlfn.XLOOKUP(Pipe_data[[#This Row],[Nominal Diameter]],'Technical inputs'!$B$79:$B$100,'Technical inputs'!$D$79:$D$100,0,0,1)) * Pipe_data[[#This Row],[Length]]</f>
        <v>47375.770659947637</v>
      </c>
    </row>
    <row r="78" spans="3:18" x14ac:dyDescent="0.25">
      <c r="C78" s="206" t="str" cm="1">
        <f t="array" ref="C78">_xlfn.XLOOKUP(C$4,Pipe_data_input[#Headers],'Pipe data inputs'!C77:O77,0,0,)</f>
        <v>5K0cwGSAo4GVNQ+/</v>
      </c>
      <c r="D78" s="293" cm="1">
        <f t="array" ref="D78">_xlfn.XLOOKUP(D$4,Pipe_data_input[#Headers],'Pipe data inputs'!C77:O77,0,0,)</f>
        <v>18.141065999999999</v>
      </c>
      <c r="E78" s="206" t="str" cm="1">
        <f t="array" ref="E78">_xlfn.XLOOKUP(E$4,Pipe_data_input[#Headers],'Pipe data inputs'!C77:O77,0,0,)</f>
        <v>Hard (default)</v>
      </c>
      <c r="F78" s="206" cm="1">
        <f t="array" ref="F78">_xlfn.XLOOKUP(F$4,Pipe_data_input[#Headers],'Pipe data inputs'!C77:O77,0,0,)</f>
        <v>20</v>
      </c>
      <c r="G78" s="241" cm="1">
        <f t="array" ref="G78">_xlfn.XLOOKUP(G$4,Pipe_data_input[#Headers],'Pipe data inputs'!C77:O77,0,0,)</f>
        <v>2123.9644942614441</v>
      </c>
      <c r="H78" s="241" cm="1">
        <f t="array" ref="H78">_xlfn.XLOOKUP(H$4,Pipe_data_input[#Headers],'Pipe data inputs'!C77:O77,0,0,)</f>
        <v>1</v>
      </c>
      <c r="I78" s="206" cm="1">
        <f t="array" ref="I78">_xlfn.XLOOKUP(I$4,Pipe_data_input[#Headers],'Pipe data inputs'!C77:O77,0,0,)</f>
        <v>0</v>
      </c>
      <c r="J78" s="206" cm="1">
        <f t="array" ref="J78">_xlfn.XLOOKUP(J$4,Pipe_data_input[#Headers],'Pipe data inputs'!C77:O77,0,0,)</f>
        <v>0</v>
      </c>
      <c r="K78" s="206" cm="1">
        <f t="array" ref="K78">_xlfn.XLOOKUP(K$4,Pipe_data_input[#Headers],'Pipe data inputs'!C77:O77,0,0,)</f>
        <v>0</v>
      </c>
      <c r="L78" s="206" cm="1">
        <f t="array" ref="L78">_xlfn.XLOOKUP(L$4,Pipe_data_input[#Headers],'Pipe data inputs'!C77:O77,0,0,)</f>
        <v>0</v>
      </c>
      <c r="M78" s="295" cm="1">
        <f t="array" ref="M78">_xlfn.XLOOKUP(M$4,Pipe_data_input[#Headers],'Pipe data inputs'!C77:O77,0,0,)</f>
        <v>1</v>
      </c>
      <c r="N78" s="211"/>
      <c r="O78" s="206" t="str">
        <f>IF(Pipe_data[[#This Row],[ID]]&gt;0, IF(Pipe_data[[#This Row],[Assumed diversity from model]]=1, "Feed", "Main"), "-" )</f>
        <v>Feed</v>
      </c>
      <c r="P78" s="240">
        <v>0</v>
      </c>
      <c r="Q78" s="274">
        <f>IF(Pipe_data[[#This Row],[Phase overwrite]]&gt;0,Pipe_data[[#This Row],[Phase overwrite]],
IF(Pipe_data[[#This Row],[Tag]]="Feed",
_xlfn.XLOOKUP(Pipe_data[[#This Row],[Connected buildings ID]],'Heat connections'!$D$5:$D$242,'Heat connections'!$M$5:$M$242,1,0,1),1))</f>
        <v>1</v>
      </c>
      <c r="R78" s="499">
        <f>IF(Pipe_data[[#This Row],[Surface]]="Hard (Default)",
_xlfn.XLOOKUP(Pipe_data[[#This Row],[Nominal Diameter]],'Technical inputs'!$B$79:$B$100,'Technical inputs'!$C$79:$C$100,0,0,1),
_xlfn.XLOOKUP(Pipe_data[[#This Row],[Nominal Diameter]],'Technical inputs'!$B$79:$B$100,'Technical inputs'!$D$79:$D$100,0,0,1)) * Pipe_data[[#This Row],[Length]]</f>
        <v>38853.683541451122</v>
      </c>
    </row>
    <row r="79" spans="3:18" x14ac:dyDescent="0.25">
      <c r="C79" s="206" t="str" cm="1">
        <f t="array" ref="C79">_xlfn.XLOOKUP(C$4,Pipe_data_input[#Headers],'Pipe data inputs'!C78:O78,0,0,)</f>
        <v>pz2huFFqWFbLcAaZ</v>
      </c>
      <c r="D79" s="293" cm="1">
        <f t="array" ref="D79">_xlfn.XLOOKUP(D$4,Pipe_data_input[#Headers],'Pipe data inputs'!C78:O78,0,0,)</f>
        <v>36.409644999999998</v>
      </c>
      <c r="E79" s="206" t="str" cm="1">
        <f t="array" ref="E79">_xlfn.XLOOKUP(E$4,Pipe_data_input[#Headers],'Pipe data inputs'!C78:O78,0,0,)</f>
        <v>Hard (default)</v>
      </c>
      <c r="F79" s="206" cm="1">
        <f t="array" ref="F79">_xlfn.XLOOKUP(F$4,Pipe_data_input[#Headers],'Pipe data inputs'!C78:O78,0,0,)</f>
        <v>80</v>
      </c>
      <c r="G79" s="241" cm="1">
        <f t="array" ref="G79">_xlfn.XLOOKUP(G$4,Pipe_data_input[#Headers],'Pipe data inputs'!C78:O78,0,0,)</f>
        <v>8263.8310497714519</v>
      </c>
      <c r="H79" s="241" cm="1">
        <f t="array" ref="H79">_xlfn.XLOOKUP(H$4,Pipe_data_input[#Headers],'Pipe data inputs'!C78:O78,0,0,)</f>
        <v>720.47985063224201</v>
      </c>
      <c r="I79" s="206" cm="1">
        <f t="array" ref="I79">_xlfn.XLOOKUP(I$4,Pipe_data_input[#Headers],'Pipe data inputs'!C78:O78,0,0,)</f>
        <v>0</v>
      </c>
      <c r="J79" s="206" cm="1">
        <f t="array" ref="J79">_xlfn.XLOOKUP(J$4,Pipe_data_input[#Headers],'Pipe data inputs'!C78:O78,0,0,)</f>
        <v>0</v>
      </c>
      <c r="K79" s="206" cm="1">
        <f t="array" ref="K79">_xlfn.XLOOKUP(K$4,Pipe_data_input[#Headers],'Pipe data inputs'!C78:O78,0,0,)</f>
        <v>0</v>
      </c>
      <c r="L79" s="206" cm="1">
        <f t="array" ref="L79">_xlfn.XLOOKUP(L$4,Pipe_data_input[#Headers],'Pipe data inputs'!C78:O78,0,0,)</f>
        <v>0</v>
      </c>
      <c r="M79" s="295" cm="1">
        <f t="array" ref="M79">_xlfn.XLOOKUP(M$4,Pipe_data_input[#Headers],'Pipe data inputs'!C78:O78,0,0,)</f>
        <v>1</v>
      </c>
      <c r="N79" s="211"/>
      <c r="O79" s="206" t="str">
        <f>IF(Pipe_data[[#This Row],[ID]]&gt;0, IF(Pipe_data[[#This Row],[Assumed diversity from model]]=1, "Feed", "Main"), "-" )</f>
        <v>Feed</v>
      </c>
      <c r="P79" s="240">
        <v>0</v>
      </c>
      <c r="Q79" s="274">
        <f>IF(Pipe_data[[#This Row],[Phase overwrite]]&gt;0,Pipe_data[[#This Row],[Phase overwrite]],
IF(Pipe_data[[#This Row],[Tag]]="Feed",
_xlfn.XLOOKUP(Pipe_data[[#This Row],[Connected buildings ID]],'Heat connections'!$D$5:$D$242,'Heat connections'!$M$5:$M$242,1,0,1),1))</f>
        <v>1</v>
      </c>
      <c r="R79" s="499">
        <f>IF(Pipe_data[[#This Row],[Surface]]="Hard (Default)",
_xlfn.XLOOKUP(Pipe_data[[#This Row],[Nominal Diameter]],'Technical inputs'!$B$79:$B$100,'Technical inputs'!$C$79:$C$100,0,0,1),
_xlfn.XLOOKUP(Pipe_data[[#This Row],[Nominal Diameter]],'Technical inputs'!$B$79:$B$100,'Technical inputs'!$D$79:$D$100,0,0,1)) * Pipe_data[[#This Row],[Length]]</f>
        <v>99532.772174118247</v>
      </c>
    </row>
    <row r="80" spans="3:18" x14ac:dyDescent="0.25">
      <c r="C80" s="206" t="str" cm="1">
        <f t="array" ref="C80">_xlfn.XLOOKUP(C$4,Pipe_data_input[#Headers],'Pipe data inputs'!C79:O79,0,0,)</f>
        <v>aN0N7z8ylz/LRvpv</v>
      </c>
      <c r="D80" s="293" cm="1">
        <f t="array" ref="D80">_xlfn.XLOOKUP(D$4,Pipe_data_input[#Headers],'Pipe data inputs'!C79:O79,0,0,)</f>
        <v>0.29932695999999998</v>
      </c>
      <c r="E80" s="206" t="str" cm="1">
        <f t="array" ref="E80">_xlfn.XLOOKUP(E$4,Pipe_data_input[#Headers],'Pipe data inputs'!C79:O79,0,0,)</f>
        <v>Hard (default)</v>
      </c>
      <c r="F80" s="206" cm="1">
        <f t="array" ref="F80">_xlfn.XLOOKUP(F$4,Pipe_data_input[#Headers],'Pipe data inputs'!C79:O79,0,0,)</f>
        <v>150</v>
      </c>
      <c r="G80" s="241" cm="1">
        <f t="array" ref="G80">_xlfn.XLOOKUP(G$4,Pipe_data_input[#Headers],'Pipe data inputs'!C79:O79,0,0,)</f>
        <v>92.65846120759781</v>
      </c>
      <c r="H80" s="241" cm="1">
        <f t="array" ref="H80">_xlfn.XLOOKUP(H$4,Pipe_data_input[#Headers],'Pipe data inputs'!C79:O79,0,0,)</f>
        <v>3529.0715643295898</v>
      </c>
      <c r="I80" s="206" cm="1">
        <f t="array" ref="I80">_xlfn.XLOOKUP(I$4,Pipe_data_input[#Headers],'Pipe data inputs'!C79:O79,0,0,)</f>
        <v>0</v>
      </c>
      <c r="J80" s="206" cm="1">
        <f t="array" ref="J80">_xlfn.XLOOKUP(J$4,Pipe_data_input[#Headers],'Pipe data inputs'!C79:O79,0,0,)</f>
        <v>0</v>
      </c>
      <c r="K80" s="206" cm="1">
        <f t="array" ref="K80">_xlfn.XLOOKUP(K$4,Pipe_data_input[#Headers],'Pipe data inputs'!C79:O79,0,0,)</f>
        <v>0</v>
      </c>
      <c r="L80" s="206" cm="1">
        <f t="array" ref="L80">_xlfn.XLOOKUP(L$4,Pipe_data_input[#Headers],'Pipe data inputs'!C79:O79,0,0,)</f>
        <v>0</v>
      </c>
      <c r="M80" s="295" cm="1">
        <f t="array" ref="M80">_xlfn.XLOOKUP(M$4,Pipe_data_input[#Headers],'Pipe data inputs'!C79:O79,0,0,)</f>
        <v>0.63</v>
      </c>
      <c r="N80" s="211"/>
      <c r="O80" s="206" t="str">
        <f>IF(Pipe_data[[#This Row],[ID]]&gt;0, IF(Pipe_data[[#This Row],[Assumed diversity from model]]=1, "Feed", "Main"), "-" )</f>
        <v>Main</v>
      </c>
      <c r="P80" s="240">
        <v>0</v>
      </c>
      <c r="Q80" s="274">
        <f>IF(Pipe_data[[#This Row],[Phase overwrite]]&gt;0,Pipe_data[[#This Row],[Phase overwrite]],
IF(Pipe_data[[#This Row],[Tag]]="Feed",
_xlfn.XLOOKUP(Pipe_data[[#This Row],[Connected buildings ID]],'Heat connections'!$D$5:$D$242,'Heat connections'!$M$5:$M$242,1,0,1),1))</f>
        <v>1</v>
      </c>
      <c r="R80" s="499">
        <f>IF(Pipe_data[[#This Row],[Surface]]="Hard (Default)",
_xlfn.XLOOKUP(Pipe_data[[#This Row],[Nominal Diameter]],'Technical inputs'!$B$79:$B$100,'Technical inputs'!$C$79:$C$100,0,0,1),
_xlfn.XLOOKUP(Pipe_data[[#This Row],[Nominal Diameter]],'Technical inputs'!$B$79:$B$100,'Technical inputs'!$D$79:$D$100,0,0,1)) * Pipe_data[[#This Row],[Length]]</f>
        <v>981.8225564020039</v>
      </c>
    </row>
    <row r="81" spans="3:18" x14ac:dyDescent="0.25">
      <c r="C81" s="206" t="str" cm="1">
        <f t="array" ref="C81">_xlfn.XLOOKUP(C$4,Pipe_data_input[#Headers],'Pipe data inputs'!C80:O80,0,0,)</f>
        <v>YuLmrjtTnUmP4mFj</v>
      </c>
      <c r="D81" s="293" cm="1">
        <f t="array" ref="D81">_xlfn.XLOOKUP(D$4,Pipe_data_input[#Headers],'Pipe data inputs'!C80:O80,0,0,)</f>
        <v>1.716448</v>
      </c>
      <c r="E81" s="206" t="str" cm="1">
        <f t="array" ref="E81">_xlfn.XLOOKUP(E$4,Pipe_data_input[#Headers],'Pipe data inputs'!C80:O80,0,0,)</f>
        <v>Hard (default)</v>
      </c>
      <c r="F81" s="206" cm="1">
        <f t="array" ref="F81">_xlfn.XLOOKUP(F$4,Pipe_data_input[#Headers],'Pipe data inputs'!C80:O80,0,0,)</f>
        <v>200</v>
      </c>
      <c r="G81" s="241" cm="1">
        <f t="array" ref="G81">_xlfn.XLOOKUP(G$4,Pipe_data_input[#Headers],'Pipe data inputs'!C80:O80,0,0,)</f>
        <v>561.26236428420486</v>
      </c>
      <c r="H81" s="241" cm="1">
        <f t="array" ref="H81">_xlfn.XLOOKUP(H$4,Pipe_data_input[#Headers],'Pipe data inputs'!C80:O80,0,0,)</f>
        <v>5647.44771793778</v>
      </c>
      <c r="I81" s="206" cm="1">
        <f t="array" ref="I81">_xlfn.XLOOKUP(I$4,Pipe_data_input[#Headers],'Pipe data inputs'!C80:O80,0,0,)</f>
        <v>0</v>
      </c>
      <c r="J81" s="206" cm="1">
        <f t="array" ref="J81">_xlfn.XLOOKUP(J$4,Pipe_data_input[#Headers],'Pipe data inputs'!C80:O80,0,0,)</f>
        <v>0</v>
      </c>
      <c r="K81" s="206" cm="1">
        <f t="array" ref="K81">_xlfn.XLOOKUP(K$4,Pipe_data_input[#Headers],'Pipe data inputs'!C80:O80,0,0,)</f>
        <v>0</v>
      </c>
      <c r="L81" s="206" cm="1">
        <f t="array" ref="L81">_xlfn.XLOOKUP(L$4,Pipe_data_input[#Headers],'Pipe data inputs'!C80:O80,0,0,)</f>
        <v>0</v>
      </c>
      <c r="M81" s="295" cm="1">
        <f t="array" ref="M81">_xlfn.XLOOKUP(M$4,Pipe_data_input[#Headers],'Pipe data inputs'!C80:O80,0,0,)</f>
        <v>1</v>
      </c>
      <c r="N81" s="211"/>
      <c r="O81" s="206" t="str">
        <f>IF(Pipe_data[[#This Row],[ID]]&gt;0, IF(Pipe_data[[#This Row],[Assumed diversity from model]]=1, "Feed", "Main"), "-" )</f>
        <v>Feed</v>
      </c>
      <c r="P81" s="240">
        <v>0</v>
      </c>
      <c r="Q81" s="274">
        <f>IF(Pipe_data[[#This Row],[Phase overwrite]]&gt;0,Pipe_data[[#This Row],[Phase overwrite]],
IF(Pipe_data[[#This Row],[Tag]]="Feed",
_xlfn.XLOOKUP(Pipe_data[[#This Row],[Connected buildings ID]],'Heat connections'!$D$5:$D$242,'Heat connections'!$M$5:$M$242,1,0,1),1))</f>
        <v>1</v>
      </c>
      <c r="R81" s="499">
        <f>IF(Pipe_data[[#This Row],[Surface]]="Hard (Default)",
_xlfn.XLOOKUP(Pipe_data[[#This Row],[Nominal Diameter]],'Technical inputs'!$B$79:$B$100,'Technical inputs'!$C$79:$C$100,0,0,1),
_xlfn.XLOOKUP(Pipe_data[[#This Row],[Nominal Diameter]],'Technical inputs'!$B$79:$B$100,'Technical inputs'!$D$79:$D$100,0,0,1)) * Pipe_data[[#This Row],[Length]]</f>
        <v>6595.0557010804077</v>
      </c>
    </row>
    <row r="82" spans="3:18" x14ac:dyDescent="0.25">
      <c r="C82" s="206" t="str" cm="1">
        <f t="array" ref="C82">_xlfn.XLOOKUP(C$4,Pipe_data_input[#Headers],'Pipe data inputs'!C81:O81,0,0,)</f>
        <v>yUpF0THEZP3le+uv</v>
      </c>
      <c r="D82" s="293" cm="1">
        <f t="array" ref="D82">_xlfn.XLOOKUP(D$4,Pipe_data_input[#Headers],'Pipe data inputs'!C81:O81,0,0,)</f>
        <v>6.0048655999999996</v>
      </c>
      <c r="E82" s="206" t="str" cm="1">
        <f t="array" ref="E82">_xlfn.XLOOKUP(E$4,Pipe_data_input[#Headers],'Pipe data inputs'!C81:O81,0,0,)</f>
        <v>Hard (default)</v>
      </c>
      <c r="F82" s="206" cm="1">
        <f t="array" ref="F82">_xlfn.XLOOKUP(F$4,Pipe_data_input[#Headers],'Pipe data inputs'!C81:O81,0,0,)</f>
        <v>20</v>
      </c>
      <c r="G82" s="241" cm="1">
        <f t="array" ref="G82">_xlfn.XLOOKUP(G$4,Pipe_data_input[#Headers],'Pipe data inputs'!C81:O81,0,0,)</f>
        <v>891.81739008194825</v>
      </c>
      <c r="H82" s="241" cm="1">
        <f t="array" ref="H82">_xlfn.XLOOKUP(H$4,Pipe_data_input[#Headers],'Pipe data inputs'!C81:O81,0,0,)</f>
        <v>2.91598506120499</v>
      </c>
      <c r="I82" s="206" cm="1">
        <f t="array" ref="I82">_xlfn.XLOOKUP(I$4,Pipe_data_input[#Headers],'Pipe data inputs'!C81:O81,0,0,)</f>
        <v>0</v>
      </c>
      <c r="J82" s="206" cm="1">
        <f t="array" ref="J82">_xlfn.XLOOKUP(J$4,Pipe_data_input[#Headers],'Pipe data inputs'!C81:O81,0,0,)</f>
        <v>0</v>
      </c>
      <c r="K82" s="206" cm="1">
        <f t="array" ref="K82">_xlfn.XLOOKUP(K$4,Pipe_data_input[#Headers],'Pipe data inputs'!C81:O81,0,0,)</f>
        <v>0</v>
      </c>
      <c r="L82" s="206" cm="1">
        <f t="array" ref="L82">_xlfn.XLOOKUP(L$4,Pipe_data_input[#Headers],'Pipe data inputs'!C81:O81,0,0,)</f>
        <v>0</v>
      </c>
      <c r="M82" s="295" cm="1">
        <f t="array" ref="M82">_xlfn.XLOOKUP(M$4,Pipe_data_input[#Headers],'Pipe data inputs'!C81:O81,0,0,)</f>
        <v>1</v>
      </c>
      <c r="N82" s="211"/>
      <c r="O82" s="206" t="str">
        <f>IF(Pipe_data[[#This Row],[ID]]&gt;0, IF(Pipe_data[[#This Row],[Assumed diversity from model]]=1, "Feed", "Main"), "-" )</f>
        <v>Feed</v>
      </c>
      <c r="P82" s="240">
        <v>0</v>
      </c>
      <c r="Q82" s="274">
        <f>IF(Pipe_data[[#This Row],[Phase overwrite]]&gt;0,Pipe_data[[#This Row],[Phase overwrite]],
IF(Pipe_data[[#This Row],[Tag]]="Feed",
_xlfn.XLOOKUP(Pipe_data[[#This Row],[Connected buildings ID]],'Heat connections'!$D$5:$D$242,'Heat connections'!$M$5:$M$242,1,0,1),1))</f>
        <v>1</v>
      </c>
      <c r="R82" s="499">
        <f>IF(Pipe_data[[#This Row],[Surface]]="Hard (Default)",
_xlfn.XLOOKUP(Pipe_data[[#This Row],[Nominal Diameter]],'Technical inputs'!$B$79:$B$100,'Technical inputs'!$C$79:$C$100,0,0,1),
_xlfn.XLOOKUP(Pipe_data[[#This Row],[Nominal Diameter]],'Technical inputs'!$B$79:$B$100,'Technical inputs'!$D$79:$D$100,0,0,1)) * Pipe_data[[#This Row],[Length]]</f>
        <v>12860.939248627728</v>
      </c>
    </row>
    <row r="83" spans="3:18" x14ac:dyDescent="0.25">
      <c r="C83" s="206" t="str" cm="1">
        <f t="array" ref="C83">_xlfn.XLOOKUP(C$4,Pipe_data_input[#Headers],'Pipe data inputs'!C82:O82,0,0,)</f>
        <v>izvdDq6e/gy43Cg8</v>
      </c>
      <c r="D83" s="293" cm="1">
        <f t="array" ref="D83">_xlfn.XLOOKUP(D$4,Pipe_data_input[#Headers],'Pipe data inputs'!C82:O82,0,0,)</f>
        <v>1.4419016</v>
      </c>
      <c r="E83" s="206" t="str" cm="1">
        <f t="array" ref="E83">_xlfn.XLOOKUP(E$4,Pipe_data_input[#Headers],'Pipe data inputs'!C82:O82,0,0,)</f>
        <v>Hard (default)</v>
      </c>
      <c r="F83" s="206" cm="1">
        <f t="array" ref="F83">_xlfn.XLOOKUP(F$4,Pipe_data_input[#Headers],'Pipe data inputs'!C82:O82,0,0,)</f>
        <v>80</v>
      </c>
      <c r="G83" s="241" cm="1">
        <f t="array" ref="G83">_xlfn.XLOOKUP(G$4,Pipe_data_input[#Headers],'Pipe data inputs'!C82:O82,0,0,)</f>
        <v>341.42153820342162</v>
      </c>
      <c r="H83" s="241" cm="1">
        <f t="array" ref="H83">_xlfn.XLOOKUP(H$4,Pipe_data_input[#Headers],'Pipe data inputs'!C82:O82,0,0,)</f>
        <v>562.93208777304994</v>
      </c>
      <c r="I83" s="206" cm="1">
        <f t="array" ref="I83">_xlfn.XLOOKUP(I$4,Pipe_data_input[#Headers],'Pipe data inputs'!C82:O82,0,0,)</f>
        <v>0</v>
      </c>
      <c r="J83" s="206" cm="1">
        <f t="array" ref="J83">_xlfn.XLOOKUP(J$4,Pipe_data_input[#Headers],'Pipe data inputs'!C82:O82,0,0,)</f>
        <v>0</v>
      </c>
      <c r="K83" s="206" cm="1">
        <f t="array" ref="K83">_xlfn.XLOOKUP(K$4,Pipe_data_input[#Headers],'Pipe data inputs'!C82:O82,0,0,)</f>
        <v>0</v>
      </c>
      <c r="L83" s="206" cm="1">
        <f t="array" ref="L83">_xlfn.XLOOKUP(L$4,Pipe_data_input[#Headers],'Pipe data inputs'!C82:O82,0,0,)</f>
        <v>0</v>
      </c>
      <c r="M83" s="295" cm="1">
        <f t="array" ref="M83">_xlfn.XLOOKUP(M$4,Pipe_data_input[#Headers],'Pipe data inputs'!C82:O82,0,0,)</f>
        <v>0.65</v>
      </c>
      <c r="N83" s="211"/>
      <c r="O83" s="206" t="str">
        <f>IF(Pipe_data[[#This Row],[ID]]&gt;0, IF(Pipe_data[[#This Row],[Assumed diversity from model]]=1, "Feed", "Main"), "-" )</f>
        <v>Main</v>
      </c>
      <c r="P83" s="240">
        <v>0</v>
      </c>
      <c r="Q83" s="274">
        <f>IF(Pipe_data[[#This Row],[Phase overwrite]]&gt;0,Pipe_data[[#This Row],[Phase overwrite]],
IF(Pipe_data[[#This Row],[Tag]]="Feed",
_xlfn.XLOOKUP(Pipe_data[[#This Row],[Connected buildings ID]],'Heat connections'!$D$5:$D$242,'Heat connections'!$M$5:$M$242,1,0,1),1))</f>
        <v>1</v>
      </c>
      <c r="R83" s="499">
        <f>IF(Pipe_data[[#This Row],[Surface]]="Hard (Default)",
_xlfn.XLOOKUP(Pipe_data[[#This Row],[Nominal Diameter]],'Technical inputs'!$B$79:$B$100,'Technical inputs'!$C$79:$C$100,0,0,1),
_xlfn.XLOOKUP(Pipe_data[[#This Row],[Nominal Diameter]],'Technical inputs'!$B$79:$B$100,'Technical inputs'!$D$79:$D$100,0,0,1)) * Pipe_data[[#This Row],[Length]]</f>
        <v>3941.7155385694255</v>
      </c>
    </row>
    <row r="84" spans="3:18" x14ac:dyDescent="0.25">
      <c r="C84" s="206" t="str" cm="1">
        <f t="array" ref="C84">_xlfn.XLOOKUP(C$4,Pipe_data_input[#Headers],'Pipe data inputs'!C83:O83,0,0,)</f>
        <v>Rseyy45BzEmcF5uJ</v>
      </c>
      <c r="D84" s="293" cm="1">
        <f t="array" ref="D84">_xlfn.XLOOKUP(D$4,Pipe_data_input[#Headers],'Pipe data inputs'!C83:O83,0,0,)</f>
        <v>45.103133999999997</v>
      </c>
      <c r="E84" s="206" t="str" cm="1">
        <f t="array" ref="E84">_xlfn.XLOOKUP(E$4,Pipe_data_input[#Headers],'Pipe data inputs'!C83:O83,0,0,)</f>
        <v>Hard (default)</v>
      </c>
      <c r="F84" s="206" cm="1">
        <f t="array" ref="F84">_xlfn.XLOOKUP(F$4,Pipe_data_input[#Headers],'Pipe data inputs'!C83:O83,0,0,)</f>
        <v>65</v>
      </c>
      <c r="G84" s="241" cm="1">
        <f t="array" ref="G84">_xlfn.XLOOKUP(G$4,Pipe_data_input[#Headers],'Pipe data inputs'!C83:O83,0,0,)</f>
        <v>9660.8518974999224</v>
      </c>
      <c r="H84" s="241" cm="1">
        <f t="array" ref="H84">_xlfn.XLOOKUP(H$4,Pipe_data_input[#Headers],'Pipe data inputs'!C83:O83,0,0,)</f>
        <v>366.340331913667</v>
      </c>
      <c r="I84" s="206" cm="1">
        <f t="array" ref="I84">_xlfn.XLOOKUP(I$4,Pipe_data_input[#Headers],'Pipe data inputs'!C83:O83,0,0,)</f>
        <v>0</v>
      </c>
      <c r="J84" s="206" cm="1">
        <f t="array" ref="J84">_xlfn.XLOOKUP(J$4,Pipe_data_input[#Headers],'Pipe data inputs'!C83:O83,0,0,)</f>
        <v>0</v>
      </c>
      <c r="K84" s="206" cm="1">
        <f t="array" ref="K84">_xlfn.XLOOKUP(K$4,Pipe_data_input[#Headers],'Pipe data inputs'!C83:O83,0,0,)</f>
        <v>0</v>
      </c>
      <c r="L84" s="206" cm="1">
        <f t="array" ref="L84">_xlfn.XLOOKUP(L$4,Pipe_data_input[#Headers],'Pipe data inputs'!C83:O83,0,0,)</f>
        <v>0</v>
      </c>
      <c r="M84" s="295" cm="1">
        <f t="array" ref="M84">_xlfn.XLOOKUP(M$4,Pipe_data_input[#Headers],'Pipe data inputs'!C83:O83,0,0,)</f>
        <v>0.74826912236183685</v>
      </c>
      <c r="N84" s="211"/>
      <c r="O84" s="206" t="str">
        <f>IF(Pipe_data[[#This Row],[ID]]&gt;0, IF(Pipe_data[[#This Row],[Assumed diversity from model]]=1, "Feed", "Main"), "-" )</f>
        <v>Main</v>
      </c>
      <c r="P84" s="240">
        <v>0</v>
      </c>
      <c r="Q84" s="274">
        <f>IF(Pipe_data[[#This Row],[Phase overwrite]]&gt;0,Pipe_data[[#This Row],[Phase overwrite]],
IF(Pipe_data[[#This Row],[Tag]]="Feed",
_xlfn.XLOOKUP(Pipe_data[[#This Row],[Connected buildings ID]],'Heat connections'!$D$5:$D$242,'Heat connections'!$M$5:$M$242,1,0,1),1))</f>
        <v>1</v>
      </c>
      <c r="R84" s="499">
        <f>IF(Pipe_data[[#This Row],[Surface]]="Hard (Default)",
_xlfn.XLOOKUP(Pipe_data[[#This Row],[Nominal Diameter]],'Technical inputs'!$B$79:$B$100,'Technical inputs'!$C$79:$C$100,0,0,1),
_xlfn.XLOOKUP(Pipe_data[[#This Row],[Nominal Diameter]],'Technical inputs'!$B$79:$B$100,'Technical inputs'!$D$79:$D$100,0,0,1)) * Pipe_data[[#This Row],[Length]]</f>
        <v>118346.29979564606</v>
      </c>
    </row>
    <row r="85" spans="3:18" x14ac:dyDescent="0.25">
      <c r="C85" s="206" t="str" cm="1">
        <f t="array" ref="C85">_xlfn.XLOOKUP(C$4,Pipe_data_input[#Headers],'Pipe data inputs'!C84:O84,0,0,)</f>
        <v>9ZZqg/S5uKsKihf3</v>
      </c>
      <c r="D85" s="293" cm="1">
        <f t="array" ref="D85">_xlfn.XLOOKUP(D$4,Pipe_data_input[#Headers],'Pipe data inputs'!C84:O84,0,0,)</f>
        <v>24.875353</v>
      </c>
      <c r="E85" s="206" t="str" cm="1">
        <f t="array" ref="E85">_xlfn.XLOOKUP(E$4,Pipe_data_input[#Headers],'Pipe data inputs'!C84:O84,0,0,)</f>
        <v>Hard (default)</v>
      </c>
      <c r="F85" s="206" cm="1">
        <f t="array" ref="F85">_xlfn.XLOOKUP(F$4,Pipe_data_input[#Headers],'Pipe data inputs'!C84:O84,0,0,)</f>
        <v>20</v>
      </c>
      <c r="G85" s="241" cm="1">
        <f t="array" ref="G85">_xlfn.XLOOKUP(G$4,Pipe_data_input[#Headers],'Pipe data inputs'!C84:O84,0,0,)</f>
        <v>2912.4179667402068</v>
      </c>
      <c r="H85" s="241" cm="1">
        <f t="array" ref="H85">_xlfn.XLOOKUP(H$4,Pipe_data_input[#Headers],'Pipe data inputs'!C84:O84,0,0,)</f>
        <v>1.7780065925326201</v>
      </c>
      <c r="I85" s="206" cm="1">
        <f t="array" ref="I85">_xlfn.XLOOKUP(I$4,Pipe_data_input[#Headers],'Pipe data inputs'!C84:O84,0,0,)</f>
        <v>0</v>
      </c>
      <c r="J85" s="206" cm="1">
        <f t="array" ref="J85">_xlfn.XLOOKUP(J$4,Pipe_data_input[#Headers],'Pipe data inputs'!C84:O84,0,0,)</f>
        <v>0</v>
      </c>
      <c r="K85" s="206" cm="1">
        <f t="array" ref="K85">_xlfn.XLOOKUP(K$4,Pipe_data_input[#Headers],'Pipe data inputs'!C84:O84,0,0,)</f>
        <v>0</v>
      </c>
      <c r="L85" s="206" cm="1">
        <f t="array" ref="L85">_xlfn.XLOOKUP(L$4,Pipe_data_input[#Headers],'Pipe data inputs'!C84:O84,0,0,)</f>
        <v>0</v>
      </c>
      <c r="M85" s="295" cm="1">
        <f t="array" ref="M85">_xlfn.XLOOKUP(M$4,Pipe_data_input[#Headers],'Pipe data inputs'!C84:O84,0,0,)</f>
        <v>1</v>
      </c>
      <c r="N85" s="211"/>
      <c r="O85" s="206" t="str">
        <f>IF(Pipe_data[[#This Row],[ID]]&gt;0, IF(Pipe_data[[#This Row],[Assumed diversity from model]]=1, "Feed", "Main"), "-" )</f>
        <v>Feed</v>
      </c>
      <c r="P85" s="240">
        <v>0</v>
      </c>
      <c r="Q85" s="274">
        <f>IF(Pipe_data[[#This Row],[Phase overwrite]]&gt;0,Pipe_data[[#This Row],[Phase overwrite]],
IF(Pipe_data[[#This Row],[Tag]]="Feed",
_xlfn.XLOOKUP(Pipe_data[[#This Row],[Connected buildings ID]],'Heat connections'!$D$5:$D$242,'Heat connections'!$M$5:$M$242,1,0,1),1))</f>
        <v>1</v>
      </c>
      <c r="R85" s="499">
        <f>IF(Pipe_data[[#This Row],[Surface]]="Hard (Default)",
_xlfn.XLOOKUP(Pipe_data[[#This Row],[Nominal Diameter]],'Technical inputs'!$B$79:$B$100,'Technical inputs'!$C$79:$C$100,0,0,1),
_xlfn.XLOOKUP(Pipe_data[[#This Row],[Nominal Diameter]],'Technical inputs'!$B$79:$B$100,'Technical inputs'!$D$79:$D$100,0,0,1)) * Pipe_data[[#This Row],[Length]]</f>
        <v>53276.863302514132</v>
      </c>
    </row>
    <row r="86" spans="3:18" x14ac:dyDescent="0.25">
      <c r="C86" s="206" t="str" cm="1">
        <f t="array" ref="C86">_xlfn.XLOOKUP(C$4,Pipe_data_input[#Headers],'Pipe data inputs'!C85:O85,0,0,)</f>
        <v>Msl94RrjNmZs0gth</v>
      </c>
      <c r="D86" s="293" cm="1">
        <f t="array" ref="D86">_xlfn.XLOOKUP(D$4,Pipe_data_input[#Headers],'Pipe data inputs'!C85:O85,0,0,)</f>
        <v>4.7148747000000002</v>
      </c>
      <c r="E86" s="206" t="str" cm="1">
        <f t="array" ref="E86">_xlfn.XLOOKUP(E$4,Pipe_data_input[#Headers],'Pipe data inputs'!C85:O85,0,0,)</f>
        <v>Hard (default)</v>
      </c>
      <c r="F86" s="206" cm="1">
        <f t="array" ref="F86">_xlfn.XLOOKUP(F$4,Pipe_data_input[#Headers],'Pipe data inputs'!C85:O85,0,0,)</f>
        <v>65</v>
      </c>
      <c r="G86" s="241" cm="1">
        <f t="array" ref="G86">_xlfn.XLOOKUP(G$4,Pipe_data_input[#Headers],'Pipe data inputs'!C85:O85,0,0,)</f>
        <v>1007.3390892043554</v>
      </c>
      <c r="H86" s="241" cm="1">
        <f t="array" ref="H86">_xlfn.XLOOKUP(H$4,Pipe_data_input[#Headers],'Pipe data inputs'!C85:O85,0,0,)</f>
        <v>319.08547260653</v>
      </c>
      <c r="I86" s="206" cm="1">
        <f t="array" ref="I86">_xlfn.XLOOKUP(I$4,Pipe_data_input[#Headers],'Pipe data inputs'!C85:O85,0,0,)</f>
        <v>0</v>
      </c>
      <c r="J86" s="206" cm="1">
        <f t="array" ref="J86">_xlfn.XLOOKUP(J$4,Pipe_data_input[#Headers],'Pipe data inputs'!C85:O85,0,0,)</f>
        <v>0</v>
      </c>
      <c r="K86" s="206" cm="1">
        <f t="array" ref="K86">_xlfn.XLOOKUP(K$4,Pipe_data_input[#Headers],'Pipe data inputs'!C85:O85,0,0,)</f>
        <v>0</v>
      </c>
      <c r="L86" s="206" cm="1">
        <f t="array" ref="L86">_xlfn.XLOOKUP(L$4,Pipe_data_input[#Headers],'Pipe data inputs'!C85:O85,0,0,)</f>
        <v>0</v>
      </c>
      <c r="M86" s="295" cm="1">
        <f t="array" ref="M86">_xlfn.XLOOKUP(M$4,Pipe_data_input[#Headers],'Pipe data inputs'!C85:O85,0,0,)</f>
        <v>0.65</v>
      </c>
      <c r="N86" s="211"/>
      <c r="O86" s="206" t="str">
        <f>IF(Pipe_data[[#This Row],[ID]]&gt;0, IF(Pipe_data[[#This Row],[Assumed diversity from model]]=1, "Feed", "Main"), "-" )</f>
        <v>Main</v>
      </c>
      <c r="P86" s="240">
        <v>0</v>
      </c>
      <c r="Q86" s="274">
        <f>IF(Pipe_data[[#This Row],[Phase overwrite]]&gt;0,Pipe_data[[#This Row],[Phase overwrite]],
IF(Pipe_data[[#This Row],[Tag]]="Feed",
_xlfn.XLOOKUP(Pipe_data[[#This Row],[Connected buildings ID]],'Heat connections'!$D$5:$D$242,'Heat connections'!$M$5:$M$242,1,0,1),1))</f>
        <v>1</v>
      </c>
      <c r="R86" s="499">
        <f>IF(Pipe_data[[#This Row],[Surface]]="Hard (Default)",
_xlfn.XLOOKUP(Pipe_data[[#This Row],[Nominal Diameter]],'Technical inputs'!$B$79:$B$100,'Technical inputs'!$C$79:$C$100,0,0,1),
_xlfn.XLOOKUP(Pipe_data[[#This Row],[Nominal Diameter]],'Technical inputs'!$B$79:$B$100,'Technical inputs'!$D$79:$D$100,0,0,1)) * Pipe_data[[#This Row],[Length]]</f>
        <v>12371.379220457426</v>
      </c>
    </row>
    <row r="87" spans="3:18" x14ac:dyDescent="0.25">
      <c r="C87" s="206" t="str" cm="1">
        <f t="array" ref="C87">_xlfn.XLOOKUP(C$4,Pipe_data_input[#Headers],'Pipe data inputs'!C86:O86,0,0,)</f>
        <v>sxKqFk79YmLr6QMy</v>
      </c>
      <c r="D87" s="293" cm="1">
        <f t="array" ref="D87">_xlfn.XLOOKUP(D$4,Pipe_data_input[#Headers],'Pipe data inputs'!C86:O86,0,0,)</f>
        <v>12.385636</v>
      </c>
      <c r="E87" s="206" t="str" cm="1">
        <f t="array" ref="E87">_xlfn.XLOOKUP(E$4,Pipe_data_input[#Headers],'Pipe data inputs'!C86:O86,0,0,)</f>
        <v>Hard (default)</v>
      </c>
      <c r="F87" s="206" cm="1">
        <f t="array" ref="F87">_xlfn.XLOOKUP(F$4,Pipe_data_input[#Headers],'Pipe data inputs'!C86:O86,0,0,)</f>
        <v>20</v>
      </c>
      <c r="G87" s="241" cm="1">
        <f t="array" ref="G87">_xlfn.XLOOKUP(G$4,Pipe_data_input[#Headers],'Pipe data inputs'!C86:O86,0,0,)</f>
        <v>1450.1160572838628</v>
      </c>
      <c r="H87" s="241" cm="1">
        <f t="array" ref="H87">_xlfn.XLOOKUP(H$4,Pipe_data_input[#Headers],'Pipe data inputs'!C86:O86,0,0,)</f>
        <v>2</v>
      </c>
      <c r="I87" s="206" cm="1">
        <f t="array" ref="I87">_xlfn.XLOOKUP(I$4,Pipe_data_input[#Headers],'Pipe data inputs'!C86:O86,0,0,)</f>
        <v>0</v>
      </c>
      <c r="J87" s="206" cm="1">
        <f t="array" ref="J87">_xlfn.XLOOKUP(J$4,Pipe_data_input[#Headers],'Pipe data inputs'!C86:O86,0,0,)</f>
        <v>0</v>
      </c>
      <c r="K87" s="206" cm="1">
        <f t="array" ref="K87">_xlfn.XLOOKUP(K$4,Pipe_data_input[#Headers],'Pipe data inputs'!C86:O86,0,0,)</f>
        <v>0</v>
      </c>
      <c r="L87" s="206" cm="1">
        <f t="array" ref="L87">_xlfn.XLOOKUP(L$4,Pipe_data_input[#Headers],'Pipe data inputs'!C86:O86,0,0,)</f>
        <v>0</v>
      </c>
      <c r="M87" s="295" cm="1">
        <f t="array" ref="M87">_xlfn.XLOOKUP(M$4,Pipe_data_input[#Headers],'Pipe data inputs'!C86:O86,0,0,)</f>
        <v>1</v>
      </c>
      <c r="N87" s="211"/>
      <c r="O87" s="206" t="str">
        <f>IF(Pipe_data[[#This Row],[ID]]&gt;0, IF(Pipe_data[[#This Row],[Assumed diversity from model]]=1, "Feed", "Main"), "-" )</f>
        <v>Feed</v>
      </c>
      <c r="P87" s="240">
        <v>0</v>
      </c>
      <c r="Q87" s="274">
        <f>IF(Pipe_data[[#This Row],[Phase overwrite]]&gt;0,Pipe_data[[#This Row],[Phase overwrite]],
IF(Pipe_data[[#This Row],[Tag]]="Feed",
_xlfn.XLOOKUP(Pipe_data[[#This Row],[Connected buildings ID]],'Heat connections'!$D$5:$D$242,'Heat connections'!$M$5:$M$242,1,0,1),1))</f>
        <v>1</v>
      </c>
      <c r="R87" s="499">
        <f>IF(Pipe_data[[#This Row],[Surface]]="Hard (Default)",
_xlfn.XLOOKUP(Pipe_data[[#This Row],[Nominal Diameter]],'Technical inputs'!$B$79:$B$100,'Technical inputs'!$C$79:$C$100,0,0,1),
_xlfn.XLOOKUP(Pipe_data[[#This Row],[Nominal Diameter]],'Technical inputs'!$B$79:$B$100,'Technical inputs'!$D$79:$D$100,0,0,1)) * Pipe_data[[#This Row],[Length]]</f>
        <v>26526.973751355326</v>
      </c>
    </row>
    <row r="88" spans="3:18" x14ac:dyDescent="0.25">
      <c r="C88" s="206" t="str" cm="1">
        <f t="array" ref="C88">_xlfn.XLOOKUP(C$4,Pipe_data_input[#Headers],'Pipe data inputs'!C87:O87,0,0,)</f>
        <v>zIzSP5dUneGkDdSQ</v>
      </c>
      <c r="D88" s="293" cm="1">
        <f t="array" ref="D88">_xlfn.XLOOKUP(D$4,Pipe_data_input[#Headers],'Pipe data inputs'!C87:O87,0,0,)</f>
        <v>5.5785936999999999</v>
      </c>
      <c r="E88" s="206" t="str" cm="1">
        <f t="array" ref="E88">_xlfn.XLOOKUP(E$4,Pipe_data_input[#Headers],'Pipe data inputs'!C87:O87,0,0,)</f>
        <v>Hard (default)</v>
      </c>
      <c r="F88" s="206" cm="1">
        <f t="array" ref="F88">_xlfn.XLOOKUP(F$4,Pipe_data_input[#Headers],'Pipe data inputs'!C87:O87,0,0,)</f>
        <v>40</v>
      </c>
      <c r="G88" s="241" cm="1">
        <f t="array" ref="G88">_xlfn.XLOOKUP(G$4,Pipe_data_input[#Headers],'Pipe data inputs'!C87:O87,0,0,)</f>
        <v>1022.0173236936018</v>
      </c>
      <c r="H88" s="241" cm="1">
        <f t="array" ref="H88">_xlfn.XLOOKUP(H$4,Pipe_data_input[#Headers],'Pipe data inputs'!C87:O87,0,0,)</f>
        <v>141.25015258789099</v>
      </c>
      <c r="I88" s="206" cm="1">
        <f t="array" ref="I88">_xlfn.XLOOKUP(I$4,Pipe_data_input[#Headers],'Pipe data inputs'!C87:O87,0,0,)</f>
        <v>0</v>
      </c>
      <c r="J88" s="206" cm="1">
        <f t="array" ref="J88">_xlfn.XLOOKUP(J$4,Pipe_data_input[#Headers],'Pipe data inputs'!C87:O87,0,0,)</f>
        <v>0</v>
      </c>
      <c r="K88" s="206" cm="1">
        <f t="array" ref="K88">_xlfn.XLOOKUP(K$4,Pipe_data_input[#Headers],'Pipe data inputs'!C87:O87,0,0,)</f>
        <v>0</v>
      </c>
      <c r="L88" s="206" cm="1">
        <f t="array" ref="L88">_xlfn.XLOOKUP(L$4,Pipe_data_input[#Headers],'Pipe data inputs'!C87:O87,0,0,)</f>
        <v>0</v>
      </c>
      <c r="M88" s="295" cm="1">
        <f t="array" ref="M88">_xlfn.XLOOKUP(M$4,Pipe_data_input[#Headers],'Pipe data inputs'!C87:O87,0,0,)</f>
        <v>0.81747412827244703</v>
      </c>
      <c r="N88" s="211"/>
      <c r="O88" s="206" t="str">
        <f>IF(Pipe_data[[#This Row],[ID]]&gt;0, IF(Pipe_data[[#This Row],[Assumed diversity from model]]=1, "Feed", "Main"), "-" )</f>
        <v>Main</v>
      </c>
      <c r="P88" s="240">
        <v>0</v>
      </c>
      <c r="Q88" s="274">
        <f>IF(Pipe_data[[#This Row],[Phase overwrite]]&gt;0,Pipe_data[[#This Row],[Phase overwrite]],
IF(Pipe_data[[#This Row],[Tag]]="Feed",
_xlfn.XLOOKUP(Pipe_data[[#This Row],[Connected buildings ID]],'Heat connections'!$D$5:$D$242,'Heat connections'!$M$5:$M$242,1,0,1),1))</f>
        <v>1</v>
      </c>
      <c r="R88" s="499">
        <f>IF(Pipe_data[[#This Row],[Surface]]="Hard (Default)",
_xlfn.XLOOKUP(Pipe_data[[#This Row],[Nominal Diameter]],'Technical inputs'!$B$79:$B$100,'Technical inputs'!$C$79:$C$100,0,0,1),
_xlfn.XLOOKUP(Pipe_data[[#This Row],[Nominal Diameter]],'Technical inputs'!$B$79:$B$100,'Technical inputs'!$D$79:$D$100,0,0,1)) * Pipe_data[[#This Row],[Length]]</f>
        <v>13488.677559474803</v>
      </c>
    </row>
    <row r="89" spans="3:18" x14ac:dyDescent="0.25">
      <c r="C89" s="206" t="str" cm="1">
        <f t="array" ref="C89">_xlfn.XLOOKUP(C$4,Pipe_data_input[#Headers],'Pipe data inputs'!C88:O88,0,0,)</f>
        <v>UZihiRwF/O0blIBN</v>
      </c>
      <c r="D89" s="293" cm="1">
        <f t="array" ref="D89">_xlfn.XLOOKUP(D$4,Pipe_data_input[#Headers],'Pipe data inputs'!C88:O88,0,0,)</f>
        <v>10.728688</v>
      </c>
      <c r="E89" s="206" t="str" cm="1">
        <f t="array" ref="E89">_xlfn.XLOOKUP(E$4,Pipe_data_input[#Headers],'Pipe data inputs'!C88:O88,0,0,)</f>
        <v>Hard (default)</v>
      </c>
      <c r="F89" s="206" cm="1">
        <f t="array" ref="F89">_xlfn.XLOOKUP(F$4,Pipe_data_input[#Headers],'Pipe data inputs'!C88:O88,0,0,)</f>
        <v>125</v>
      </c>
      <c r="G89" s="241" cm="1">
        <f t="array" ref="G89">_xlfn.XLOOKUP(G$4,Pipe_data_input[#Headers],'Pipe data inputs'!C88:O88,0,0,)</f>
        <v>2968.6320529938303</v>
      </c>
      <c r="H89" s="241" cm="1">
        <f t="array" ref="H89">_xlfn.XLOOKUP(H$4,Pipe_data_input[#Headers],'Pipe data inputs'!C88:O88,0,0,)</f>
        <v>1523.083984375</v>
      </c>
      <c r="I89" s="206" cm="1">
        <f t="array" ref="I89">_xlfn.XLOOKUP(I$4,Pipe_data_input[#Headers],'Pipe data inputs'!C88:O88,0,0,)</f>
        <v>0</v>
      </c>
      <c r="J89" s="206" cm="1">
        <f t="array" ref="J89">_xlfn.XLOOKUP(J$4,Pipe_data_input[#Headers],'Pipe data inputs'!C88:O88,0,0,)</f>
        <v>0</v>
      </c>
      <c r="K89" s="206" cm="1">
        <f t="array" ref="K89">_xlfn.XLOOKUP(K$4,Pipe_data_input[#Headers],'Pipe data inputs'!C88:O88,0,0,)</f>
        <v>0</v>
      </c>
      <c r="L89" s="206" cm="1">
        <f t="array" ref="L89">_xlfn.XLOOKUP(L$4,Pipe_data_input[#Headers],'Pipe data inputs'!C88:O88,0,0,)</f>
        <v>0</v>
      </c>
      <c r="M89" s="295" cm="1">
        <f t="array" ref="M89">_xlfn.XLOOKUP(M$4,Pipe_data_input[#Headers],'Pipe data inputs'!C88:O88,0,0,)</f>
        <v>0.80547730167345055</v>
      </c>
      <c r="N89" s="211"/>
      <c r="O89" s="206" t="str">
        <f>IF(Pipe_data[[#This Row],[ID]]&gt;0, IF(Pipe_data[[#This Row],[Assumed diversity from model]]=1, "Feed", "Main"), "-" )</f>
        <v>Main</v>
      </c>
      <c r="P89" s="240">
        <v>0</v>
      </c>
      <c r="Q89" s="274">
        <f>IF(Pipe_data[[#This Row],[Phase overwrite]]&gt;0,Pipe_data[[#This Row],[Phase overwrite]],
IF(Pipe_data[[#This Row],[Tag]]="Feed",
_xlfn.XLOOKUP(Pipe_data[[#This Row],[Connected buildings ID]],'Heat connections'!$D$5:$D$242,'Heat connections'!$M$5:$M$242,1,0,1),1))</f>
        <v>1</v>
      </c>
      <c r="R89" s="499">
        <f>IF(Pipe_data[[#This Row],[Surface]]="Hard (Default)",
_xlfn.XLOOKUP(Pipe_data[[#This Row],[Nominal Diameter]],'Technical inputs'!$B$79:$B$100,'Technical inputs'!$C$79:$C$100,0,0,1),
_xlfn.XLOOKUP(Pipe_data[[#This Row],[Nominal Diameter]],'Technical inputs'!$B$79:$B$100,'Technical inputs'!$D$79:$D$100,0,0,1)) * Pipe_data[[#This Row],[Length]]</f>
        <v>32873.966397336611</v>
      </c>
    </row>
    <row r="90" spans="3:18" x14ac:dyDescent="0.25">
      <c r="C90" s="206" t="str" cm="1">
        <f t="array" ref="C90">_xlfn.XLOOKUP(C$4,Pipe_data_input[#Headers],'Pipe data inputs'!C89:O89,0,0,)</f>
        <v>u3fHf4H566d/WcNe</v>
      </c>
      <c r="D90" s="293" cm="1">
        <f t="array" ref="D90">_xlfn.XLOOKUP(D$4,Pipe_data_input[#Headers],'Pipe data inputs'!C89:O89,0,0,)</f>
        <v>3.7418065</v>
      </c>
      <c r="E90" s="206" t="str" cm="1">
        <f t="array" ref="E90">_xlfn.XLOOKUP(E$4,Pipe_data_input[#Headers],'Pipe data inputs'!C89:O89,0,0,)</f>
        <v>Hard (default)</v>
      </c>
      <c r="F90" s="206" cm="1">
        <f t="array" ref="F90">_xlfn.XLOOKUP(F$4,Pipe_data_input[#Headers],'Pipe data inputs'!C89:O89,0,0,)</f>
        <v>40</v>
      </c>
      <c r="G90" s="241" cm="1">
        <f t="array" ref="G90">_xlfn.XLOOKUP(G$4,Pipe_data_input[#Headers],'Pipe data inputs'!C89:O89,0,0,)</f>
        <v>633.21935143649125</v>
      </c>
      <c r="H90" s="241" cm="1">
        <f t="array" ref="H90">_xlfn.XLOOKUP(H$4,Pipe_data_input[#Headers],'Pipe data inputs'!C89:O89,0,0,)</f>
        <v>100.29582977294901</v>
      </c>
      <c r="I90" s="206" cm="1">
        <f t="array" ref="I90">_xlfn.XLOOKUP(I$4,Pipe_data_input[#Headers],'Pipe data inputs'!C89:O89,0,0,)</f>
        <v>0</v>
      </c>
      <c r="J90" s="206" cm="1">
        <f t="array" ref="J90">_xlfn.XLOOKUP(J$4,Pipe_data_input[#Headers],'Pipe data inputs'!C89:O89,0,0,)</f>
        <v>0</v>
      </c>
      <c r="K90" s="206" cm="1">
        <f t="array" ref="K90">_xlfn.XLOOKUP(K$4,Pipe_data_input[#Headers],'Pipe data inputs'!C89:O89,0,0,)</f>
        <v>0</v>
      </c>
      <c r="L90" s="206" cm="1">
        <f t="array" ref="L90">_xlfn.XLOOKUP(L$4,Pipe_data_input[#Headers],'Pipe data inputs'!C89:O89,0,0,)</f>
        <v>0</v>
      </c>
      <c r="M90" s="295" cm="1">
        <f t="array" ref="M90">_xlfn.XLOOKUP(M$4,Pipe_data_input[#Headers],'Pipe data inputs'!C89:O89,0,0,)</f>
        <v>1</v>
      </c>
      <c r="N90" s="211"/>
      <c r="O90" s="206" t="str">
        <f>IF(Pipe_data[[#This Row],[ID]]&gt;0, IF(Pipe_data[[#This Row],[Assumed diversity from model]]=1, "Feed", "Main"), "-" )</f>
        <v>Feed</v>
      </c>
      <c r="P90" s="240">
        <v>0</v>
      </c>
      <c r="Q90" s="274">
        <f>IF(Pipe_data[[#This Row],[Phase overwrite]]&gt;0,Pipe_data[[#This Row],[Phase overwrite]],
IF(Pipe_data[[#This Row],[Tag]]="Feed",
_xlfn.XLOOKUP(Pipe_data[[#This Row],[Connected buildings ID]],'Heat connections'!$D$5:$D$242,'Heat connections'!$M$5:$M$242,1,0,1),1))</f>
        <v>1</v>
      </c>
      <c r="R90" s="499">
        <f>IF(Pipe_data[[#This Row],[Surface]]="Hard (Default)",
_xlfn.XLOOKUP(Pipe_data[[#This Row],[Nominal Diameter]],'Technical inputs'!$B$79:$B$100,'Technical inputs'!$C$79:$C$100,0,0,1),
_xlfn.XLOOKUP(Pipe_data[[#This Row],[Nominal Diameter]],'Technical inputs'!$B$79:$B$100,'Technical inputs'!$D$79:$D$100,0,0,1)) * Pipe_data[[#This Row],[Length]]</f>
        <v>9047.4453030065542</v>
      </c>
    </row>
    <row r="91" spans="3:18" x14ac:dyDescent="0.25">
      <c r="C91" s="206" t="str" cm="1">
        <f t="array" ref="C91">_xlfn.XLOOKUP(C$4,Pipe_data_input[#Headers],'Pipe data inputs'!C90:O90,0,0,)</f>
        <v>b32HLFNGW3/CYGmL</v>
      </c>
      <c r="D91" s="293" cm="1">
        <f t="array" ref="D91">_xlfn.XLOOKUP(D$4,Pipe_data_input[#Headers],'Pipe data inputs'!C90:O90,0,0,)</f>
        <v>0.37171253999999998</v>
      </c>
      <c r="E91" s="206" t="str" cm="1">
        <f t="array" ref="E91">_xlfn.XLOOKUP(E$4,Pipe_data_input[#Headers],'Pipe data inputs'!C90:O90,0,0,)</f>
        <v>Hard (default)</v>
      </c>
      <c r="F91" s="206" cm="1">
        <f t="array" ref="F91">_xlfn.XLOOKUP(F$4,Pipe_data_input[#Headers],'Pipe data inputs'!C90:O90,0,0,)</f>
        <v>50</v>
      </c>
      <c r="G91" s="241" cm="1">
        <f t="array" ref="G91">_xlfn.XLOOKUP(G$4,Pipe_data_input[#Headers],'Pipe data inputs'!C90:O90,0,0,)</f>
        <v>68.982508476081449</v>
      </c>
      <c r="H91" s="241" cm="1">
        <f t="array" ref="H91">_xlfn.XLOOKUP(H$4,Pipe_data_input[#Headers],'Pipe data inputs'!C90:O90,0,0,)</f>
        <v>148.388475348707</v>
      </c>
      <c r="I91" s="206" cm="1">
        <f t="array" ref="I91">_xlfn.XLOOKUP(I$4,Pipe_data_input[#Headers],'Pipe data inputs'!C90:O90,0,0,)</f>
        <v>0</v>
      </c>
      <c r="J91" s="206" cm="1">
        <f t="array" ref="J91">_xlfn.XLOOKUP(J$4,Pipe_data_input[#Headers],'Pipe data inputs'!C90:O90,0,0,)</f>
        <v>0</v>
      </c>
      <c r="K91" s="206" cm="1">
        <f t="array" ref="K91">_xlfn.XLOOKUP(K$4,Pipe_data_input[#Headers],'Pipe data inputs'!C90:O90,0,0,)</f>
        <v>0</v>
      </c>
      <c r="L91" s="206" cm="1">
        <f t="array" ref="L91">_xlfn.XLOOKUP(L$4,Pipe_data_input[#Headers],'Pipe data inputs'!C90:O90,0,0,)</f>
        <v>0</v>
      </c>
      <c r="M91" s="295" cm="1">
        <f t="array" ref="M91">_xlfn.XLOOKUP(M$4,Pipe_data_input[#Headers],'Pipe data inputs'!C90:O90,0,0,)</f>
        <v>0.65</v>
      </c>
      <c r="N91" s="211"/>
      <c r="O91" s="206" t="str">
        <f>IF(Pipe_data[[#This Row],[ID]]&gt;0, IF(Pipe_data[[#This Row],[Assumed diversity from model]]=1, "Feed", "Main"), "-" )</f>
        <v>Main</v>
      </c>
      <c r="P91" s="240">
        <v>0</v>
      </c>
      <c r="Q91" s="274">
        <f>IF(Pipe_data[[#This Row],[Phase overwrite]]&gt;0,Pipe_data[[#This Row],[Phase overwrite]],
IF(Pipe_data[[#This Row],[Tag]]="Feed",
_xlfn.XLOOKUP(Pipe_data[[#This Row],[Connected buildings ID]],'Heat connections'!$D$5:$D$242,'Heat connections'!$M$5:$M$242,1,0,1),1))</f>
        <v>1</v>
      </c>
      <c r="R91" s="499">
        <f>IF(Pipe_data[[#This Row],[Surface]]="Hard (Default)",
_xlfn.XLOOKUP(Pipe_data[[#This Row],[Nominal Diameter]],'Technical inputs'!$B$79:$B$100,'Technical inputs'!$C$79:$C$100,0,0,1),
_xlfn.XLOOKUP(Pipe_data[[#This Row],[Nominal Diameter]],'Technical inputs'!$B$79:$B$100,'Technical inputs'!$D$79:$D$100,0,0,1)) * Pipe_data[[#This Row],[Length]]</f>
        <v>929.81473088469681</v>
      </c>
    </row>
    <row r="92" spans="3:18" x14ac:dyDescent="0.25">
      <c r="C92" s="206" t="str" cm="1">
        <f t="array" ref="C92">_xlfn.XLOOKUP(C$4,Pipe_data_input[#Headers],'Pipe data inputs'!C91:O91,0,0,)</f>
        <v>Umw/Bejfr23aCvnK</v>
      </c>
      <c r="D92" s="293" cm="1">
        <f t="array" ref="D92">_xlfn.XLOOKUP(D$4,Pipe_data_input[#Headers],'Pipe data inputs'!C91:O91,0,0,)</f>
        <v>1.8415751</v>
      </c>
      <c r="E92" s="206" t="str" cm="1">
        <f t="array" ref="E92">_xlfn.XLOOKUP(E$4,Pipe_data_input[#Headers],'Pipe data inputs'!C91:O91,0,0,)</f>
        <v>Hard (default)</v>
      </c>
      <c r="F92" s="206" cm="1">
        <f t="array" ref="F92">_xlfn.XLOOKUP(F$4,Pipe_data_input[#Headers],'Pipe data inputs'!C91:O91,0,0,)</f>
        <v>150</v>
      </c>
      <c r="G92" s="241" cm="1">
        <f t="array" ref="G92">_xlfn.XLOOKUP(G$4,Pipe_data_input[#Headers],'Pipe data inputs'!C91:O91,0,0,)</f>
        <v>570.0706510507041</v>
      </c>
      <c r="H92" s="241" cm="1">
        <f t="array" ref="H92">_xlfn.XLOOKUP(H$4,Pipe_data_input[#Headers],'Pipe data inputs'!C91:O91,0,0,)</f>
        <v>3529.0715643295898</v>
      </c>
      <c r="I92" s="206" cm="1">
        <f t="array" ref="I92">_xlfn.XLOOKUP(I$4,Pipe_data_input[#Headers],'Pipe data inputs'!C91:O91,0,0,)</f>
        <v>0</v>
      </c>
      <c r="J92" s="206" cm="1">
        <f t="array" ref="J92">_xlfn.XLOOKUP(J$4,Pipe_data_input[#Headers],'Pipe data inputs'!C91:O91,0,0,)</f>
        <v>0</v>
      </c>
      <c r="K92" s="206" cm="1">
        <f t="array" ref="K92">_xlfn.XLOOKUP(K$4,Pipe_data_input[#Headers],'Pipe data inputs'!C91:O91,0,0,)</f>
        <v>0</v>
      </c>
      <c r="L92" s="206" cm="1">
        <f t="array" ref="L92">_xlfn.XLOOKUP(L$4,Pipe_data_input[#Headers],'Pipe data inputs'!C91:O91,0,0,)</f>
        <v>0</v>
      </c>
      <c r="M92" s="295" cm="1">
        <f t="array" ref="M92">_xlfn.XLOOKUP(M$4,Pipe_data_input[#Headers],'Pipe data inputs'!C91:O91,0,0,)</f>
        <v>0.63</v>
      </c>
      <c r="N92" s="211"/>
      <c r="O92" s="206" t="str">
        <f>IF(Pipe_data[[#This Row],[ID]]&gt;0, IF(Pipe_data[[#This Row],[Assumed diversity from model]]=1, "Feed", "Main"), "-" )</f>
        <v>Main</v>
      </c>
      <c r="P92" s="240">
        <v>0</v>
      </c>
      <c r="Q92" s="274">
        <f>IF(Pipe_data[[#This Row],[Phase overwrite]]&gt;0,Pipe_data[[#This Row],[Phase overwrite]],
IF(Pipe_data[[#This Row],[Tag]]="Feed",
_xlfn.XLOOKUP(Pipe_data[[#This Row],[Connected buildings ID]],'Heat connections'!$D$5:$D$242,'Heat connections'!$M$5:$M$242,1,0,1),1))</f>
        <v>1</v>
      </c>
      <c r="R92" s="499">
        <f>IF(Pipe_data[[#This Row],[Surface]]="Hard (Default)",
_xlfn.XLOOKUP(Pipe_data[[#This Row],[Nominal Diameter]],'Technical inputs'!$B$79:$B$100,'Technical inputs'!$C$79:$C$100,0,0,1),
_xlfn.XLOOKUP(Pipe_data[[#This Row],[Nominal Diameter]],'Technical inputs'!$B$79:$B$100,'Technical inputs'!$D$79:$D$100,0,0,1)) * Pipe_data[[#This Row],[Length]]</f>
        <v>6040.5516846470364</v>
      </c>
    </row>
    <row r="93" spans="3:18" x14ac:dyDescent="0.25">
      <c r="C93" s="206" t="str" cm="1">
        <f t="array" ref="C93">_xlfn.XLOOKUP(C$4,Pipe_data_input[#Headers],'Pipe data inputs'!C92:O92,0,0,)</f>
        <v>zIShjMKc2E48XN4d</v>
      </c>
      <c r="D93" s="293" cm="1">
        <f t="array" ref="D93">_xlfn.XLOOKUP(D$4,Pipe_data_input[#Headers],'Pipe data inputs'!C92:O92,0,0,)</f>
        <v>2.6018238</v>
      </c>
      <c r="E93" s="206" t="str" cm="1">
        <f t="array" ref="E93">_xlfn.XLOOKUP(E$4,Pipe_data_input[#Headers],'Pipe data inputs'!C92:O92,0,0,)</f>
        <v>Hard (default)</v>
      </c>
      <c r="F93" s="206" cm="1">
        <f t="array" ref="F93">_xlfn.XLOOKUP(F$4,Pipe_data_input[#Headers],'Pipe data inputs'!C92:O92,0,0,)</f>
        <v>200</v>
      </c>
      <c r="G93" s="241" cm="1">
        <f t="array" ref="G93">_xlfn.XLOOKUP(G$4,Pipe_data_input[#Headers],'Pipe data inputs'!C92:O92,0,0,)</f>
        <v>850.77192984518877</v>
      </c>
      <c r="H93" s="241" cm="1">
        <f t="array" ref="H93">_xlfn.XLOOKUP(H$4,Pipe_data_input[#Headers],'Pipe data inputs'!C92:O92,0,0,)</f>
        <v>5647.44771793778</v>
      </c>
      <c r="I93" s="206" cm="1">
        <f t="array" ref="I93">_xlfn.XLOOKUP(I$4,Pipe_data_input[#Headers],'Pipe data inputs'!C92:O92,0,0,)</f>
        <v>0</v>
      </c>
      <c r="J93" s="206" cm="1">
        <f t="array" ref="J93">_xlfn.XLOOKUP(J$4,Pipe_data_input[#Headers],'Pipe data inputs'!C92:O92,0,0,)</f>
        <v>0</v>
      </c>
      <c r="K93" s="206" cm="1">
        <f t="array" ref="K93">_xlfn.XLOOKUP(K$4,Pipe_data_input[#Headers],'Pipe data inputs'!C92:O92,0,0,)</f>
        <v>0</v>
      </c>
      <c r="L93" s="206" cm="1">
        <f t="array" ref="L93">_xlfn.XLOOKUP(L$4,Pipe_data_input[#Headers],'Pipe data inputs'!C92:O92,0,0,)</f>
        <v>0</v>
      </c>
      <c r="M93" s="295" cm="1">
        <f t="array" ref="M93">_xlfn.XLOOKUP(M$4,Pipe_data_input[#Headers],'Pipe data inputs'!C92:O92,0,0,)</f>
        <v>1</v>
      </c>
      <c r="N93" s="211"/>
      <c r="O93" s="206" t="str">
        <f>IF(Pipe_data[[#This Row],[ID]]&gt;0, IF(Pipe_data[[#This Row],[Assumed diversity from model]]=1, "Feed", "Main"), "-" )</f>
        <v>Feed</v>
      </c>
      <c r="P93" s="240">
        <v>0</v>
      </c>
      <c r="Q93" s="274">
        <f>IF(Pipe_data[[#This Row],[Phase overwrite]]&gt;0,Pipe_data[[#This Row],[Phase overwrite]],
IF(Pipe_data[[#This Row],[Tag]]="Feed",
_xlfn.XLOOKUP(Pipe_data[[#This Row],[Connected buildings ID]],'Heat connections'!$D$5:$D$242,'Heat connections'!$M$5:$M$242,1,0,1),1))</f>
        <v>1</v>
      </c>
      <c r="R93" s="499">
        <f>IF(Pipe_data[[#This Row],[Surface]]="Hard (Default)",
_xlfn.XLOOKUP(Pipe_data[[#This Row],[Nominal Diameter]],'Technical inputs'!$B$79:$B$100,'Technical inputs'!$C$79:$C$100,0,0,1),
_xlfn.XLOOKUP(Pipe_data[[#This Row],[Nominal Diameter]],'Technical inputs'!$B$79:$B$100,'Technical inputs'!$D$79:$D$100,0,0,1)) * Pipe_data[[#This Row],[Length]]</f>
        <v>9996.9080830859384</v>
      </c>
    </row>
    <row r="94" spans="3:18" x14ac:dyDescent="0.25">
      <c r="C94" s="206" t="str" cm="1">
        <f t="array" ref="C94">_xlfn.XLOOKUP(C$4,Pipe_data_input[#Headers],'Pipe data inputs'!C93:O93,0,0,)</f>
        <v>rnBXCTppBwS5W0B+</v>
      </c>
      <c r="D94" s="293" cm="1">
        <f t="array" ref="D94">_xlfn.XLOOKUP(D$4,Pipe_data_input[#Headers],'Pipe data inputs'!C93:O93,0,0,)</f>
        <v>14.100160000000001</v>
      </c>
      <c r="E94" s="206" t="str" cm="1">
        <f t="array" ref="E94">_xlfn.XLOOKUP(E$4,Pipe_data_input[#Headers],'Pipe data inputs'!C93:O93,0,0,)</f>
        <v>Hard (default)</v>
      </c>
      <c r="F94" s="206" cm="1">
        <f t="array" ref="F94">_xlfn.XLOOKUP(F$4,Pipe_data_input[#Headers],'Pipe data inputs'!C93:O93,0,0,)</f>
        <v>125</v>
      </c>
      <c r="G94" s="241" cm="1">
        <f t="array" ref="G94">_xlfn.XLOOKUP(G$4,Pipe_data_input[#Headers],'Pipe data inputs'!C93:O93,0,0,)</f>
        <v>3901.5196385934137</v>
      </c>
      <c r="H94" s="241" cm="1">
        <f t="array" ref="H94">_xlfn.XLOOKUP(H$4,Pipe_data_input[#Headers],'Pipe data inputs'!C93:O93,0,0,)</f>
        <v>1523.083984375</v>
      </c>
      <c r="I94" s="206" cm="1">
        <f t="array" ref="I94">_xlfn.XLOOKUP(I$4,Pipe_data_input[#Headers],'Pipe data inputs'!C93:O93,0,0,)</f>
        <v>0</v>
      </c>
      <c r="J94" s="206" cm="1">
        <f t="array" ref="J94">_xlfn.XLOOKUP(J$4,Pipe_data_input[#Headers],'Pipe data inputs'!C93:O93,0,0,)</f>
        <v>0</v>
      </c>
      <c r="K94" s="206" cm="1">
        <f t="array" ref="K94">_xlfn.XLOOKUP(K$4,Pipe_data_input[#Headers],'Pipe data inputs'!C93:O93,0,0,)</f>
        <v>0</v>
      </c>
      <c r="L94" s="206" cm="1">
        <f t="array" ref="L94">_xlfn.XLOOKUP(L$4,Pipe_data_input[#Headers],'Pipe data inputs'!C93:O93,0,0,)</f>
        <v>0</v>
      </c>
      <c r="M94" s="295" cm="1">
        <f t="array" ref="M94">_xlfn.XLOOKUP(M$4,Pipe_data_input[#Headers],'Pipe data inputs'!C93:O93,0,0,)</f>
        <v>0.80547730167345055</v>
      </c>
      <c r="N94" s="211"/>
      <c r="O94" s="206" t="str">
        <f>IF(Pipe_data[[#This Row],[ID]]&gt;0, IF(Pipe_data[[#This Row],[Assumed diversity from model]]=1, "Feed", "Main"), "-" )</f>
        <v>Main</v>
      </c>
      <c r="P94" s="240">
        <v>0</v>
      </c>
      <c r="Q94" s="274">
        <f>IF(Pipe_data[[#This Row],[Phase overwrite]]&gt;0,Pipe_data[[#This Row],[Phase overwrite]],
IF(Pipe_data[[#This Row],[Tag]]="Feed",
_xlfn.XLOOKUP(Pipe_data[[#This Row],[Connected buildings ID]],'Heat connections'!$D$5:$D$242,'Heat connections'!$M$5:$M$242,1,0,1),1))</f>
        <v>1</v>
      </c>
      <c r="R94" s="499">
        <f>IF(Pipe_data[[#This Row],[Surface]]="Hard (Default)",
_xlfn.XLOOKUP(Pipe_data[[#This Row],[Nominal Diameter]],'Technical inputs'!$B$79:$B$100,'Technical inputs'!$C$79:$C$100,0,0,1),
_xlfn.XLOOKUP(Pipe_data[[#This Row],[Nominal Diameter]],'Technical inputs'!$B$79:$B$100,'Technical inputs'!$D$79:$D$100,0,0,1)) * Pipe_data[[#This Row],[Length]]</f>
        <v>43204.554558494929</v>
      </c>
    </row>
    <row r="95" spans="3:18" x14ac:dyDescent="0.25">
      <c r="C95" s="206" t="str" cm="1">
        <f t="array" ref="C95">_xlfn.XLOOKUP(C$4,Pipe_data_input[#Headers],'Pipe data inputs'!C94:O94,0,0,)</f>
        <v>PQu4pGCmyUCRDJHK</v>
      </c>
      <c r="D95" s="293" cm="1">
        <f t="array" ref="D95">_xlfn.XLOOKUP(D$4,Pipe_data_input[#Headers],'Pipe data inputs'!C94:O94,0,0,)</f>
        <v>8.7810120000000005</v>
      </c>
      <c r="E95" s="206" t="str" cm="1">
        <f t="array" ref="E95">_xlfn.XLOOKUP(E$4,Pipe_data_input[#Headers],'Pipe data inputs'!C94:O94,0,0,)</f>
        <v>Hard (default)</v>
      </c>
      <c r="F95" s="206" cm="1">
        <f t="array" ref="F95">_xlfn.XLOOKUP(F$4,Pipe_data_input[#Headers],'Pipe data inputs'!C94:O94,0,0,)</f>
        <v>50</v>
      </c>
      <c r="G95" s="241" cm="1">
        <f t="array" ref="G95">_xlfn.XLOOKUP(G$4,Pipe_data_input[#Headers],'Pipe data inputs'!C94:O94,0,0,)</f>
        <v>1708.2361018881136</v>
      </c>
      <c r="H95" s="241" cm="1">
        <f t="array" ref="H95">_xlfn.XLOOKUP(H$4,Pipe_data_input[#Headers],'Pipe data inputs'!C94:O94,0,0,)</f>
        <v>194.396395330084</v>
      </c>
      <c r="I95" s="206" cm="1">
        <f t="array" ref="I95">_xlfn.XLOOKUP(I$4,Pipe_data_input[#Headers],'Pipe data inputs'!C94:O94,0,0,)</f>
        <v>0</v>
      </c>
      <c r="J95" s="206" cm="1">
        <f t="array" ref="J95">_xlfn.XLOOKUP(J$4,Pipe_data_input[#Headers],'Pipe data inputs'!C94:O94,0,0,)</f>
        <v>0</v>
      </c>
      <c r="K95" s="206" cm="1">
        <f t="array" ref="K95">_xlfn.XLOOKUP(K$4,Pipe_data_input[#Headers],'Pipe data inputs'!C94:O94,0,0,)</f>
        <v>0</v>
      </c>
      <c r="L95" s="206" cm="1">
        <f t="array" ref="L95">_xlfn.XLOOKUP(L$4,Pipe_data_input[#Headers],'Pipe data inputs'!C94:O94,0,0,)</f>
        <v>0</v>
      </c>
      <c r="M95" s="295" cm="1">
        <f t="array" ref="M95">_xlfn.XLOOKUP(M$4,Pipe_data_input[#Headers],'Pipe data inputs'!C94:O94,0,0,)</f>
        <v>0.7</v>
      </c>
      <c r="N95" s="211"/>
      <c r="O95" s="206" t="str">
        <f>IF(Pipe_data[[#This Row],[ID]]&gt;0, IF(Pipe_data[[#This Row],[Assumed diversity from model]]=1, "Feed", "Main"), "-" )</f>
        <v>Main</v>
      </c>
      <c r="P95" s="240">
        <v>0</v>
      </c>
      <c r="Q95" s="274">
        <f>IF(Pipe_data[[#This Row],[Phase overwrite]]&gt;0,Pipe_data[[#This Row],[Phase overwrite]],
IF(Pipe_data[[#This Row],[Tag]]="Feed",
_xlfn.XLOOKUP(Pipe_data[[#This Row],[Connected buildings ID]],'Heat connections'!$D$5:$D$242,'Heat connections'!$M$5:$M$242,1,0,1),1))</f>
        <v>1</v>
      </c>
      <c r="R95" s="499">
        <f>IF(Pipe_data[[#This Row],[Surface]]="Hard (Default)",
_xlfn.XLOOKUP(Pipe_data[[#This Row],[Nominal Diameter]],'Technical inputs'!$B$79:$B$100,'Technical inputs'!$C$79:$C$100,0,0,1),
_xlfn.XLOOKUP(Pipe_data[[#This Row],[Nominal Diameter]],'Technical inputs'!$B$79:$B$100,'Technical inputs'!$D$79:$D$100,0,0,1)) * Pipe_data[[#This Row],[Length]]</f>
        <v>21965.130123603831</v>
      </c>
    </row>
    <row r="96" spans="3:18" x14ac:dyDescent="0.25">
      <c r="C96" s="206" t="str" cm="1">
        <f t="array" ref="C96">_xlfn.XLOOKUP(C$4,Pipe_data_input[#Headers],'Pipe data inputs'!C95:O95,0,0,)</f>
        <v>m6Ty37iF4QFUMX2p</v>
      </c>
      <c r="D96" s="293" cm="1">
        <f t="array" ref="D96">_xlfn.XLOOKUP(D$4,Pipe_data_input[#Headers],'Pipe data inputs'!C95:O95,0,0,)</f>
        <v>1.3503234</v>
      </c>
      <c r="E96" s="206" t="str" cm="1">
        <f t="array" ref="E96">_xlfn.XLOOKUP(E$4,Pipe_data_input[#Headers],'Pipe data inputs'!C95:O95,0,0,)</f>
        <v>Hard (default)</v>
      </c>
      <c r="F96" s="206" cm="1">
        <f t="array" ref="F96">_xlfn.XLOOKUP(F$4,Pipe_data_input[#Headers],'Pipe data inputs'!C95:O95,0,0,)</f>
        <v>80</v>
      </c>
      <c r="G96" s="241" cm="1">
        <f t="array" ref="G96">_xlfn.XLOOKUP(G$4,Pipe_data_input[#Headers],'Pipe data inputs'!C95:O95,0,0,)</f>
        <v>319.73713899760855</v>
      </c>
      <c r="H96" s="241" cm="1">
        <f t="array" ref="H96">_xlfn.XLOOKUP(H$4,Pipe_data_input[#Headers],'Pipe data inputs'!C95:O95,0,0,)</f>
        <v>562.93208777304994</v>
      </c>
      <c r="I96" s="206" cm="1">
        <f t="array" ref="I96">_xlfn.XLOOKUP(I$4,Pipe_data_input[#Headers],'Pipe data inputs'!C95:O95,0,0,)</f>
        <v>0</v>
      </c>
      <c r="J96" s="206" cm="1">
        <f t="array" ref="J96">_xlfn.XLOOKUP(J$4,Pipe_data_input[#Headers],'Pipe data inputs'!C95:O95,0,0,)</f>
        <v>0</v>
      </c>
      <c r="K96" s="206" cm="1">
        <f t="array" ref="K96">_xlfn.XLOOKUP(K$4,Pipe_data_input[#Headers],'Pipe data inputs'!C95:O95,0,0,)</f>
        <v>0</v>
      </c>
      <c r="L96" s="206" cm="1">
        <f t="array" ref="L96">_xlfn.XLOOKUP(L$4,Pipe_data_input[#Headers],'Pipe data inputs'!C95:O95,0,0,)</f>
        <v>0</v>
      </c>
      <c r="M96" s="295" cm="1">
        <f t="array" ref="M96">_xlfn.XLOOKUP(M$4,Pipe_data_input[#Headers],'Pipe data inputs'!C95:O95,0,0,)</f>
        <v>0.65</v>
      </c>
      <c r="N96" s="211"/>
      <c r="O96" s="206" t="str">
        <f>IF(Pipe_data[[#This Row],[ID]]&gt;0, IF(Pipe_data[[#This Row],[Assumed diversity from model]]=1, "Feed", "Main"), "-" )</f>
        <v>Main</v>
      </c>
      <c r="P96" s="240">
        <v>0</v>
      </c>
      <c r="Q96" s="274">
        <f>IF(Pipe_data[[#This Row],[Phase overwrite]]&gt;0,Pipe_data[[#This Row],[Phase overwrite]],
IF(Pipe_data[[#This Row],[Tag]]="Feed",
_xlfn.XLOOKUP(Pipe_data[[#This Row],[Connected buildings ID]],'Heat connections'!$D$5:$D$242,'Heat connections'!$M$5:$M$242,1,0,1),1))</f>
        <v>1</v>
      </c>
      <c r="R96" s="499">
        <f>IF(Pipe_data[[#This Row],[Surface]]="Hard (Default)",
_xlfn.XLOOKUP(Pipe_data[[#This Row],[Nominal Diameter]],'Technical inputs'!$B$79:$B$100,'Technical inputs'!$C$79:$C$100,0,0,1),
_xlfn.XLOOKUP(Pipe_data[[#This Row],[Nominal Diameter]],'Technical inputs'!$B$79:$B$100,'Technical inputs'!$D$79:$D$100,0,0,1)) * Pipe_data[[#This Row],[Length]]</f>
        <v>3691.368903310668</v>
      </c>
    </row>
    <row r="97" spans="3:18" x14ac:dyDescent="0.25">
      <c r="C97" s="206" t="str" cm="1">
        <f t="array" ref="C97">_xlfn.XLOOKUP(C$4,Pipe_data_input[#Headers],'Pipe data inputs'!C96:O96,0,0,)</f>
        <v>eAL078a4Rk+7Ww27</v>
      </c>
      <c r="D97" s="293" cm="1">
        <f t="array" ref="D97">_xlfn.XLOOKUP(D$4,Pipe_data_input[#Headers],'Pipe data inputs'!C96:O96,0,0,)</f>
        <v>44.683669999999999</v>
      </c>
      <c r="E97" s="206" t="str" cm="1">
        <f t="array" ref="E97">_xlfn.XLOOKUP(E$4,Pipe_data_input[#Headers],'Pipe data inputs'!C96:O96,0,0,)</f>
        <v>Hard (default)</v>
      </c>
      <c r="F97" s="206" cm="1">
        <f t="array" ref="F97">_xlfn.XLOOKUP(F$4,Pipe_data_input[#Headers],'Pipe data inputs'!C96:O96,0,0,)</f>
        <v>80</v>
      </c>
      <c r="G97" s="241" cm="1">
        <f t="array" ref="G97">_xlfn.XLOOKUP(G$4,Pipe_data_input[#Headers],'Pipe data inputs'!C96:O96,0,0,)</f>
        <v>10141.771488399327</v>
      </c>
      <c r="H97" s="241" cm="1">
        <f t="array" ref="H97">_xlfn.XLOOKUP(H$4,Pipe_data_input[#Headers],'Pipe data inputs'!C96:O96,0,0,)</f>
        <v>721.63679467609302</v>
      </c>
      <c r="I97" s="206" cm="1">
        <f t="array" ref="I97">_xlfn.XLOOKUP(I$4,Pipe_data_input[#Headers],'Pipe data inputs'!C96:O96,0,0,)</f>
        <v>0</v>
      </c>
      <c r="J97" s="206" cm="1">
        <f t="array" ref="J97">_xlfn.XLOOKUP(J$4,Pipe_data_input[#Headers],'Pipe data inputs'!C96:O96,0,0,)</f>
        <v>0</v>
      </c>
      <c r="K97" s="206" cm="1">
        <f t="array" ref="K97">_xlfn.XLOOKUP(K$4,Pipe_data_input[#Headers],'Pipe data inputs'!C96:O96,0,0,)</f>
        <v>0</v>
      </c>
      <c r="L97" s="206" cm="1">
        <f t="array" ref="L97">_xlfn.XLOOKUP(L$4,Pipe_data_input[#Headers],'Pipe data inputs'!C96:O96,0,0,)</f>
        <v>0</v>
      </c>
      <c r="M97" s="295" cm="1">
        <f t="array" ref="M97">_xlfn.XLOOKUP(M$4,Pipe_data_input[#Headers],'Pipe data inputs'!C96:O96,0,0,)</f>
        <v>1</v>
      </c>
      <c r="N97" s="211"/>
      <c r="O97" s="206" t="str">
        <f>IF(Pipe_data[[#This Row],[ID]]&gt;0, IF(Pipe_data[[#This Row],[Assumed diversity from model]]=1, "Feed", "Main"), "-" )</f>
        <v>Feed</v>
      </c>
      <c r="P97" s="240">
        <v>0</v>
      </c>
      <c r="Q97" s="274">
        <f>IF(Pipe_data[[#This Row],[Phase overwrite]]&gt;0,Pipe_data[[#This Row],[Phase overwrite]],
IF(Pipe_data[[#This Row],[Tag]]="Feed",
_xlfn.XLOOKUP(Pipe_data[[#This Row],[Connected buildings ID]],'Heat connections'!$D$5:$D$242,'Heat connections'!$M$5:$M$242,1,0,1),1))</f>
        <v>1</v>
      </c>
      <c r="R97" s="499">
        <f>IF(Pipe_data[[#This Row],[Surface]]="Hard (Default)",
_xlfn.XLOOKUP(Pipe_data[[#This Row],[Nominal Diameter]],'Technical inputs'!$B$79:$B$100,'Technical inputs'!$C$79:$C$100,0,0,1),
_xlfn.XLOOKUP(Pipe_data[[#This Row],[Nominal Diameter]],'Technical inputs'!$B$79:$B$100,'Technical inputs'!$D$79:$D$100,0,0,1)) * Pipe_data[[#This Row],[Length]]</f>
        <v>122151.41196827056</v>
      </c>
    </row>
    <row r="98" spans="3:18" x14ac:dyDescent="0.25">
      <c r="C98" s="206" t="str" cm="1">
        <f t="array" ref="C98">_xlfn.XLOOKUP(C$4,Pipe_data_input[#Headers],'Pipe data inputs'!C97:O97,0,0,)</f>
        <v>OKpHkBzHQRxosqNj</v>
      </c>
      <c r="D98" s="293" cm="1">
        <f t="array" ref="D98">_xlfn.XLOOKUP(D$4,Pipe_data_input[#Headers],'Pipe data inputs'!C97:O97,0,0,)</f>
        <v>28.260345000000001</v>
      </c>
      <c r="E98" s="206" t="str" cm="1">
        <f t="array" ref="E98">_xlfn.XLOOKUP(E$4,Pipe_data_input[#Headers],'Pipe data inputs'!C97:O97,0,0,)</f>
        <v>Hard (default)</v>
      </c>
      <c r="F98" s="206" cm="1">
        <f t="array" ref="F98">_xlfn.XLOOKUP(F$4,Pipe_data_input[#Headers],'Pipe data inputs'!C97:O97,0,0,)</f>
        <v>125</v>
      </c>
      <c r="G98" s="241" cm="1">
        <f t="array" ref="G98">_xlfn.XLOOKUP(G$4,Pipe_data_input[#Headers],'Pipe data inputs'!C97:O97,0,0,)</f>
        <v>7890.4446724001627</v>
      </c>
      <c r="H98" s="241" cm="1">
        <f t="array" ref="H98">_xlfn.XLOOKUP(H$4,Pipe_data_input[#Headers],'Pipe data inputs'!C97:O97,0,0,)</f>
        <v>1647.9596320257999</v>
      </c>
      <c r="I98" s="206" cm="1">
        <f t="array" ref="I98">_xlfn.XLOOKUP(I$4,Pipe_data_input[#Headers],'Pipe data inputs'!C97:O97,0,0,)</f>
        <v>0</v>
      </c>
      <c r="J98" s="206" cm="1">
        <f t="array" ref="J98">_xlfn.XLOOKUP(J$4,Pipe_data_input[#Headers],'Pipe data inputs'!C97:O97,0,0,)</f>
        <v>0</v>
      </c>
      <c r="K98" s="206" cm="1">
        <f t="array" ref="K98">_xlfn.XLOOKUP(K$4,Pipe_data_input[#Headers],'Pipe data inputs'!C97:O97,0,0,)</f>
        <v>0</v>
      </c>
      <c r="L98" s="206" cm="1">
        <f t="array" ref="L98">_xlfn.XLOOKUP(L$4,Pipe_data_input[#Headers],'Pipe data inputs'!C97:O97,0,0,)</f>
        <v>0</v>
      </c>
      <c r="M98" s="295" cm="1">
        <f t="array" ref="M98">_xlfn.XLOOKUP(M$4,Pipe_data_input[#Headers],'Pipe data inputs'!C97:O97,0,0,)</f>
        <v>0.63</v>
      </c>
      <c r="N98" s="211"/>
      <c r="O98" s="206" t="str">
        <f>IF(Pipe_data[[#This Row],[ID]]&gt;0, IF(Pipe_data[[#This Row],[Assumed diversity from model]]=1, "Feed", "Main"), "-" )</f>
        <v>Main</v>
      </c>
      <c r="P98" s="240">
        <v>0</v>
      </c>
      <c r="Q98" s="274">
        <f>IF(Pipe_data[[#This Row],[Phase overwrite]]&gt;0,Pipe_data[[#This Row],[Phase overwrite]],
IF(Pipe_data[[#This Row],[Tag]]="Feed",
_xlfn.XLOOKUP(Pipe_data[[#This Row],[Connected buildings ID]],'Heat connections'!$D$5:$D$242,'Heat connections'!$M$5:$M$242,1,0,1),1))</f>
        <v>1</v>
      </c>
      <c r="R98" s="499">
        <f>IF(Pipe_data[[#This Row],[Surface]]="Hard (Default)",
_xlfn.XLOOKUP(Pipe_data[[#This Row],[Nominal Diameter]],'Technical inputs'!$B$79:$B$100,'Technical inputs'!$C$79:$C$100,0,0,1),
_xlfn.XLOOKUP(Pipe_data[[#This Row],[Nominal Diameter]],'Technical inputs'!$B$79:$B$100,'Technical inputs'!$D$79:$D$100,0,0,1)) * Pipe_data[[#This Row],[Length]]</f>
        <v>86593.032802066737</v>
      </c>
    </row>
    <row r="99" spans="3:18" x14ac:dyDescent="0.25">
      <c r="C99" s="206" t="str" cm="1">
        <f t="array" ref="C99">_xlfn.XLOOKUP(C$4,Pipe_data_input[#Headers],'Pipe data inputs'!C98:O98,0,0,)</f>
        <v>yUCJRjktyF7byi2s</v>
      </c>
      <c r="D99" s="293" cm="1">
        <f t="array" ref="D99">_xlfn.XLOOKUP(D$4,Pipe_data_input[#Headers],'Pipe data inputs'!C98:O98,0,0,)</f>
        <v>5.1898109999999997</v>
      </c>
      <c r="E99" s="206" t="str" cm="1">
        <f t="array" ref="E99">_xlfn.XLOOKUP(E$4,Pipe_data_input[#Headers],'Pipe data inputs'!C98:O98,0,0,)</f>
        <v>Hard (default)</v>
      </c>
      <c r="F99" s="206" cm="1">
        <f t="array" ref="F99">_xlfn.XLOOKUP(F$4,Pipe_data_input[#Headers],'Pipe data inputs'!C98:O98,0,0,)</f>
        <v>200</v>
      </c>
      <c r="G99" s="241" cm="1">
        <f t="array" ref="G99">_xlfn.XLOOKUP(G$4,Pipe_data_input[#Headers],'Pipe data inputs'!C98:O98,0,0,)</f>
        <v>1697.0194215310767</v>
      </c>
      <c r="H99" s="241" cm="1">
        <f t="array" ref="H99">_xlfn.XLOOKUP(H$4,Pipe_data_input[#Headers],'Pipe data inputs'!C98:O98,0,0,)</f>
        <v>5647.44771793778</v>
      </c>
      <c r="I99" s="206" cm="1">
        <f t="array" ref="I99">_xlfn.XLOOKUP(I$4,Pipe_data_input[#Headers],'Pipe data inputs'!C98:O98,0,0,)</f>
        <v>0</v>
      </c>
      <c r="J99" s="206" cm="1">
        <f t="array" ref="J99">_xlfn.XLOOKUP(J$4,Pipe_data_input[#Headers],'Pipe data inputs'!C98:O98,0,0,)</f>
        <v>0</v>
      </c>
      <c r="K99" s="206" cm="1">
        <f t="array" ref="K99">_xlfn.XLOOKUP(K$4,Pipe_data_input[#Headers],'Pipe data inputs'!C98:O98,0,0,)</f>
        <v>0</v>
      </c>
      <c r="L99" s="206" cm="1">
        <f t="array" ref="L99">_xlfn.XLOOKUP(L$4,Pipe_data_input[#Headers],'Pipe data inputs'!C98:O98,0,0,)</f>
        <v>0</v>
      </c>
      <c r="M99" s="295" cm="1">
        <f t="array" ref="M99">_xlfn.XLOOKUP(M$4,Pipe_data_input[#Headers],'Pipe data inputs'!C98:O98,0,0,)</f>
        <v>1</v>
      </c>
      <c r="N99" s="211"/>
      <c r="O99" s="206" t="str">
        <f>IF(Pipe_data[[#This Row],[ID]]&gt;0, IF(Pipe_data[[#This Row],[Assumed diversity from model]]=1, "Feed", "Main"), "-" )</f>
        <v>Feed</v>
      </c>
      <c r="P99" s="240">
        <v>0</v>
      </c>
      <c r="Q99" s="274">
        <f>IF(Pipe_data[[#This Row],[Phase overwrite]]&gt;0,Pipe_data[[#This Row],[Phase overwrite]],
IF(Pipe_data[[#This Row],[Tag]]="Feed",
_xlfn.XLOOKUP(Pipe_data[[#This Row],[Connected buildings ID]],'Heat connections'!$D$5:$D$242,'Heat connections'!$M$5:$M$242,1,0,1),1))</f>
        <v>1</v>
      </c>
      <c r="R99" s="499">
        <f>IF(Pipe_data[[#This Row],[Surface]]="Hard (Default)",
_xlfn.XLOOKUP(Pipe_data[[#This Row],[Nominal Diameter]],'Technical inputs'!$B$79:$B$100,'Technical inputs'!$C$79:$C$100,0,0,1),
_xlfn.XLOOKUP(Pipe_data[[#This Row],[Nominal Diameter]],'Technical inputs'!$B$79:$B$100,'Technical inputs'!$D$79:$D$100,0,0,1)) * Pipe_data[[#This Row],[Length]]</f>
        <v>19940.652220795393</v>
      </c>
    </row>
    <row r="100" spans="3:18" x14ac:dyDescent="0.25">
      <c r="C100" s="206" t="str" cm="1">
        <f t="array" ref="C100">_xlfn.XLOOKUP(C$4,Pipe_data_input[#Headers],'Pipe data inputs'!C99:O99,0,0,)</f>
        <v>PxU2otCvMsoACCKJ</v>
      </c>
      <c r="D100" s="293" cm="1">
        <f t="array" ref="D100">_xlfn.XLOOKUP(D$4,Pipe_data_input[#Headers],'Pipe data inputs'!C99:O99,0,0,)</f>
        <v>1.0008041000000001</v>
      </c>
      <c r="E100" s="206" t="str" cm="1">
        <f t="array" ref="E100">_xlfn.XLOOKUP(E$4,Pipe_data_input[#Headers],'Pipe data inputs'!C99:O99,0,0,)</f>
        <v>Hard (default)</v>
      </c>
      <c r="F100" s="206" cm="1">
        <f t="array" ref="F100">_xlfn.XLOOKUP(F$4,Pipe_data_input[#Headers],'Pipe data inputs'!C99:O99,0,0,)</f>
        <v>80</v>
      </c>
      <c r="G100" s="241" cm="1">
        <f t="array" ref="G100">_xlfn.XLOOKUP(G$4,Pipe_data_input[#Headers],'Pipe data inputs'!C99:O99,0,0,)</f>
        <v>240.19596978426532</v>
      </c>
      <c r="H100" s="241" cm="1">
        <f t="array" ref="H100">_xlfn.XLOOKUP(H$4,Pipe_data_input[#Headers],'Pipe data inputs'!C99:O99,0,0,)</f>
        <v>617.18597412109398</v>
      </c>
      <c r="I100" s="206" cm="1">
        <f t="array" ref="I100">_xlfn.XLOOKUP(I$4,Pipe_data_input[#Headers],'Pipe data inputs'!C99:O99,0,0,)</f>
        <v>0</v>
      </c>
      <c r="J100" s="206" cm="1">
        <f t="array" ref="J100">_xlfn.XLOOKUP(J$4,Pipe_data_input[#Headers],'Pipe data inputs'!C99:O99,0,0,)</f>
        <v>0</v>
      </c>
      <c r="K100" s="206" cm="1">
        <f t="array" ref="K100">_xlfn.XLOOKUP(K$4,Pipe_data_input[#Headers],'Pipe data inputs'!C99:O99,0,0,)</f>
        <v>0</v>
      </c>
      <c r="L100" s="206" cm="1">
        <f t="array" ref="L100">_xlfn.XLOOKUP(L$4,Pipe_data_input[#Headers],'Pipe data inputs'!C99:O99,0,0,)</f>
        <v>0</v>
      </c>
      <c r="M100" s="295" cm="1">
        <f t="array" ref="M100">_xlfn.XLOOKUP(M$4,Pipe_data_input[#Headers],'Pipe data inputs'!C99:O99,0,0,)</f>
        <v>0.7294998052048729</v>
      </c>
      <c r="N100" s="211"/>
      <c r="O100" s="206" t="str">
        <f>IF(Pipe_data[[#This Row],[ID]]&gt;0, IF(Pipe_data[[#This Row],[Assumed diversity from model]]=1, "Feed", "Main"), "-" )</f>
        <v>Main</v>
      </c>
      <c r="P100" s="240">
        <v>0</v>
      </c>
      <c r="Q100" s="274">
        <f>IF(Pipe_data[[#This Row],[Phase overwrite]]&gt;0,Pipe_data[[#This Row],[Phase overwrite]],
IF(Pipe_data[[#This Row],[Tag]]="Feed",
_xlfn.XLOOKUP(Pipe_data[[#This Row],[Connected buildings ID]],'Heat connections'!$D$5:$D$242,'Heat connections'!$M$5:$M$242,1,0,1),1))</f>
        <v>1</v>
      </c>
      <c r="R100" s="499">
        <f>IF(Pipe_data[[#This Row],[Surface]]="Hard (Default)",
_xlfn.XLOOKUP(Pipe_data[[#This Row],[Nominal Diameter]],'Technical inputs'!$B$79:$B$100,'Technical inputs'!$C$79:$C$100,0,0,1),
_xlfn.XLOOKUP(Pipe_data[[#This Row],[Nominal Diameter]],'Technical inputs'!$B$79:$B$100,'Technical inputs'!$D$79:$D$100,0,0,1)) * Pipe_data[[#This Row],[Length]]</f>
        <v>2735.890626679372</v>
      </c>
    </row>
    <row r="101" spans="3:18" x14ac:dyDescent="0.25">
      <c r="C101" s="206" t="str" cm="1">
        <f t="array" ref="C101">_xlfn.XLOOKUP(C$4,Pipe_data_input[#Headers],'Pipe data inputs'!C100:O100,0,0,)</f>
        <v>BWd5Rbi+BIZyVNNT</v>
      </c>
      <c r="D101" s="293" cm="1">
        <f t="array" ref="D101">_xlfn.XLOOKUP(D$4,Pipe_data_input[#Headers],'Pipe data inputs'!C100:O100,0,0,)</f>
        <v>0.77037317000000005</v>
      </c>
      <c r="E101" s="206" t="str" cm="1">
        <f t="array" ref="E101">_xlfn.XLOOKUP(E$4,Pipe_data_input[#Headers],'Pipe data inputs'!C100:O100,0,0,)</f>
        <v>Hard (default)</v>
      </c>
      <c r="F101" s="206" cm="1">
        <f t="array" ref="F101">_xlfn.XLOOKUP(F$4,Pipe_data_input[#Headers],'Pipe data inputs'!C100:O100,0,0,)</f>
        <v>65</v>
      </c>
      <c r="G101" s="241" cm="1">
        <f t="array" ref="G101">_xlfn.XLOOKUP(G$4,Pipe_data_input[#Headers],'Pipe data inputs'!C100:O100,0,0,)</f>
        <v>164.5912260224587</v>
      </c>
      <c r="H101" s="241" cm="1">
        <f t="array" ref="H101">_xlfn.XLOOKUP(H$4,Pipe_data_input[#Headers],'Pipe data inputs'!C100:O100,0,0,)</f>
        <v>319.08547260653</v>
      </c>
      <c r="I101" s="206" cm="1">
        <f t="array" ref="I101">_xlfn.XLOOKUP(I$4,Pipe_data_input[#Headers],'Pipe data inputs'!C100:O100,0,0,)</f>
        <v>0</v>
      </c>
      <c r="J101" s="206" cm="1">
        <f t="array" ref="J101">_xlfn.XLOOKUP(J$4,Pipe_data_input[#Headers],'Pipe data inputs'!C100:O100,0,0,)</f>
        <v>0</v>
      </c>
      <c r="K101" s="206" cm="1">
        <f t="array" ref="K101">_xlfn.XLOOKUP(K$4,Pipe_data_input[#Headers],'Pipe data inputs'!C100:O100,0,0,)</f>
        <v>0</v>
      </c>
      <c r="L101" s="206" cm="1">
        <f t="array" ref="L101">_xlfn.XLOOKUP(L$4,Pipe_data_input[#Headers],'Pipe data inputs'!C100:O100,0,0,)</f>
        <v>0</v>
      </c>
      <c r="M101" s="295" cm="1">
        <f t="array" ref="M101">_xlfn.XLOOKUP(M$4,Pipe_data_input[#Headers],'Pipe data inputs'!C100:O100,0,0,)</f>
        <v>0.65</v>
      </c>
      <c r="N101" s="211"/>
      <c r="O101" s="206" t="str">
        <f>IF(Pipe_data[[#This Row],[ID]]&gt;0, IF(Pipe_data[[#This Row],[Assumed diversity from model]]=1, "Feed", "Main"), "-" )</f>
        <v>Main</v>
      </c>
      <c r="P101" s="240">
        <v>0</v>
      </c>
      <c r="Q101" s="274">
        <f>IF(Pipe_data[[#This Row],[Phase overwrite]]&gt;0,Pipe_data[[#This Row],[Phase overwrite]],
IF(Pipe_data[[#This Row],[Tag]]="Feed",
_xlfn.XLOOKUP(Pipe_data[[#This Row],[Connected buildings ID]],'Heat connections'!$D$5:$D$242,'Heat connections'!$M$5:$M$242,1,0,1),1))</f>
        <v>1</v>
      </c>
      <c r="R101" s="499">
        <f>IF(Pipe_data[[#This Row],[Surface]]="Hard (Default)",
_xlfn.XLOOKUP(Pipe_data[[#This Row],[Nominal Diameter]],'Technical inputs'!$B$79:$B$100,'Technical inputs'!$C$79:$C$100,0,0,1),
_xlfn.XLOOKUP(Pipe_data[[#This Row],[Nominal Diameter]],'Technical inputs'!$B$79:$B$100,'Technical inputs'!$D$79:$D$100,0,0,1)) * Pipe_data[[#This Row],[Length]]</f>
        <v>2021.3853461123615</v>
      </c>
    </row>
    <row r="102" spans="3:18" x14ac:dyDescent="0.25">
      <c r="C102" s="206" t="str" cm="1">
        <f t="array" ref="C102">_xlfn.XLOOKUP(C$4,Pipe_data_input[#Headers],'Pipe data inputs'!C101:O101,0,0,)</f>
        <v>R0MlNzEMBQJWTtAs</v>
      </c>
      <c r="D102" s="293" cm="1">
        <f t="array" ref="D102">_xlfn.XLOOKUP(D$4,Pipe_data_input[#Headers],'Pipe data inputs'!C101:O101,0,0,)</f>
        <v>14.146772</v>
      </c>
      <c r="E102" s="206" t="str" cm="1">
        <f t="array" ref="E102">_xlfn.XLOOKUP(E$4,Pipe_data_input[#Headers],'Pipe data inputs'!C101:O101,0,0,)</f>
        <v>Hard (default)</v>
      </c>
      <c r="F102" s="206" cm="1">
        <f t="array" ref="F102">_xlfn.XLOOKUP(F$4,Pipe_data_input[#Headers],'Pipe data inputs'!C101:O101,0,0,)</f>
        <v>20</v>
      </c>
      <c r="G102" s="241" cm="1">
        <f t="array" ref="G102">_xlfn.XLOOKUP(G$4,Pipe_data_input[#Headers],'Pipe data inputs'!C101:O101,0,0,)</f>
        <v>1656.3106840806356</v>
      </c>
      <c r="H102" s="241" cm="1">
        <f t="array" ref="H102">_xlfn.XLOOKUP(H$4,Pipe_data_input[#Headers],'Pipe data inputs'!C101:O101,0,0,)</f>
        <v>1</v>
      </c>
      <c r="I102" s="206" cm="1">
        <f t="array" ref="I102">_xlfn.XLOOKUP(I$4,Pipe_data_input[#Headers],'Pipe data inputs'!C101:O101,0,0,)</f>
        <v>0</v>
      </c>
      <c r="J102" s="206" cm="1">
        <f t="array" ref="J102">_xlfn.XLOOKUP(J$4,Pipe_data_input[#Headers],'Pipe data inputs'!C101:O101,0,0,)</f>
        <v>0</v>
      </c>
      <c r="K102" s="206" cm="1">
        <f t="array" ref="K102">_xlfn.XLOOKUP(K$4,Pipe_data_input[#Headers],'Pipe data inputs'!C101:O101,0,0,)</f>
        <v>0</v>
      </c>
      <c r="L102" s="206" cm="1">
        <f t="array" ref="L102">_xlfn.XLOOKUP(L$4,Pipe_data_input[#Headers],'Pipe data inputs'!C101:O101,0,0,)</f>
        <v>0</v>
      </c>
      <c r="M102" s="295" cm="1">
        <f t="array" ref="M102">_xlfn.XLOOKUP(M$4,Pipe_data_input[#Headers],'Pipe data inputs'!C101:O101,0,0,)</f>
        <v>1</v>
      </c>
      <c r="N102" s="211"/>
      <c r="O102" s="206" t="str">
        <f>IF(Pipe_data[[#This Row],[ID]]&gt;0, IF(Pipe_data[[#This Row],[Assumed diversity from model]]=1, "Feed", "Main"), "-" )</f>
        <v>Feed</v>
      </c>
      <c r="P102" s="240">
        <v>0</v>
      </c>
      <c r="Q102" s="274">
        <f>IF(Pipe_data[[#This Row],[Phase overwrite]]&gt;0,Pipe_data[[#This Row],[Phase overwrite]],
IF(Pipe_data[[#This Row],[Tag]]="Feed",
_xlfn.XLOOKUP(Pipe_data[[#This Row],[Connected buildings ID]],'Heat connections'!$D$5:$D$242,'Heat connections'!$M$5:$M$242,1,0,1),1))</f>
        <v>1</v>
      </c>
      <c r="R102" s="499">
        <f>IF(Pipe_data[[#This Row],[Surface]]="Hard (Default)",
_xlfn.XLOOKUP(Pipe_data[[#This Row],[Nominal Diameter]],'Technical inputs'!$B$79:$B$100,'Technical inputs'!$C$79:$C$100,0,0,1),
_xlfn.XLOOKUP(Pipe_data[[#This Row],[Nominal Diameter]],'Technical inputs'!$B$79:$B$100,'Technical inputs'!$D$79:$D$100,0,0,1)) * Pipe_data[[#This Row],[Length]]</f>
        <v>30298.892161081472</v>
      </c>
    </row>
    <row r="103" spans="3:18" x14ac:dyDescent="0.25">
      <c r="C103" s="206" t="str" cm="1">
        <f t="array" ref="C103">_xlfn.XLOOKUP(C$4,Pipe_data_input[#Headers],'Pipe data inputs'!C102:O102,0,0,)</f>
        <v>9WrAKCbFwECTy7vD</v>
      </c>
      <c r="D103" s="293" cm="1">
        <f t="array" ref="D103">_xlfn.XLOOKUP(D$4,Pipe_data_input[#Headers],'Pipe data inputs'!C102:O102,0,0,)</f>
        <v>8.327769</v>
      </c>
      <c r="E103" s="206" t="str" cm="1">
        <f t="array" ref="E103">_xlfn.XLOOKUP(E$4,Pipe_data_input[#Headers],'Pipe data inputs'!C102:O102,0,0,)</f>
        <v>Hard (default)</v>
      </c>
      <c r="F103" s="206" cm="1">
        <f t="array" ref="F103">_xlfn.XLOOKUP(F$4,Pipe_data_input[#Headers],'Pipe data inputs'!C102:O102,0,0,)</f>
        <v>200</v>
      </c>
      <c r="G103" s="241" cm="1">
        <f t="array" ref="G103">_xlfn.XLOOKUP(G$4,Pipe_data_input[#Headers],'Pipe data inputs'!C102:O102,0,0,)</f>
        <v>2731.9531411958592</v>
      </c>
      <c r="H103" s="241" cm="1">
        <f t="array" ref="H103">_xlfn.XLOOKUP(H$4,Pipe_data_input[#Headers],'Pipe data inputs'!C102:O102,0,0,)</f>
        <v>5825.9935531513001</v>
      </c>
      <c r="I103" s="206" cm="1">
        <f t="array" ref="I103">_xlfn.XLOOKUP(I$4,Pipe_data_input[#Headers],'Pipe data inputs'!C102:O102,0,0,)</f>
        <v>0</v>
      </c>
      <c r="J103" s="206" cm="1">
        <f t="array" ref="J103">_xlfn.XLOOKUP(J$4,Pipe_data_input[#Headers],'Pipe data inputs'!C102:O102,0,0,)</f>
        <v>0</v>
      </c>
      <c r="K103" s="206" cm="1">
        <f t="array" ref="K103">_xlfn.XLOOKUP(K$4,Pipe_data_input[#Headers],'Pipe data inputs'!C102:O102,0,0,)</f>
        <v>0</v>
      </c>
      <c r="L103" s="206" cm="1">
        <f t="array" ref="L103">_xlfn.XLOOKUP(L$4,Pipe_data_input[#Headers],'Pipe data inputs'!C102:O102,0,0,)</f>
        <v>0</v>
      </c>
      <c r="M103" s="295" cm="1">
        <f t="array" ref="M103">_xlfn.XLOOKUP(M$4,Pipe_data_input[#Headers],'Pipe data inputs'!C102:O102,0,0,)</f>
        <v>1</v>
      </c>
      <c r="N103" s="211"/>
      <c r="O103" s="206" t="str">
        <f>IF(Pipe_data[[#This Row],[ID]]&gt;0, IF(Pipe_data[[#This Row],[Assumed diversity from model]]=1, "Feed", "Main"), "-" )</f>
        <v>Feed</v>
      </c>
      <c r="P103" s="240">
        <v>0</v>
      </c>
      <c r="Q103" s="274">
        <f>IF(Pipe_data[[#This Row],[Phase overwrite]]&gt;0,Pipe_data[[#This Row],[Phase overwrite]],
IF(Pipe_data[[#This Row],[Tag]]="Feed",
_xlfn.XLOOKUP(Pipe_data[[#This Row],[Connected buildings ID]],'Heat connections'!$D$5:$D$242,'Heat connections'!$M$5:$M$242,1,0,1),1))</f>
        <v>1</v>
      </c>
      <c r="R103" s="499">
        <f>IF(Pipe_data[[#This Row],[Surface]]="Hard (Default)",
_xlfn.XLOOKUP(Pipe_data[[#This Row],[Nominal Diameter]],'Technical inputs'!$B$79:$B$100,'Technical inputs'!$C$79:$C$100,0,0,1),
_xlfn.XLOOKUP(Pipe_data[[#This Row],[Nominal Diameter]],'Technical inputs'!$B$79:$B$100,'Technical inputs'!$D$79:$D$100,0,0,1)) * Pipe_data[[#This Row],[Length]]</f>
        <v>31997.532357945413</v>
      </c>
    </row>
    <row r="104" spans="3:18" x14ac:dyDescent="0.25">
      <c r="C104" s="206" t="str" cm="1">
        <f t="array" ref="C104">_xlfn.XLOOKUP(C$4,Pipe_data_input[#Headers],'Pipe data inputs'!C103:O103,0,0,)</f>
        <v>LepYPrixP9SnLkF5</v>
      </c>
      <c r="D104" s="293" cm="1">
        <f t="array" ref="D104">_xlfn.XLOOKUP(D$4,Pipe_data_input[#Headers],'Pipe data inputs'!C103:O103,0,0,)</f>
        <v>3.8064271999999999</v>
      </c>
      <c r="E104" s="206" t="str" cm="1">
        <f t="array" ref="E104">_xlfn.XLOOKUP(E$4,Pipe_data_input[#Headers],'Pipe data inputs'!C103:O103,0,0,)</f>
        <v>Hard (default)</v>
      </c>
      <c r="F104" s="206" cm="1">
        <f t="array" ref="F104">_xlfn.XLOOKUP(F$4,Pipe_data_input[#Headers],'Pipe data inputs'!C103:O103,0,0,)</f>
        <v>80</v>
      </c>
      <c r="G104" s="241" cm="1">
        <f t="array" ref="G104">_xlfn.XLOOKUP(G$4,Pipe_data_input[#Headers],'Pipe data inputs'!C103:O103,0,0,)</f>
        <v>901.3071555530164</v>
      </c>
      <c r="H104" s="241" cm="1">
        <f t="array" ref="H104">_xlfn.XLOOKUP(H$4,Pipe_data_input[#Headers],'Pipe data inputs'!C103:O103,0,0,)</f>
        <v>562.93208777304994</v>
      </c>
      <c r="I104" s="206" cm="1">
        <f t="array" ref="I104">_xlfn.XLOOKUP(I$4,Pipe_data_input[#Headers],'Pipe data inputs'!C103:O103,0,0,)</f>
        <v>0</v>
      </c>
      <c r="J104" s="206" cm="1">
        <f t="array" ref="J104">_xlfn.XLOOKUP(J$4,Pipe_data_input[#Headers],'Pipe data inputs'!C103:O103,0,0,)</f>
        <v>0</v>
      </c>
      <c r="K104" s="206" cm="1">
        <f t="array" ref="K104">_xlfn.XLOOKUP(K$4,Pipe_data_input[#Headers],'Pipe data inputs'!C103:O103,0,0,)</f>
        <v>0</v>
      </c>
      <c r="L104" s="206" cm="1">
        <f t="array" ref="L104">_xlfn.XLOOKUP(L$4,Pipe_data_input[#Headers],'Pipe data inputs'!C103:O103,0,0,)</f>
        <v>0</v>
      </c>
      <c r="M104" s="295" cm="1">
        <f t="array" ref="M104">_xlfn.XLOOKUP(M$4,Pipe_data_input[#Headers],'Pipe data inputs'!C103:O103,0,0,)</f>
        <v>0.65</v>
      </c>
      <c r="N104" s="211"/>
      <c r="O104" s="206" t="str">
        <f>IF(Pipe_data[[#This Row],[ID]]&gt;0, IF(Pipe_data[[#This Row],[Assumed diversity from model]]=1, "Feed", "Main"), "-" )</f>
        <v>Main</v>
      </c>
      <c r="P104" s="240">
        <v>0</v>
      </c>
      <c r="Q104" s="274">
        <f>IF(Pipe_data[[#This Row],[Phase overwrite]]&gt;0,Pipe_data[[#This Row],[Phase overwrite]],
IF(Pipe_data[[#This Row],[Tag]]="Feed",
_xlfn.XLOOKUP(Pipe_data[[#This Row],[Connected buildings ID]],'Heat connections'!$D$5:$D$242,'Heat connections'!$M$5:$M$242,1,0,1),1))</f>
        <v>1</v>
      </c>
      <c r="R104" s="499">
        <f>IF(Pipe_data[[#This Row],[Surface]]="Hard (Default)",
_xlfn.XLOOKUP(Pipe_data[[#This Row],[Nominal Diameter]],'Technical inputs'!$B$79:$B$100,'Technical inputs'!$C$79:$C$100,0,0,1),
_xlfn.XLOOKUP(Pipe_data[[#This Row],[Nominal Diameter]],'Technical inputs'!$B$79:$B$100,'Technical inputs'!$D$79:$D$100,0,0,1)) * Pipe_data[[#This Row],[Length]]</f>
        <v>10405.601353569002</v>
      </c>
    </row>
    <row r="105" spans="3:18" x14ac:dyDescent="0.25">
      <c r="C105" s="206" t="str" cm="1">
        <f t="array" ref="C105">_xlfn.XLOOKUP(C$4,Pipe_data_input[#Headers],'Pipe data inputs'!C104:O104,0,0,)</f>
        <v>9uyGon2VT1CYgORF</v>
      </c>
      <c r="D105" s="293" cm="1">
        <f t="array" ref="D105">_xlfn.XLOOKUP(D$4,Pipe_data_input[#Headers],'Pipe data inputs'!C104:O104,0,0,)</f>
        <v>1.3543087</v>
      </c>
      <c r="E105" s="206" t="str" cm="1">
        <f t="array" ref="E105">_xlfn.XLOOKUP(E$4,Pipe_data_input[#Headers],'Pipe data inputs'!C104:O104,0,0,)</f>
        <v>Hard (default)</v>
      </c>
      <c r="F105" s="206" cm="1">
        <f t="array" ref="F105">_xlfn.XLOOKUP(F$4,Pipe_data_input[#Headers],'Pipe data inputs'!C104:O104,0,0,)</f>
        <v>250</v>
      </c>
      <c r="G105" s="241" cm="1">
        <f t="array" ref="G105">_xlfn.XLOOKUP(G$4,Pipe_data_input[#Headers],'Pipe data inputs'!C104:O104,0,0,)</f>
        <v>472.21550024718459</v>
      </c>
      <c r="H105" s="241" cm="1">
        <f t="array" ref="H105">_xlfn.XLOOKUP(H$4,Pipe_data_input[#Headers],'Pipe data inputs'!C104:O104,0,0,)</f>
        <v>9393.3191221109992</v>
      </c>
      <c r="I105" s="206" cm="1">
        <f t="array" ref="I105">_xlfn.XLOOKUP(I$4,Pipe_data_input[#Headers],'Pipe data inputs'!C104:O104,0,0,)</f>
        <v>0</v>
      </c>
      <c r="J105" s="206" cm="1">
        <f t="array" ref="J105">_xlfn.XLOOKUP(J$4,Pipe_data_input[#Headers],'Pipe data inputs'!C104:O104,0,0,)</f>
        <v>0</v>
      </c>
      <c r="K105" s="206" cm="1">
        <f t="array" ref="K105">_xlfn.XLOOKUP(K$4,Pipe_data_input[#Headers],'Pipe data inputs'!C104:O104,0,0,)</f>
        <v>0</v>
      </c>
      <c r="L105" s="206" cm="1">
        <f t="array" ref="L105">_xlfn.XLOOKUP(L$4,Pipe_data_input[#Headers],'Pipe data inputs'!C104:O104,0,0,)</f>
        <v>0</v>
      </c>
      <c r="M105" s="295" cm="1">
        <f t="array" ref="M105">_xlfn.XLOOKUP(M$4,Pipe_data_input[#Headers],'Pipe data inputs'!C104:O104,0,0,)</f>
        <v>0.63</v>
      </c>
      <c r="N105" s="212"/>
      <c r="O105" s="206" t="str">
        <f>IF(Pipe_data[[#This Row],[ID]]&gt;0, IF(Pipe_data[[#This Row],[Assumed diversity from model]]=1, "Feed", "Main"), "-" )</f>
        <v>Main</v>
      </c>
      <c r="P105" s="240">
        <v>0</v>
      </c>
      <c r="Q105" s="274">
        <f>IF(Pipe_data[[#This Row],[Phase overwrite]]&gt;0,Pipe_data[[#This Row],[Phase overwrite]],
IF(Pipe_data[[#This Row],[Tag]]="Feed",
_xlfn.XLOOKUP(Pipe_data[[#This Row],[Connected buildings ID]],'Heat connections'!$D$5:$D$242,'Heat connections'!$M$5:$M$242,1,0,1),1))</f>
        <v>1</v>
      </c>
      <c r="R105" s="499">
        <f>IF(Pipe_data[[#This Row],[Surface]]="Hard (Default)",
_xlfn.XLOOKUP(Pipe_data[[#This Row],[Nominal Diameter]],'Technical inputs'!$B$79:$B$100,'Technical inputs'!$C$79:$C$100,0,0,1),
_xlfn.XLOOKUP(Pipe_data[[#This Row],[Nominal Diameter]],'Technical inputs'!$B$79:$B$100,'Technical inputs'!$D$79:$D$100,0,0,1)) * Pipe_data[[#This Row],[Length]]</f>
        <v>6065.73146639079</v>
      </c>
    </row>
    <row r="106" spans="3:18" x14ac:dyDescent="0.25">
      <c r="C106" s="206" t="str" cm="1">
        <f t="array" ref="C106">_xlfn.XLOOKUP(C$4,Pipe_data_input[#Headers],'Pipe data inputs'!C105:O105,0,0,)</f>
        <v>xZBnYB2DGD/fM7F6</v>
      </c>
      <c r="D106" s="293" cm="1">
        <f t="array" ref="D106">_xlfn.XLOOKUP(D$4,Pipe_data_input[#Headers],'Pipe data inputs'!C105:O105,0,0,)</f>
        <v>15.961531000000001</v>
      </c>
      <c r="E106" s="206" t="str" cm="1">
        <f t="array" ref="E106">_xlfn.XLOOKUP(E$4,Pipe_data_input[#Headers],'Pipe data inputs'!C105:O105,0,0,)</f>
        <v>Hard (default)</v>
      </c>
      <c r="F106" s="206" cm="1">
        <f t="array" ref="F106">_xlfn.XLOOKUP(F$4,Pipe_data_input[#Headers],'Pipe data inputs'!C105:O105,0,0,)</f>
        <v>50</v>
      </c>
      <c r="G106" s="241" cm="1">
        <f t="array" ref="G106">_xlfn.XLOOKUP(G$4,Pipe_data_input[#Headers],'Pipe data inputs'!C105:O105,0,0,)</f>
        <v>2962.1450153356054</v>
      </c>
      <c r="H106" s="241" cm="1">
        <f t="array" ref="H106">_xlfn.XLOOKUP(H$4,Pipe_data_input[#Headers],'Pipe data inputs'!C105:O105,0,0,)</f>
        <v>148.388475348707</v>
      </c>
      <c r="I106" s="206" cm="1">
        <f t="array" ref="I106">_xlfn.XLOOKUP(I$4,Pipe_data_input[#Headers],'Pipe data inputs'!C105:O105,0,0,)</f>
        <v>0</v>
      </c>
      <c r="J106" s="206" cm="1">
        <f t="array" ref="J106">_xlfn.XLOOKUP(J$4,Pipe_data_input[#Headers],'Pipe data inputs'!C105:O105,0,0,)</f>
        <v>0</v>
      </c>
      <c r="K106" s="206" cm="1">
        <f t="array" ref="K106">_xlfn.XLOOKUP(K$4,Pipe_data_input[#Headers],'Pipe data inputs'!C105:O105,0,0,)</f>
        <v>0</v>
      </c>
      <c r="L106" s="206" cm="1">
        <f t="array" ref="L106">_xlfn.XLOOKUP(L$4,Pipe_data_input[#Headers],'Pipe data inputs'!C105:O105,0,0,)</f>
        <v>0</v>
      </c>
      <c r="M106" s="295" cm="1">
        <f t="array" ref="M106">_xlfn.XLOOKUP(M$4,Pipe_data_input[#Headers],'Pipe data inputs'!C105:O105,0,0,)</f>
        <v>0.65</v>
      </c>
      <c r="N106" s="210"/>
      <c r="O106" s="206" t="str">
        <f>IF(Pipe_data[[#This Row],[ID]]&gt;0, IF(Pipe_data[[#This Row],[Assumed diversity from model]]=1, "Feed", "Main"), "-" )</f>
        <v>Main</v>
      </c>
      <c r="P106" s="240">
        <v>0</v>
      </c>
      <c r="Q106" s="274">
        <f>IF(Pipe_data[[#This Row],[Phase overwrite]]&gt;0,Pipe_data[[#This Row],[Phase overwrite]],
IF(Pipe_data[[#This Row],[Tag]]="Feed",
_xlfn.XLOOKUP(Pipe_data[[#This Row],[Connected buildings ID]],'Heat connections'!$D$5:$D$242,'Heat connections'!$M$5:$M$242,1,0,1),1))</f>
        <v>1</v>
      </c>
      <c r="R106" s="499">
        <f>IF(Pipe_data[[#This Row],[Surface]]="Hard (Default)",
_xlfn.XLOOKUP(Pipe_data[[#This Row],[Nominal Diameter]],'Technical inputs'!$B$79:$B$100,'Technical inputs'!$C$79:$C$100,0,0,1),
_xlfn.XLOOKUP(Pipe_data[[#This Row],[Nominal Diameter]],'Technical inputs'!$B$79:$B$100,'Technical inputs'!$D$79:$D$100,0,0,1)) * Pipe_data[[#This Row],[Length]]</f>
        <v>39926.731154328954</v>
      </c>
    </row>
    <row r="107" spans="3:18" x14ac:dyDescent="0.25">
      <c r="C107" s="206" t="str" cm="1">
        <f t="array" ref="C107">_xlfn.XLOOKUP(C$4,Pipe_data_input[#Headers],'Pipe data inputs'!C106:O106,0,0,)</f>
        <v>KSXAW4oGQncQ0ZDP</v>
      </c>
      <c r="D107" s="293" cm="1">
        <f t="array" ref="D107">_xlfn.XLOOKUP(D$4,Pipe_data_input[#Headers],'Pipe data inputs'!C106:O106,0,0,)</f>
        <v>10.208282000000001</v>
      </c>
      <c r="E107" s="206" t="str" cm="1">
        <f t="array" ref="E107">_xlfn.XLOOKUP(E$4,Pipe_data_input[#Headers],'Pipe data inputs'!C106:O106,0,0,)</f>
        <v>Hard (default)</v>
      </c>
      <c r="F107" s="206" cm="1">
        <f t="array" ref="F107">_xlfn.XLOOKUP(F$4,Pipe_data_input[#Headers],'Pipe data inputs'!C106:O106,0,0,)</f>
        <v>80</v>
      </c>
      <c r="G107" s="241" cm="1">
        <f t="array" ref="G107">_xlfn.XLOOKUP(G$4,Pipe_data_input[#Headers],'Pipe data inputs'!C106:O106,0,0,)</f>
        <v>2319.1119101143363</v>
      </c>
      <c r="H107" s="241" cm="1">
        <f t="array" ref="H107">_xlfn.XLOOKUP(H$4,Pipe_data_input[#Headers],'Pipe data inputs'!C106:O106,0,0,)</f>
        <v>706.41846324201697</v>
      </c>
      <c r="I107" s="206" cm="1">
        <f t="array" ref="I107">_xlfn.XLOOKUP(I$4,Pipe_data_input[#Headers],'Pipe data inputs'!C106:O106,0,0,)</f>
        <v>0</v>
      </c>
      <c r="J107" s="206" cm="1">
        <f t="array" ref="J107">_xlfn.XLOOKUP(J$4,Pipe_data_input[#Headers],'Pipe data inputs'!C106:O106,0,0,)</f>
        <v>0</v>
      </c>
      <c r="K107" s="206" cm="1">
        <f t="array" ref="K107">_xlfn.XLOOKUP(K$4,Pipe_data_input[#Headers],'Pipe data inputs'!C106:O106,0,0,)</f>
        <v>0</v>
      </c>
      <c r="L107" s="206" cm="1">
        <f t="array" ref="L107">_xlfn.XLOOKUP(L$4,Pipe_data_input[#Headers],'Pipe data inputs'!C106:O106,0,0,)</f>
        <v>0</v>
      </c>
      <c r="M107" s="295" cm="1">
        <f t="array" ref="M107">_xlfn.XLOOKUP(M$4,Pipe_data_input[#Headers],'Pipe data inputs'!C106:O106,0,0,)</f>
        <v>1</v>
      </c>
      <c r="N107" s="211"/>
      <c r="O107" s="206" t="str">
        <f>IF(Pipe_data[[#This Row],[ID]]&gt;0, IF(Pipe_data[[#This Row],[Assumed diversity from model]]=1, "Feed", "Main"), "-" )</f>
        <v>Feed</v>
      </c>
      <c r="P107" s="240">
        <v>0</v>
      </c>
      <c r="Q107" s="274">
        <f>IF(Pipe_data[[#This Row],[Phase overwrite]]&gt;0,Pipe_data[[#This Row],[Phase overwrite]],
IF(Pipe_data[[#This Row],[Tag]]="Feed",
_xlfn.XLOOKUP(Pipe_data[[#This Row],[Connected buildings ID]],'Heat connections'!$D$5:$D$242,'Heat connections'!$M$5:$M$242,1,0,1),1))</f>
        <v>1</v>
      </c>
      <c r="R107" s="499">
        <f>IF(Pipe_data[[#This Row],[Surface]]="Hard (Default)",
_xlfn.XLOOKUP(Pipe_data[[#This Row],[Nominal Diameter]],'Technical inputs'!$B$79:$B$100,'Technical inputs'!$C$79:$C$100,0,0,1),
_xlfn.XLOOKUP(Pipe_data[[#This Row],[Nominal Diameter]],'Technical inputs'!$B$79:$B$100,'Technical inputs'!$D$79:$D$100,0,0,1)) * Pipe_data[[#This Row],[Length]]</f>
        <v>27906.303579591404</v>
      </c>
    </row>
    <row r="108" spans="3:18" x14ac:dyDescent="0.25">
      <c r="C108" s="206" t="str" cm="1">
        <f t="array" ref="C108">_xlfn.XLOOKUP(C$4,Pipe_data_input[#Headers],'Pipe data inputs'!C107:O107,0,0,)</f>
        <v>TynhPQJ05T0N4oCt</v>
      </c>
      <c r="D108" s="293" cm="1">
        <f t="array" ref="D108">_xlfn.XLOOKUP(D$4,Pipe_data_input[#Headers],'Pipe data inputs'!C107:O107,0,0,)</f>
        <v>1.0439354999999999</v>
      </c>
      <c r="E108" s="206" t="str" cm="1">
        <f t="array" ref="E108">_xlfn.XLOOKUP(E$4,Pipe_data_input[#Headers],'Pipe data inputs'!C107:O107,0,0,)</f>
        <v>Hard (default)</v>
      </c>
      <c r="F108" s="206" cm="1">
        <f t="array" ref="F108">_xlfn.XLOOKUP(F$4,Pipe_data_input[#Headers],'Pipe data inputs'!C107:O107,0,0,)</f>
        <v>20</v>
      </c>
      <c r="G108" s="241" cm="1">
        <f t="array" ref="G108">_xlfn.XLOOKUP(G$4,Pipe_data_input[#Headers],'Pipe data inputs'!C107:O107,0,0,)</f>
        <v>155.04091099455974</v>
      </c>
      <c r="H108" s="241" cm="1">
        <f t="array" ref="H108">_xlfn.XLOOKUP(H$4,Pipe_data_input[#Headers],'Pipe data inputs'!C107:O107,0,0,)</f>
        <v>2.91598506120499</v>
      </c>
      <c r="I108" s="206" cm="1">
        <f t="array" ref="I108">_xlfn.XLOOKUP(I$4,Pipe_data_input[#Headers],'Pipe data inputs'!C107:O107,0,0,)</f>
        <v>0</v>
      </c>
      <c r="J108" s="206" cm="1">
        <f t="array" ref="J108">_xlfn.XLOOKUP(J$4,Pipe_data_input[#Headers],'Pipe data inputs'!C107:O107,0,0,)</f>
        <v>0</v>
      </c>
      <c r="K108" s="206" cm="1">
        <f t="array" ref="K108">_xlfn.XLOOKUP(K$4,Pipe_data_input[#Headers],'Pipe data inputs'!C107:O107,0,0,)</f>
        <v>0</v>
      </c>
      <c r="L108" s="206" cm="1">
        <f t="array" ref="L108">_xlfn.XLOOKUP(L$4,Pipe_data_input[#Headers],'Pipe data inputs'!C107:O107,0,0,)</f>
        <v>0</v>
      </c>
      <c r="M108" s="295" cm="1">
        <f t="array" ref="M108">_xlfn.XLOOKUP(M$4,Pipe_data_input[#Headers],'Pipe data inputs'!C107:O107,0,0,)</f>
        <v>1</v>
      </c>
      <c r="N108" s="211"/>
      <c r="O108" s="206" t="str">
        <f>IF(Pipe_data[[#This Row],[ID]]&gt;0, IF(Pipe_data[[#This Row],[Assumed diversity from model]]=1, "Feed", "Main"), "-" )</f>
        <v>Feed</v>
      </c>
      <c r="P108" s="240">
        <v>0</v>
      </c>
      <c r="Q108" s="274">
        <f>IF(Pipe_data[[#This Row],[Phase overwrite]]&gt;0,Pipe_data[[#This Row],[Phase overwrite]],
IF(Pipe_data[[#This Row],[Tag]]="Feed",
_xlfn.XLOOKUP(Pipe_data[[#This Row],[Connected buildings ID]],'Heat connections'!$D$5:$D$242,'Heat connections'!$M$5:$M$242,1,0,1),1))</f>
        <v>1</v>
      </c>
      <c r="R108" s="499">
        <f>IF(Pipe_data[[#This Row],[Surface]]="Hard (Default)",
_xlfn.XLOOKUP(Pipe_data[[#This Row],[Nominal Diameter]],'Technical inputs'!$B$79:$B$100,'Technical inputs'!$C$79:$C$100,0,0,1),
_xlfn.XLOOKUP(Pipe_data[[#This Row],[Nominal Diameter]],'Technical inputs'!$B$79:$B$100,'Technical inputs'!$D$79:$D$100,0,0,1)) * Pipe_data[[#This Row],[Length]]</f>
        <v>2235.8520472108171</v>
      </c>
    </row>
    <row r="109" spans="3:18" x14ac:dyDescent="0.25">
      <c r="C109" s="206" t="str" cm="1">
        <f t="array" ref="C109">_xlfn.XLOOKUP(C$4,Pipe_data_input[#Headers],'Pipe data inputs'!C108:O108,0,0,)</f>
        <v>+l8kBIkVvLbHqNRq</v>
      </c>
      <c r="D109" s="293" cm="1">
        <f t="array" ref="D109">_xlfn.XLOOKUP(D$4,Pipe_data_input[#Headers],'Pipe data inputs'!C108:O108,0,0,)</f>
        <v>4.4740200000000003</v>
      </c>
      <c r="E109" s="206" t="str" cm="1">
        <f t="array" ref="E109">_xlfn.XLOOKUP(E$4,Pipe_data_input[#Headers],'Pipe data inputs'!C108:O108,0,0,)</f>
        <v>Hard (default)</v>
      </c>
      <c r="F109" s="206" cm="1">
        <f t="array" ref="F109">_xlfn.XLOOKUP(F$4,Pipe_data_input[#Headers],'Pipe data inputs'!C108:O108,0,0,)</f>
        <v>40</v>
      </c>
      <c r="G109" s="241" cm="1">
        <f t="array" ref="G109">_xlfn.XLOOKUP(G$4,Pipe_data_input[#Headers],'Pipe data inputs'!C108:O108,0,0,)</f>
        <v>782.3385567381838</v>
      </c>
      <c r="H109" s="241" cm="1">
        <f t="array" ref="H109">_xlfn.XLOOKUP(H$4,Pipe_data_input[#Headers],'Pipe data inputs'!C108:O108,0,0,)</f>
        <v>116.80722045898401</v>
      </c>
      <c r="I109" s="206" cm="1">
        <f t="array" ref="I109">_xlfn.XLOOKUP(I$4,Pipe_data_input[#Headers],'Pipe data inputs'!C108:O108,0,0,)</f>
        <v>0</v>
      </c>
      <c r="J109" s="206" cm="1">
        <f t="array" ref="J109">_xlfn.XLOOKUP(J$4,Pipe_data_input[#Headers],'Pipe data inputs'!C108:O108,0,0,)</f>
        <v>0</v>
      </c>
      <c r="K109" s="206" cm="1">
        <f t="array" ref="K109">_xlfn.XLOOKUP(K$4,Pipe_data_input[#Headers],'Pipe data inputs'!C108:O108,0,0,)</f>
        <v>0</v>
      </c>
      <c r="L109" s="206" cm="1">
        <f t="array" ref="L109">_xlfn.XLOOKUP(L$4,Pipe_data_input[#Headers],'Pipe data inputs'!C108:O108,0,0,)</f>
        <v>0</v>
      </c>
      <c r="M109" s="295" cm="1">
        <f t="array" ref="M109">_xlfn.XLOOKUP(M$4,Pipe_data_input[#Headers],'Pipe data inputs'!C108:O108,0,0,)</f>
        <v>0.72000000000000142</v>
      </c>
      <c r="N109" s="211"/>
      <c r="O109" s="206" t="str">
        <f>IF(Pipe_data[[#This Row],[ID]]&gt;0, IF(Pipe_data[[#This Row],[Assumed diversity from model]]=1, "Feed", "Main"), "-" )</f>
        <v>Main</v>
      </c>
      <c r="P109" s="240">
        <v>0</v>
      </c>
      <c r="Q109" s="274">
        <f>IF(Pipe_data[[#This Row],[Phase overwrite]]&gt;0,Pipe_data[[#This Row],[Phase overwrite]],
IF(Pipe_data[[#This Row],[Tag]]="Feed",
_xlfn.XLOOKUP(Pipe_data[[#This Row],[Connected buildings ID]],'Heat connections'!$D$5:$D$242,'Heat connections'!$M$5:$M$242,1,0,1),1))</f>
        <v>1</v>
      </c>
      <c r="R109" s="499">
        <f>IF(Pipe_data[[#This Row],[Surface]]="Hard (Default)",
_xlfn.XLOOKUP(Pipe_data[[#This Row],[Nominal Diameter]],'Technical inputs'!$B$79:$B$100,'Technical inputs'!$C$79:$C$100,0,0,1),
_xlfn.XLOOKUP(Pipe_data[[#This Row],[Nominal Diameter]],'Technical inputs'!$B$79:$B$100,'Technical inputs'!$D$79:$D$100,0,0,1)) * Pipe_data[[#This Row],[Length]]</f>
        <v>10817.890031073865</v>
      </c>
    </row>
    <row r="110" spans="3:18" x14ac:dyDescent="0.25">
      <c r="C110" s="206" t="str" cm="1">
        <f t="array" ref="C110">_xlfn.XLOOKUP(C$4,Pipe_data_input[#Headers],'Pipe data inputs'!C109:O109,0,0,)</f>
        <v>onXPOmVFj0zs8qfn</v>
      </c>
      <c r="D110" s="293" cm="1">
        <f t="array" ref="D110">_xlfn.XLOOKUP(D$4,Pipe_data_input[#Headers],'Pipe data inputs'!C109:O109,0,0,)</f>
        <v>8.5140600000000006</v>
      </c>
      <c r="E110" s="206" t="str" cm="1">
        <f t="array" ref="E110">_xlfn.XLOOKUP(E$4,Pipe_data_input[#Headers],'Pipe data inputs'!C109:O109,0,0,)</f>
        <v>Hard (default)</v>
      </c>
      <c r="F110" s="206" cm="1">
        <f t="array" ref="F110">_xlfn.XLOOKUP(F$4,Pipe_data_input[#Headers],'Pipe data inputs'!C109:O109,0,0,)</f>
        <v>250</v>
      </c>
      <c r="G110" s="241" cm="1">
        <f t="array" ref="G110">_xlfn.XLOOKUP(G$4,Pipe_data_input[#Headers],'Pipe data inputs'!C109:O109,0,0,)</f>
        <v>3093.409848414251</v>
      </c>
      <c r="H110" s="241" cm="1">
        <f t="array" ref="H110">_xlfn.XLOOKUP(H$4,Pipe_data_input[#Headers],'Pipe data inputs'!C109:O109,0,0,)</f>
        <v>13386.7484804549</v>
      </c>
      <c r="I110" s="206" cm="1">
        <f t="array" ref="I110">_xlfn.XLOOKUP(I$4,Pipe_data_input[#Headers],'Pipe data inputs'!C109:O109,0,0,)</f>
        <v>0</v>
      </c>
      <c r="J110" s="206" cm="1">
        <f t="array" ref="J110">_xlfn.XLOOKUP(J$4,Pipe_data_input[#Headers],'Pipe data inputs'!C109:O109,0,0,)</f>
        <v>0</v>
      </c>
      <c r="K110" s="206" cm="1">
        <f t="array" ref="K110">_xlfn.XLOOKUP(K$4,Pipe_data_input[#Headers],'Pipe data inputs'!C109:O109,0,0,)</f>
        <v>0</v>
      </c>
      <c r="L110" s="206" cm="1">
        <f t="array" ref="L110">_xlfn.XLOOKUP(L$4,Pipe_data_input[#Headers],'Pipe data inputs'!C109:O109,0,0,)</f>
        <v>0</v>
      </c>
      <c r="M110" s="295" cm="1">
        <f t="array" ref="M110">_xlfn.XLOOKUP(M$4,Pipe_data_input[#Headers],'Pipe data inputs'!C109:O109,0,0,)</f>
        <v>0.63</v>
      </c>
      <c r="N110" s="211"/>
      <c r="O110" s="206" t="str">
        <f>IF(Pipe_data[[#This Row],[ID]]&gt;0, IF(Pipe_data[[#This Row],[Assumed diversity from model]]=1, "Feed", "Main"), "-" )</f>
        <v>Main</v>
      </c>
      <c r="P110" s="240">
        <v>0</v>
      </c>
      <c r="Q110" s="274">
        <f>IF(Pipe_data[[#This Row],[Phase overwrite]]&gt;0,Pipe_data[[#This Row],[Phase overwrite]],
IF(Pipe_data[[#This Row],[Tag]]="Feed",
_xlfn.XLOOKUP(Pipe_data[[#This Row],[Connected buildings ID]],'Heat connections'!$D$5:$D$242,'Heat connections'!$M$5:$M$242,1,0,1),1))</f>
        <v>1</v>
      </c>
      <c r="R110" s="499">
        <f>IF(Pipe_data[[#This Row],[Surface]]="Hard (Default)",
_xlfn.XLOOKUP(Pipe_data[[#This Row],[Nominal Diameter]],'Technical inputs'!$B$79:$B$100,'Technical inputs'!$C$79:$C$100,0,0,1),
_xlfn.XLOOKUP(Pipe_data[[#This Row],[Nominal Diameter]],'Technical inputs'!$B$79:$B$100,'Technical inputs'!$D$79:$D$100,0,0,1)) * Pipe_data[[#This Row],[Length]]</f>
        <v>38133.109274672141</v>
      </c>
    </row>
    <row r="111" spans="3:18" x14ac:dyDescent="0.25">
      <c r="C111" s="206" t="str" cm="1">
        <f t="array" ref="C111">_xlfn.XLOOKUP(C$4,Pipe_data_input[#Headers],'Pipe data inputs'!C110:O110,0,0,)</f>
        <v>BAMVJOGcCBURwTmE</v>
      </c>
      <c r="D111" s="293" cm="1">
        <f t="array" ref="D111">_xlfn.XLOOKUP(D$4,Pipe_data_input[#Headers],'Pipe data inputs'!C110:O110,0,0,)</f>
        <v>4.8848909999999997</v>
      </c>
      <c r="E111" s="206" t="str" cm="1">
        <f t="array" ref="E111">_xlfn.XLOOKUP(E$4,Pipe_data_input[#Headers],'Pipe data inputs'!C110:O110,0,0,)</f>
        <v>Hard (default)</v>
      </c>
      <c r="F111" s="206" cm="1">
        <f t="array" ref="F111">_xlfn.XLOOKUP(F$4,Pipe_data_input[#Headers],'Pipe data inputs'!C110:O110,0,0,)</f>
        <v>40</v>
      </c>
      <c r="G111" s="241" cm="1">
        <f t="array" ref="G111">_xlfn.XLOOKUP(G$4,Pipe_data_input[#Headers],'Pipe data inputs'!C110:O110,0,0,)</f>
        <v>904.78816865872602</v>
      </c>
      <c r="H111" s="241" cm="1">
        <f t="array" ref="H111">_xlfn.XLOOKUP(H$4,Pipe_data_input[#Headers],'Pipe data inputs'!C110:O110,0,0,)</f>
        <v>147.16501775104601</v>
      </c>
      <c r="I111" s="206" cm="1">
        <f t="array" ref="I111">_xlfn.XLOOKUP(I$4,Pipe_data_input[#Headers],'Pipe data inputs'!C110:O110,0,0,)</f>
        <v>0</v>
      </c>
      <c r="J111" s="206" cm="1">
        <f t="array" ref="J111">_xlfn.XLOOKUP(J$4,Pipe_data_input[#Headers],'Pipe data inputs'!C110:O110,0,0,)</f>
        <v>0</v>
      </c>
      <c r="K111" s="206" cm="1">
        <f t="array" ref="K111">_xlfn.XLOOKUP(K$4,Pipe_data_input[#Headers],'Pipe data inputs'!C110:O110,0,0,)</f>
        <v>0</v>
      </c>
      <c r="L111" s="206" cm="1">
        <f t="array" ref="L111">_xlfn.XLOOKUP(L$4,Pipe_data_input[#Headers],'Pipe data inputs'!C110:O110,0,0,)</f>
        <v>0</v>
      </c>
      <c r="M111" s="295" cm="1">
        <f t="array" ref="M111">_xlfn.XLOOKUP(M$4,Pipe_data_input[#Headers],'Pipe data inputs'!C110:O110,0,0,)</f>
        <v>0.72</v>
      </c>
      <c r="N111" s="211"/>
      <c r="O111" s="206" t="str">
        <f>IF(Pipe_data[[#This Row],[ID]]&gt;0, IF(Pipe_data[[#This Row],[Assumed diversity from model]]=1, "Feed", "Main"), "-" )</f>
        <v>Main</v>
      </c>
      <c r="P111" s="240">
        <v>0</v>
      </c>
      <c r="Q111" s="274">
        <f>IF(Pipe_data[[#This Row],[Phase overwrite]]&gt;0,Pipe_data[[#This Row],[Phase overwrite]],
IF(Pipe_data[[#This Row],[Tag]]="Feed",
_xlfn.XLOOKUP(Pipe_data[[#This Row],[Connected buildings ID]],'Heat connections'!$D$5:$D$242,'Heat connections'!$M$5:$M$242,1,0,1),1))</f>
        <v>1</v>
      </c>
      <c r="R111" s="499">
        <f>IF(Pipe_data[[#This Row],[Surface]]="Hard (Default)",
_xlfn.XLOOKUP(Pipe_data[[#This Row],[Nominal Diameter]],'Technical inputs'!$B$79:$B$100,'Technical inputs'!$C$79:$C$100,0,0,1),
_xlfn.XLOOKUP(Pipe_data[[#This Row],[Nominal Diameter]],'Technical inputs'!$B$79:$B$100,'Technical inputs'!$D$79:$D$100,0,0,1)) * Pipe_data[[#This Row],[Length]]</f>
        <v>11811.349446757598</v>
      </c>
    </row>
    <row r="112" spans="3:18" x14ac:dyDescent="0.25">
      <c r="C112" s="206" t="str" cm="1">
        <f t="array" ref="C112">_xlfn.XLOOKUP(C$4,Pipe_data_input[#Headers],'Pipe data inputs'!C111:O111,0,0,)</f>
        <v>HqglULdSt0kmpx0R</v>
      </c>
      <c r="D112" s="293" cm="1">
        <f t="array" ref="D112">_xlfn.XLOOKUP(D$4,Pipe_data_input[#Headers],'Pipe data inputs'!C111:O111,0,0,)</f>
        <v>3.0597235999999999</v>
      </c>
      <c r="E112" s="206" t="str" cm="1">
        <f t="array" ref="E112">_xlfn.XLOOKUP(E$4,Pipe_data_input[#Headers],'Pipe data inputs'!C111:O111,0,0,)</f>
        <v>Hard (default)</v>
      </c>
      <c r="F112" s="206" cm="1">
        <f t="array" ref="F112">_xlfn.XLOOKUP(F$4,Pipe_data_input[#Headers],'Pipe data inputs'!C111:O111,0,0,)</f>
        <v>200</v>
      </c>
      <c r="G112" s="241" cm="1">
        <f t="array" ref="G112">_xlfn.XLOOKUP(G$4,Pipe_data_input[#Headers],'Pipe data inputs'!C111:O111,0,0,)</f>
        <v>1000.500860959481</v>
      </c>
      <c r="H112" s="241" cm="1">
        <f t="array" ref="H112">_xlfn.XLOOKUP(H$4,Pipe_data_input[#Headers],'Pipe data inputs'!C111:O111,0,0,)</f>
        <v>5647.44771793778</v>
      </c>
      <c r="I112" s="206" cm="1">
        <f t="array" ref="I112">_xlfn.XLOOKUP(I$4,Pipe_data_input[#Headers],'Pipe data inputs'!C111:O111,0,0,)</f>
        <v>0</v>
      </c>
      <c r="J112" s="206" cm="1">
        <f t="array" ref="J112">_xlfn.XLOOKUP(J$4,Pipe_data_input[#Headers],'Pipe data inputs'!C111:O111,0,0,)</f>
        <v>0</v>
      </c>
      <c r="K112" s="206" cm="1">
        <f t="array" ref="K112">_xlfn.XLOOKUP(K$4,Pipe_data_input[#Headers],'Pipe data inputs'!C111:O111,0,0,)</f>
        <v>0</v>
      </c>
      <c r="L112" s="206" cm="1">
        <f t="array" ref="L112">_xlfn.XLOOKUP(L$4,Pipe_data_input[#Headers],'Pipe data inputs'!C111:O111,0,0,)</f>
        <v>0</v>
      </c>
      <c r="M112" s="295" cm="1">
        <f t="array" ref="M112">_xlfn.XLOOKUP(M$4,Pipe_data_input[#Headers],'Pipe data inputs'!C111:O111,0,0,)</f>
        <v>1</v>
      </c>
      <c r="N112" s="211"/>
      <c r="O112" s="206" t="str">
        <f>IF(Pipe_data[[#This Row],[ID]]&gt;0, IF(Pipe_data[[#This Row],[Assumed diversity from model]]=1, "Feed", "Main"), "-" )</f>
        <v>Feed</v>
      </c>
      <c r="P112" s="240">
        <v>0</v>
      </c>
      <c r="Q112" s="274">
        <f>IF(Pipe_data[[#This Row],[Phase overwrite]]&gt;0,Pipe_data[[#This Row],[Phase overwrite]],
IF(Pipe_data[[#This Row],[Tag]]="Feed",
_xlfn.XLOOKUP(Pipe_data[[#This Row],[Connected buildings ID]],'Heat connections'!$D$5:$D$242,'Heat connections'!$M$5:$M$242,1,0,1),1))</f>
        <v>1</v>
      </c>
      <c r="R112" s="499">
        <f>IF(Pipe_data[[#This Row],[Surface]]="Hard (Default)",
_xlfn.XLOOKUP(Pipe_data[[#This Row],[Nominal Diameter]],'Technical inputs'!$B$79:$B$100,'Technical inputs'!$C$79:$C$100,0,0,1),
_xlfn.XLOOKUP(Pipe_data[[#This Row],[Nominal Diameter]],'Technical inputs'!$B$79:$B$100,'Technical inputs'!$D$79:$D$100,0,0,1)) * Pipe_data[[#This Row],[Length]]</f>
        <v>11756.282492630286</v>
      </c>
    </row>
    <row r="113" spans="3:18" x14ac:dyDescent="0.25">
      <c r="C113" s="206" t="str" cm="1">
        <f t="array" ref="C113">_xlfn.XLOOKUP(C$4,Pipe_data_input[#Headers],'Pipe data inputs'!C112:O112,0,0,)</f>
        <v>3dFMA17I2ZDInst2</v>
      </c>
      <c r="D113" s="293" cm="1">
        <f t="array" ref="D113">_xlfn.XLOOKUP(D$4,Pipe_data_input[#Headers],'Pipe data inputs'!C112:O112,0,0,)</f>
        <v>12.478491</v>
      </c>
      <c r="E113" s="206" t="str" cm="1">
        <f t="array" ref="E113">_xlfn.XLOOKUP(E$4,Pipe_data_input[#Headers],'Pipe data inputs'!C112:O112,0,0,)</f>
        <v>Hard (default)</v>
      </c>
      <c r="F113" s="206" cm="1">
        <f t="array" ref="F113">_xlfn.XLOOKUP(F$4,Pipe_data_input[#Headers],'Pipe data inputs'!C112:O112,0,0,)</f>
        <v>25</v>
      </c>
      <c r="G113" s="241" cm="1">
        <f t="array" ref="G113">_xlfn.XLOOKUP(G$4,Pipe_data_input[#Headers],'Pipe data inputs'!C112:O112,0,0,)</f>
        <v>1478.4920843178973</v>
      </c>
      <c r="H113" s="241" cm="1">
        <f t="array" ref="H113">_xlfn.XLOOKUP(H$4,Pipe_data_input[#Headers],'Pipe data inputs'!C112:O112,0,0,)</f>
        <v>25.667728424072301</v>
      </c>
      <c r="I113" s="206" cm="1">
        <f t="array" ref="I113">_xlfn.XLOOKUP(I$4,Pipe_data_input[#Headers],'Pipe data inputs'!C112:O112,0,0,)</f>
        <v>0</v>
      </c>
      <c r="J113" s="206" cm="1">
        <f t="array" ref="J113">_xlfn.XLOOKUP(J$4,Pipe_data_input[#Headers],'Pipe data inputs'!C112:O112,0,0,)</f>
        <v>0</v>
      </c>
      <c r="K113" s="206" cm="1">
        <f t="array" ref="K113">_xlfn.XLOOKUP(K$4,Pipe_data_input[#Headers],'Pipe data inputs'!C112:O112,0,0,)</f>
        <v>0</v>
      </c>
      <c r="L113" s="206" cm="1">
        <f t="array" ref="L113">_xlfn.XLOOKUP(L$4,Pipe_data_input[#Headers],'Pipe data inputs'!C112:O112,0,0,)</f>
        <v>0</v>
      </c>
      <c r="M113" s="295" cm="1">
        <f t="array" ref="M113">_xlfn.XLOOKUP(M$4,Pipe_data_input[#Headers],'Pipe data inputs'!C112:O112,0,0,)</f>
        <v>1</v>
      </c>
      <c r="N113" s="211"/>
      <c r="O113" s="206" t="str">
        <f>IF(Pipe_data[[#This Row],[ID]]&gt;0, IF(Pipe_data[[#This Row],[Assumed diversity from model]]=1, "Feed", "Main"), "-" )</f>
        <v>Feed</v>
      </c>
      <c r="P113" s="240">
        <v>0</v>
      </c>
      <c r="Q113" s="274">
        <f>IF(Pipe_data[[#This Row],[Phase overwrite]]&gt;0,Pipe_data[[#This Row],[Phase overwrite]],
IF(Pipe_data[[#This Row],[Tag]]="Feed",
_xlfn.XLOOKUP(Pipe_data[[#This Row],[Connected buildings ID]],'Heat connections'!$D$5:$D$242,'Heat connections'!$M$5:$M$242,1,0,1),1))</f>
        <v>1</v>
      </c>
      <c r="R113" s="499">
        <f>IF(Pipe_data[[#This Row],[Surface]]="Hard (Default)",
_xlfn.XLOOKUP(Pipe_data[[#This Row],[Nominal Diameter]],'Technical inputs'!$B$79:$B$100,'Technical inputs'!$C$79:$C$100,0,0,1),
_xlfn.XLOOKUP(Pipe_data[[#This Row],[Nominal Diameter]],'Technical inputs'!$B$79:$B$100,'Technical inputs'!$D$79:$D$100,0,0,1)) * Pipe_data[[#This Row],[Length]]</f>
        <v>26898.322374144725</v>
      </c>
    </row>
    <row r="114" spans="3:18" x14ac:dyDescent="0.25">
      <c r="C114" s="206" t="str" cm="1">
        <f t="array" ref="C114">_xlfn.XLOOKUP(C$4,Pipe_data_input[#Headers],'Pipe data inputs'!C113:O113,0,0,)</f>
        <v>7Jxm2XGdBeEoq+fF</v>
      </c>
      <c r="D114" s="293" cm="1">
        <f t="array" ref="D114">_xlfn.XLOOKUP(D$4,Pipe_data_input[#Headers],'Pipe data inputs'!C113:O113,0,0,)</f>
        <v>0.92505216999999995</v>
      </c>
      <c r="E114" s="206" t="str" cm="1">
        <f t="array" ref="E114">_xlfn.XLOOKUP(E$4,Pipe_data_input[#Headers],'Pipe data inputs'!C113:O113,0,0,)</f>
        <v>Hard (default)</v>
      </c>
      <c r="F114" s="206" cm="1">
        <f t="array" ref="F114">_xlfn.XLOOKUP(F$4,Pipe_data_input[#Headers],'Pipe data inputs'!C113:O113,0,0,)</f>
        <v>50</v>
      </c>
      <c r="G114" s="241" cm="1">
        <f t="array" ref="G114">_xlfn.XLOOKUP(G$4,Pipe_data_input[#Headers],'Pipe data inputs'!C113:O113,0,0,)</f>
        <v>171.67141888148981</v>
      </c>
      <c r="H114" s="241" cm="1">
        <f t="array" ref="H114">_xlfn.XLOOKUP(H$4,Pipe_data_input[#Headers],'Pipe data inputs'!C113:O113,0,0,)</f>
        <v>148.388475348707</v>
      </c>
      <c r="I114" s="206" cm="1">
        <f t="array" ref="I114">_xlfn.XLOOKUP(I$4,Pipe_data_input[#Headers],'Pipe data inputs'!C113:O113,0,0,)</f>
        <v>0</v>
      </c>
      <c r="J114" s="206" cm="1">
        <f t="array" ref="J114">_xlfn.XLOOKUP(J$4,Pipe_data_input[#Headers],'Pipe data inputs'!C113:O113,0,0,)</f>
        <v>0</v>
      </c>
      <c r="K114" s="206" cm="1">
        <f t="array" ref="K114">_xlfn.XLOOKUP(K$4,Pipe_data_input[#Headers],'Pipe data inputs'!C113:O113,0,0,)</f>
        <v>0</v>
      </c>
      <c r="L114" s="206" cm="1">
        <f t="array" ref="L114">_xlfn.XLOOKUP(L$4,Pipe_data_input[#Headers],'Pipe data inputs'!C113:O113,0,0,)</f>
        <v>0</v>
      </c>
      <c r="M114" s="295" cm="1">
        <f t="array" ref="M114">_xlfn.XLOOKUP(M$4,Pipe_data_input[#Headers],'Pipe data inputs'!C113:O113,0,0,)</f>
        <v>0.65</v>
      </c>
      <c r="N114" s="211"/>
      <c r="O114" s="206" t="str">
        <f>IF(Pipe_data[[#This Row],[ID]]&gt;0, IF(Pipe_data[[#This Row],[Assumed diversity from model]]=1, "Feed", "Main"), "-" )</f>
        <v>Main</v>
      </c>
      <c r="P114" s="240">
        <v>0</v>
      </c>
      <c r="Q114" s="274">
        <f>IF(Pipe_data[[#This Row],[Phase overwrite]]&gt;0,Pipe_data[[#This Row],[Phase overwrite]],
IF(Pipe_data[[#This Row],[Tag]]="Feed",
_xlfn.XLOOKUP(Pipe_data[[#This Row],[Connected buildings ID]],'Heat connections'!$D$5:$D$242,'Heat connections'!$M$5:$M$242,1,0,1),1))</f>
        <v>1</v>
      </c>
      <c r="R114" s="499">
        <f>IF(Pipe_data[[#This Row],[Surface]]="Hard (Default)",
_xlfn.XLOOKUP(Pipe_data[[#This Row],[Nominal Diameter]],'Technical inputs'!$B$79:$B$100,'Technical inputs'!$C$79:$C$100,0,0,1),
_xlfn.XLOOKUP(Pipe_data[[#This Row],[Nominal Diameter]],'Technical inputs'!$B$79:$B$100,'Technical inputs'!$D$79:$D$100,0,0,1)) * Pipe_data[[#This Row],[Length]]</f>
        <v>2313.9578086412012</v>
      </c>
    </row>
    <row r="115" spans="3:18" x14ac:dyDescent="0.25">
      <c r="C115" s="206" t="str" cm="1">
        <f t="array" ref="C115">_xlfn.XLOOKUP(C$4,Pipe_data_input[#Headers],'Pipe data inputs'!C114:O114,0,0,)</f>
        <v>mBDDXBS3Vy9yadF5</v>
      </c>
      <c r="D115" s="293" cm="1">
        <f t="array" ref="D115">_xlfn.XLOOKUP(D$4,Pipe_data_input[#Headers],'Pipe data inputs'!C114:O114,0,0,)</f>
        <v>1.4975961</v>
      </c>
      <c r="E115" s="206" t="str" cm="1">
        <f t="array" ref="E115">_xlfn.XLOOKUP(E$4,Pipe_data_input[#Headers],'Pipe data inputs'!C114:O114,0,0,)</f>
        <v>Hard (default)</v>
      </c>
      <c r="F115" s="206" cm="1">
        <f t="array" ref="F115">_xlfn.XLOOKUP(F$4,Pipe_data_input[#Headers],'Pipe data inputs'!C114:O114,0,0,)</f>
        <v>20</v>
      </c>
      <c r="G115" s="241" cm="1">
        <f t="array" ref="G115">_xlfn.XLOOKUP(G$4,Pipe_data_input[#Headers],'Pipe data inputs'!C114:O114,0,0,)</f>
        <v>222.41667578686597</v>
      </c>
      <c r="H115" s="241" cm="1">
        <f t="array" ref="H115">_xlfn.XLOOKUP(H$4,Pipe_data_input[#Headers],'Pipe data inputs'!C114:O114,0,0,)</f>
        <v>2.91598506120499</v>
      </c>
      <c r="I115" s="206" cm="1">
        <f t="array" ref="I115">_xlfn.XLOOKUP(I$4,Pipe_data_input[#Headers],'Pipe data inputs'!C114:O114,0,0,)</f>
        <v>0</v>
      </c>
      <c r="J115" s="206" cm="1">
        <f t="array" ref="J115">_xlfn.XLOOKUP(J$4,Pipe_data_input[#Headers],'Pipe data inputs'!C114:O114,0,0,)</f>
        <v>0</v>
      </c>
      <c r="K115" s="206" cm="1">
        <f t="array" ref="K115">_xlfn.XLOOKUP(K$4,Pipe_data_input[#Headers],'Pipe data inputs'!C114:O114,0,0,)</f>
        <v>0</v>
      </c>
      <c r="L115" s="206" cm="1">
        <f t="array" ref="L115">_xlfn.XLOOKUP(L$4,Pipe_data_input[#Headers],'Pipe data inputs'!C114:O114,0,0,)</f>
        <v>0</v>
      </c>
      <c r="M115" s="295" cm="1">
        <f t="array" ref="M115">_xlfn.XLOOKUP(M$4,Pipe_data_input[#Headers],'Pipe data inputs'!C114:O114,0,0,)</f>
        <v>1</v>
      </c>
      <c r="N115" s="211"/>
      <c r="O115" s="206" t="str">
        <f>IF(Pipe_data[[#This Row],[ID]]&gt;0, IF(Pipe_data[[#This Row],[Assumed diversity from model]]=1, "Feed", "Main"), "-" )</f>
        <v>Feed</v>
      </c>
      <c r="P115" s="240">
        <v>0</v>
      </c>
      <c r="Q115" s="274">
        <f>IF(Pipe_data[[#This Row],[Phase overwrite]]&gt;0,Pipe_data[[#This Row],[Phase overwrite]],
IF(Pipe_data[[#This Row],[Tag]]="Feed",
_xlfn.XLOOKUP(Pipe_data[[#This Row],[Connected buildings ID]],'Heat connections'!$D$5:$D$242,'Heat connections'!$M$5:$M$242,1,0,1),1))</f>
        <v>1</v>
      </c>
      <c r="R115" s="499">
        <f>IF(Pipe_data[[#This Row],[Surface]]="Hard (Default)",
_xlfn.XLOOKUP(Pipe_data[[#This Row],[Nominal Diameter]],'Technical inputs'!$B$79:$B$100,'Technical inputs'!$C$79:$C$100,0,0,1),
_xlfn.XLOOKUP(Pipe_data[[#This Row],[Nominal Diameter]],'Technical inputs'!$B$79:$B$100,'Technical inputs'!$D$79:$D$100,0,0,1)) * Pipe_data[[#This Row],[Length]]</f>
        <v>3207.4810235689233</v>
      </c>
    </row>
    <row r="116" spans="3:18" x14ac:dyDescent="0.25">
      <c r="C116" s="206" t="str" cm="1">
        <f t="array" ref="C116">_xlfn.XLOOKUP(C$4,Pipe_data_input[#Headers],'Pipe data inputs'!C115:O115,0,0,)</f>
        <v>NgoVE8eeFnRolvTr</v>
      </c>
      <c r="D116" s="293" cm="1">
        <f t="array" ref="D116">_xlfn.XLOOKUP(D$4,Pipe_data_input[#Headers],'Pipe data inputs'!C115:O115,0,0,)</f>
        <v>5.0093446000000004</v>
      </c>
      <c r="E116" s="206" t="str" cm="1">
        <f t="array" ref="E116">_xlfn.XLOOKUP(E$4,Pipe_data_input[#Headers],'Pipe data inputs'!C115:O115,0,0,)</f>
        <v>Hard (default)</v>
      </c>
      <c r="F116" s="206" cm="1">
        <f t="array" ref="F116">_xlfn.XLOOKUP(F$4,Pipe_data_input[#Headers],'Pipe data inputs'!C115:O115,0,0,)</f>
        <v>50</v>
      </c>
      <c r="G116" s="241" cm="1">
        <f t="array" ref="G116">_xlfn.XLOOKUP(G$4,Pipe_data_input[#Headers],'Pipe data inputs'!C115:O115,0,0,)</f>
        <v>929.63545520716866</v>
      </c>
      <c r="H116" s="241" cm="1">
        <f t="array" ref="H116">_xlfn.XLOOKUP(H$4,Pipe_data_input[#Headers],'Pipe data inputs'!C115:O115,0,0,)</f>
        <v>148.388475348707</v>
      </c>
      <c r="I116" s="206" cm="1">
        <f t="array" ref="I116">_xlfn.XLOOKUP(I$4,Pipe_data_input[#Headers],'Pipe data inputs'!C115:O115,0,0,)</f>
        <v>0</v>
      </c>
      <c r="J116" s="206" cm="1">
        <f t="array" ref="J116">_xlfn.XLOOKUP(J$4,Pipe_data_input[#Headers],'Pipe data inputs'!C115:O115,0,0,)</f>
        <v>0</v>
      </c>
      <c r="K116" s="206" cm="1">
        <f t="array" ref="K116">_xlfn.XLOOKUP(K$4,Pipe_data_input[#Headers],'Pipe data inputs'!C115:O115,0,0,)</f>
        <v>0</v>
      </c>
      <c r="L116" s="206" cm="1">
        <f t="array" ref="L116">_xlfn.XLOOKUP(L$4,Pipe_data_input[#Headers],'Pipe data inputs'!C115:O115,0,0,)</f>
        <v>0</v>
      </c>
      <c r="M116" s="295" cm="1">
        <f t="array" ref="M116">_xlfn.XLOOKUP(M$4,Pipe_data_input[#Headers],'Pipe data inputs'!C115:O115,0,0,)</f>
        <v>0.65</v>
      </c>
      <c r="N116" s="211"/>
      <c r="O116" s="206" t="str">
        <f>IF(Pipe_data[[#This Row],[ID]]&gt;0, IF(Pipe_data[[#This Row],[Assumed diversity from model]]=1, "Feed", "Main"), "-" )</f>
        <v>Main</v>
      </c>
      <c r="P116" s="240">
        <v>0</v>
      </c>
      <c r="Q116" s="274">
        <f>IF(Pipe_data[[#This Row],[Phase overwrite]]&gt;0,Pipe_data[[#This Row],[Phase overwrite]],
IF(Pipe_data[[#This Row],[Tag]]="Feed",
_xlfn.XLOOKUP(Pipe_data[[#This Row],[Connected buildings ID]],'Heat connections'!$D$5:$D$242,'Heat connections'!$M$5:$M$242,1,0,1),1))</f>
        <v>1</v>
      </c>
      <c r="R116" s="499">
        <f>IF(Pipe_data[[#This Row],[Surface]]="Hard (Default)",
_xlfn.XLOOKUP(Pipe_data[[#This Row],[Nominal Diameter]],'Technical inputs'!$B$79:$B$100,'Technical inputs'!$C$79:$C$100,0,0,1),
_xlfn.XLOOKUP(Pipe_data[[#This Row],[Nominal Diameter]],'Technical inputs'!$B$79:$B$100,'Technical inputs'!$D$79:$D$100,0,0,1)) * Pipe_data[[#This Row],[Length]]</f>
        <v>12530.549550891421</v>
      </c>
    </row>
    <row r="117" spans="3:18" x14ac:dyDescent="0.25">
      <c r="C117" s="206" t="str" cm="1">
        <f t="array" ref="C117">_xlfn.XLOOKUP(C$4,Pipe_data_input[#Headers],'Pipe data inputs'!C116:O116,0,0,)</f>
        <v>R+Y2t7YhrztNd7df</v>
      </c>
      <c r="D117" s="293" cm="1">
        <f t="array" ref="D117">_xlfn.XLOOKUP(D$4,Pipe_data_input[#Headers],'Pipe data inputs'!C116:O116,0,0,)</f>
        <v>6.4081356000000006E-2</v>
      </c>
      <c r="E117" s="206" t="str" cm="1">
        <f t="array" ref="E117">_xlfn.XLOOKUP(E$4,Pipe_data_input[#Headers],'Pipe data inputs'!C116:O116,0,0,)</f>
        <v>Hard (default)</v>
      </c>
      <c r="F117" s="206" cm="1">
        <f t="array" ref="F117">_xlfn.XLOOKUP(F$4,Pipe_data_input[#Headers],'Pipe data inputs'!C116:O116,0,0,)</f>
        <v>20</v>
      </c>
      <c r="G117" s="241" cm="1">
        <f t="array" ref="G117">_xlfn.XLOOKUP(G$4,Pipe_data_input[#Headers],'Pipe data inputs'!C116:O116,0,0,)</f>
        <v>7.5026751398251674</v>
      </c>
      <c r="H117" s="241" cm="1">
        <f t="array" ref="H117">_xlfn.XLOOKUP(H$4,Pipe_data_input[#Headers],'Pipe data inputs'!C116:O116,0,0,)</f>
        <v>1</v>
      </c>
      <c r="I117" s="206" cm="1">
        <f t="array" ref="I117">_xlfn.XLOOKUP(I$4,Pipe_data_input[#Headers],'Pipe data inputs'!C116:O116,0,0,)</f>
        <v>0</v>
      </c>
      <c r="J117" s="206" cm="1">
        <f t="array" ref="J117">_xlfn.XLOOKUP(J$4,Pipe_data_input[#Headers],'Pipe data inputs'!C116:O116,0,0,)</f>
        <v>0</v>
      </c>
      <c r="K117" s="206" cm="1">
        <f t="array" ref="K117">_xlfn.XLOOKUP(K$4,Pipe_data_input[#Headers],'Pipe data inputs'!C116:O116,0,0,)</f>
        <v>0</v>
      </c>
      <c r="L117" s="206" cm="1">
        <f t="array" ref="L117">_xlfn.XLOOKUP(L$4,Pipe_data_input[#Headers],'Pipe data inputs'!C116:O116,0,0,)</f>
        <v>0</v>
      </c>
      <c r="M117" s="295" cm="1">
        <f t="array" ref="M117">_xlfn.XLOOKUP(M$4,Pipe_data_input[#Headers],'Pipe data inputs'!C116:O116,0,0,)</f>
        <v>1</v>
      </c>
      <c r="N117" s="211"/>
      <c r="O117" s="206" t="str">
        <f>IF(Pipe_data[[#This Row],[ID]]&gt;0, IF(Pipe_data[[#This Row],[Assumed diversity from model]]=1, "Feed", "Main"), "-" )</f>
        <v>Feed</v>
      </c>
      <c r="P117" s="240">
        <v>0</v>
      </c>
      <c r="Q117" s="274">
        <f>IF(Pipe_data[[#This Row],[Phase overwrite]]&gt;0,Pipe_data[[#This Row],[Phase overwrite]],
IF(Pipe_data[[#This Row],[Tag]]="Feed",
_xlfn.XLOOKUP(Pipe_data[[#This Row],[Connected buildings ID]],'Heat connections'!$D$5:$D$242,'Heat connections'!$M$5:$M$242,1,0,1),1))</f>
        <v>1</v>
      </c>
      <c r="R117" s="499">
        <f>IF(Pipe_data[[#This Row],[Surface]]="Hard (Default)",
_xlfn.XLOOKUP(Pipe_data[[#This Row],[Nominal Diameter]],'Technical inputs'!$B$79:$B$100,'Technical inputs'!$C$79:$C$100,0,0,1),
_xlfn.XLOOKUP(Pipe_data[[#This Row],[Nominal Diameter]],'Technical inputs'!$B$79:$B$100,'Technical inputs'!$D$79:$D$100,0,0,1)) * Pipe_data[[#This Row],[Length]]</f>
        <v>137.24644003450902</v>
      </c>
    </row>
    <row r="118" spans="3:18" x14ac:dyDescent="0.25">
      <c r="C118" s="206" t="str" cm="1">
        <f t="array" ref="C118">_xlfn.XLOOKUP(C$4,Pipe_data_input[#Headers],'Pipe data inputs'!C117:O117,0,0,)</f>
        <v>87fuILO7tJ91gJ1H</v>
      </c>
      <c r="D118" s="293" cm="1">
        <f t="array" ref="D118">_xlfn.XLOOKUP(D$4,Pipe_data_input[#Headers],'Pipe data inputs'!C117:O117,0,0,)</f>
        <v>3.8622017</v>
      </c>
      <c r="E118" s="206" t="str" cm="1">
        <f t="array" ref="E118">_xlfn.XLOOKUP(E$4,Pipe_data_input[#Headers],'Pipe data inputs'!C117:O117,0,0,)</f>
        <v>Hard (default)</v>
      </c>
      <c r="F118" s="206" cm="1">
        <f t="array" ref="F118">_xlfn.XLOOKUP(F$4,Pipe_data_input[#Headers],'Pipe data inputs'!C117:O117,0,0,)</f>
        <v>65</v>
      </c>
      <c r="G118" s="241" cm="1">
        <f t="array" ref="G118">_xlfn.XLOOKUP(G$4,Pipe_data_input[#Headers],'Pipe data inputs'!C117:O117,0,0,)</f>
        <v>827.26310375621392</v>
      </c>
      <c r="H118" s="241" cm="1">
        <f t="array" ref="H118">_xlfn.XLOOKUP(H$4,Pipe_data_input[#Headers],'Pipe data inputs'!C117:O117,0,0,)</f>
        <v>366.340331913667</v>
      </c>
      <c r="I118" s="206" cm="1">
        <f t="array" ref="I118">_xlfn.XLOOKUP(I$4,Pipe_data_input[#Headers],'Pipe data inputs'!C117:O117,0,0,)</f>
        <v>0</v>
      </c>
      <c r="J118" s="206" cm="1">
        <f t="array" ref="J118">_xlfn.XLOOKUP(J$4,Pipe_data_input[#Headers],'Pipe data inputs'!C117:O117,0,0,)</f>
        <v>0</v>
      </c>
      <c r="K118" s="206" cm="1">
        <f t="array" ref="K118">_xlfn.XLOOKUP(K$4,Pipe_data_input[#Headers],'Pipe data inputs'!C117:O117,0,0,)</f>
        <v>0</v>
      </c>
      <c r="L118" s="206" cm="1">
        <f t="array" ref="L118">_xlfn.XLOOKUP(L$4,Pipe_data_input[#Headers],'Pipe data inputs'!C117:O117,0,0,)</f>
        <v>0</v>
      </c>
      <c r="M118" s="295" cm="1">
        <f t="array" ref="M118">_xlfn.XLOOKUP(M$4,Pipe_data_input[#Headers],'Pipe data inputs'!C117:O117,0,0,)</f>
        <v>0.74826912236183685</v>
      </c>
      <c r="N118" s="211"/>
      <c r="O118" s="206" t="str">
        <f>IF(Pipe_data[[#This Row],[ID]]&gt;0, IF(Pipe_data[[#This Row],[Assumed diversity from model]]=1, "Feed", "Main"), "-" )</f>
        <v>Main</v>
      </c>
      <c r="P118" s="240">
        <v>0</v>
      </c>
      <c r="Q118" s="274">
        <f>IF(Pipe_data[[#This Row],[Phase overwrite]]&gt;0,Pipe_data[[#This Row],[Phase overwrite]],
IF(Pipe_data[[#This Row],[Tag]]="Feed",
_xlfn.XLOOKUP(Pipe_data[[#This Row],[Connected buildings ID]],'Heat connections'!$D$5:$D$242,'Heat connections'!$M$5:$M$242,1,0,1),1))</f>
        <v>1</v>
      </c>
      <c r="R118" s="499">
        <f>IF(Pipe_data[[#This Row],[Surface]]="Hard (Default)",
_xlfn.XLOOKUP(Pipe_data[[#This Row],[Nominal Diameter]],'Technical inputs'!$B$79:$B$100,'Technical inputs'!$C$79:$C$100,0,0,1),
_xlfn.XLOOKUP(Pipe_data[[#This Row],[Nominal Diameter]],'Technical inputs'!$B$79:$B$100,'Technical inputs'!$D$79:$D$100,0,0,1)) * Pipe_data[[#This Row],[Length]]</f>
        <v>10134.047010113618</v>
      </c>
    </row>
    <row r="119" spans="3:18" x14ac:dyDescent="0.25">
      <c r="C119" s="206" t="str" cm="1">
        <f t="array" ref="C119">_xlfn.XLOOKUP(C$4,Pipe_data_input[#Headers],'Pipe data inputs'!C118:O118,0,0,)</f>
        <v>BLpCowd/eCQatfoR</v>
      </c>
      <c r="D119" s="293" cm="1">
        <f t="array" ref="D119">_xlfn.XLOOKUP(D$4,Pipe_data_input[#Headers],'Pipe data inputs'!C118:O118,0,0,)</f>
        <v>11.001552999999999</v>
      </c>
      <c r="E119" s="206" t="str" cm="1">
        <f t="array" ref="E119">_xlfn.XLOOKUP(E$4,Pipe_data_input[#Headers],'Pipe data inputs'!C118:O118,0,0,)</f>
        <v>Hard (default)</v>
      </c>
      <c r="F119" s="206" cm="1">
        <f t="array" ref="F119">_xlfn.XLOOKUP(F$4,Pipe_data_input[#Headers],'Pipe data inputs'!C118:O118,0,0,)</f>
        <v>65</v>
      </c>
      <c r="G119" s="241" cm="1">
        <f t="array" ref="G119">_xlfn.XLOOKUP(G$4,Pipe_data_input[#Headers],'Pipe data inputs'!C118:O118,0,0,)</f>
        <v>2507.5840729547972</v>
      </c>
      <c r="H119" s="241" cm="1">
        <f t="array" ref="H119">_xlfn.XLOOKUP(H$4,Pipe_data_input[#Headers],'Pipe data inputs'!C118:O118,0,0,)</f>
        <v>454.25784301757801</v>
      </c>
      <c r="I119" s="206" cm="1">
        <f t="array" ref="I119">_xlfn.XLOOKUP(I$4,Pipe_data_input[#Headers],'Pipe data inputs'!C118:O118,0,0,)</f>
        <v>0</v>
      </c>
      <c r="J119" s="206" cm="1">
        <f t="array" ref="J119">_xlfn.XLOOKUP(J$4,Pipe_data_input[#Headers],'Pipe data inputs'!C118:O118,0,0,)</f>
        <v>0</v>
      </c>
      <c r="K119" s="206" cm="1">
        <f t="array" ref="K119">_xlfn.XLOOKUP(K$4,Pipe_data_input[#Headers],'Pipe data inputs'!C118:O118,0,0,)</f>
        <v>0</v>
      </c>
      <c r="L119" s="206" cm="1">
        <f t="array" ref="L119">_xlfn.XLOOKUP(L$4,Pipe_data_input[#Headers],'Pipe data inputs'!C118:O118,0,0,)</f>
        <v>0</v>
      </c>
      <c r="M119" s="295" cm="1">
        <f t="array" ref="M119">_xlfn.XLOOKUP(M$4,Pipe_data_input[#Headers],'Pipe data inputs'!C118:O118,0,0,)</f>
        <v>1</v>
      </c>
      <c r="N119" s="211"/>
      <c r="O119" s="206" t="str">
        <f>IF(Pipe_data[[#This Row],[ID]]&gt;0, IF(Pipe_data[[#This Row],[Assumed diversity from model]]=1, "Feed", "Main"), "-" )</f>
        <v>Feed</v>
      </c>
      <c r="P119" s="240">
        <v>0</v>
      </c>
      <c r="Q119" s="274">
        <f>IF(Pipe_data[[#This Row],[Phase overwrite]]&gt;0,Pipe_data[[#This Row],[Phase overwrite]],
IF(Pipe_data[[#This Row],[Tag]]="Feed",
_xlfn.XLOOKUP(Pipe_data[[#This Row],[Connected buildings ID]],'Heat connections'!$D$5:$D$242,'Heat connections'!$M$5:$M$242,1,0,1),1))</f>
        <v>1</v>
      </c>
      <c r="R119" s="499">
        <f>IF(Pipe_data[[#This Row],[Surface]]="Hard (Default)",
_xlfn.XLOOKUP(Pipe_data[[#This Row],[Nominal Diameter]],'Technical inputs'!$B$79:$B$100,'Technical inputs'!$C$79:$C$100,0,0,1),
_xlfn.XLOOKUP(Pipe_data[[#This Row],[Nominal Diameter]],'Technical inputs'!$B$79:$B$100,'Technical inputs'!$D$79:$D$100,0,0,1)) * Pipe_data[[#This Row],[Length]]</f>
        <v>28867.020406069551</v>
      </c>
    </row>
    <row r="120" spans="3:18" x14ac:dyDescent="0.25">
      <c r="C120" s="206" t="str" cm="1">
        <f t="array" ref="C120">_xlfn.XLOOKUP(C$4,Pipe_data_input[#Headers],'Pipe data inputs'!C119:O119,0,0,)</f>
        <v>9ki73GcCb/+edZ96</v>
      </c>
      <c r="D120" s="293" cm="1">
        <f t="array" ref="D120">_xlfn.XLOOKUP(D$4,Pipe_data_input[#Headers],'Pipe data inputs'!C119:O119,0,0,)</f>
        <v>5.9514990000000001</v>
      </c>
      <c r="E120" s="206" t="str" cm="1">
        <f t="array" ref="E120">_xlfn.XLOOKUP(E$4,Pipe_data_input[#Headers],'Pipe data inputs'!C119:O119,0,0,)</f>
        <v>Hard (default)</v>
      </c>
      <c r="F120" s="206" cm="1">
        <f t="array" ref="F120">_xlfn.XLOOKUP(F$4,Pipe_data_input[#Headers],'Pipe data inputs'!C119:O119,0,0,)</f>
        <v>65</v>
      </c>
      <c r="G120" s="241" cm="1">
        <f t="array" ref="G120">_xlfn.XLOOKUP(G$4,Pipe_data_input[#Headers],'Pipe data inputs'!C119:O119,0,0,)</f>
        <v>1380.1964576324501</v>
      </c>
      <c r="H120" s="241" cm="1">
        <f t="array" ref="H120">_xlfn.XLOOKUP(H$4,Pipe_data_input[#Headers],'Pipe data inputs'!C119:O119,0,0,)</f>
        <v>491.91031249461201</v>
      </c>
      <c r="I120" s="206" cm="1">
        <f t="array" ref="I120">_xlfn.XLOOKUP(I$4,Pipe_data_input[#Headers],'Pipe data inputs'!C119:O119,0,0,)</f>
        <v>0</v>
      </c>
      <c r="J120" s="206" cm="1">
        <f t="array" ref="J120">_xlfn.XLOOKUP(J$4,Pipe_data_input[#Headers],'Pipe data inputs'!C119:O119,0,0,)</f>
        <v>0</v>
      </c>
      <c r="K120" s="206" cm="1">
        <f t="array" ref="K120">_xlfn.XLOOKUP(K$4,Pipe_data_input[#Headers],'Pipe data inputs'!C119:O119,0,0,)</f>
        <v>0</v>
      </c>
      <c r="L120" s="206" cm="1">
        <f t="array" ref="L120">_xlfn.XLOOKUP(L$4,Pipe_data_input[#Headers],'Pipe data inputs'!C119:O119,0,0,)</f>
        <v>0</v>
      </c>
      <c r="M120" s="295" cm="1">
        <f t="array" ref="M120">_xlfn.XLOOKUP(M$4,Pipe_data_input[#Headers],'Pipe data inputs'!C119:O119,0,0,)</f>
        <v>0.64</v>
      </c>
      <c r="N120" s="211"/>
      <c r="O120" s="206" t="str">
        <f>IF(Pipe_data[[#This Row],[ID]]&gt;0, IF(Pipe_data[[#This Row],[Assumed diversity from model]]=1, "Feed", "Main"), "-" )</f>
        <v>Main</v>
      </c>
      <c r="P120" s="240">
        <v>0</v>
      </c>
      <c r="Q120" s="274">
        <f>IF(Pipe_data[[#This Row],[Phase overwrite]]&gt;0,Pipe_data[[#This Row],[Phase overwrite]],
IF(Pipe_data[[#This Row],[Tag]]="Feed",
_xlfn.XLOOKUP(Pipe_data[[#This Row],[Connected buildings ID]],'Heat connections'!$D$5:$D$242,'Heat connections'!$M$5:$M$242,1,0,1),1))</f>
        <v>1</v>
      </c>
      <c r="R120" s="499">
        <f>IF(Pipe_data[[#This Row],[Surface]]="Hard (Default)",
_xlfn.XLOOKUP(Pipe_data[[#This Row],[Nominal Diameter]],'Technical inputs'!$B$79:$B$100,'Technical inputs'!$C$79:$C$100,0,0,1),
_xlfn.XLOOKUP(Pipe_data[[#This Row],[Nominal Diameter]],'Technical inputs'!$B$79:$B$100,'Technical inputs'!$D$79:$D$100,0,0,1)) * Pipe_data[[#This Row],[Length]]</f>
        <v>15616.162834438241</v>
      </c>
    </row>
    <row r="121" spans="3:18" x14ac:dyDescent="0.25">
      <c r="C121" s="206" t="str" cm="1">
        <f t="array" ref="C121">_xlfn.XLOOKUP(C$4,Pipe_data_input[#Headers],'Pipe data inputs'!C120:O120,0,0,)</f>
        <v>UKGCRLiJmd5ozFom</v>
      </c>
      <c r="D121" s="293" cm="1">
        <f t="array" ref="D121">_xlfn.XLOOKUP(D$4,Pipe_data_input[#Headers],'Pipe data inputs'!C120:O120,0,0,)</f>
        <v>5.0890535999999997</v>
      </c>
      <c r="E121" s="206" t="str" cm="1">
        <f t="array" ref="E121">_xlfn.XLOOKUP(E$4,Pipe_data_input[#Headers],'Pipe data inputs'!C120:O120,0,0,)</f>
        <v>Hard (default)</v>
      </c>
      <c r="F121" s="206" cm="1">
        <f t="array" ref="F121">_xlfn.XLOOKUP(F$4,Pipe_data_input[#Headers],'Pipe data inputs'!C120:O120,0,0,)</f>
        <v>125</v>
      </c>
      <c r="G121" s="241" cm="1">
        <f t="array" ref="G121">_xlfn.XLOOKUP(G$4,Pipe_data_input[#Headers],'Pipe data inputs'!C120:O120,0,0,)</f>
        <v>1408.1430680399733</v>
      </c>
      <c r="H121" s="241" cm="1">
        <f t="array" ref="H121">_xlfn.XLOOKUP(H$4,Pipe_data_input[#Headers],'Pipe data inputs'!C120:O120,0,0,)</f>
        <v>1523.083984375</v>
      </c>
      <c r="I121" s="206" cm="1">
        <f t="array" ref="I121">_xlfn.XLOOKUP(I$4,Pipe_data_input[#Headers],'Pipe data inputs'!C120:O120,0,0,)</f>
        <v>0</v>
      </c>
      <c r="J121" s="206" cm="1">
        <f t="array" ref="J121">_xlfn.XLOOKUP(J$4,Pipe_data_input[#Headers],'Pipe data inputs'!C120:O120,0,0,)</f>
        <v>0</v>
      </c>
      <c r="K121" s="206" cm="1">
        <f t="array" ref="K121">_xlfn.XLOOKUP(K$4,Pipe_data_input[#Headers],'Pipe data inputs'!C120:O120,0,0,)</f>
        <v>0</v>
      </c>
      <c r="L121" s="206" cm="1">
        <f t="array" ref="L121">_xlfn.XLOOKUP(L$4,Pipe_data_input[#Headers],'Pipe data inputs'!C120:O120,0,0,)</f>
        <v>0</v>
      </c>
      <c r="M121" s="295" cm="1">
        <f t="array" ref="M121">_xlfn.XLOOKUP(M$4,Pipe_data_input[#Headers],'Pipe data inputs'!C120:O120,0,0,)</f>
        <v>0.80547730167345055</v>
      </c>
      <c r="N121" s="211"/>
      <c r="O121" s="206" t="str">
        <f>IF(Pipe_data[[#This Row],[ID]]&gt;0, IF(Pipe_data[[#This Row],[Assumed diversity from model]]=1, "Feed", "Main"), "-" )</f>
        <v>Main</v>
      </c>
      <c r="P121" s="240">
        <v>0</v>
      </c>
      <c r="Q121" s="274">
        <f>IF(Pipe_data[[#This Row],[Phase overwrite]]&gt;0,Pipe_data[[#This Row],[Phase overwrite]],
IF(Pipe_data[[#This Row],[Tag]]="Feed",
_xlfn.XLOOKUP(Pipe_data[[#This Row],[Connected buildings ID]],'Heat connections'!$D$5:$D$242,'Heat connections'!$M$5:$M$242,1,0,1),1))</f>
        <v>1</v>
      </c>
      <c r="R121" s="499">
        <f>IF(Pipe_data[[#This Row],[Surface]]="Hard (Default)",
_xlfn.XLOOKUP(Pipe_data[[#This Row],[Nominal Diameter]],'Technical inputs'!$B$79:$B$100,'Technical inputs'!$C$79:$C$100,0,0,1),
_xlfn.XLOOKUP(Pipe_data[[#This Row],[Nominal Diameter]],'Technical inputs'!$B$79:$B$100,'Technical inputs'!$D$79:$D$100,0,0,1)) * Pipe_data[[#This Row],[Length]]</f>
        <v>15593.460919046664</v>
      </c>
    </row>
    <row r="122" spans="3:18" x14ac:dyDescent="0.25">
      <c r="C122" s="206" t="str" cm="1">
        <f t="array" ref="C122">_xlfn.XLOOKUP(C$4,Pipe_data_input[#Headers],'Pipe data inputs'!C121:O121,0,0,)</f>
        <v>oIGVBrGdQHDG3wfF</v>
      </c>
      <c r="D122" s="293" cm="1">
        <f t="array" ref="D122">_xlfn.XLOOKUP(D$4,Pipe_data_input[#Headers],'Pipe data inputs'!C121:O121,0,0,)</f>
        <v>8.6534689999999994</v>
      </c>
      <c r="E122" s="206" t="str" cm="1">
        <f t="array" ref="E122">_xlfn.XLOOKUP(E$4,Pipe_data_input[#Headers],'Pipe data inputs'!C121:O121,0,0,)</f>
        <v>Hard (default)</v>
      </c>
      <c r="F122" s="206" cm="1">
        <f t="array" ref="F122">_xlfn.XLOOKUP(F$4,Pipe_data_input[#Headers],'Pipe data inputs'!C121:O121,0,0,)</f>
        <v>80</v>
      </c>
      <c r="G122" s="241" cm="1">
        <f t="array" ref="G122">_xlfn.XLOOKUP(G$4,Pipe_data_input[#Headers],'Pipe data inputs'!C121:O121,0,0,)</f>
        <v>2076.8583766324259</v>
      </c>
      <c r="H122" s="241" cm="1">
        <f t="array" ref="H122">_xlfn.XLOOKUP(H$4,Pipe_data_input[#Headers],'Pipe data inputs'!C121:O121,0,0,)</f>
        <v>617.18597412109398</v>
      </c>
      <c r="I122" s="206" cm="1">
        <f t="array" ref="I122">_xlfn.XLOOKUP(I$4,Pipe_data_input[#Headers],'Pipe data inputs'!C121:O121,0,0,)</f>
        <v>0</v>
      </c>
      <c r="J122" s="206" cm="1">
        <f t="array" ref="J122">_xlfn.XLOOKUP(J$4,Pipe_data_input[#Headers],'Pipe data inputs'!C121:O121,0,0,)</f>
        <v>0</v>
      </c>
      <c r="K122" s="206" cm="1">
        <f t="array" ref="K122">_xlfn.XLOOKUP(K$4,Pipe_data_input[#Headers],'Pipe data inputs'!C121:O121,0,0,)</f>
        <v>0</v>
      </c>
      <c r="L122" s="206" cm="1">
        <f t="array" ref="L122">_xlfn.XLOOKUP(L$4,Pipe_data_input[#Headers],'Pipe data inputs'!C121:O121,0,0,)</f>
        <v>0</v>
      </c>
      <c r="M122" s="295" cm="1">
        <f t="array" ref="M122">_xlfn.XLOOKUP(M$4,Pipe_data_input[#Headers],'Pipe data inputs'!C121:O121,0,0,)</f>
        <v>0.7294998052048729</v>
      </c>
      <c r="N122" s="211"/>
      <c r="O122" s="206" t="str">
        <f>IF(Pipe_data[[#This Row],[ID]]&gt;0, IF(Pipe_data[[#This Row],[Assumed diversity from model]]=1, "Feed", "Main"), "-" )</f>
        <v>Main</v>
      </c>
      <c r="P122" s="240">
        <v>0</v>
      </c>
      <c r="Q122" s="274">
        <f>IF(Pipe_data[[#This Row],[Phase overwrite]]&gt;0,Pipe_data[[#This Row],[Phase overwrite]],
IF(Pipe_data[[#This Row],[Tag]]="Feed",
_xlfn.XLOOKUP(Pipe_data[[#This Row],[Connected buildings ID]],'Heat connections'!$D$5:$D$242,'Heat connections'!$M$5:$M$242,1,0,1),1))</f>
        <v>1</v>
      </c>
      <c r="R122" s="499">
        <f>IF(Pipe_data[[#This Row],[Surface]]="Hard (Default)",
_xlfn.XLOOKUP(Pipe_data[[#This Row],[Nominal Diameter]],'Technical inputs'!$B$79:$B$100,'Technical inputs'!$C$79:$C$100,0,0,1),
_xlfn.XLOOKUP(Pipe_data[[#This Row],[Nominal Diameter]],'Technical inputs'!$B$79:$B$100,'Technical inputs'!$D$79:$D$100,0,0,1)) * Pipe_data[[#This Row],[Length]]</f>
        <v>23655.922997678081</v>
      </c>
    </row>
    <row r="123" spans="3:18" x14ac:dyDescent="0.25">
      <c r="C123" s="206" t="str" cm="1">
        <f t="array" ref="C123">_xlfn.XLOOKUP(C$4,Pipe_data_input[#Headers],'Pipe data inputs'!C122:O122,0,0,)</f>
        <v>G4dsCqf19vhLIgyY</v>
      </c>
      <c r="D123" s="293" cm="1">
        <f t="array" ref="D123">_xlfn.XLOOKUP(D$4,Pipe_data_input[#Headers],'Pipe data inputs'!C122:O122,0,0,)</f>
        <v>4.9968667</v>
      </c>
      <c r="E123" s="206" t="str" cm="1">
        <f t="array" ref="E123">_xlfn.XLOOKUP(E$4,Pipe_data_input[#Headers],'Pipe data inputs'!C122:O122,0,0,)</f>
        <v>Hard (default)</v>
      </c>
      <c r="F123" s="206" cm="1">
        <f t="array" ref="F123">_xlfn.XLOOKUP(F$4,Pipe_data_input[#Headers],'Pipe data inputs'!C122:O122,0,0,)</f>
        <v>80</v>
      </c>
      <c r="G123" s="241" cm="1">
        <f t="array" ref="G123">_xlfn.XLOOKUP(G$4,Pipe_data_input[#Headers],'Pipe data inputs'!C122:O122,0,0,)</f>
        <v>1183.1860890586815</v>
      </c>
      <c r="H123" s="241" cm="1">
        <f t="array" ref="H123">_xlfn.XLOOKUP(H$4,Pipe_data_input[#Headers],'Pipe data inputs'!C122:O122,0,0,)</f>
        <v>562.93208777304994</v>
      </c>
      <c r="I123" s="206" cm="1">
        <f t="array" ref="I123">_xlfn.XLOOKUP(I$4,Pipe_data_input[#Headers],'Pipe data inputs'!C122:O122,0,0,)</f>
        <v>0</v>
      </c>
      <c r="J123" s="206" cm="1">
        <f t="array" ref="J123">_xlfn.XLOOKUP(J$4,Pipe_data_input[#Headers],'Pipe data inputs'!C122:O122,0,0,)</f>
        <v>0</v>
      </c>
      <c r="K123" s="206" cm="1">
        <f t="array" ref="K123">_xlfn.XLOOKUP(K$4,Pipe_data_input[#Headers],'Pipe data inputs'!C122:O122,0,0,)</f>
        <v>0</v>
      </c>
      <c r="L123" s="206" cm="1">
        <f t="array" ref="L123">_xlfn.XLOOKUP(L$4,Pipe_data_input[#Headers],'Pipe data inputs'!C122:O122,0,0,)</f>
        <v>0</v>
      </c>
      <c r="M123" s="295" cm="1">
        <f t="array" ref="M123">_xlfn.XLOOKUP(M$4,Pipe_data_input[#Headers],'Pipe data inputs'!C122:O122,0,0,)</f>
        <v>0.65</v>
      </c>
      <c r="N123" s="211"/>
      <c r="O123" s="206" t="str">
        <f>IF(Pipe_data[[#This Row],[ID]]&gt;0, IF(Pipe_data[[#This Row],[Assumed diversity from model]]=1, "Feed", "Main"), "-" )</f>
        <v>Main</v>
      </c>
      <c r="P123" s="240">
        <v>0</v>
      </c>
      <c r="Q123" s="274">
        <f>IF(Pipe_data[[#This Row],[Phase overwrite]]&gt;0,Pipe_data[[#This Row],[Phase overwrite]],
IF(Pipe_data[[#This Row],[Tag]]="Feed",
_xlfn.XLOOKUP(Pipe_data[[#This Row],[Connected buildings ID]],'Heat connections'!$D$5:$D$242,'Heat connections'!$M$5:$M$242,1,0,1),1))</f>
        <v>1</v>
      </c>
      <c r="R123" s="499">
        <f>IF(Pipe_data[[#This Row],[Surface]]="Hard (Default)",
_xlfn.XLOOKUP(Pipe_data[[#This Row],[Nominal Diameter]],'Technical inputs'!$B$79:$B$100,'Technical inputs'!$C$79:$C$100,0,0,1),
_xlfn.XLOOKUP(Pipe_data[[#This Row],[Nominal Diameter]],'Technical inputs'!$B$79:$B$100,'Technical inputs'!$D$79:$D$100,0,0,1)) * Pipe_data[[#This Row],[Length]]</f>
        <v>13659.896844243827</v>
      </c>
    </row>
    <row r="124" spans="3:18" x14ac:dyDescent="0.25">
      <c r="C124" s="206" t="str" cm="1">
        <f t="array" ref="C124">_xlfn.XLOOKUP(C$4,Pipe_data_input[#Headers],'Pipe data inputs'!C123:O123,0,0,)</f>
        <v>BpD0lXwB3nGCUleU</v>
      </c>
      <c r="D124" s="293" cm="1">
        <f t="array" ref="D124">_xlfn.XLOOKUP(D$4,Pipe_data_input[#Headers],'Pipe data inputs'!C123:O123,0,0,)</f>
        <v>18.496642999999999</v>
      </c>
      <c r="E124" s="206" t="str" cm="1">
        <f t="array" ref="E124">_xlfn.XLOOKUP(E$4,Pipe_data_input[#Headers],'Pipe data inputs'!C123:O123,0,0,)</f>
        <v>Hard (default)</v>
      </c>
      <c r="F124" s="206" cm="1">
        <f t="array" ref="F124">_xlfn.XLOOKUP(F$4,Pipe_data_input[#Headers],'Pipe data inputs'!C123:O123,0,0,)</f>
        <v>65</v>
      </c>
      <c r="G124" s="241" cm="1">
        <f t="array" ref="G124">_xlfn.XLOOKUP(G$4,Pipe_data_input[#Headers],'Pipe data inputs'!C123:O123,0,0,)</f>
        <v>3921.4265057490184</v>
      </c>
      <c r="H124" s="241" cm="1">
        <f t="array" ref="H124">_xlfn.XLOOKUP(H$4,Pipe_data_input[#Headers],'Pipe data inputs'!C123:O123,0,0,)</f>
        <v>303.99337188720699</v>
      </c>
      <c r="I124" s="206" cm="1">
        <f t="array" ref="I124">_xlfn.XLOOKUP(I$4,Pipe_data_input[#Headers],'Pipe data inputs'!C123:O123,0,0,)</f>
        <v>0</v>
      </c>
      <c r="J124" s="206" cm="1">
        <f t="array" ref="J124">_xlfn.XLOOKUP(J$4,Pipe_data_input[#Headers],'Pipe data inputs'!C123:O123,0,0,)</f>
        <v>0</v>
      </c>
      <c r="K124" s="206" cm="1">
        <f t="array" ref="K124">_xlfn.XLOOKUP(K$4,Pipe_data_input[#Headers],'Pipe data inputs'!C123:O123,0,0,)</f>
        <v>0</v>
      </c>
      <c r="L124" s="206" cm="1">
        <f t="array" ref="L124">_xlfn.XLOOKUP(L$4,Pipe_data_input[#Headers],'Pipe data inputs'!C123:O123,0,0,)</f>
        <v>0</v>
      </c>
      <c r="M124" s="295" cm="1">
        <f t="array" ref="M124">_xlfn.XLOOKUP(M$4,Pipe_data_input[#Headers],'Pipe data inputs'!C123:O123,0,0,)</f>
        <v>0.72</v>
      </c>
      <c r="N124" s="211"/>
      <c r="O124" s="206" t="str">
        <f>IF(Pipe_data[[#This Row],[ID]]&gt;0, IF(Pipe_data[[#This Row],[Assumed diversity from model]]=1, "Feed", "Main"), "-" )</f>
        <v>Main</v>
      </c>
      <c r="P124" s="240">
        <v>0</v>
      </c>
      <c r="Q124" s="274">
        <f>IF(Pipe_data[[#This Row],[Phase overwrite]]&gt;0,Pipe_data[[#This Row],[Phase overwrite]],
IF(Pipe_data[[#This Row],[Tag]]="Feed",
_xlfn.XLOOKUP(Pipe_data[[#This Row],[Connected buildings ID]],'Heat connections'!$D$5:$D$242,'Heat connections'!$M$5:$M$242,1,0,1),1))</f>
        <v>1</v>
      </c>
      <c r="R124" s="499">
        <f>IF(Pipe_data[[#This Row],[Surface]]="Hard (Default)",
_xlfn.XLOOKUP(Pipe_data[[#This Row],[Nominal Diameter]],'Technical inputs'!$B$79:$B$100,'Technical inputs'!$C$79:$C$100,0,0,1),
_xlfn.XLOOKUP(Pipe_data[[#This Row],[Nominal Diameter]],'Technical inputs'!$B$79:$B$100,'Technical inputs'!$D$79:$D$100,0,0,1)) * Pipe_data[[#This Row],[Length]]</f>
        <v>48533.418047868654</v>
      </c>
    </row>
    <row r="125" spans="3:18" x14ac:dyDescent="0.25">
      <c r="C125" s="206" t="str" cm="1">
        <f t="array" ref="C125">_xlfn.XLOOKUP(C$4,Pipe_data_input[#Headers],'Pipe data inputs'!C124:O124,0,0,)</f>
        <v>bUv0Vv/r8RB+vvfk</v>
      </c>
      <c r="D125" s="293" cm="1">
        <f t="array" ref="D125">_xlfn.XLOOKUP(D$4,Pipe_data_input[#Headers],'Pipe data inputs'!C124:O124,0,0,)</f>
        <v>15.157543</v>
      </c>
      <c r="E125" s="206" t="str" cm="1">
        <f t="array" ref="E125">_xlfn.XLOOKUP(E$4,Pipe_data_input[#Headers],'Pipe data inputs'!C124:O124,0,0,)</f>
        <v>Hard (default)</v>
      </c>
      <c r="F125" s="206" cm="1">
        <f t="array" ref="F125">_xlfn.XLOOKUP(F$4,Pipe_data_input[#Headers],'Pipe data inputs'!C124:O124,0,0,)</f>
        <v>20</v>
      </c>
      <c r="G125" s="241" cm="1">
        <f t="array" ref="G125">_xlfn.XLOOKUP(G$4,Pipe_data_input[#Headers],'Pipe data inputs'!C124:O124,0,0,)</f>
        <v>1774.6522256322255</v>
      </c>
      <c r="H125" s="241" cm="1">
        <f t="array" ref="H125">_xlfn.XLOOKUP(H$4,Pipe_data_input[#Headers],'Pipe data inputs'!C124:O124,0,0,)</f>
        <v>1.7780065925326201</v>
      </c>
      <c r="I125" s="206" cm="1">
        <f t="array" ref="I125">_xlfn.XLOOKUP(I$4,Pipe_data_input[#Headers],'Pipe data inputs'!C124:O124,0,0,)</f>
        <v>0</v>
      </c>
      <c r="J125" s="206" cm="1">
        <f t="array" ref="J125">_xlfn.XLOOKUP(J$4,Pipe_data_input[#Headers],'Pipe data inputs'!C124:O124,0,0,)</f>
        <v>0</v>
      </c>
      <c r="K125" s="206" cm="1">
        <f t="array" ref="K125">_xlfn.XLOOKUP(K$4,Pipe_data_input[#Headers],'Pipe data inputs'!C124:O124,0,0,)</f>
        <v>0</v>
      </c>
      <c r="L125" s="206" cm="1">
        <f t="array" ref="L125">_xlfn.XLOOKUP(L$4,Pipe_data_input[#Headers],'Pipe data inputs'!C124:O124,0,0,)</f>
        <v>0</v>
      </c>
      <c r="M125" s="295" cm="1">
        <f t="array" ref="M125">_xlfn.XLOOKUP(M$4,Pipe_data_input[#Headers],'Pipe data inputs'!C124:O124,0,0,)</f>
        <v>1</v>
      </c>
      <c r="N125" s="211"/>
      <c r="O125" s="206" t="str">
        <f>IF(Pipe_data[[#This Row],[ID]]&gt;0, IF(Pipe_data[[#This Row],[Assumed diversity from model]]=1, "Feed", "Main"), "-" )</f>
        <v>Feed</v>
      </c>
      <c r="P125" s="240">
        <v>0</v>
      </c>
      <c r="Q125" s="274">
        <f>IF(Pipe_data[[#This Row],[Phase overwrite]]&gt;0,Pipe_data[[#This Row],[Phase overwrite]],
IF(Pipe_data[[#This Row],[Tag]]="Feed",
_xlfn.XLOOKUP(Pipe_data[[#This Row],[Connected buildings ID]],'Heat connections'!$D$5:$D$242,'Heat connections'!$M$5:$M$242,1,0,1),1))</f>
        <v>1</v>
      </c>
      <c r="R125" s="499">
        <f>IF(Pipe_data[[#This Row],[Surface]]="Hard (Default)",
_xlfn.XLOOKUP(Pipe_data[[#This Row],[Nominal Diameter]],'Technical inputs'!$B$79:$B$100,'Technical inputs'!$C$79:$C$100,0,0,1),
_xlfn.XLOOKUP(Pipe_data[[#This Row],[Nominal Diameter]],'Technical inputs'!$B$79:$B$100,'Technical inputs'!$D$79:$D$100,0,0,1)) * Pipe_data[[#This Row],[Length]]</f>
        <v>32463.714039072329</v>
      </c>
    </row>
    <row r="126" spans="3:18" x14ac:dyDescent="0.25">
      <c r="C126" s="206" t="str" cm="1">
        <f t="array" ref="C126">_xlfn.XLOOKUP(C$4,Pipe_data_input[#Headers],'Pipe data inputs'!C125:O125,0,0,)</f>
        <v>NXoxWhsZdGOQeOZK</v>
      </c>
      <c r="D126" s="293" cm="1">
        <f t="array" ref="D126">_xlfn.XLOOKUP(D$4,Pipe_data_input[#Headers],'Pipe data inputs'!C125:O125,0,0,)</f>
        <v>16.389095000000001</v>
      </c>
      <c r="E126" s="206" t="str" cm="1">
        <f t="array" ref="E126">_xlfn.XLOOKUP(E$4,Pipe_data_input[#Headers],'Pipe data inputs'!C125:O125,0,0,)</f>
        <v>Hard (default)</v>
      </c>
      <c r="F126" s="206" cm="1">
        <f t="array" ref="F126">_xlfn.XLOOKUP(F$4,Pipe_data_input[#Headers],'Pipe data inputs'!C125:O125,0,0,)</f>
        <v>80</v>
      </c>
      <c r="G126" s="241" cm="1">
        <f t="array" ref="G126">_xlfn.XLOOKUP(G$4,Pipe_data_input[#Headers],'Pipe data inputs'!C125:O125,0,0,)</f>
        <v>3860.9154506954415</v>
      </c>
      <c r="H126" s="241" cm="1">
        <f t="array" ref="H126">_xlfn.XLOOKUP(H$4,Pipe_data_input[#Headers],'Pipe data inputs'!C125:O125,0,0,)</f>
        <v>542.57398425581505</v>
      </c>
      <c r="I126" s="206" cm="1">
        <f t="array" ref="I126">_xlfn.XLOOKUP(I$4,Pipe_data_input[#Headers],'Pipe data inputs'!C125:O125,0,0,)</f>
        <v>0</v>
      </c>
      <c r="J126" s="206" cm="1">
        <f t="array" ref="J126">_xlfn.XLOOKUP(J$4,Pipe_data_input[#Headers],'Pipe data inputs'!C125:O125,0,0,)</f>
        <v>0</v>
      </c>
      <c r="K126" s="206" cm="1">
        <f t="array" ref="K126">_xlfn.XLOOKUP(K$4,Pipe_data_input[#Headers],'Pipe data inputs'!C125:O125,0,0,)</f>
        <v>0</v>
      </c>
      <c r="L126" s="206" cm="1">
        <f t="array" ref="L126">_xlfn.XLOOKUP(L$4,Pipe_data_input[#Headers],'Pipe data inputs'!C125:O125,0,0,)</f>
        <v>0</v>
      </c>
      <c r="M126" s="295" cm="1">
        <f t="array" ref="M126">_xlfn.XLOOKUP(M$4,Pipe_data_input[#Headers],'Pipe data inputs'!C125:O125,0,0,)</f>
        <v>0.63</v>
      </c>
      <c r="N126" s="211"/>
      <c r="O126" s="206" t="str">
        <f>IF(Pipe_data[[#This Row],[ID]]&gt;0, IF(Pipe_data[[#This Row],[Assumed diversity from model]]=1, "Feed", "Main"), "-" )</f>
        <v>Main</v>
      </c>
      <c r="P126" s="240">
        <v>0</v>
      </c>
      <c r="Q126" s="274">
        <f>IF(Pipe_data[[#This Row],[Phase overwrite]]&gt;0,Pipe_data[[#This Row],[Phase overwrite]],
IF(Pipe_data[[#This Row],[Tag]]="Feed",
_xlfn.XLOOKUP(Pipe_data[[#This Row],[Connected buildings ID]],'Heat connections'!$D$5:$D$242,'Heat connections'!$M$5:$M$242,1,0,1),1))</f>
        <v>1</v>
      </c>
      <c r="R126" s="499">
        <f>IF(Pipe_data[[#This Row],[Surface]]="Hard (Default)",
_xlfn.XLOOKUP(Pipe_data[[#This Row],[Nominal Diameter]],'Technical inputs'!$B$79:$B$100,'Technical inputs'!$C$79:$C$100,0,0,1),
_xlfn.XLOOKUP(Pipe_data[[#This Row],[Nominal Diameter]],'Technical inputs'!$B$79:$B$100,'Technical inputs'!$D$79:$D$100,0,0,1)) * Pipe_data[[#This Row],[Length]]</f>
        <v>44802.745502599122</v>
      </c>
    </row>
    <row r="127" spans="3:18" x14ac:dyDescent="0.25">
      <c r="C127" s="206" t="str" cm="1">
        <f t="array" ref="C127">_xlfn.XLOOKUP(C$4,Pipe_data_input[#Headers],'Pipe data inputs'!C126:O126,0,0,)</f>
        <v>cfXTIm2elnuJB3hj</v>
      </c>
      <c r="D127" s="293" cm="1">
        <f t="array" ref="D127">_xlfn.XLOOKUP(D$4,Pipe_data_input[#Headers],'Pipe data inputs'!C126:O126,0,0,)</f>
        <v>5.0850853999999996</v>
      </c>
      <c r="E127" s="206" t="str" cm="1">
        <f t="array" ref="E127">_xlfn.XLOOKUP(E$4,Pipe_data_input[#Headers],'Pipe data inputs'!C126:O126,0,0,)</f>
        <v>Hard (default)</v>
      </c>
      <c r="F127" s="206" cm="1">
        <f t="array" ref="F127">_xlfn.XLOOKUP(F$4,Pipe_data_input[#Headers],'Pipe data inputs'!C126:O126,0,0,)</f>
        <v>50</v>
      </c>
      <c r="G127" s="241" cm="1">
        <f t="array" ref="G127">_xlfn.XLOOKUP(G$4,Pipe_data_input[#Headers],'Pipe data inputs'!C126:O126,0,0,)</f>
        <v>943.69145229025105</v>
      </c>
      <c r="H127" s="241" cm="1">
        <f t="array" ref="H127">_xlfn.XLOOKUP(H$4,Pipe_data_input[#Headers],'Pipe data inputs'!C126:O126,0,0,)</f>
        <v>148.388475348707</v>
      </c>
      <c r="I127" s="206" cm="1">
        <f t="array" ref="I127">_xlfn.XLOOKUP(I$4,Pipe_data_input[#Headers],'Pipe data inputs'!C126:O126,0,0,)</f>
        <v>0</v>
      </c>
      <c r="J127" s="206" cm="1">
        <f t="array" ref="J127">_xlfn.XLOOKUP(J$4,Pipe_data_input[#Headers],'Pipe data inputs'!C126:O126,0,0,)</f>
        <v>0</v>
      </c>
      <c r="K127" s="206" cm="1">
        <f t="array" ref="K127">_xlfn.XLOOKUP(K$4,Pipe_data_input[#Headers],'Pipe data inputs'!C126:O126,0,0,)</f>
        <v>0</v>
      </c>
      <c r="L127" s="206" cm="1">
        <f t="array" ref="L127">_xlfn.XLOOKUP(L$4,Pipe_data_input[#Headers],'Pipe data inputs'!C126:O126,0,0,)</f>
        <v>0</v>
      </c>
      <c r="M127" s="295" cm="1">
        <f t="array" ref="M127">_xlfn.XLOOKUP(M$4,Pipe_data_input[#Headers],'Pipe data inputs'!C126:O126,0,0,)</f>
        <v>0.65</v>
      </c>
      <c r="N127" s="211"/>
      <c r="O127" s="206" t="str">
        <f>IF(Pipe_data[[#This Row],[ID]]&gt;0, IF(Pipe_data[[#This Row],[Assumed diversity from model]]=1, "Feed", "Main"), "-" )</f>
        <v>Main</v>
      </c>
      <c r="P127" s="240">
        <v>0</v>
      </c>
      <c r="Q127" s="274">
        <f>IF(Pipe_data[[#This Row],[Phase overwrite]]&gt;0,Pipe_data[[#This Row],[Phase overwrite]],
IF(Pipe_data[[#This Row],[Tag]]="Feed",
_xlfn.XLOOKUP(Pipe_data[[#This Row],[Connected buildings ID]],'Heat connections'!$D$5:$D$242,'Heat connections'!$M$5:$M$242,1,0,1),1))</f>
        <v>1</v>
      </c>
      <c r="R127" s="499">
        <f>IF(Pipe_data[[#This Row],[Surface]]="Hard (Default)",
_xlfn.XLOOKUP(Pipe_data[[#This Row],[Nominal Diameter]],'Technical inputs'!$B$79:$B$100,'Technical inputs'!$C$79:$C$100,0,0,1),
_xlfn.XLOOKUP(Pipe_data[[#This Row],[Nominal Diameter]],'Technical inputs'!$B$79:$B$100,'Technical inputs'!$D$79:$D$100,0,0,1)) * Pipe_data[[#This Row],[Length]]</f>
        <v>12720.010233517278</v>
      </c>
    </row>
    <row r="128" spans="3:18" x14ac:dyDescent="0.25">
      <c r="C128" s="206" t="str" cm="1">
        <f t="array" ref="C128">_xlfn.XLOOKUP(C$4,Pipe_data_input[#Headers],'Pipe data inputs'!C127:O127,0,0,)</f>
        <v>WjK9B6vXhNoFsFWa</v>
      </c>
      <c r="D128" s="293" cm="1">
        <f t="array" ref="D128">_xlfn.XLOOKUP(D$4,Pipe_data_input[#Headers],'Pipe data inputs'!C127:O127,0,0,)</f>
        <v>5.2459610000000003</v>
      </c>
      <c r="E128" s="206" t="str" cm="1">
        <f t="array" ref="E128">_xlfn.XLOOKUP(E$4,Pipe_data_input[#Headers],'Pipe data inputs'!C127:O127,0,0,)</f>
        <v>Hard (default)</v>
      </c>
      <c r="F128" s="206" cm="1">
        <f t="array" ref="F128">_xlfn.XLOOKUP(F$4,Pipe_data_input[#Headers],'Pipe data inputs'!C127:O127,0,0,)</f>
        <v>80</v>
      </c>
      <c r="G128" s="241" cm="1">
        <f t="array" ref="G128">_xlfn.XLOOKUP(G$4,Pipe_data_input[#Headers],'Pipe data inputs'!C127:O127,0,0,)</f>
        <v>1245.2566611989112</v>
      </c>
      <c r="H128" s="241" cm="1">
        <f t="array" ref="H128">_xlfn.XLOOKUP(H$4,Pipe_data_input[#Headers],'Pipe data inputs'!C127:O127,0,0,)</f>
        <v>610.56615022576898</v>
      </c>
      <c r="I128" s="206" cm="1">
        <f t="array" ref="I128">_xlfn.XLOOKUP(I$4,Pipe_data_input[#Headers],'Pipe data inputs'!C127:O127,0,0,)</f>
        <v>0</v>
      </c>
      <c r="J128" s="206" cm="1">
        <f t="array" ref="J128">_xlfn.XLOOKUP(J$4,Pipe_data_input[#Headers],'Pipe data inputs'!C127:O127,0,0,)</f>
        <v>0</v>
      </c>
      <c r="K128" s="206" cm="1">
        <f t="array" ref="K128">_xlfn.XLOOKUP(K$4,Pipe_data_input[#Headers],'Pipe data inputs'!C127:O127,0,0,)</f>
        <v>0</v>
      </c>
      <c r="L128" s="206" cm="1">
        <f t="array" ref="L128">_xlfn.XLOOKUP(L$4,Pipe_data_input[#Headers],'Pipe data inputs'!C127:O127,0,0,)</f>
        <v>0</v>
      </c>
      <c r="M128" s="295" cm="1">
        <f t="array" ref="M128">_xlfn.XLOOKUP(M$4,Pipe_data_input[#Headers],'Pipe data inputs'!C127:O127,0,0,)</f>
        <v>0.67</v>
      </c>
      <c r="N128" s="211"/>
      <c r="O128" s="206" t="str">
        <f>IF(Pipe_data[[#This Row],[ID]]&gt;0, IF(Pipe_data[[#This Row],[Assumed diversity from model]]=1, "Feed", "Main"), "-" )</f>
        <v>Main</v>
      </c>
      <c r="P128" s="240">
        <v>0</v>
      </c>
      <c r="Q128" s="274">
        <f>IF(Pipe_data[[#This Row],[Phase overwrite]]&gt;0,Pipe_data[[#This Row],[Phase overwrite]],
IF(Pipe_data[[#This Row],[Tag]]="Feed",
_xlfn.XLOOKUP(Pipe_data[[#This Row],[Connected buildings ID]],'Heat connections'!$D$5:$D$242,'Heat connections'!$M$5:$M$242,1,0,1),1))</f>
        <v>1</v>
      </c>
      <c r="R128" s="499">
        <f>IF(Pipe_data[[#This Row],[Surface]]="Hard (Default)",
_xlfn.XLOOKUP(Pipe_data[[#This Row],[Nominal Diameter]],'Technical inputs'!$B$79:$B$100,'Technical inputs'!$C$79:$C$100,0,0,1),
_xlfn.XLOOKUP(Pipe_data[[#This Row],[Nominal Diameter]],'Technical inputs'!$B$79:$B$100,'Technical inputs'!$D$79:$D$100,0,0,1)) * Pipe_data[[#This Row],[Length]]</f>
        <v>14340.844055120822</v>
      </c>
    </row>
    <row r="129" spans="3:18" x14ac:dyDescent="0.25">
      <c r="C129" s="206" t="str" cm="1">
        <f t="array" ref="C129">_xlfn.XLOOKUP(C$4,Pipe_data_input[#Headers],'Pipe data inputs'!C128:O128,0,0,)</f>
        <v>f2uF2XytZBV1LH7b</v>
      </c>
      <c r="D129" s="293" cm="1">
        <f t="array" ref="D129">_xlfn.XLOOKUP(D$4,Pipe_data_input[#Headers],'Pipe data inputs'!C128:O128,0,0,)</f>
        <v>13.151630000000001</v>
      </c>
      <c r="E129" s="206" t="str" cm="1">
        <f t="array" ref="E129">_xlfn.XLOOKUP(E$4,Pipe_data_input[#Headers],'Pipe data inputs'!C128:O128,0,0,)</f>
        <v>Hard (default)</v>
      </c>
      <c r="F129" s="206" cm="1">
        <f t="array" ref="F129">_xlfn.XLOOKUP(F$4,Pipe_data_input[#Headers],'Pipe data inputs'!C128:O128,0,0,)</f>
        <v>80</v>
      </c>
      <c r="G129" s="241" cm="1">
        <f t="array" ref="G129">_xlfn.XLOOKUP(G$4,Pipe_data_input[#Headers],'Pipe data inputs'!C128:O128,0,0,)</f>
        <v>3114.1166252137259</v>
      </c>
      <c r="H129" s="241" cm="1">
        <f t="array" ref="H129">_xlfn.XLOOKUP(H$4,Pipe_data_input[#Headers],'Pipe data inputs'!C128:O128,0,0,)</f>
        <v>562.93208777304994</v>
      </c>
      <c r="I129" s="206" cm="1">
        <f t="array" ref="I129">_xlfn.XLOOKUP(I$4,Pipe_data_input[#Headers],'Pipe data inputs'!C128:O128,0,0,)</f>
        <v>0</v>
      </c>
      <c r="J129" s="206" cm="1">
        <f t="array" ref="J129">_xlfn.XLOOKUP(J$4,Pipe_data_input[#Headers],'Pipe data inputs'!C128:O128,0,0,)</f>
        <v>0</v>
      </c>
      <c r="K129" s="206" cm="1">
        <f t="array" ref="K129">_xlfn.XLOOKUP(K$4,Pipe_data_input[#Headers],'Pipe data inputs'!C128:O128,0,0,)</f>
        <v>0</v>
      </c>
      <c r="L129" s="206" cm="1">
        <f t="array" ref="L129">_xlfn.XLOOKUP(L$4,Pipe_data_input[#Headers],'Pipe data inputs'!C128:O128,0,0,)</f>
        <v>0</v>
      </c>
      <c r="M129" s="295" cm="1">
        <f t="array" ref="M129">_xlfn.XLOOKUP(M$4,Pipe_data_input[#Headers],'Pipe data inputs'!C128:O128,0,0,)</f>
        <v>0.65</v>
      </c>
      <c r="N129" s="211"/>
      <c r="O129" s="206" t="str">
        <f>IF(Pipe_data[[#This Row],[ID]]&gt;0, IF(Pipe_data[[#This Row],[Assumed diversity from model]]=1, "Feed", "Main"), "-" )</f>
        <v>Main</v>
      </c>
      <c r="P129" s="240">
        <v>0</v>
      </c>
      <c r="Q129" s="274">
        <f>IF(Pipe_data[[#This Row],[Phase overwrite]]&gt;0,Pipe_data[[#This Row],[Phase overwrite]],
IF(Pipe_data[[#This Row],[Tag]]="Feed",
_xlfn.XLOOKUP(Pipe_data[[#This Row],[Connected buildings ID]],'Heat connections'!$D$5:$D$242,'Heat connections'!$M$5:$M$242,1,0,1),1))</f>
        <v>1</v>
      </c>
      <c r="R129" s="499">
        <f>IF(Pipe_data[[#This Row],[Surface]]="Hard (Default)",
_xlfn.XLOOKUP(Pipe_data[[#This Row],[Nominal Diameter]],'Technical inputs'!$B$79:$B$100,'Technical inputs'!$C$79:$C$100,0,0,1),
_xlfn.XLOOKUP(Pipe_data[[#This Row],[Nominal Diameter]],'Technical inputs'!$B$79:$B$100,'Technical inputs'!$D$79:$D$100,0,0,1)) * Pipe_data[[#This Row],[Length]]</f>
        <v>35952.5118277945</v>
      </c>
    </row>
    <row r="130" spans="3:18" x14ac:dyDescent="0.25">
      <c r="C130" s="206" t="str" cm="1">
        <f t="array" ref="C130">_xlfn.XLOOKUP(C$4,Pipe_data_input[#Headers],'Pipe data inputs'!C129:O129,0,0,)</f>
        <v>67PA1c32hJfsJ7O9</v>
      </c>
      <c r="D130" s="293" cm="1">
        <f t="array" ref="D130">_xlfn.XLOOKUP(D$4,Pipe_data_input[#Headers],'Pipe data inputs'!C129:O129,0,0,)</f>
        <v>20.167750999999999</v>
      </c>
      <c r="E130" s="206" t="str" cm="1">
        <f t="array" ref="E130">_xlfn.XLOOKUP(E$4,Pipe_data_input[#Headers],'Pipe data inputs'!C129:O129,0,0,)</f>
        <v>Hard (default)</v>
      </c>
      <c r="F130" s="206" cm="1">
        <f t="array" ref="F130">_xlfn.XLOOKUP(F$4,Pipe_data_input[#Headers],'Pipe data inputs'!C129:O129,0,0,)</f>
        <v>32</v>
      </c>
      <c r="G130" s="241" cm="1">
        <f t="array" ref="G130">_xlfn.XLOOKUP(G$4,Pipe_data_input[#Headers],'Pipe data inputs'!C129:O129,0,0,)</f>
        <v>2876.2855406027666</v>
      </c>
      <c r="H130" s="241" cm="1">
        <f t="array" ref="H130">_xlfn.XLOOKUP(H$4,Pipe_data_input[#Headers],'Pipe data inputs'!C129:O129,0,0,)</f>
        <v>49.635706729895901</v>
      </c>
      <c r="I130" s="206" cm="1">
        <f t="array" ref="I130">_xlfn.XLOOKUP(I$4,Pipe_data_input[#Headers],'Pipe data inputs'!C129:O129,0,0,)</f>
        <v>0</v>
      </c>
      <c r="J130" s="206" cm="1">
        <f t="array" ref="J130">_xlfn.XLOOKUP(J$4,Pipe_data_input[#Headers],'Pipe data inputs'!C129:O129,0,0,)</f>
        <v>0</v>
      </c>
      <c r="K130" s="206" cm="1">
        <f t="array" ref="K130">_xlfn.XLOOKUP(K$4,Pipe_data_input[#Headers],'Pipe data inputs'!C129:O129,0,0,)</f>
        <v>0</v>
      </c>
      <c r="L130" s="206" cm="1">
        <f t="array" ref="L130">_xlfn.XLOOKUP(L$4,Pipe_data_input[#Headers],'Pipe data inputs'!C129:O129,0,0,)</f>
        <v>0</v>
      </c>
      <c r="M130" s="295" cm="1">
        <f t="array" ref="M130">_xlfn.XLOOKUP(M$4,Pipe_data_input[#Headers],'Pipe data inputs'!C129:O129,0,0,)</f>
        <v>0.81</v>
      </c>
      <c r="N130" s="211"/>
      <c r="O130" s="206" t="str">
        <f>IF(Pipe_data[[#This Row],[ID]]&gt;0, IF(Pipe_data[[#This Row],[Assumed diversity from model]]=1, "Feed", "Main"), "-" )</f>
        <v>Main</v>
      </c>
      <c r="P130" s="240">
        <v>0</v>
      </c>
      <c r="Q130" s="274">
        <f>IF(Pipe_data[[#This Row],[Phase overwrite]]&gt;0,Pipe_data[[#This Row],[Phase overwrite]],
IF(Pipe_data[[#This Row],[Tag]]="Feed",
_xlfn.XLOOKUP(Pipe_data[[#This Row],[Connected buildings ID]],'Heat connections'!$D$5:$D$242,'Heat connections'!$M$5:$M$242,1,0,1),1))</f>
        <v>1</v>
      </c>
      <c r="R130" s="499">
        <f>IF(Pipe_data[[#This Row],[Surface]]="Hard (Default)",
_xlfn.XLOOKUP(Pipe_data[[#This Row],[Nominal Diameter]],'Technical inputs'!$B$79:$B$100,'Technical inputs'!$C$79:$C$100,0,0,1),
_xlfn.XLOOKUP(Pipe_data[[#This Row],[Nominal Diameter]],'Technical inputs'!$B$79:$B$100,'Technical inputs'!$D$79:$D$100,0,0,1)) * Pipe_data[[#This Row],[Length]]</f>
        <v>48552.446762734617</v>
      </c>
    </row>
    <row r="131" spans="3:18" x14ac:dyDescent="0.25">
      <c r="C131" s="206" t="str" cm="1">
        <f t="array" ref="C131">_xlfn.XLOOKUP(C$4,Pipe_data_input[#Headers],'Pipe data inputs'!C130:O130,0,0,)</f>
        <v>5W+Vg1Fwlx2lobc/</v>
      </c>
      <c r="D131" s="293" cm="1">
        <f t="array" ref="D131">_xlfn.XLOOKUP(D$4,Pipe_data_input[#Headers],'Pipe data inputs'!C130:O130,0,0,)</f>
        <v>5.9264919999999996</v>
      </c>
      <c r="E131" s="206" t="str" cm="1">
        <f t="array" ref="E131">_xlfn.XLOOKUP(E$4,Pipe_data_input[#Headers],'Pipe data inputs'!C130:O130,0,0,)</f>
        <v>Hard (default)</v>
      </c>
      <c r="F131" s="206" cm="1">
        <f t="array" ref="F131">_xlfn.XLOOKUP(F$4,Pipe_data_input[#Headers],'Pipe data inputs'!C130:O130,0,0,)</f>
        <v>50</v>
      </c>
      <c r="G131" s="241" cm="1">
        <f t="array" ref="G131">_xlfn.XLOOKUP(G$4,Pipe_data_input[#Headers],'Pipe data inputs'!C130:O130,0,0,)</f>
        <v>1099.839904845365</v>
      </c>
      <c r="H131" s="241" cm="1">
        <f t="array" ref="H131">_xlfn.XLOOKUP(H$4,Pipe_data_input[#Headers],'Pipe data inputs'!C130:O130,0,0,)</f>
        <v>148.388475348707</v>
      </c>
      <c r="I131" s="206" cm="1">
        <f t="array" ref="I131">_xlfn.XLOOKUP(I$4,Pipe_data_input[#Headers],'Pipe data inputs'!C130:O130,0,0,)</f>
        <v>0</v>
      </c>
      <c r="J131" s="206" cm="1">
        <f t="array" ref="J131">_xlfn.XLOOKUP(J$4,Pipe_data_input[#Headers],'Pipe data inputs'!C130:O130,0,0,)</f>
        <v>0</v>
      </c>
      <c r="K131" s="206" cm="1">
        <f t="array" ref="K131">_xlfn.XLOOKUP(K$4,Pipe_data_input[#Headers],'Pipe data inputs'!C130:O130,0,0,)</f>
        <v>0</v>
      </c>
      <c r="L131" s="206" cm="1">
        <f t="array" ref="L131">_xlfn.XLOOKUP(L$4,Pipe_data_input[#Headers],'Pipe data inputs'!C130:O130,0,0,)</f>
        <v>0</v>
      </c>
      <c r="M131" s="295" cm="1">
        <f t="array" ref="M131">_xlfn.XLOOKUP(M$4,Pipe_data_input[#Headers],'Pipe data inputs'!C130:O130,0,0,)</f>
        <v>0.65</v>
      </c>
      <c r="N131" s="211"/>
      <c r="O131" s="206" t="str">
        <f>IF(Pipe_data[[#This Row],[ID]]&gt;0, IF(Pipe_data[[#This Row],[Assumed diversity from model]]=1, "Feed", "Main"), "-" )</f>
        <v>Main</v>
      </c>
      <c r="P131" s="240">
        <v>0</v>
      </c>
      <c r="Q131" s="274">
        <f>IF(Pipe_data[[#This Row],[Phase overwrite]]&gt;0,Pipe_data[[#This Row],[Phase overwrite]],
IF(Pipe_data[[#This Row],[Tag]]="Feed",
_xlfn.XLOOKUP(Pipe_data[[#This Row],[Connected buildings ID]],'Heat connections'!$D$5:$D$242,'Heat connections'!$M$5:$M$242,1,0,1),1))</f>
        <v>1</v>
      </c>
      <c r="R131" s="499">
        <f>IF(Pipe_data[[#This Row],[Surface]]="Hard (Default)",
_xlfn.XLOOKUP(Pipe_data[[#This Row],[Nominal Diameter]],'Technical inputs'!$B$79:$B$100,'Technical inputs'!$C$79:$C$100,0,0,1),
_xlfn.XLOOKUP(Pipe_data[[#This Row],[Nominal Diameter]],'Technical inputs'!$B$79:$B$100,'Technical inputs'!$D$79:$D$100,0,0,1)) * Pipe_data[[#This Row],[Length]]</f>
        <v>14824.734091753558</v>
      </c>
    </row>
    <row r="132" spans="3:18" x14ac:dyDescent="0.25">
      <c r="C132" s="206" t="str" cm="1">
        <f t="array" ref="C132">_xlfn.XLOOKUP(C$4,Pipe_data_input[#Headers],'Pipe data inputs'!C131:O131,0,0,)</f>
        <v>qI7nrFX6Aq51kWDP</v>
      </c>
      <c r="D132" s="293" cm="1">
        <f t="array" ref="D132">_xlfn.XLOOKUP(D$4,Pipe_data_input[#Headers],'Pipe data inputs'!C131:O131,0,0,)</f>
        <v>74.938869999999994</v>
      </c>
      <c r="E132" s="206" t="str" cm="1">
        <f t="array" ref="E132">_xlfn.XLOOKUP(E$4,Pipe_data_input[#Headers],'Pipe data inputs'!C131:O131,0,0,)</f>
        <v>Hard (default)</v>
      </c>
      <c r="F132" s="206" cm="1">
        <f t="array" ref="F132">_xlfn.XLOOKUP(F$4,Pipe_data_input[#Headers],'Pipe data inputs'!C131:O131,0,0,)</f>
        <v>80</v>
      </c>
      <c r="G132" s="241" cm="1">
        <f t="array" ref="G132">_xlfn.XLOOKUP(G$4,Pipe_data_input[#Headers],'Pipe data inputs'!C131:O131,0,0,)</f>
        <v>17008.739325549213</v>
      </c>
      <c r="H132" s="241" cm="1">
        <f t="array" ref="H132">_xlfn.XLOOKUP(H$4,Pipe_data_input[#Headers],'Pipe data inputs'!C131:O131,0,0,)</f>
        <v>704.425133970552</v>
      </c>
      <c r="I132" s="206" cm="1">
        <f t="array" ref="I132">_xlfn.XLOOKUP(I$4,Pipe_data_input[#Headers],'Pipe data inputs'!C131:O131,0,0,)</f>
        <v>0</v>
      </c>
      <c r="J132" s="206" cm="1">
        <f t="array" ref="J132">_xlfn.XLOOKUP(J$4,Pipe_data_input[#Headers],'Pipe data inputs'!C131:O131,0,0,)</f>
        <v>0</v>
      </c>
      <c r="K132" s="206" cm="1">
        <f t="array" ref="K132">_xlfn.XLOOKUP(K$4,Pipe_data_input[#Headers],'Pipe data inputs'!C131:O131,0,0,)</f>
        <v>0</v>
      </c>
      <c r="L132" s="206" cm="1">
        <f t="array" ref="L132">_xlfn.XLOOKUP(L$4,Pipe_data_input[#Headers],'Pipe data inputs'!C131:O131,0,0,)</f>
        <v>0</v>
      </c>
      <c r="M132" s="295" cm="1">
        <f t="array" ref="M132">_xlfn.XLOOKUP(M$4,Pipe_data_input[#Headers],'Pipe data inputs'!C131:O131,0,0,)</f>
        <v>1</v>
      </c>
      <c r="N132" s="211"/>
      <c r="O132" s="206" t="str">
        <f>IF(Pipe_data[[#This Row],[ID]]&gt;0, IF(Pipe_data[[#This Row],[Assumed diversity from model]]=1, "Feed", "Main"), "-" )</f>
        <v>Feed</v>
      </c>
      <c r="P132" s="240">
        <v>0</v>
      </c>
      <c r="Q132" s="274">
        <f>IF(Pipe_data[[#This Row],[Phase overwrite]]&gt;0,Pipe_data[[#This Row],[Phase overwrite]],
IF(Pipe_data[[#This Row],[Tag]]="Feed",
_xlfn.XLOOKUP(Pipe_data[[#This Row],[Connected buildings ID]],'Heat connections'!$D$5:$D$242,'Heat connections'!$M$5:$M$242,1,0,1),1))</f>
        <v>1</v>
      </c>
      <c r="R132" s="499">
        <f>IF(Pipe_data[[#This Row],[Surface]]="Hard (Default)",
_xlfn.XLOOKUP(Pipe_data[[#This Row],[Nominal Diameter]],'Technical inputs'!$B$79:$B$100,'Technical inputs'!$C$79:$C$100,0,0,1),
_xlfn.XLOOKUP(Pipe_data[[#This Row],[Nominal Diameter]],'Technical inputs'!$B$79:$B$100,'Technical inputs'!$D$79:$D$100,0,0,1)) * Pipe_data[[#This Row],[Length]]</f>
        <v>204859.82422228681</v>
      </c>
    </row>
    <row r="133" spans="3:18" x14ac:dyDescent="0.25">
      <c r="C133" s="206" t="str" cm="1">
        <f t="array" ref="C133">_xlfn.XLOOKUP(C$4,Pipe_data_input[#Headers],'Pipe data inputs'!C132:O132,0,0,)</f>
        <v>EMksAJe5ZKcZi09U</v>
      </c>
      <c r="D133" s="293" cm="1">
        <f t="array" ref="D133">_xlfn.XLOOKUP(D$4,Pipe_data_input[#Headers],'Pipe data inputs'!C132:O132,0,0,)</f>
        <v>24.391971999999999</v>
      </c>
      <c r="E133" s="206" t="str" cm="1">
        <f t="array" ref="E133">_xlfn.XLOOKUP(E$4,Pipe_data_input[#Headers],'Pipe data inputs'!C132:O132,0,0,)</f>
        <v>Hard (default)</v>
      </c>
      <c r="F133" s="206" cm="1">
        <f t="array" ref="F133">_xlfn.XLOOKUP(F$4,Pipe_data_input[#Headers],'Pipe data inputs'!C132:O132,0,0,)</f>
        <v>80</v>
      </c>
      <c r="G133" s="241" cm="1">
        <f t="array" ref="G133">_xlfn.XLOOKUP(G$4,Pipe_data_input[#Headers],'Pipe data inputs'!C132:O132,0,0,)</f>
        <v>5536.201618520472</v>
      </c>
      <c r="H133" s="241" cm="1">
        <f t="array" ref="H133">_xlfn.XLOOKUP(H$4,Pipe_data_input[#Headers],'Pipe data inputs'!C132:O132,0,0,)</f>
        <v>709.63623789476401</v>
      </c>
      <c r="I133" s="206" cm="1">
        <f t="array" ref="I133">_xlfn.XLOOKUP(I$4,Pipe_data_input[#Headers],'Pipe data inputs'!C132:O132,0,0,)</f>
        <v>0</v>
      </c>
      <c r="J133" s="206" cm="1">
        <f t="array" ref="J133">_xlfn.XLOOKUP(J$4,Pipe_data_input[#Headers],'Pipe data inputs'!C132:O132,0,0,)</f>
        <v>0</v>
      </c>
      <c r="K133" s="206" cm="1">
        <f t="array" ref="K133">_xlfn.XLOOKUP(K$4,Pipe_data_input[#Headers],'Pipe data inputs'!C132:O132,0,0,)</f>
        <v>0</v>
      </c>
      <c r="L133" s="206" cm="1">
        <f t="array" ref="L133">_xlfn.XLOOKUP(L$4,Pipe_data_input[#Headers],'Pipe data inputs'!C132:O132,0,0,)</f>
        <v>0</v>
      </c>
      <c r="M133" s="295" cm="1">
        <f t="array" ref="M133">_xlfn.XLOOKUP(M$4,Pipe_data_input[#Headers],'Pipe data inputs'!C132:O132,0,0,)</f>
        <v>1</v>
      </c>
      <c r="N133" s="211"/>
      <c r="O133" s="206" t="str">
        <f>IF(Pipe_data[[#This Row],[ID]]&gt;0, IF(Pipe_data[[#This Row],[Assumed diversity from model]]=1, "Feed", "Main"), "-" )</f>
        <v>Feed</v>
      </c>
      <c r="P133" s="240">
        <v>0</v>
      </c>
      <c r="Q133" s="274">
        <f>IF(Pipe_data[[#This Row],[Phase overwrite]]&gt;0,Pipe_data[[#This Row],[Phase overwrite]],
IF(Pipe_data[[#This Row],[Tag]]="Feed",
_xlfn.XLOOKUP(Pipe_data[[#This Row],[Connected buildings ID]],'Heat connections'!$D$5:$D$242,'Heat connections'!$M$5:$M$242,1,0,1),1))</f>
        <v>1</v>
      </c>
      <c r="R133" s="499">
        <f>IF(Pipe_data[[#This Row],[Surface]]="Hard (Default)",
_xlfn.XLOOKUP(Pipe_data[[#This Row],[Nominal Diameter]],'Technical inputs'!$B$79:$B$100,'Technical inputs'!$C$79:$C$100,0,0,1),
_xlfn.XLOOKUP(Pipe_data[[#This Row],[Nominal Diameter]],'Technical inputs'!$B$79:$B$100,'Technical inputs'!$D$79:$D$100,0,0,1)) * Pipe_data[[#This Row],[Length]]</f>
        <v>66680.150052368583</v>
      </c>
    </row>
    <row r="134" spans="3:18" x14ac:dyDescent="0.25">
      <c r="C134" s="206" t="str" cm="1">
        <f t="array" ref="C134">_xlfn.XLOOKUP(C$4,Pipe_data_input[#Headers],'Pipe data inputs'!C133:O133,0,0,)</f>
        <v>4yjMaUNxSKbopcTy</v>
      </c>
      <c r="D134" s="293" cm="1">
        <f t="array" ref="D134">_xlfn.XLOOKUP(D$4,Pipe_data_input[#Headers],'Pipe data inputs'!C133:O133,0,0,)</f>
        <v>8.1598480000000002</v>
      </c>
      <c r="E134" s="206" t="str" cm="1">
        <f t="array" ref="E134">_xlfn.XLOOKUP(E$4,Pipe_data_input[#Headers],'Pipe data inputs'!C133:O133,0,0,)</f>
        <v>Hard (default)</v>
      </c>
      <c r="F134" s="206" cm="1">
        <f t="array" ref="F134">_xlfn.XLOOKUP(F$4,Pipe_data_input[#Headers],'Pipe data inputs'!C133:O133,0,0,)</f>
        <v>80</v>
      </c>
      <c r="G134" s="241" cm="1">
        <f t="array" ref="G134">_xlfn.XLOOKUP(G$4,Pipe_data_input[#Headers],'Pipe data inputs'!C133:O133,0,0,)</f>
        <v>1958.3878639707784</v>
      </c>
      <c r="H134" s="241" cm="1">
        <f t="array" ref="H134">_xlfn.XLOOKUP(H$4,Pipe_data_input[#Headers],'Pipe data inputs'!C133:O133,0,0,)</f>
        <v>617.18597412109398</v>
      </c>
      <c r="I134" s="206" cm="1">
        <f t="array" ref="I134">_xlfn.XLOOKUP(I$4,Pipe_data_input[#Headers],'Pipe data inputs'!C133:O133,0,0,)</f>
        <v>0</v>
      </c>
      <c r="J134" s="206" cm="1">
        <f t="array" ref="J134">_xlfn.XLOOKUP(J$4,Pipe_data_input[#Headers],'Pipe data inputs'!C133:O133,0,0,)</f>
        <v>0</v>
      </c>
      <c r="K134" s="206" cm="1">
        <f t="array" ref="K134">_xlfn.XLOOKUP(K$4,Pipe_data_input[#Headers],'Pipe data inputs'!C133:O133,0,0,)</f>
        <v>0</v>
      </c>
      <c r="L134" s="206" cm="1">
        <f t="array" ref="L134">_xlfn.XLOOKUP(L$4,Pipe_data_input[#Headers],'Pipe data inputs'!C133:O133,0,0,)</f>
        <v>0</v>
      </c>
      <c r="M134" s="295" cm="1">
        <f t="array" ref="M134">_xlfn.XLOOKUP(M$4,Pipe_data_input[#Headers],'Pipe data inputs'!C133:O133,0,0,)</f>
        <v>0.7294998052048729</v>
      </c>
      <c r="N134" s="211"/>
      <c r="O134" s="206" t="str">
        <f>IF(Pipe_data[[#This Row],[ID]]&gt;0, IF(Pipe_data[[#This Row],[Assumed diversity from model]]=1, "Feed", "Main"), "-" )</f>
        <v>Main</v>
      </c>
      <c r="P134" s="240">
        <v>0</v>
      </c>
      <c r="Q134" s="274">
        <f>IF(Pipe_data[[#This Row],[Phase overwrite]]&gt;0,Pipe_data[[#This Row],[Phase overwrite]],
IF(Pipe_data[[#This Row],[Tag]]="Feed",
_xlfn.XLOOKUP(Pipe_data[[#This Row],[Connected buildings ID]],'Heat connections'!$D$5:$D$242,'Heat connections'!$M$5:$M$242,1,0,1),1))</f>
        <v>1</v>
      </c>
      <c r="R134" s="499">
        <f>IF(Pipe_data[[#This Row],[Surface]]="Hard (Default)",
_xlfn.XLOOKUP(Pipe_data[[#This Row],[Nominal Diameter]],'Technical inputs'!$B$79:$B$100,'Technical inputs'!$C$79:$C$100,0,0,1),
_xlfn.XLOOKUP(Pipe_data[[#This Row],[Nominal Diameter]],'Technical inputs'!$B$79:$B$100,'Technical inputs'!$D$79:$D$100,0,0,1)) * Pipe_data[[#This Row],[Length]]</f>
        <v>22306.514989625262</v>
      </c>
    </row>
    <row r="135" spans="3:18" x14ac:dyDescent="0.25">
      <c r="C135" s="206" t="str" cm="1">
        <f t="array" ref="C135">_xlfn.XLOOKUP(C$4,Pipe_data_input[#Headers],'Pipe data inputs'!C134:O134,0,0,)</f>
        <v>d1tY0qKsQYHQISKk</v>
      </c>
      <c r="D135" s="293" cm="1">
        <f t="array" ref="D135">_xlfn.XLOOKUP(D$4,Pipe_data_input[#Headers],'Pipe data inputs'!C134:O134,0,0,)</f>
        <v>40.779716000000001</v>
      </c>
      <c r="E135" s="206" t="str" cm="1">
        <f t="array" ref="E135">_xlfn.XLOOKUP(E$4,Pipe_data_input[#Headers],'Pipe data inputs'!C134:O134,0,0,)</f>
        <v>Hard (default)</v>
      </c>
      <c r="F135" s="206" cm="1">
        <f t="array" ref="F135">_xlfn.XLOOKUP(F$4,Pipe_data_input[#Headers],'Pipe data inputs'!C134:O134,0,0,)</f>
        <v>400</v>
      </c>
      <c r="G135" s="241" cm="1">
        <f t="array" ref="G135">_xlfn.XLOOKUP(G$4,Pipe_data_input[#Headers],'Pipe data inputs'!C134:O134,0,0,)</f>
        <v>15919.047721956102</v>
      </c>
      <c r="H135" s="241" cm="1">
        <f t="array" ref="H135">_xlfn.XLOOKUP(H$4,Pipe_data_input[#Headers],'Pipe data inputs'!C134:O134,0,0,)</f>
        <v>26893.983908885599</v>
      </c>
      <c r="I135" s="206" cm="1">
        <f t="array" ref="I135">_xlfn.XLOOKUP(I$4,Pipe_data_input[#Headers],'Pipe data inputs'!C134:O134,0,0,)</f>
        <v>0</v>
      </c>
      <c r="J135" s="206" cm="1">
        <f t="array" ref="J135">_xlfn.XLOOKUP(J$4,Pipe_data_input[#Headers],'Pipe data inputs'!C134:O134,0,0,)</f>
        <v>0</v>
      </c>
      <c r="K135" s="206" cm="1">
        <f t="array" ref="K135">_xlfn.XLOOKUP(K$4,Pipe_data_input[#Headers],'Pipe data inputs'!C134:O134,0,0,)</f>
        <v>0</v>
      </c>
      <c r="L135" s="206" cm="1">
        <f t="array" ref="L135">_xlfn.XLOOKUP(L$4,Pipe_data_input[#Headers],'Pipe data inputs'!C134:O134,0,0,)</f>
        <v>0</v>
      </c>
      <c r="M135" s="295" cm="1">
        <f t="array" ref="M135">_xlfn.XLOOKUP(M$4,Pipe_data_input[#Headers],'Pipe data inputs'!C134:O134,0,0,)</f>
        <v>0.62</v>
      </c>
      <c r="N135" s="211"/>
      <c r="O135" s="206" t="str">
        <f>IF(Pipe_data[[#This Row],[ID]]&gt;0, IF(Pipe_data[[#This Row],[Assumed diversity from model]]=1, "Feed", "Main"), "-" )</f>
        <v>Main</v>
      </c>
      <c r="P135" s="240">
        <v>0</v>
      </c>
      <c r="Q135" s="274">
        <f>IF(Pipe_data[[#This Row],[Phase overwrite]]&gt;0,Pipe_data[[#This Row],[Phase overwrite]],
IF(Pipe_data[[#This Row],[Tag]]="Feed",
_xlfn.XLOOKUP(Pipe_data[[#This Row],[Connected buildings ID]],'Heat connections'!$D$5:$D$242,'Heat connections'!$M$5:$M$242,1,0,1),1))</f>
        <v>1</v>
      </c>
      <c r="R135" s="499">
        <f>IF(Pipe_data[[#This Row],[Surface]]="Hard (Default)",
_xlfn.XLOOKUP(Pipe_data[[#This Row],[Nominal Diameter]],'Technical inputs'!$B$79:$B$100,'Technical inputs'!$C$79:$C$100,0,0,1),
_xlfn.XLOOKUP(Pipe_data[[#This Row],[Nominal Diameter]],'Technical inputs'!$B$79:$B$100,'Technical inputs'!$D$79:$D$100,0,0,1)) * Pipe_data[[#This Row],[Length]]</f>
        <v>197437.33956595181</v>
      </c>
    </row>
    <row r="136" spans="3:18" x14ac:dyDescent="0.25">
      <c r="C136" s="206" t="str" cm="1">
        <f t="array" ref="C136">_xlfn.XLOOKUP(C$4,Pipe_data_input[#Headers],'Pipe data inputs'!C135:O135,0,0,)</f>
        <v>s5BOMCpjBtlmryoq</v>
      </c>
      <c r="D136" s="293" cm="1">
        <f t="array" ref="D136">_xlfn.XLOOKUP(D$4,Pipe_data_input[#Headers],'Pipe data inputs'!C135:O135,0,0,)</f>
        <v>17.394299</v>
      </c>
      <c r="E136" s="206" t="str" cm="1">
        <f t="array" ref="E136">_xlfn.XLOOKUP(E$4,Pipe_data_input[#Headers],'Pipe data inputs'!C135:O135,0,0,)</f>
        <v>Hard (default)</v>
      </c>
      <c r="F136" s="206" cm="1">
        <f t="array" ref="F136">_xlfn.XLOOKUP(F$4,Pipe_data_input[#Headers],'Pipe data inputs'!C135:O135,0,0,)</f>
        <v>25</v>
      </c>
      <c r="G136" s="241" cm="1">
        <f t="array" ref="G136">_xlfn.XLOOKUP(G$4,Pipe_data_input[#Headers],'Pipe data inputs'!C135:O135,0,0,)</f>
        <v>2177.5061015773249</v>
      </c>
      <c r="H136" s="241" cm="1">
        <f t="array" ref="H136">_xlfn.XLOOKUP(H$4,Pipe_data_input[#Headers],'Pipe data inputs'!C135:O135,0,0,)</f>
        <v>31.607328414916999</v>
      </c>
      <c r="I136" s="206" cm="1">
        <f t="array" ref="I136">_xlfn.XLOOKUP(I$4,Pipe_data_input[#Headers],'Pipe data inputs'!C135:O135,0,0,)</f>
        <v>0</v>
      </c>
      <c r="J136" s="206" cm="1">
        <f t="array" ref="J136">_xlfn.XLOOKUP(J$4,Pipe_data_input[#Headers],'Pipe data inputs'!C135:O135,0,0,)</f>
        <v>0</v>
      </c>
      <c r="K136" s="206" cm="1">
        <f t="array" ref="K136">_xlfn.XLOOKUP(K$4,Pipe_data_input[#Headers],'Pipe data inputs'!C135:O135,0,0,)</f>
        <v>0</v>
      </c>
      <c r="L136" s="206" cm="1">
        <f t="array" ref="L136">_xlfn.XLOOKUP(L$4,Pipe_data_input[#Headers],'Pipe data inputs'!C135:O135,0,0,)</f>
        <v>0</v>
      </c>
      <c r="M136" s="295" cm="1">
        <f t="array" ref="M136">_xlfn.XLOOKUP(M$4,Pipe_data_input[#Headers],'Pipe data inputs'!C135:O135,0,0,)</f>
        <v>1</v>
      </c>
      <c r="N136" s="211"/>
      <c r="O136" s="206" t="str">
        <f>IF(Pipe_data[[#This Row],[ID]]&gt;0, IF(Pipe_data[[#This Row],[Assumed diversity from model]]=1, "Feed", "Main"), "-" )</f>
        <v>Feed</v>
      </c>
      <c r="P136" s="240">
        <v>0</v>
      </c>
      <c r="Q136" s="274">
        <f>IF(Pipe_data[[#This Row],[Phase overwrite]]&gt;0,Pipe_data[[#This Row],[Phase overwrite]],
IF(Pipe_data[[#This Row],[Tag]]="Feed",
_xlfn.XLOOKUP(Pipe_data[[#This Row],[Connected buildings ID]],'Heat connections'!$D$5:$D$242,'Heat connections'!$M$5:$M$242,1,0,1),1))</f>
        <v>1</v>
      </c>
      <c r="R136" s="499">
        <f>IF(Pipe_data[[#This Row],[Surface]]="Hard (Default)",
_xlfn.XLOOKUP(Pipe_data[[#This Row],[Nominal Diameter]],'Technical inputs'!$B$79:$B$100,'Technical inputs'!$C$79:$C$100,0,0,1),
_xlfn.XLOOKUP(Pipe_data[[#This Row],[Nominal Diameter]],'Technical inputs'!$B$79:$B$100,'Technical inputs'!$D$79:$D$100,0,0,1)) * Pipe_data[[#This Row],[Length]]</f>
        <v>37494.714863701323</v>
      </c>
    </row>
    <row r="137" spans="3:18" x14ac:dyDescent="0.25">
      <c r="C137" s="206" t="str" cm="1">
        <f t="array" ref="C137">_xlfn.XLOOKUP(C$4,Pipe_data_input[#Headers],'Pipe data inputs'!C136:O136,0,0,)</f>
        <v>UQYxUicYBbBplIja</v>
      </c>
      <c r="D137" s="293" cm="1">
        <f t="array" ref="D137">_xlfn.XLOOKUP(D$4,Pipe_data_input[#Headers],'Pipe data inputs'!C136:O136,0,0,)</f>
        <v>7.1017283999999998</v>
      </c>
      <c r="E137" s="206" t="str" cm="1">
        <f t="array" ref="E137">_xlfn.XLOOKUP(E$4,Pipe_data_input[#Headers],'Pipe data inputs'!C136:O136,0,0,)</f>
        <v>Hard (default)</v>
      </c>
      <c r="F137" s="206" cm="1">
        <f t="array" ref="F137">_xlfn.XLOOKUP(F$4,Pipe_data_input[#Headers],'Pipe data inputs'!C136:O136,0,0,)</f>
        <v>80</v>
      </c>
      <c r="G137" s="241" cm="1">
        <f t="array" ref="G137">_xlfn.XLOOKUP(G$4,Pipe_data_input[#Headers],'Pipe data inputs'!C136:O136,0,0,)</f>
        <v>1704.4360031922918</v>
      </c>
      <c r="H137" s="241" cm="1">
        <f t="array" ref="H137">_xlfn.XLOOKUP(H$4,Pipe_data_input[#Headers],'Pipe data inputs'!C136:O136,0,0,)</f>
        <v>617.18597412109398</v>
      </c>
      <c r="I137" s="206" cm="1">
        <f t="array" ref="I137">_xlfn.XLOOKUP(I$4,Pipe_data_input[#Headers],'Pipe data inputs'!C136:O136,0,0,)</f>
        <v>0</v>
      </c>
      <c r="J137" s="206" cm="1">
        <f t="array" ref="J137">_xlfn.XLOOKUP(J$4,Pipe_data_input[#Headers],'Pipe data inputs'!C136:O136,0,0,)</f>
        <v>0</v>
      </c>
      <c r="K137" s="206" cm="1">
        <f t="array" ref="K137">_xlfn.XLOOKUP(K$4,Pipe_data_input[#Headers],'Pipe data inputs'!C136:O136,0,0,)</f>
        <v>0</v>
      </c>
      <c r="L137" s="206" cm="1">
        <f t="array" ref="L137">_xlfn.XLOOKUP(L$4,Pipe_data_input[#Headers],'Pipe data inputs'!C136:O136,0,0,)</f>
        <v>0</v>
      </c>
      <c r="M137" s="295" cm="1">
        <f t="array" ref="M137">_xlfn.XLOOKUP(M$4,Pipe_data_input[#Headers],'Pipe data inputs'!C136:O136,0,0,)</f>
        <v>0.7294998052048729</v>
      </c>
      <c r="N137" s="211"/>
      <c r="O137" s="206" t="str">
        <f>IF(Pipe_data[[#This Row],[ID]]&gt;0, IF(Pipe_data[[#This Row],[Assumed diversity from model]]=1, "Feed", "Main"), "-" )</f>
        <v>Main</v>
      </c>
      <c r="P137" s="240">
        <v>0</v>
      </c>
      <c r="Q137" s="274">
        <f>IF(Pipe_data[[#This Row],[Phase overwrite]]&gt;0,Pipe_data[[#This Row],[Phase overwrite]],
IF(Pipe_data[[#This Row],[Tag]]="Feed",
_xlfn.XLOOKUP(Pipe_data[[#This Row],[Connected buildings ID]],'Heat connections'!$D$5:$D$242,'Heat connections'!$M$5:$M$242,1,0,1),1))</f>
        <v>1</v>
      </c>
      <c r="R137" s="499">
        <f>IF(Pipe_data[[#This Row],[Surface]]="Hard (Default)",
_xlfn.XLOOKUP(Pipe_data[[#This Row],[Nominal Diameter]],'Technical inputs'!$B$79:$B$100,'Technical inputs'!$C$79:$C$100,0,0,1),
_xlfn.XLOOKUP(Pipe_data[[#This Row],[Nominal Diameter]],'Technical inputs'!$B$79:$B$100,'Technical inputs'!$D$79:$D$100,0,0,1)) * Pipe_data[[#This Row],[Length]]</f>
        <v>19413.941412492906</v>
      </c>
    </row>
    <row r="138" spans="3:18" x14ac:dyDescent="0.25">
      <c r="C138" s="206" t="str" cm="1">
        <f t="array" ref="C138">_xlfn.XLOOKUP(C$4,Pipe_data_input[#Headers],'Pipe data inputs'!C137:O137,0,0,)</f>
        <v>iifei6IL4BU0YaRI</v>
      </c>
      <c r="D138" s="293" cm="1">
        <f t="array" ref="D138">_xlfn.XLOOKUP(D$4,Pipe_data_input[#Headers],'Pipe data inputs'!C137:O137,0,0,)</f>
        <v>6.1262699999999999</v>
      </c>
      <c r="E138" s="206" t="str" cm="1">
        <f t="array" ref="E138">_xlfn.XLOOKUP(E$4,Pipe_data_input[#Headers],'Pipe data inputs'!C137:O137,0,0,)</f>
        <v>Hard (default)</v>
      </c>
      <c r="F138" s="206" cm="1">
        <f t="array" ref="F138">_xlfn.XLOOKUP(F$4,Pipe_data_input[#Headers],'Pipe data inputs'!C137:O137,0,0,)</f>
        <v>50</v>
      </c>
      <c r="G138" s="241" cm="1">
        <f t="array" ref="G138">_xlfn.XLOOKUP(G$4,Pipe_data_input[#Headers],'Pipe data inputs'!C137:O137,0,0,)</f>
        <v>1136.9147573061796</v>
      </c>
      <c r="H138" s="241" cm="1">
        <f t="array" ref="H138">_xlfn.XLOOKUP(H$4,Pipe_data_input[#Headers],'Pipe data inputs'!C137:O137,0,0,)</f>
        <v>148.388475348707</v>
      </c>
      <c r="I138" s="206" cm="1">
        <f t="array" ref="I138">_xlfn.XLOOKUP(I$4,Pipe_data_input[#Headers],'Pipe data inputs'!C137:O137,0,0,)</f>
        <v>0</v>
      </c>
      <c r="J138" s="206" cm="1">
        <f t="array" ref="J138">_xlfn.XLOOKUP(J$4,Pipe_data_input[#Headers],'Pipe data inputs'!C137:O137,0,0,)</f>
        <v>0</v>
      </c>
      <c r="K138" s="206" cm="1">
        <f t="array" ref="K138">_xlfn.XLOOKUP(K$4,Pipe_data_input[#Headers],'Pipe data inputs'!C137:O137,0,0,)</f>
        <v>0</v>
      </c>
      <c r="L138" s="206" cm="1">
        <f t="array" ref="L138">_xlfn.XLOOKUP(L$4,Pipe_data_input[#Headers],'Pipe data inputs'!C137:O137,0,0,)</f>
        <v>0</v>
      </c>
      <c r="M138" s="295" cm="1">
        <f t="array" ref="M138">_xlfn.XLOOKUP(M$4,Pipe_data_input[#Headers],'Pipe data inputs'!C137:O137,0,0,)</f>
        <v>0.65</v>
      </c>
      <c r="N138" s="211"/>
      <c r="O138" s="206" t="str">
        <f>IF(Pipe_data[[#This Row],[ID]]&gt;0, IF(Pipe_data[[#This Row],[Assumed diversity from model]]=1, "Feed", "Main"), "-" )</f>
        <v>Main</v>
      </c>
      <c r="P138" s="240">
        <v>0</v>
      </c>
      <c r="Q138" s="274">
        <f>IF(Pipe_data[[#This Row],[Phase overwrite]]&gt;0,Pipe_data[[#This Row],[Phase overwrite]],
IF(Pipe_data[[#This Row],[Tag]]="Feed",
_xlfn.XLOOKUP(Pipe_data[[#This Row],[Connected buildings ID]],'Heat connections'!$D$5:$D$242,'Heat connections'!$M$5:$M$242,1,0,1),1))</f>
        <v>1</v>
      </c>
      <c r="R138" s="499">
        <f>IF(Pipe_data[[#This Row],[Surface]]="Hard (Default)",
_xlfn.XLOOKUP(Pipe_data[[#This Row],[Nominal Diameter]],'Technical inputs'!$B$79:$B$100,'Technical inputs'!$C$79:$C$100,0,0,1),
_xlfn.XLOOKUP(Pipe_data[[#This Row],[Nominal Diameter]],'Technical inputs'!$B$79:$B$100,'Technical inputs'!$D$79:$D$100,0,0,1)) * Pipe_data[[#This Row],[Length]]</f>
        <v>15324.465758881826</v>
      </c>
    </row>
    <row r="139" spans="3:18" x14ac:dyDescent="0.25">
      <c r="C139" s="206" t="str" cm="1">
        <f t="array" ref="C139">_xlfn.XLOOKUP(C$4,Pipe_data_input[#Headers],'Pipe data inputs'!C138:O138,0,0,)</f>
        <v>FcmRSjYbKV7KUwY0</v>
      </c>
      <c r="D139" s="293" cm="1">
        <f t="array" ref="D139">_xlfn.XLOOKUP(D$4,Pipe_data_input[#Headers],'Pipe data inputs'!C138:O138,0,0,)</f>
        <v>1.2240678</v>
      </c>
      <c r="E139" s="206" t="str" cm="1">
        <f t="array" ref="E139">_xlfn.XLOOKUP(E$4,Pipe_data_input[#Headers],'Pipe data inputs'!C138:O138,0,0,)</f>
        <v>Hard (default)</v>
      </c>
      <c r="F139" s="206" cm="1">
        <f t="array" ref="F139">_xlfn.XLOOKUP(F$4,Pipe_data_input[#Headers],'Pipe data inputs'!C138:O138,0,0,)</f>
        <v>25</v>
      </c>
      <c r="G139" s="241" cm="1">
        <f t="array" ref="G139">_xlfn.XLOOKUP(G$4,Pipe_data_input[#Headers],'Pipe data inputs'!C138:O138,0,0,)</f>
        <v>165.26248083228728</v>
      </c>
      <c r="H139" s="241" cm="1">
        <f t="array" ref="H139">_xlfn.XLOOKUP(H$4,Pipe_data_input[#Headers],'Pipe data inputs'!C138:O138,0,0,)</f>
        <v>40.315670013427699</v>
      </c>
      <c r="I139" s="206" cm="1">
        <f t="array" ref="I139">_xlfn.XLOOKUP(I$4,Pipe_data_input[#Headers],'Pipe data inputs'!C138:O138,0,0,)</f>
        <v>0</v>
      </c>
      <c r="J139" s="206" cm="1">
        <f t="array" ref="J139">_xlfn.XLOOKUP(J$4,Pipe_data_input[#Headers],'Pipe data inputs'!C138:O138,0,0,)</f>
        <v>0</v>
      </c>
      <c r="K139" s="206" cm="1">
        <f t="array" ref="K139">_xlfn.XLOOKUP(K$4,Pipe_data_input[#Headers],'Pipe data inputs'!C138:O138,0,0,)</f>
        <v>0</v>
      </c>
      <c r="L139" s="206" cm="1">
        <f t="array" ref="L139">_xlfn.XLOOKUP(L$4,Pipe_data_input[#Headers],'Pipe data inputs'!C138:O138,0,0,)</f>
        <v>0</v>
      </c>
      <c r="M139" s="295" cm="1">
        <f t="array" ref="M139">_xlfn.XLOOKUP(M$4,Pipe_data_input[#Headers],'Pipe data inputs'!C138:O138,0,0,)</f>
        <v>1</v>
      </c>
      <c r="N139" s="211"/>
      <c r="O139" s="206" t="str">
        <f>IF(Pipe_data[[#This Row],[ID]]&gt;0, IF(Pipe_data[[#This Row],[Assumed diversity from model]]=1, "Feed", "Main"), "-" )</f>
        <v>Feed</v>
      </c>
      <c r="P139" s="240">
        <v>0</v>
      </c>
      <c r="Q139" s="274">
        <f>IF(Pipe_data[[#This Row],[Phase overwrite]]&gt;0,Pipe_data[[#This Row],[Phase overwrite]],
IF(Pipe_data[[#This Row],[Tag]]="Feed",
_xlfn.XLOOKUP(Pipe_data[[#This Row],[Connected buildings ID]],'Heat connections'!$D$5:$D$242,'Heat connections'!$M$5:$M$242,1,0,1),1))</f>
        <v>1</v>
      </c>
      <c r="R139" s="499">
        <f>IF(Pipe_data[[#This Row],[Surface]]="Hard (Default)",
_xlfn.XLOOKUP(Pipe_data[[#This Row],[Nominal Diameter]],'Technical inputs'!$B$79:$B$100,'Technical inputs'!$C$79:$C$100,0,0,1),
_xlfn.XLOOKUP(Pipe_data[[#This Row],[Nominal Diameter]],'Technical inputs'!$B$79:$B$100,'Technical inputs'!$D$79:$D$100,0,0,1)) * Pipe_data[[#This Row],[Length]]</f>
        <v>2638.5698633120073</v>
      </c>
    </row>
    <row r="140" spans="3:18" x14ac:dyDescent="0.25">
      <c r="C140" s="206" t="str" cm="1">
        <f t="array" ref="C140">_xlfn.XLOOKUP(C$4,Pipe_data_input[#Headers],'Pipe data inputs'!C139:O139,0,0,)</f>
        <v>ROOWP7w6HmtkSDH7</v>
      </c>
      <c r="D140" s="293" cm="1">
        <f t="array" ref="D140">_xlfn.XLOOKUP(D$4,Pipe_data_input[#Headers],'Pipe data inputs'!C139:O139,0,0,)</f>
        <v>92.973690000000005</v>
      </c>
      <c r="E140" s="206" t="str" cm="1">
        <f t="array" ref="E140">_xlfn.XLOOKUP(E$4,Pipe_data_input[#Headers],'Pipe data inputs'!C139:O139,0,0,)</f>
        <v>Hard (default)</v>
      </c>
      <c r="F140" s="206" cm="1">
        <f t="array" ref="F140">_xlfn.XLOOKUP(F$4,Pipe_data_input[#Headers],'Pipe data inputs'!C139:O139,0,0,)</f>
        <v>250</v>
      </c>
      <c r="G140" s="241" cm="1">
        <f t="array" ref="G140">_xlfn.XLOOKUP(G$4,Pipe_data_input[#Headers],'Pipe data inputs'!C139:O139,0,0,)</f>
        <v>33674.568126175669</v>
      </c>
      <c r="H140" s="241" cm="1">
        <f t="array" ref="H140">_xlfn.XLOOKUP(H$4,Pipe_data_input[#Headers],'Pipe data inputs'!C139:O139,0,0,)</f>
        <v>13063.695060596299</v>
      </c>
      <c r="I140" s="206" cm="1">
        <f t="array" ref="I140">_xlfn.XLOOKUP(I$4,Pipe_data_input[#Headers],'Pipe data inputs'!C139:O139,0,0,)</f>
        <v>0</v>
      </c>
      <c r="J140" s="206" cm="1">
        <f t="array" ref="J140">_xlfn.XLOOKUP(J$4,Pipe_data_input[#Headers],'Pipe data inputs'!C139:O139,0,0,)</f>
        <v>0</v>
      </c>
      <c r="K140" s="206" cm="1">
        <f t="array" ref="K140">_xlfn.XLOOKUP(K$4,Pipe_data_input[#Headers],'Pipe data inputs'!C139:O139,0,0,)</f>
        <v>0</v>
      </c>
      <c r="L140" s="206" cm="1">
        <f t="array" ref="L140">_xlfn.XLOOKUP(L$4,Pipe_data_input[#Headers],'Pipe data inputs'!C139:O139,0,0,)</f>
        <v>0</v>
      </c>
      <c r="M140" s="295" cm="1">
        <f t="array" ref="M140">_xlfn.XLOOKUP(M$4,Pipe_data_input[#Headers],'Pipe data inputs'!C139:O139,0,0,)</f>
        <v>0.63</v>
      </c>
      <c r="N140" s="211"/>
      <c r="O140" s="206" t="str">
        <f>IF(Pipe_data[[#This Row],[ID]]&gt;0, IF(Pipe_data[[#This Row],[Assumed diversity from model]]=1, "Feed", "Main"), "-" )</f>
        <v>Main</v>
      </c>
      <c r="P140" s="240">
        <v>0</v>
      </c>
      <c r="Q140" s="274">
        <f>IF(Pipe_data[[#This Row],[Phase overwrite]]&gt;0,Pipe_data[[#This Row],[Phase overwrite]],
IF(Pipe_data[[#This Row],[Tag]]="Feed",
_xlfn.XLOOKUP(Pipe_data[[#This Row],[Connected buildings ID]],'Heat connections'!$D$5:$D$242,'Heat connections'!$M$5:$M$242,1,0,1),1))</f>
        <v>1</v>
      </c>
      <c r="R140" s="499">
        <f>IF(Pipe_data[[#This Row],[Surface]]="Hard (Default)",
_xlfn.XLOOKUP(Pipe_data[[#This Row],[Nominal Diameter]],'Technical inputs'!$B$79:$B$100,'Technical inputs'!$C$79:$C$100,0,0,1),
_xlfn.XLOOKUP(Pipe_data[[#This Row],[Nominal Diameter]],'Technical inputs'!$B$79:$B$100,'Technical inputs'!$D$79:$D$100,0,0,1)) * Pipe_data[[#This Row],[Length]]</f>
        <v>416414.24660379329</v>
      </c>
    </row>
    <row r="141" spans="3:18" x14ac:dyDescent="0.25">
      <c r="C141" s="206" t="str" cm="1">
        <f t="array" ref="C141">_xlfn.XLOOKUP(C$4,Pipe_data_input[#Headers],'Pipe data inputs'!C140:O140,0,0,)</f>
        <v>Zd5xTnkmIA5eG0/L</v>
      </c>
      <c r="D141" s="293" cm="1">
        <f t="array" ref="D141">_xlfn.XLOOKUP(D$4,Pipe_data_input[#Headers],'Pipe data inputs'!C140:O140,0,0,)</f>
        <v>6.0045099999999998</v>
      </c>
      <c r="E141" s="206" t="str" cm="1">
        <f t="array" ref="E141">_xlfn.XLOOKUP(E$4,Pipe_data_input[#Headers],'Pipe data inputs'!C140:O140,0,0,)</f>
        <v>Hard (default)</v>
      </c>
      <c r="F141" s="206" cm="1">
        <f t="array" ref="F141">_xlfn.XLOOKUP(F$4,Pipe_data_input[#Headers],'Pipe data inputs'!C140:O140,0,0,)</f>
        <v>80</v>
      </c>
      <c r="G141" s="241" cm="1">
        <f t="array" ref="G141">_xlfn.XLOOKUP(G$4,Pipe_data_input[#Headers],'Pipe data inputs'!C140:O140,0,0,)</f>
        <v>1441.1003137670186</v>
      </c>
      <c r="H141" s="241" cm="1">
        <f t="array" ref="H141">_xlfn.XLOOKUP(H$4,Pipe_data_input[#Headers],'Pipe data inputs'!C140:O140,0,0,)</f>
        <v>617.18597412109398</v>
      </c>
      <c r="I141" s="206" cm="1">
        <f t="array" ref="I141">_xlfn.XLOOKUP(I$4,Pipe_data_input[#Headers],'Pipe data inputs'!C140:O140,0,0,)</f>
        <v>0</v>
      </c>
      <c r="J141" s="206" cm="1">
        <f t="array" ref="J141">_xlfn.XLOOKUP(J$4,Pipe_data_input[#Headers],'Pipe data inputs'!C140:O140,0,0,)</f>
        <v>0</v>
      </c>
      <c r="K141" s="206" cm="1">
        <f t="array" ref="K141">_xlfn.XLOOKUP(K$4,Pipe_data_input[#Headers],'Pipe data inputs'!C140:O140,0,0,)</f>
        <v>0</v>
      </c>
      <c r="L141" s="206" cm="1">
        <f t="array" ref="L141">_xlfn.XLOOKUP(L$4,Pipe_data_input[#Headers],'Pipe data inputs'!C140:O140,0,0,)</f>
        <v>0</v>
      </c>
      <c r="M141" s="295" cm="1">
        <f t="array" ref="M141">_xlfn.XLOOKUP(M$4,Pipe_data_input[#Headers],'Pipe data inputs'!C140:O140,0,0,)</f>
        <v>0.7294998052048729</v>
      </c>
      <c r="N141" s="211"/>
      <c r="O141" s="206" t="str">
        <f>IF(Pipe_data[[#This Row],[ID]]&gt;0, IF(Pipe_data[[#This Row],[Assumed diversity from model]]=1, "Feed", "Main"), "-" )</f>
        <v>Main</v>
      </c>
      <c r="P141" s="240">
        <v>0</v>
      </c>
      <c r="Q141" s="274">
        <f>IF(Pipe_data[[#This Row],[Phase overwrite]]&gt;0,Pipe_data[[#This Row],[Phase overwrite]],
IF(Pipe_data[[#This Row],[Tag]]="Feed",
_xlfn.XLOOKUP(Pipe_data[[#This Row],[Connected buildings ID]],'Heat connections'!$D$5:$D$242,'Heat connections'!$M$5:$M$242,1,0,1),1))</f>
        <v>1</v>
      </c>
      <c r="R141" s="499">
        <f>IF(Pipe_data[[#This Row],[Surface]]="Hard (Default)",
_xlfn.XLOOKUP(Pipe_data[[#This Row],[Nominal Diameter]],'Technical inputs'!$B$79:$B$100,'Technical inputs'!$C$79:$C$100,0,0,1),
_xlfn.XLOOKUP(Pipe_data[[#This Row],[Nominal Diameter]],'Technical inputs'!$B$79:$B$100,'Technical inputs'!$D$79:$D$100,0,0,1)) * Pipe_data[[#This Row],[Length]]</f>
        <v>16414.483740426876</v>
      </c>
    </row>
    <row r="142" spans="3:18" x14ac:dyDescent="0.25">
      <c r="C142" s="206" t="str" cm="1">
        <f t="array" ref="C142">_xlfn.XLOOKUP(C$4,Pipe_data_input[#Headers],'Pipe data inputs'!C141:O141,0,0,)</f>
        <v>pEwQaNLQzql74Ejs</v>
      </c>
      <c r="D142" s="293" cm="1">
        <f t="array" ref="D142">_xlfn.XLOOKUP(D$4,Pipe_data_input[#Headers],'Pipe data inputs'!C141:O141,0,0,)</f>
        <v>3.2349386</v>
      </c>
      <c r="E142" s="206" t="str" cm="1">
        <f t="array" ref="E142">_xlfn.XLOOKUP(E$4,Pipe_data_input[#Headers],'Pipe data inputs'!C141:O141,0,0,)</f>
        <v>Hard (default)</v>
      </c>
      <c r="F142" s="206" cm="1">
        <f t="array" ref="F142">_xlfn.XLOOKUP(F$4,Pipe_data_input[#Headers],'Pipe data inputs'!C141:O141,0,0,)</f>
        <v>80</v>
      </c>
      <c r="G142" s="241" cm="1">
        <f t="array" ref="G142">_xlfn.XLOOKUP(G$4,Pipe_data_input[#Headers],'Pipe data inputs'!C141:O141,0,0,)</f>
        <v>734.5698607735203</v>
      </c>
      <c r="H142" s="241" cm="1">
        <f t="array" ref="H142">_xlfn.XLOOKUP(H$4,Pipe_data_input[#Headers],'Pipe data inputs'!C141:O141,0,0,)</f>
        <v>706.65309072907598</v>
      </c>
      <c r="I142" s="206" cm="1">
        <f t="array" ref="I142">_xlfn.XLOOKUP(I$4,Pipe_data_input[#Headers],'Pipe data inputs'!C141:O141,0,0,)</f>
        <v>0</v>
      </c>
      <c r="J142" s="206" cm="1">
        <f t="array" ref="J142">_xlfn.XLOOKUP(J$4,Pipe_data_input[#Headers],'Pipe data inputs'!C141:O141,0,0,)</f>
        <v>0</v>
      </c>
      <c r="K142" s="206" cm="1">
        <f t="array" ref="K142">_xlfn.XLOOKUP(K$4,Pipe_data_input[#Headers],'Pipe data inputs'!C141:O141,0,0,)</f>
        <v>0</v>
      </c>
      <c r="L142" s="206" cm="1">
        <f t="array" ref="L142">_xlfn.XLOOKUP(L$4,Pipe_data_input[#Headers],'Pipe data inputs'!C141:O141,0,0,)</f>
        <v>0</v>
      </c>
      <c r="M142" s="295" cm="1">
        <f t="array" ref="M142">_xlfn.XLOOKUP(M$4,Pipe_data_input[#Headers],'Pipe data inputs'!C141:O141,0,0,)</f>
        <v>1</v>
      </c>
      <c r="N142" s="211"/>
      <c r="O142" s="206" t="str">
        <f>IF(Pipe_data[[#This Row],[ID]]&gt;0, IF(Pipe_data[[#This Row],[Assumed diversity from model]]=1, "Feed", "Main"), "-" )</f>
        <v>Feed</v>
      </c>
      <c r="P142" s="240">
        <v>0</v>
      </c>
      <c r="Q142" s="274">
        <f>IF(Pipe_data[[#This Row],[Phase overwrite]]&gt;0,Pipe_data[[#This Row],[Phase overwrite]],
IF(Pipe_data[[#This Row],[Tag]]="Feed",
_xlfn.XLOOKUP(Pipe_data[[#This Row],[Connected buildings ID]],'Heat connections'!$D$5:$D$242,'Heat connections'!$M$5:$M$242,1,0,1),1))</f>
        <v>1</v>
      </c>
      <c r="R142" s="499">
        <f>IF(Pipe_data[[#This Row],[Surface]]="Hard (Default)",
_xlfn.XLOOKUP(Pipe_data[[#This Row],[Nominal Diameter]],'Technical inputs'!$B$79:$B$100,'Technical inputs'!$C$79:$C$100,0,0,1),
_xlfn.XLOOKUP(Pipe_data[[#This Row],[Nominal Diameter]],'Technical inputs'!$B$79:$B$100,'Technical inputs'!$D$79:$D$100,0,0,1)) * Pipe_data[[#This Row],[Length]]</f>
        <v>8843.3272741621367</v>
      </c>
    </row>
    <row r="143" spans="3:18" x14ac:dyDescent="0.25">
      <c r="C143" s="206" t="str" cm="1">
        <f t="array" ref="C143">_xlfn.XLOOKUP(C$4,Pipe_data_input[#Headers],'Pipe data inputs'!C142:O142,0,0,)</f>
        <v>vbzTX9luEKV2u7XN</v>
      </c>
      <c r="D143" s="293" cm="1">
        <f t="array" ref="D143">_xlfn.XLOOKUP(D$4,Pipe_data_input[#Headers],'Pipe data inputs'!C142:O142,0,0,)</f>
        <v>12.195145999999999</v>
      </c>
      <c r="E143" s="206" t="str" cm="1">
        <f t="array" ref="E143">_xlfn.XLOOKUP(E$4,Pipe_data_input[#Headers],'Pipe data inputs'!C142:O142,0,0,)</f>
        <v>Hard (default)</v>
      </c>
      <c r="F143" s="206" cm="1">
        <f t="array" ref="F143">_xlfn.XLOOKUP(F$4,Pipe_data_input[#Headers],'Pipe data inputs'!C142:O142,0,0,)</f>
        <v>400</v>
      </c>
      <c r="G143" s="241" cm="1">
        <f t="array" ref="G143">_xlfn.XLOOKUP(G$4,Pipe_data_input[#Headers],'Pipe data inputs'!C142:O142,0,0,)</f>
        <v>4760.5802637326369</v>
      </c>
      <c r="H143" s="241" cm="1">
        <f t="array" ref="H143">_xlfn.XLOOKUP(H$4,Pipe_data_input[#Headers],'Pipe data inputs'!C142:O142,0,0,)</f>
        <v>26893.983908885599</v>
      </c>
      <c r="I143" s="206" cm="1">
        <f t="array" ref="I143">_xlfn.XLOOKUP(I$4,Pipe_data_input[#Headers],'Pipe data inputs'!C142:O142,0,0,)</f>
        <v>0</v>
      </c>
      <c r="J143" s="206" cm="1">
        <f t="array" ref="J143">_xlfn.XLOOKUP(J$4,Pipe_data_input[#Headers],'Pipe data inputs'!C142:O142,0,0,)</f>
        <v>0</v>
      </c>
      <c r="K143" s="206" cm="1">
        <f t="array" ref="K143">_xlfn.XLOOKUP(K$4,Pipe_data_input[#Headers],'Pipe data inputs'!C142:O142,0,0,)</f>
        <v>0</v>
      </c>
      <c r="L143" s="206" cm="1">
        <f t="array" ref="L143">_xlfn.XLOOKUP(L$4,Pipe_data_input[#Headers],'Pipe data inputs'!C142:O142,0,0,)</f>
        <v>0</v>
      </c>
      <c r="M143" s="295" cm="1">
        <f t="array" ref="M143">_xlfn.XLOOKUP(M$4,Pipe_data_input[#Headers],'Pipe data inputs'!C142:O142,0,0,)</f>
        <v>0.62</v>
      </c>
      <c r="N143" s="211"/>
      <c r="O143" s="206" t="str">
        <f>IF(Pipe_data[[#This Row],[ID]]&gt;0, IF(Pipe_data[[#This Row],[Assumed diversity from model]]=1, "Feed", "Main"), "-" )</f>
        <v>Main</v>
      </c>
      <c r="P143" s="240">
        <v>0</v>
      </c>
      <c r="Q143" s="274">
        <f>IF(Pipe_data[[#This Row],[Phase overwrite]]&gt;0,Pipe_data[[#This Row],[Phase overwrite]],
IF(Pipe_data[[#This Row],[Tag]]="Feed",
_xlfn.XLOOKUP(Pipe_data[[#This Row],[Connected buildings ID]],'Heat connections'!$D$5:$D$242,'Heat connections'!$M$5:$M$242,1,0,1),1))</f>
        <v>1</v>
      </c>
      <c r="R143" s="499">
        <f>IF(Pipe_data[[#This Row],[Surface]]="Hard (Default)",
_xlfn.XLOOKUP(Pipe_data[[#This Row],[Nominal Diameter]],'Technical inputs'!$B$79:$B$100,'Technical inputs'!$C$79:$C$100,0,0,1),
_xlfn.XLOOKUP(Pipe_data[[#This Row],[Nominal Diameter]],'Technical inputs'!$B$79:$B$100,'Technical inputs'!$D$79:$D$100,0,0,1)) * Pipe_data[[#This Row],[Length]]</f>
        <v>59043.500495647371</v>
      </c>
    </row>
    <row r="144" spans="3:18" x14ac:dyDescent="0.25">
      <c r="C144" s="206" t="str" cm="1">
        <f t="array" ref="C144">_xlfn.XLOOKUP(C$4,Pipe_data_input[#Headers],'Pipe data inputs'!C143:O143,0,0,)</f>
        <v>t0y/DtO+vFzX87Rv</v>
      </c>
      <c r="D144" s="293" cm="1">
        <f t="array" ref="D144">_xlfn.XLOOKUP(D$4,Pipe_data_input[#Headers],'Pipe data inputs'!C143:O143,0,0,)</f>
        <v>41.190384000000002</v>
      </c>
      <c r="E144" s="206" t="str" cm="1">
        <f t="array" ref="E144">_xlfn.XLOOKUP(E$4,Pipe_data_input[#Headers],'Pipe data inputs'!C143:O143,0,0,)</f>
        <v>Hard (default)</v>
      </c>
      <c r="F144" s="206" cm="1">
        <f t="array" ref="F144">_xlfn.XLOOKUP(F$4,Pipe_data_input[#Headers],'Pipe data inputs'!C143:O143,0,0,)</f>
        <v>200</v>
      </c>
      <c r="G144" s="241" cm="1">
        <f t="array" ref="G144">_xlfn.XLOOKUP(G$4,Pipe_data_input[#Headers],'Pipe data inputs'!C143:O143,0,0,)</f>
        <v>13329.821290274576</v>
      </c>
      <c r="H144" s="241" cm="1">
        <f t="array" ref="H144">_xlfn.XLOOKUP(H$4,Pipe_data_input[#Headers],'Pipe data inputs'!C143:O143,0,0,)</f>
        <v>5175.2299023437699</v>
      </c>
      <c r="I144" s="206" cm="1">
        <f t="array" ref="I144">_xlfn.XLOOKUP(I$4,Pipe_data_input[#Headers],'Pipe data inputs'!C143:O143,0,0,)</f>
        <v>0</v>
      </c>
      <c r="J144" s="206" cm="1">
        <f t="array" ref="J144">_xlfn.XLOOKUP(J$4,Pipe_data_input[#Headers],'Pipe data inputs'!C143:O143,0,0,)</f>
        <v>0</v>
      </c>
      <c r="K144" s="206" cm="1">
        <f t="array" ref="K144">_xlfn.XLOOKUP(K$4,Pipe_data_input[#Headers],'Pipe data inputs'!C143:O143,0,0,)</f>
        <v>0</v>
      </c>
      <c r="L144" s="206" cm="1">
        <f t="array" ref="L144">_xlfn.XLOOKUP(L$4,Pipe_data_input[#Headers],'Pipe data inputs'!C143:O143,0,0,)</f>
        <v>0</v>
      </c>
      <c r="M144" s="295" cm="1">
        <f t="array" ref="M144">_xlfn.XLOOKUP(M$4,Pipe_data_input[#Headers],'Pipe data inputs'!C143:O143,0,0,)</f>
        <v>0.64</v>
      </c>
      <c r="N144" s="211"/>
      <c r="O144" s="206" t="str">
        <f>IF(Pipe_data[[#This Row],[ID]]&gt;0, IF(Pipe_data[[#This Row],[Assumed diversity from model]]=1, "Feed", "Main"), "-" )</f>
        <v>Main</v>
      </c>
      <c r="P144" s="240">
        <v>0</v>
      </c>
      <c r="Q144" s="274">
        <f>IF(Pipe_data[[#This Row],[Phase overwrite]]&gt;0,Pipe_data[[#This Row],[Phase overwrite]],
IF(Pipe_data[[#This Row],[Tag]]="Feed",
_xlfn.XLOOKUP(Pipe_data[[#This Row],[Connected buildings ID]],'Heat connections'!$D$5:$D$242,'Heat connections'!$M$5:$M$242,1,0,1),1))</f>
        <v>1</v>
      </c>
      <c r="R144" s="499">
        <f>IF(Pipe_data[[#This Row],[Surface]]="Hard (Default)",
_xlfn.XLOOKUP(Pipe_data[[#This Row],[Nominal Diameter]],'Technical inputs'!$B$79:$B$100,'Technical inputs'!$C$79:$C$100,0,0,1),
_xlfn.XLOOKUP(Pipe_data[[#This Row],[Nominal Diameter]],'Technical inputs'!$B$79:$B$100,'Technical inputs'!$D$79:$D$100,0,0,1)) * Pipe_data[[#This Row],[Length]]</f>
        <v>158264.55379300233</v>
      </c>
    </row>
    <row r="145" spans="3:18" x14ac:dyDescent="0.25">
      <c r="C145" s="206" t="str" cm="1">
        <f t="array" ref="C145">_xlfn.XLOOKUP(C$4,Pipe_data_input[#Headers],'Pipe data inputs'!C144:O144,0,0,)</f>
        <v>QgV5vQW2U3JlrYPu</v>
      </c>
      <c r="D145" s="293" cm="1">
        <f t="array" ref="D145">_xlfn.XLOOKUP(D$4,Pipe_data_input[#Headers],'Pipe data inputs'!C144:O144,0,0,)</f>
        <v>7.2712060000000003</v>
      </c>
      <c r="E145" s="206" t="str" cm="1">
        <f t="array" ref="E145">_xlfn.XLOOKUP(E$4,Pipe_data_input[#Headers],'Pipe data inputs'!C144:O144,0,0,)</f>
        <v>Hard (default)</v>
      </c>
      <c r="F145" s="206" cm="1">
        <f t="array" ref="F145">_xlfn.XLOOKUP(F$4,Pipe_data_input[#Headers],'Pipe data inputs'!C144:O144,0,0,)</f>
        <v>80</v>
      </c>
      <c r="G145" s="241" cm="1">
        <f t="array" ref="G145">_xlfn.XLOOKUP(G$4,Pipe_data_input[#Headers],'Pipe data inputs'!C144:O144,0,0,)</f>
        <v>1721.7168890817159</v>
      </c>
      <c r="H145" s="241" cm="1">
        <f t="array" ref="H145">_xlfn.XLOOKUP(H$4,Pipe_data_input[#Headers],'Pipe data inputs'!C144:O144,0,0,)</f>
        <v>562.93208777304994</v>
      </c>
      <c r="I145" s="206" cm="1">
        <f t="array" ref="I145">_xlfn.XLOOKUP(I$4,Pipe_data_input[#Headers],'Pipe data inputs'!C144:O144,0,0,)</f>
        <v>0</v>
      </c>
      <c r="J145" s="206" cm="1">
        <f t="array" ref="J145">_xlfn.XLOOKUP(J$4,Pipe_data_input[#Headers],'Pipe data inputs'!C144:O144,0,0,)</f>
        <v>0</v>
      </c>
      <c r="K145" s="206" cm="1">
        <f t="array" ref="K145">_xlfn.XLOOKUP(K$4,Pipe_data_input[#Headers],'Pipe data inputs'!C144:O144,0,0,)</f>
        <v>0</v>
      </c>
      <c r="L145" s="206" cm="1">
        <f t="array" ref="L145">_xlfn.XLOOKUP(L$4,Pipe_data_input[#Headers],'Pipe data inputs'!C144:O144,0,0,)</f>
        <v>0</v>
      </c>
      <c r="M145" s="295" cm="1">
        <f t="array" ref="M145">_xlfn.XLOOKUP(M$4,Pipe_data_input[#Headers],'Pipe data inputs'!C144:O144,0,0,)</f>
        <v>0.65</v>
      </c>
      <c r="N145" s="211"/>
      <c r="O145" s="206" t="str">
        <f>IF(Pipe_data[[#This Row],[ID]]&gt;0, IF(Pipe_data[[#This Row],[Assumed diversity from model]]=1, "Feed", "Main"), "-" )</f>
        <v>Main</v>
      </c>
      <c r="P145" s="240">
        <v>0</v>
      </c>
      <c r="Q145" s="274">
        <f>IF(Pipe_data[[#This Row],[Phase overwrite]]&gt;0,Pipe_data[[#This Row],[Phase overwrite]],
IF(Pipe_data[[#This Row],[Tag]]="Feed",
_xlfn.XLOOKUP(Pipe_data[[#This Row],[Connected buildings ID]],'Heat connections'!$D$5:$D$242,'Heat connections'!$M$5:$M$242,1,0,1),1))</f>
        <v>1</v>
      </c>
      <c r="R145" s="499">
        <f>IF(Pipe_data[[#This Row],[Surface]]="Hard (Default)",
_xlfn.XLOOKUP(Pipe_data[[#This Row],[Nominal Diameter]],'Technical inputs'!$B$79:$B$100,'Technical inputs'!$C$79:$C$100,0,0,1),
_xlfn.XLOOKUP(Pipe_data[[#This Row],[Nominal Diameter]],'Technical inputs'!$B$79:$B$100,'Technical inputs'!$D$79:$D$100,0,0,1)) * Pipe_data[[#This Row],[Length]]</f>
        <v>19877.241050526081</v>
      </c>
    </row>
    <row r="146" spans="3:18" x14ac:dyDescent="0.25">
      <c r="C146" s="206" t="str" cm="1">
        <f t="array" ref="C146">_xlfn.XLOOKUP(C$4,Pipe_data_input[#Headers],'Pipe data inputs'!C145:O145,0,0,)</f>
        <v>uTgrhrEW07q1N3rA</v>
      </c>
      <c r="D146" s="293" cm="1">
        <f t="array" ref="D146">_xlfn.XLOOKUP(D$4,Pipe_data_input[#Headers],'Pipe data inputs'!C145:O145,0,0,)</f>
        <v>8.9480640000000005</v>
      </c>
      <c r="E146" s="206" t="str" cm="1">
        <f t="array" ref="E146">_xlfn.XLOOKUP(E$4,Pipe_data_input[#Headers],'Pipe data inputs'!C145:O145,0,0,)</f>
        <v>Hard (default)</v>
      </c>
      <c r="F146" s="206" cm="1">
        <f t="array" ref="F146">_xlfn.XLOOKUP(F$4,Pipe_data_input[#Headers],'Pipe data inputs'!C145:O145,0,0,)</f>
        <v>25</v>
      </c>
      <c r="G146" s="241" cm="1">
        <f t="array" ref="G146">_xlfn.XLOOKUP(G$4,Pipe_data_input[#Headers],'Pipe data inputs'!C145:O145,0,0,)</f>
        <v>1118.4543883039919</v>
      </c>
      <c r="H146" s="241" cm="1">
        <f t="array" ref="H146">_xlfn.XLOOKUP(H$4,Pipe_data_input[#Headers],'Pipe data inputs'!C145:O145,0,0,)</f>
        <v>31.4380187988281</v>
      </c>
      <c r="I146" s="206" cm="1">
        <f t="array" ref="I146">_xlfn.XLOOKUP(I$4,Pipe_data_input[#Headers],'Pipe data inputs'!C145:O145,0,0,)</f>
        <v>0</v>
      </c>
      <c r="J146" s="206" cm="1">
        <f t="array" ref="J146">_xlfn.XLOOKUP(J$4,Pipe_data_input[#Headers],'Pipe data inputs'!C145:O145,0,0,)</f>
        <v>0</v>
      </c>
      <c r="K146" s="206" cm="1">
        <f t="array" ref="K146">_xlfn.XLOOKUP(K$4,Pipe_data_input[#Headers],'Pipe data inputs'!C145:O145,0,0,)</f>
        <v>0</v>
      </c>
      <c r="L146" s="206" cm="1">
        <f t="array" ref="L146">_xlfn.XLOOKUP(L$4,Pipe_data_input[#Headers],'Pipe data inputs'!C145:O145,0,0,)</f>
        <v>0</v>
      </c>
      <c r="M146" s="295" cm="1">
        <f t="array" ref="M146">_xlfn.XLOOKUP(M$4,Pipe_data_input[#Headers],'Pipe data inputs'!C145:O145,0,0,)</f>
        <v>0.81000000000030525</v>
      </c>
      <c r="N146" s="211"/>
      <c r="O146" s="206" t="str">
        <f>IF(Pipe_data[[#This Row],[ID]]&gt;0, IF(Pipe_data[[#This Row],[Assumed diversity from model]]=1, "Feed", "Main"), "-" )</f>
        <v>Main</v>
      </c>
      <c r="P146" s="240">
        <v>0</v>
      </c>
      <c r="Q146" s="274">
        <f>IF(Pipe_data[[#This Row],[Phase overwrite]]&gt;0,Pipe_data[[#This Row],[Phase overwrite]],
IF(Pipe_data[[#This Row],[Tag]]="Feed",
_xlfn.XLOOKUP(Pipe_data[[#This Row],[Connected buildings ID]],'Heat connections'!$D$5:$D$242,'Heat connections'!$M$5:$M$242,1,0,1),1))</f>
        <v>1</v>
      </c>
      <c r="R146" s="499">
        <f>IF(Pipe_data[[#This Row],[Surface]]="Hard (Default)",
_xlfn.XLOOKUP(Pipe_data[[#This Row],[Nominal Diameter]],'Technical inputs'!$B$79:$B$100,'Technical inputs'!$C$79:$C$100,0,0,1),
_xlfn.XLOOKUP(Pipe_data[[#This Row],[Nominal Diameter]],'Technical inputs'!$B$79:$B$100,'Technical inputs'!$D$79:$D$100,0,0,1)) * Pipe_data[[#This Row],[Length]]</f>
        <v>19288.222437831544</v>
      </c>
    </row>
    <row r="147" spans="3:18" x14ac:dyDescent="0.25">
      <c r="C147" s="206" t="str" cm="1">
        <f t="array" ref="C147">_xlfn.XLOOKUP(C$4,Pipe_data_input[#Headers],'Pipe data inputs'!C146:O146,0,0,)</f>
        <v>ptZTc7luQGgTBcA1</v>
      </c>
      <c r="D147" s="293" cm="1">
        <f t="array" ref="D147">_xlfn.XLOOKUP(D$4,Pipe_data_input[#Headers],'Pipe data inputs'!C146:O146,0,0,)</f>
        <v>20.562971000000001</v>
      </c>
      <c r="E147" s="206" t="str" cm="1">
        <f t="array" ref="E147">_xlfn.XLOOKUP(E$4,Pipe_data_input[#Headers],'Pipe data inputs'!C146:O146,0,0,)</f>
        <v>Hard (default)</v>
      </c>
      <c r="F147" s="206" cm="1">
        <f t="array" ref="F147">_xlfn.XLOOKUP(F$4,Pipe_data_input[#Headers],'Pipe data inputs'!C146:O146,0,0,)</f>
        <v>125</v>
      </c>
      <c r="G147" s="241" cm="1">
        <f t="array" ref="G147">_xlfn.XLOOKUP(G$4,Pipe_data_input[#Headers],'Pipe data inputs'!C146:O146,0,0,)</f>
        <v>5747.8537321646309</v>
      </c>
      <c r="H147" s="241" cm="1">
        <f t="array" ref="H147">_xlfn.XLOOKUP(H$4,Pipe_data_input[#Headers],'Pipe data inputs'!C146:O146,0,0,)</f>
        <v>1663.85827636719</v>
      </c>
      <c r="I147" s="206" cm="1">
        <f t="array" ref="I147">_xlfn.XLOOKUP(I$4,Pipe_data_input[#Headers],'Pipe data inputs'!C146:O146,0,0,)</f>
        <v>0</v>
      </c>
      <c r="J147" s="206" cm="1">
        <f t="array" ref="J147">_xlfn.XLOOKUP(J$4,Pipe_data_input[#Headers],'Pipe data inputs'!C146:O146,0,0,)</f>
        <v>0</v>
      </c>
      <c r="K147" s="206" cm="1">
        <f t="array" ref="K147">_xlfn.XLOOKUP(K$4,Pipe_data_input[#Headers],'Pipe data inputs'!C146:O146,0,0,)</f>
        <v>0</v>
      </c>
      <c r="L147" s="206" cm="1">
        <f t="array" ref="L147">_xlfn.XLOOKUP(L$4,Pipe_data_input[#Headers],'Pipe data inputs'!C146:O146,0,0,)</f>
        <v>0</v>
      </c>
      <c r="M147" s="295" cm="1">
        <f t="array" ref="M147">_xlfn.XLOOKUP(M$4,Pipe_data_input[#Headers],'Pipe data inputs'!C146:O146,0,0,)</f>
        <v>0.81000000000000172</v>
      </c>
      <c r="N147" s="211"/>
      <c r="O147" s="206" t="str">
        <f>IF(Pipe_data[[#This Row],[ID]]&gt;0, IF(Pipe_data[[#This Row],[Assumed diversity from model]]=1, "Feed", "Main"), "-" )</f>
        <v>Main</v>
      </c>
      <c r="P147" s="240">
        <v>0</v>
      </c>
      <c r="Q147" s="274">
        <f>IF(Pipe_data[[#This Row],[Phase overwrite]]&gt;0,Pipe_data[[#This Row],[Phase overwrite]],
IF(Pipe_data[[#This Row],[Tag]]="Feed",
_xlfn.XLOOKUP(Pipe_data[[#This Row],[Connected buildings ID]],'Heat connections'!$D$5:$D$242,'Heat connections'!$M$5:$M$242,1,0,1),1))</f>
        <v>1</v>
      </c>
      <c r="R147" s="499">
        <f>IF(Pipe_data[[#This Row],[Surface]]="Hard (Default)",
_xlfn.XLOOKUP(Pipe_data[[#This Row],[Nominal Diameter]],'Technical inputs'!$B$79:$B$100,'Technical inputs'!$C$79:$C$100,0,0,1),
_xlfn.XLOOKUP(Pipe_data[[#This Row],[Nominal Diameter]],'Technical inputs'!$B$79:$B$100,'Technical inputs'!$D$79:$D$100,0,0,1)) * Pipe_data[[#This Row],[Length]]</f>
        <v>63007.370303191521</v>
      </c>
    </row>
    <row r="148" spans="3:18" x14ac:dyDescent="0.25">
      <c r="C148" s="206" t="str" cm="1">
        <f t="array" ref="C148">_xlfn.XLOOKUP(C$4,Pipe_data_input[#Headers],'Pipe data inputs'!C147:O147,0,0,)</f>
        <v>Brc5Mf4ok/fG4MK2</v>
      </c>
      <c r="D148" s="293" cm="1">
        <f t="array" ref="D148">_xlfn.XLOOKUP(D$4,Pipe_data_input[#Headers],'Pipe data inputs'!C147:O147,0,0,)</f>
        <v>2.7840767</v>
      </c>
      <c r="E148" s="206" t="str" cm="1">
        <f t="array" ref="E148">_xlfn.XLOOKUP(E$4,Pipe_data_input[#Headers],'Pipe data inputs'!C147:O147,0,0,)</f>
        <v>Hard (default)</v>
      </c>
      <c r="F148" s="206" cm="1">
        <f t="array" ref="F148">_xlfn.XLOOKUP(F$4,Pipe_data_input[#Headers],'Pipe data inputs'!C147:O147,0,0,)</f>
        <v>50</v>
      </c>
      <c r="G148" s="241" cm="1">
        <f t="array" ref="G148">_xlfn.XLOOKUP(G$4,Pipe_data_input[#Headers],'Pipe data inputs'!C147:O147,0,0,)</f>
        <v>516.66966779170514</v>
      </c>
      <c r="H148" s="241" cm="1">
        <f t="array" ref="H148">_xlfn.XLOOKUP(H$4,Pipe_data_input[#Headers],'Pipe data inputs'!C147:O147,0,0,)</f>
        <v>148.388475348707</v>
      </c>
      <c r="I148" s="206" cm="1">
        <f t="array" ref="I148">_xlfn.XLOOKUP(I$4,Pipe_data_input[#Headers],'Pipe data inputs'!C147:O147,0,0,)</f>
        <v>0</v>
      </c>
      <c r="J148" s="206" cm="1">
        <f t="array" ref="J148">_xlfn.XLOOKUP(J$4,Pipe_data_input[#Headers],'Pipe data inputs'!C147:O147,0,0,)</f>
        <v>0</v>
      </c>
      <c r="K148" s="206" cm="1">
        <f t="array" ref="K148">_xlfn.XLOOKUP(K$4,Pipe_data_input[#Headers],'Pipe data inputs'!C147:O147,0,0,)</f>
        <v>0</v>
      </c>
      <c r="L148" s="206" cm="1">
        <f t="array" ref="L148">_xlfn.XLOOKUP(L$4,Pipe_data_input[#Headers],'Pipe data inputs'!C147:O147,0,0,)</f>
        <v>0</v>
      </c>
      <c r="M148" s="295" cm="1">
        <f t="array" ref="M148">_xlfn.XLOOKUP(M$4,Pipe_data_input[#Headers],'Pipe data inputs'!C147:O147,0,0,)</f>
        <v>0.65</v>
      </c>
      <c r="N148" s="211"/>
      <c r="O148" s="206" t="str">
        <f>IF(Pipe_data[[#This Row],[ID]]&gt;0, IF(Pipe_data[[#This Row],[Assumed diversity from model]]=1, "Feed", "Main"), "-" )</f>
        <v>Main</v>
      </c>
      <c r="P148" s="240">
        <v>0</v>
      </c>
      <c r="Q148" s="274">
        <f>IF(Pipe_data[[#This Row],[Phase overwrite]]&gt;0,Pipe_data[[#This Row],[Phase overwrite]],
IF(Pipe_data[[#This Row],[Tag]]="Feed",
_xlfn.XLOOKUP(Pipe_data[[#This Row],[Connected buildings ID]],'Heat connections'!$D$5:$D$242,'Heat connections'!$M$5:$M$242,1,0,1),1))</f>
        <v>1</v>
      </c>
      <c r="R148" s="499">
        <f>IF(Pipe_data[[#This Row],[Surface]]="Hard (Default)",
_xlfn.XLOOKUP(Pipe_data[[#This Row],[Nominal Diameter]],'Technical inputs'!$B$79:$B$100,'Technical inputs'!$C$79:$C$100,0,0,1),
_xlfn.XLOOKUP(Pipe_data[[#This Row],[Nominal Diameter]],'Technical inputs'!$B$79:$B$100,'Technical inputs'!$D$79:$D$100,0,0,1)) * Pipe_data[[#This Row],[Length]]</f>
        <v>6964.1867007576739</v>
      </c>
    </row>
    <row r="149" spans="3:18" x14ac:dyDescent="0.25">
      <c r="C149" s="206" t="str" cm="1">
        <f t="array" ref="C149">_xlfn.XLOOKUP(C$4,Pipe_data_input[#Headers],'Pipe data inputs'!C148:O148,0,0,)</f>
        <v>WmVDFjHL/nDkXMAJ</v>
      </c>
      <c r="D149" s="293" cm="1">
        <f t="array" ref="D149">_xlfn.XLOOKUP(D$4,Pipe_data_input[#Headers],'Pipe data inputs'!C148:O148,0,0,)</f>
        <v>5.8325104999999997</v>
      </c>
      <c r="E149" s="206" t="str" cm="1">
        <f t="array" ref="E149">_xlfn.XLOOKUP(E$4,Pipe_data_input[#Headers],'Pipe data inputs'!C148:O148,0,0,)</f>
        <v>Hard (default)</v>
      </c>
      <c r="F149" s="206" cm="1">
        <f t="array" ref="F149">_xlfn.XLOOKUP(F$4,Pipe_data_input[#Headers],'Pipe data inputs'!C148:O148,0,0,)</f>
        <v>20</v>
      </c>
      <c r="G149" s="241" cm="1">
        <f t="array" ref="G149">_xlfn.XLOOKUP(G$4,Pipe_data_input[#Headers],'Pipe data inputs'!C148:O148,0,0,)</f>
        <v>682.87305797834938</v>
      </c>
      <c r="H149" s="241" cm="1">
        <f t="array" ref="H149">_xlfn.XLOOKUP(H$4,Pipe_data_input[#Headers],'Pipe data inputs'!C148:O148,0,0,)</f>
        <v>1</v>
      </c>
      <c r="I149" s="206" cm="1">
        <f t="array" ref="I149">_xlfn.XLOOKUP(I$4,Pipe_data_input[#Headers],'Pipe data inputs'!C148:O148,0,0,)</f>
        <v>0</v>
      </c>
      <c r="J149" s="206" cm="1">
        <f t="array" ref="J149">_xlfn.XLOOKUP(J$4,Pipe_data_input[#Headers],'Pipe data inputs'!C148:O148,0,0,)</f>
        <v>0</v>
      </c>
      <c r="K149" s="206" cm="1">
        <f t="array" ref="K149">_xlfn.XLOOKUP(K$4,Pipe_data_input[#Headers],'Pipe data inputs'!C148:O148,0,0,)</f>
        <v>0</v>
      </c>
      <c r="L149" s="206" cm="1">
        <f t="array" ref="L149">_xlfn.XLOOKUP(L$4,Pipe_data_input[#Headers],'Pipe data inputs'!C148:O148,0,0,)</f>
        <v>0</v>
      </c>
      <c r="M149" s="295" cm="1">
        <f t="array" ref="M149">_xlfn.XLOOKUP(M$4,Pipe_data_input[#Headers],'Pipe data inputs'!C148:O148,0,0,)</f>
        <v>1</v>
      </c>
      <c r="N149" s="211"/>
      <c r="O149" s="206" t="str">
        <f>IF(Pipe_data[[#This Row],[ID]]&gt;0, IF(Pipe_data[[#This Row],[Assumed diversity from model]]=1, "Feed", "Main"), "-" )</f>
        <v>Feed</v>
      </c>
      <c r="P149" s="240">
        <v>0</v>
      </c>
      <c r="Q149" s="274">
        <f>IF(Pipe_data[[#This Row],[Phase overwrite]]&gt;0,Pipe_data[[#This Row],[Phase overwrite]],
IF(Pipe_data[[#This Row],[Tag]]="Feed",
_xlfn.XLOOKUP(Pipe_data[[#This Row],[Connected buildings ID]],'Heat connections'!$D$5:$D$242,'Heat connections'!$M$5:$M$242,1,0,1),1))</f>
        <v>1</v>
      </c>
      <c r="R149" s="499">
        <f>IF(Pipe_data[[#This Row],[Surface]]="Hard (Default)",
_xlfn.XLOOKUP(Pipe_data[[#This Row],[Nominal Diameter]],'Technical inputs'!$B$79:$B$100,'Technical inputs'!$C$79:$C$100,0,0,1),
_xlfn.XLOOKUP(Pipe_data[[#This Row],[Nominal Diameter]],'Technical inputs'!$B$79:$B$100,'Technical inputs'!$D$79:$D$100,0,0,1)) * Pipe_data[[#This Row],[Length]]</f>
        <v>12491.797186515438</v>
      </c>
    </row>
    <row r="150" spans="3:18" x14ac:dyDescent="0.25">
      <c r="C150" s="206" t="str" cm="1">
        <f t="array" ref="C150">_xlfn.XLOOKUP(C$4,Pipe_data_input[#Headers],'Pipe data inputs'!C149:O149,0,0,)</f>
        <v>Rw6IGYfm7xkz43Qj</v>
      </c>
      <c r="D150" s="293" cm="1">
        <f t="array" ref="D150">_xlfn.XLOOKUP(D$4,Pipe_data_input[#Headers],'Pipe data inputs'!C149:O149,0,0,)</f>
        <v>7.3307414</v>
      </c>
      <c r="E150" s="206" t="str" cm="1">
        <f t="array" ref="E150">_xlfn.XLOOKUP(E$4,Pipe_data_input[#Headers],'Pipe data inputs'!C149:O149,0,0,)</f>
        <v>Hard (default)</v>
      </c>
      <c r="F150" s="206" cm="1">
        <f t="array" ref="F150">_xlfn.XLOOKUP(F$4,Pipe_data_input[#Headers],'Pipe data inputs'!C149:O149,0,0,)</f>
        <v>65</v>
      </c>
      <c r="G150" s="241" cm="1">
        <f t="array" ref="G150">_xlfn.XLOOKUP(G$4,Pipe_data_input[#Headers],'Pipe data inputs'!C149:O149,0,0,)</f>
        <v>1554.171945295785</v>
      </c>
      <c r="H150" s="241" cm="1">
        <f t="array" ref="H150">_xlfn.XLOOKUP(H$4,Pipe_data_input[#Headers],'Pipe data inputs'!C149:O149,0,0,)</f>
        <v>303.99337188720699</v>
      </c>
      <c r="I150" s="206" cm="1">
        <f t="array" ref="I150">_xlfn.XLOOKUP(I$4,Pipe_data_input[#Headers],'Pipe data inputs'!C149:O149,0,0,)</f>
        <v>0</v>
      </c>
      <c r="J150" s="206" cm="1">
        <f t="array" ref="J150">_xlfn.XLOOKUP(J$4,Pipe_data_input[#Headers],'Pipe data inputs'!C149:O149,0,0,)</f>
        <v>0</v>
      </c>
      <c r="K150" s="206" cm="1">
        <f t="array" ref="K150">_xlfn.XLOOKUP(K$4,Pipe_data_input[#Headers],'Pipe data inputs'!C149:O149,0,0,)</f>
        <v>0</v>
      </c>
      <c r="L150" s="206" cm="1">
        <f t="array" ref="L150">_xlfn.XLOOKUP(L$4,Pipe_data_input[#Headers],'Pipe data inputs'!C149:O149,0,0,)</f>
        <v>0</v>
      </c>
      <c r="M150" s="295" cm="1">
        <f t="array" ref="M150">_xlfn.XLOOKUP(M$4,Pipe_data_input[#Headers],'Pipe data inputs'!C149:O149,0,0,)</f>
        <v>0.72</v>
      </c>
      <c r="N150" s="211"/>
      <c r="O150" s="206" t="str">
        <f>IF(Pipe_data[[#This Row],[ID]]&gt;0, IF(Pipe_data[[#This Row],[Assumed diversity from model]]=1, "Feed", "Main"), "-" )</f>
        <v>Main</v>
      </c>
      <c r="P150" s="240">
        <v>0</v>
      </c>
      <c r="Q150" s="274">
        <f>IF(Pipe_data[[#This Row],[Phase overwrite]]&gt;0,Pipe_data[[#This Row],[Phase overwrite]],
IF(Pipe_data[[#This Row],[Tag]]="Feed",
_xlfn.XLOOKUP(Pipe_data[[#This Row],[Connected buildings ID]],'Heat connections'!$D$5:$D$242,'Heat connections'!$M$5:$M$242,1,0,1),1))</f>
        <v>1</v>
      </c>
      <c r="R150" s="499">
        <f>IF(Pipe_data[[#This Row],[Surface]]="Hard (Default)",
_xlfn.XLOOKUP(Pipe_data[[#This Row],[Nominal Diameter]],'Technical inputs'!$B$79:$B$100,'Technical inputs'!$C$79:$C$100,0,0,1),
_xlfn.XLOOKUP(Pipe_data[[#This Row],[Nominal Diameter]],'Technical inputs'!$B$79:$B$100,'Technical inputs'!$D$79:$D$100,0,0,1)) * Pipe_data[[#This Row],[Length]]</f>
        <v>19235.162670708298</v>
      </c>
    </row>
    <row r="151" spans="3:18" x14ac:dyDescent="0.25">
      <c r="C151" s="206" t="str" cm="1">
        <f t="array" ref="C151">_xlfn.XLOOKUP(C$4,Pipe_data_input[#Headers],'Pipe data inputs'!C150:O150,0,0,)</f>
        <v>Cc6li9mvmOX+n1k0</v>
      </c>
      <c r="D151" s="293" cm="1">
        <f t="array" ref="D151">_xlfn.XLOOKUP(D$4,Pipe_data_input[#Headers],'Pipe data inputs'!C150:O150,0,0,)</f>
        <v>4.8759316999999998</v>
      </c>
      <c r="E151" s="206" t="str" cm="1">
        <f t="array" ref="E151">_xlfn.XLOOKUP(E$4,Pipe_data_input[#Headers],'Pipe data inputs'!C150:O150,0,0,)</f>
        <v>Hard (default)</v>
      </c>
      <c r="F151" s="206" cm="1">
        <f t="array" ref="F151">_xlfn.XLOOKUP(F$4,Pipe_data_input[#Headers],'Pipe data inputs'!C150:O150,0,0,)</f>
        <v>80</v>
      </c>
      <c r="G151" s="241" cm="1">
        <f t="array" ref="G151">_xlfn.XLOOKUP(G$4,Pipe_data_input[#Headers],'Pipe data inputs'!C150:O150,0,0,)</f>
        <v>1154.5504222956868</v>
      </c>
      <c r="H151" s="241" cm="1">
        <f t="array" ref="H151">_xlfn.XLOOKUP(H$4,Pipe_data_input[#Headers],'Pipe data inputs'!C150:O150,0,0,)</f>
        <v>562.93208777304994</v>
      </c>
      <c r="I151" s="206" cm="1">
        <f t="array" ref="I151">_xlfn.XLOOKUP(I$4,Pipe_data_input[#Headers],'Pipe data inputs'!C150:O150,0,0,)</f>
        <v>0</v>
      </c>
      <c r="J151" s="206" cm="1">
        <f t="array" ref="J151">_xlfn.XLOOKUP(J$4,Pipe_data_input[#Headers],'Pipe data inputs'!C150:O150,0,0,)</f>
        <v>0</v>
      </c>
      <c r="K151" s="206" cm="1">
        <f t="array" ref="K151">_xlfn.XLOOKUP(K$4,Pipe_data_input[#Headers],'Pipe data inputs'!C150:O150,0,0,)</f>
        <v>0</v>
      </c>
      <c r="L151" s="206" cm="1">
        <f t="array" ref="L151">_xlfn.XLOOKUP(L$4,Pipe_data_input[#Headers],'Pipe data inputs'!C150:O150,0,0,)</f>
        <v>0</v>
      </c>
      <c r="M151" s="295" cm="1">
        <f t="array" ref="M151">_xlfn.XLOOKUP(M$4,Pipe_data_input[#Headers],'Pipe data inputs'!C150:O150,0,0,)</f>
        <v>0.65</v>
      </c>
      <c r="N151" s="211"/>
      <c r="O151" s="206" t="str">
        <f>IF(Pipe_data[[#This Row],[ID]]&gt;0, IF(Pipe_data[[#This Row],[Assumed diversity from model]]=1, "Feed", "Main"), "-" )</f>
        <v>Main</v>
      </c>
      <c r="P151" s="240">
        <v>0</v>
      </c>
      <c r="Q151" s="274">
        <f>IF(Pipe_data[[#This Row],[Phase overwrite]]&gt;0,Pipe_data[[#This Row],[Phase overwrite]],
IF(Pipe_data[[#This Row],[Tag]]="Feed",
_xlfn.XLOOKUP(Pipe_data[[#This Row],[Connected buildings ID]],'Heat connections'!$D$5:$D$242,'Heat connections'!$M$5:$M$242,1,0,1),1))</f>
        <v>1</v>
      </c>
      <c r="R151" s="499">
        <f>IF(Pipe_data[[#This Row],[Surface]]="Hard (Default)",
_xlfn.XLOOKUP(Pipe_data[[#This Row],[Nominal Diameter]],'Technical inputs'!$B$79:$B$100,'Technical inputs'!$C$79:$C$100,0,0,1),
_xlfn.XLOOKUP(Pipe_data[[#This Row],[Nominal Diameter]],'Technical inputs'!$B$79:$B$100,'Technical inputs'!$D$79:$D$100,0,0,1)) * Pipe_data[[#This Row],[Length]]</f>
        <v>13329.297746041222</v>
      </c>
    </row>
    <row r="152" spans="3:18" x14ac:dyDescent="0.25">
      <c r="C152" s="206" t="str" cm="1">
        <f t="array" ref="C152">_xlfn.XLOOKUP(C$4,Pipe_data_input[#Headers],'Pipe data inputs'!C151:O151,0,0,)</f>
        <v>OLT6G7ljo4EVC3m0</v>
      </c>
      <c r="D152" s="293" cm="1">
        <f t="array" ref="D152">_xlfn.XLOOKUP(D$4,Pipe_data_input[#Headers],'Pipe data inputs'!C151:O151,0,0,)</f>
        <v>30.852463</v>
      </c>
      <c r="E152" s="206" t="str" cm="1">
        <f t="array" ref="E152">_xlfn.XLOOKUP(E$4,Pipe_data_input[#Headers],'Pipe data inputs'!C151:O151,0,0,)</f>
        <v>Hard (default)</v>
      </c>
      <c r="F152" s="206" cm="1">
        <f t="array" ref="F152">_xlfn.XLOOKUP(F$4,Pipe_data_input[#Headers],'Pipe data inputs'!C151:O151,0,0,)</f>
        <v>125</v>
      </c>
      <c r="G152" s="241" cm="1">
        <f t="array" ref="G152">_xlfn.XLOOKUP(G$4,Pipe_data_input[#Headers],'Pipe data inputs'!C151:O151,0,0,)</f>
        <v>8624.0186109789865</v>
      </c>
      <c r="H152" s="241" cm="1">
        <f t="array" ref="H152">_xlfn.XLOOKUP(H$4,Pipe_data_input[#Headers],'Pipe data inputs'!C151:O151,0,0,)</f>
        <v>1663.85827636719</v>
      </c>
      <c r="I152" s="206" cm="1">
        <f t="array" ref="I152">_xlfn.XLOOKUP(I$4,Pipe_data_input[#Headers],'Pipe data inputs'!C151:O151,0,0,)</f>
        <v>0</v>
      </c>
      <c r="J152" s="206" cm="1">
        <f t="array" ref="J152">_xlfn.XLOOKUP(J$4,Pipe_data_input[#Headers],'Pipe data inputs'!C151:O151,0,0,)</f>
        <v>0</v>
      </c>
      <c r="K152" s="206" cm="1">
        <f t="array" ref="K152">_xlfn.XLOOKUP(K$4,Pipe_data_input[#Headers],'Pipe data inputs'!C151:O151,0,0,)</f>
        <v>0</v>
      </c>
      <c r="L152" s="206" cm="1">
        <f t="array" ref="L152">_xlfn.XLOOKUP(L$4,Pipe_data_input[#Headers],'Pipe data inputs'!C151:O151,0,0,)</f>
        <v>0</v>
      </c>
      <c r="M152" s="295" cm="1">
        <f t="array" ref="M152">_xlfn.XLOOKUP(M$4,Pipe_data_input[#Headers],'Pipe data inputs'!C151:O151,0,0,)</f>
        <v>0.81000000000000172</v>
      </c>
      <c r="N152" s="211"/>
      <c r="O152" s="206" t="str">
        <f>IF(Pipe_data[[#This Row],[ID]]&gt;0, IF(Pipe_data[[#This Row],[Assumed diversity from model]]=1, "Feed", "Main"), "-" )</f>
        <v>Main</v>
      </c>
      <c r="P152" s="240">
        <v>0</v>
      </c>
      <c r="Q152" s="274">
        <f>IF(Pipe_data[[#This Row],[Phase overwrite]]&gt;0,Pipe_data[[#This Row],[Phase overwrite]],
IF(Pipe_data[[#This Row],[Tag]]="Feed",
_xlfn.XLOOKUP(Pipe_data[[#This Row],[Connected buildings ID]],'Heat connections'!$D$5:$D$242,'Heat connections'!$M$5:$M$242,1,0,1),1))</f>
        <v>1</v>
      </c>
      <c r="R152" s="499">
        <f>IF(Pipe_data[[#This Row],[Surface]]="Hard (Default)",
_xlfn.XLOOKUP(Pipe_data[[#This Row],[Nominal Diameter]],'Technical inputs'!$B$79:$B$100,'Technical inputs'!$C$79:$C$100,0,0,1),
_xlfn.XLOOKUP(Pipe_data[[#This Row],[Nominal Diameter]],'Technical inputs'!$B$79:$B$100,'Technical inputs'!$D$79:$D$100,0,0,1)) * Pipe_data[[#This Row],[Length]]</f>
        <v>94535.588315837973</v>
      </c>
    </row>
    <row r="153" spans="3:18" x14ac:dyDescent="0.25">
      <c r="C153" s="206" t="str" cm="1">
        <f t="array" ref="C153">_xlfn.XLOOKUP(C$4,Pipe_data_input[#Headers],'Pipe data inputs'!C152:O152,0,0,)</f>
        <v>4bNFXn0/7jEcjc/E</v>
      </c>
      <c r="D153" s="293" cm="1">
        <f t="array" ref="D153">_xlfn.XLOOKUP(D$4,Pipe_data_input[#Headers],'Pipe data inputs'!C152:O152,0,0,)</f>
        <v>9.0975459999999995</v>
      </c>
      <c r="E153" s="206" t="str" cm="1">
        <f t="array" ref="E153">_xlfn.XLOOKUP(E$4,Pipe_data_input[#Headers],'Pipe data inputs'!C152:O152,0,0,)</f>
        <v>Hard (default)</v>
      </c>
      <c r="F153" s="206" cm="1">
        <f t="array" ref="F153">_xlfn.XLOOKUP(F$4,Pipe_data_input[#Headers],'Pipe data inputs'!C152:O152,0,0,)</f>
        <v>250</v>
      </c>
      <c r="G153" s="241" cm="1">
        <f t="array" ref="G153">_xlfn.XLOOKUP(G$4,Pipe_data_input[#Headers],'Pipe data inputs'!C152:O152,0,0,)</f>
        <v>3305.4075720398573</v>
      </c>
      <c r="H153" s="241" cm="1">
        <f t="array" ref="H153">_xlfn.XLOOKUP(H$4,Pipe_data_input[#Headers],'Pipe data inputs'!C152:O152,0,0,)</f>
        <v>13386.7484804549</v>
      </c>
      <c r="I153" s="206" cm="1">
        <f t="array" ref="I153">_xlfn.XLOOKUP(I$4,Pipe_data_input[#Headers],'Pipe data inputs'!C152:O152,0,0,)</f>
        <v>0</v>
      </c>
      <c r="J153" s="206" cm="1">
        <f t="array" ref="J153">_xlfn.XLOOKUP(J$4,Pipe_data_input[#Headers],'Pipe data inputs'!C152:O152,0,0,)</f>
        <v>0</v>
      </c>
      <c r="K153" s="206" cm="1">
        <f t="array" ref="K153">_xlfn.XLOOKUP(K$4,Pipe_data_input[#Headers],'Pipe data inputs'!C152:O152,0,0,)</f>
        <v>0</v>
      </c>
      <c r="L153" s="206" cm="1">
        <f t="array" ref="L153">_xlfn.XLOOKUP(L$4,Pipe_data_input[#Headers],'Pipe data inputs'!C152:O152,0,0,)</f>
        <v>0</v>
      </c>
      <c r="M153" s="295" cm="1">
        <f t="array" ref="M153">_xlfn.XLOOKUP(M$4,Pipe_data_input[#Headers],'Pipe data inputs'!C152:O152,0,0,)</f>
        <v>0.63</v>
      </c>
      <c r="N153" s="211"/>
      <c r="O153" s="206" t="str">
        <f>IF(Pipe_data[[#This Row],[ID]]&gt;0, IF(Pipe_data[[#This Row],[Assumed diversity from model]]=1, "Feed", "Main"), "-" )</f>
        <v>Main</v>
      </c>
      <c r="P153" s="240">
        <v>0</v>
      </c>
      <c r="Q153" s="274">
        <f>IF(Pipe_data[[#This Row],[Phase overwrite]]&gt;0,Pipe_data[[#This Row],[Phase overwrite]],
IF(Pipe_data[[#This Row],[Tag]]="Feed",
_xlfn.XLOOKUP(Pipe_data[[#This Row],[Connected buildings ID]],'Heat connections'!$D$5:$D$242,'Heat connections'!$M$5:$M$242,1,0,1),1))</f>
        <v>1</v>
      </c>
      <c r="R153" s="499">
        <f>IF(Pipe_data[[#This Row],[Surface]]="Hard (Default)",
_xlfn.XLOOKUP(Pipe_data[[#This Row],[Nominal Diameter]],'Technical inputs'!$B$79:$B$100,'Technical inputs'!$C$79:$C$100,0,0,1),
_xlfn.XLOOKUP(Pipe_data[[#This Row],[Nominal Diameter]],'Technical inputs'!$B$79:$B$100,'Technical inputs'!$D$79:$D$100,0,0,1)) * Pipe_data[[#This Row],[Length]]</f>
        <v>40746.449490531704</v>
      </c>
    </row>
    <row r="154" spans="3:18" x14ac:dyDescent="0.25">
      <c r="C154" s="206" t="str" cm="1">
        <f t="array" ref="C154">_xlfn.XLOOKUP(C$4,Pipe_data_input[#Headers],'Pipe data inputs'!C153:O153,0,0,)</f>
        <v>8u5FTWEeyLH3qcaP</v>
      </c>
      <c r="D154" s="293" cm="1">
        <f t="array" ref="D154">_xlfn.XLOOKUP(D$4,Pipe_data_input[#Headers],'Pipe data inputs'!C153:O153,0,0,)</f>
        <v>10.204765999999999</v>
      </c>
      <c r="E154" s="206" t="str" cm="1">
        <f t="array" ref="E154">_xlfn.XLOOKUP(E$4,Pipe_data_input[#Headers],'Pipe data inputs'!C153:O153,0,0,)</f>
        <v>Hard (default)</v>
      </c>
      <c r="F154" s="206" cm="1">
        <f t="array" ref="F154">_xlfn.XLOOKUP(F$4,Pipe_data_input[#Headers],'Pipe data inputs'!C153:O153,0,0,)</f>
        <v>20</v>
      </c>
      <c r="G154" s="241" cm="1">
        <f t="array" ref="G154">_xlfn.XLOOKUP(G$4,Pipe_data_input[#Headers],'Pipe data inputs'!C153:O153,0,0,)</f>
        <v>1194.7787774018559</v>
      </c>
      <c r="H154" s="241" cm="1">
        <f t="array" ref="H154">_xlfn.XLOOKUP(H$4,Pipe_data_input[#Headers],'Pipe data inputs'!C153:O153,0,0,)</f>
        <v>1</v>
      </c>
      <c r="I154" s="206" cm="1">
        <f t="array" ref="I154">_xlfn.XLOOKUP(I$4,Pipe_data_input[#Headers],'Pipe data inputs'!C153:O153,0,0,)</f>
        <v>0</v>
      </c>
      <c r="J154" s="206" cm="1">
        <f t="array" ref="J154">_xlfn.XLOOKUP(J$4,Pipe_data_input[#Headers],'Pipe data inputs'!C153:O153,0,0,)</f>
        <v>0</v>
      </c>
      <c r="K154" s="206" cm="1">
        <f t="array" ref="K154">_xlfn.XLOOKUP(K$4,Pipe_data_input[#Headers],'Pipe data inputs'!C153:O153,0,0,)</f>
        <v>0</v>
      </c>
      <c r="L154" s="206" cm="1">
        <f t="array" ref="L154">_xlfn.XLOOKUP(L$4,Pipe_data_input[#Headers],'Pipe data inputs'!C153:O153,0,0,)</f>
        <v>0</v>
      </c>
      <c r="M154" s="295" cm="1">
        <f t="array" ref="M154">_xlfn.XLOOKUP(M$4,Pipe_data_input[#Headers],'Pipe data inputs'!C153:O153,0,0,)</f>
        <v>1</v>
      </c>
      <c r="N154" s="211"/>
      <c r="O154" s="206" t="str">
        <f>IF(Pipe_data[[#This Row],[ID]]&gt;0, IF(Pipe_data[[#This Row],[Assumed diversity from model]]=1, "Feed", "Main"), "-" )</f>
        <v>Feed</v>
      </c>
      <c r="P154" s="240">
        <v>0</v>
      </c>
      <c r="Q154" s="274">
        <f>IF(Pipe_data[[#This Row],[Phase overwrite]]&gt;0,Pipe_data[[#This Row],[Phase overwrite]],
IF(Pipe_data[[#This Row],[Tag]]="Feed",
_xlfn.XLOOKUP(Pipe_data[[#This Row],[Connected buildings ID]],'Heat connections'!$D$5:$D$242,'Heat connections'!$M$5:$M$242,1,0,1),1))</f>
        <v>1</v>
      </c>
      <c r="R154" s="499">
        <f>IF(Pipe_data[[#This Row],[Surface]]="Hard (Default)",
_xlfn.XLOOKUP(Pipe_data[[#This Row],[Nominal Diameter]],'Technical inputs'!$B$79:$B$100,'Technical inputs'!$C$79:$C$100,0,0,1),
_xlfn.XLOOKUP(Pipe_data[[#This Row],[Nominal Diameter]],'Technical inputs'!$B$79:$B$100,'Technical inputs'!$D$79:$D$100,0,0,1)) * Pipe_data[[#This Row],[Length]]</f>
        <v>21856.088764494874</v>
      </c>
    </row>
    <row r="155" spans="3:18" x14ac:dyDescent="0.25">
      <c r="C155" s="206" t="str" cm="1">
        <f t="array" ref="C155">_xlfn.XLOOKUP(C$4,Pipe_data_input[#Headers],'Pipe data inputs'!C154:O154,0,0,)</f>
        <v>tz6aJPacPZsjO5cE</v>
      </c>
      <c r="D155" s="293" cm="1">
        <f t="array" ref="D155">_xlfn.XLOOKUP(D$4,Pipe_data_input[#Headers],'Pipe data inputs'!C154:O154,0,0,)</f>
        <v>13.537687999999999</v>
      </c>
      <c r="E155" s="206" t="str" cm="1">
        <f t="array" ref="E155">_xlfn.XLOOKUP(E$4,Pipe_data_input[#Headers],'Pipe data inputs'!C154:O154,0,0,)</f>
        <v>Hard (default)</v>
      </c>
      <c r="F155" s="206" cm="1">
        <f t="array" ref="F155">_xlfn.XLOOKUP(F$4,Pipe_data_input[#Headers],'Pipe data inputs'!C154:O154,0,0,)</f>
        <v>300</v>
      </c>
      <c r="G155" s="241" cm="1">
        <f t="array" ref="G155">_xlfn.XLOOKUP(G$4,Pipe_data_input[#Headers],'Pipe data inputs'!C154:O154,0,0,)</f>
        <v>4963.9445074856785</v>
      </c>
      <c r="H155" s="241" cm="1">
        <f t="array" ref="H155">_xlfn.XLOOKUP(H$4,Pipe_data_input[#Headers],'Pipe data inputs'!C154:O154,0,0,)</f>
        <v>14313.356977737199</v>
      </c>
      <c r="I155" s="206" cm="1">
        <f t="array" ref="I155">_xlfn.XLOOKUP(I$4,Pipe_data_input[#Headers],'Pipe data inputs'!C154:O154,0,0,)</f>
        <v>0</v>
      </c>
      <c r="J155" s="206" cm="1">
        <f t="array" ref="J155">_xlfn.XLOOKUP(J$4,Pipe_data_input[#Headers],'Pipe data inputs'!C154:O154,0,0,)</f>
        <v>0</v>
      </c>
      <c r="K155" s="206" cm="1">
        <f t="array" ref="K155">_xlfn.XLOOKUP(K$4,Pipe_data_input[#Headers],'Pipe data inputs'!C154:O154,0,0,)</f>
        <v>0</v>
      </c>
      <c r="L155" s="206" cm="1">
        <f t="array" ref="L155">_xlfn.XLOOKUP(L$4,Pipe_data_input[#Headers],'Pipe data inputs'!C154:O154,0,0,)</f>
        <v>0</v>
      </c>
      <c r="M155" s="295" cm="1">
        <f t="array" ref="M155">_xlfn.XLOOKUP(M$4,Pipe_data_input[#Headers],'Pipe data inputs'!C154:O154,0,0,)</f>
        <v>0.63217717375457105</v>
      </c>
      <c r="N155" s="212"/>
      <c r="O155" s="206" t="str">
        <f>IF(Pipe_data[[#This Row],[ID]]&gt;0, IF(Pipe_data[[#This Row],[Assumed diversity from model]]=1, "Feed", "Main"), "-" )</f>
        <v>Main</v>
      </c>
      <c r="P155" s="240">
        <v>0</v>
      </c>
      <c r="Q155" s="274">
        <f>IF(Pipe_data[[#This Row],[Phase overwrite]]&gt;0,Pipe_data[[#This Row],[Phase overwrite]],
IF(Pipe_data[[#This Row],[Tag]]="Feed",
_xlfn.XLOOKUP(Pipe_data[[#This Row],[Connected buildings ID]],'Heat connections'!$D$5:$D$242,'Heat connections'!$M$5:$M$242,1,0,1),1))</f>
        <v>1</v>
      </c>
      <c r="R155" s="499">
        <f>IF(Pipe_data[[#This Row],[Surface]]="Hard (Default)",
_xlfn.XLOOKUP(Pipe_data[[#This Row],[Nominal Diameter]],'Technical inputs'!$B$79:$B$100,'Technical inputs'!$C$79:$C$100,0,0,1),
_xlfn.XLOOKUP(Pipe_data[[#This Row],[Nominal Diameter]],'Technical inputs'!$B$79:$B$100,'Technical inputs'!$D$79:$D$100,0,0,1)) * Pipe_data[[#This Row],[Length]]</f>
        <v>62269.920531037285</v>
      </c>
    </row>
    <row r="156" spans="3:18" x14ac:dyDescent="0.25">
      <c r="C156" s="206" t="str" cm="1">
        <f t="array" ref="C156">_xlfn.XLOOKUP(C$4,Pipe_data_input[#Headers],'Pipe data inputs'!C155:O155,0,0,)</f>
        <v>7Rw6XblErp0C8Pp3</v>
      </c>
      <c r="D156" s="293" cm="1">
        <f t="array" ref="D156">_xlfn.XLOOKUP(D$4,Pipe_data_input[#Headers],'Pipe data inputs'!C155:O155,0,0,)</f>
        <v>19.212194</v>
      </c>
      <c r="E156" s="206" t="str" cm="1">
        <f t="array" ref="E156">_xlfn.XLOOKUP(E$4,Pipe_data_input[#Headers],'Pipe data inputs'!C155:O155,0,0,)</f>
        <v>Hard (default)</v>
      </c>
      <c r="F156" s="206" cm="1">
        <f t="array" ref="F156">_xlfn.XLOOKUP(F$4,Pipe_data_input[#Headers],'Pipe data inputs'!C155:O155,0,0,)</f>
        <v>80</v>
      </c>
      <c r="G156" s="241" cm="1">
        <f t="array" ref="G156">_xlfn.XLOOKUP(G$4,Pipe_data_input[#Headers],'Pipe data inputs'!C155:O155,0,0,)</f>
        <v>4360.556806072479</v>
      </c>
      <c r="H156" s="241" cm="1">
        <f t="array" ref="H156">_xlfn.XLOOKUP(H$4,Pipe_data_input[#Headers],'Pipe data inputs'!C155:O155,0,0,)</f>
        <v>723.92397888488199</v>
      </c>
      <c r="I156" s="206" cm="1">
        <f t="array" ref="I156">_xlfn.XLOOKUP(I$4,Pipe_data_input[#Headers],'Pipe data inputs'!C155:O155,0,0,)</f>
        <v>0</v>
      </c>
      <c r="J156" s="206" cm="1">
        <f t="array" ref="J156">_xlfn.XLOOKUP(J$4,Pipe_data_input[#Headers],'Pipe data inputs'!C155:O155,0,0,)</f>
        <v>0</v>
      </c>
      <c r="K156" s="206" cm="1">
        <f t="array" ref="K156">_xlfn.XLOOKUP(K$4,Pipe_data_input[#Headers],'Pipe data inputs'!C155:O155,0,0,)</f>
        <v>0</v>
      </c>
      <c r="L156" s="206" cm="1">
        <f t="array" ref="L156">_xlfn.XLOOKUP(L$4,Pipe_data_input[#Headers],'Pipe data inputs'!C155:O155,0,0,)</f>
        <v>0</v>
      </c>
      <c r="M156" s="295" cm="1">
        <f t="array" ref="M156">_xlfn.XLOOKUP(M$4,Pipe_data_input[#Headers],'Pipe data inputs'!C155:O155,0,0,)</f>
        <v>1</v>
      </c>
      <c r="N156" s="210"/>
      <c r="O156" s="206" t="str">
        <f>IF(Pipe_data[[#This Row],[ID]]&gt;0, IF(Pipe_data[[#This Row],[Assumed diversity from model]]=1, "Feed", "Main"), "-" )</f>
        <v>Feed</v>
      </c>
      <c r="P156" s="240">
        <v>0</v>
      </c>
      <c r="Q156" s="274">
        <f>IF(Pipe_data[[#This Row],[Phase overwrite]]&gt;0,Pipe_data[[#This Row],[Phase overwrite]],
IF(Pipe_data[[#This Row],[Tag]]="Feed",
_xlfn.XLOOKUP(Pipe_data[[#This Row],[Connected buildings ID]],'Heat connections'!$D$5:$D$242,'Heat connections'!$M$5:$M$242,1,0,1),1))</f>
        <v>1</v>
      </c>
      <c r="R156" s="499">
        <f>IF(Pipe_data[[#This Row],[Surface]]="Hard (Default)",
_xlfn.XLOOKUP(Pipe_data[[#This Row],[Nominal Diameter]],'Technical inputs'!$B$79:$B$100,'Technical inputs'!$C$79:$C$100,0,0,1),
_xlfn.XLOOKUP(Pipe_data[[#This Row],[Nominal Diameter]],'Technical inputs'!$B$79:$B$100,'Technical inputs'!$D$79:$D$100,0,0,1)) * Pipe_data[[#This Row],[Length]]</f>
        <v>52520.229965630308</v>
      </c>
    </row>
    <row r="157" spans="3:18" x14ac:dyDescent="0.25">
      <c r="C157" s="206" t="str" cm="1">
        <f t="array" ref="C157">_xlfn.XLOOKUP(C$4,Pipe_data_input[#Headers],'Pipe data inputs'!C156:O156,0,0,)</f>
        <v>CQ4nY6cyXBi8oAtX</v>
      </c>
      <c r="D157" s="293" cm="1">
        <f t="array" ref="D157">_xlfn.XLOOKUP(D$4,Pipe_data_input[#Headers],'Pipe data inputs'!C156:O156,0,0,)</f>
        <v>8.5108979999999992</v>
      </c>
      <c r="E157" s="206" t="str" cm="1">
        <f t="array" ref="E157">_xlfn.XLOOKUP(E$4,Pipe_data_input[#Headers],'Pipe data inputs'!C156:O156,0,0,)</f>
        <v>Hard (default)</v>
      </c>
      <c r="F157" s="206" cm="1">
        <f t="array" ref="F157">_xlfn.XLOOKUP(F$4,Pipe_data_input[#Headers],'Pipe data inputs'!C156:O156,0,0,)</f>
        <v>400</v>
      </c>
      <c r="G157" s="241" cm="1">
        <f t="array" ref="G157">_xlfn.XLOOKUP(G$4,Pipe_data_input[#Headers],'Pipe data inputs'!C156:O156,0,0,)</f>
        <v>3327.1555765106446</v>
      </c>
      <c r="H157" s="241" cm="1">
        <f t="array" ref="H157">_xlfn.XLOOKUP(H$4,Pipe_data_input[#Headers],'Pipe data inputs'!C156:O156,0,0,)</f>
        <v>27339.509060267901</v>
      </c>
      <c r="I157" s="206" cm="1">
        <f t="array" ref="I157">_xlfn.XLOOKUP(I$4,Pipe_data_input[#Headers],'Pipe data inputs'!C156:O156,0,0,)</f>
        <v>0</v>
      </c>
      <c r="J157" s="206" cm="1">
        <f t="array" ref="J157">_xlfn.XLOOKUP(J$4,Pipe_data_input[#Headers],'Pipe data inputs'!C156:O156,0,0,)</f>
        <v>0</v>
      </c>
      <c r="K157" s="206" cm="1">
        <f t="array" ref="K157">_xlfn.XLOOKUP(K$4,Pipe_data_input[#Headers],'Pipe data inputs'!C156:O156,0,0,)</f>
        <v>0</v>
      </c>
      <c r="L157" s="206" cm="1">
        <f t="array" ref="L157">_xlfn.XLOOKUP(L$4,Pipe_data_input[#Headers],'Pipe data inputs'!C156:O156,0,0,)</f>
        <v>0</v>
      </c>
      <c r="M157" s="295" cm="1">
        <f t="array" ref="M157">_xlfn.XLOOKUP(M$4,Pipe_data_input[#Headers],'Pipe data inputs'!C156:O156,0,0,)</f>
        <v>0.62</v>
      </c>
      <c r="N157" s="211"/>
      <c r="O157" s="206" t="str">
        <f>IF(Pipe_data[[#This Row],[ID]]&gt;0, IF(Pipe_data[[#This Row],[Assumed diversity from model]]=1, "Feed", "Main"), "-" )</f>
        <v>Main</v>
      </c>
      <c r="P157" s="240">
        <v>0</v>
      </c>
      <c r="Q157" s="274">
        <f>IF(Pipe_data[[#This Row],[Phase overwrite]]&gt;0,Pipe_data[[#This Row],[Phase overwrite]],
IF(Pipe_data[[#This Row],[Tag]]="Feed",
_xlfn.XLOOKUP(Pipe_data[[#This Row],[Connected buildings ID]],'Heat connections'!$D$5:$D$242,'Heat connections'!$M$5:$M$242,1,0,1),1))</f>
        <v>1</v>
      </c>
      <c r="R157" s="499">
        <f>IF(Pipe_data[[#This Row],[Surface]]="Hard (Default)",
_xlfn.XLOOKUP(Pipe_data[[#This Row],[Nominal Diameter]],'Technical inputs'!$B$79:$B$100,'Technical inputs'!$C$79:$C$100,0,0,1),
_xlfn.XLOOKUP(Pipe_data[[#This Row],[Nominal Diameter]],'Technical inputs'!$B$79:$B$100,'Technical inputs'!$D$79:$D$100,0,0,1)) * Pipe_data[[#This Row],[Length]]</f>
        <v>41206.001984839233</v>
      </c>
    </row>
    <row r="158" spans="3:18" x14ac:dyDescent="0.25">
      <c r="C158" s="206" t="str" cm="1">
        <f t="array" ref="C158">_xlfn.XLOOKUP(C$4,Pipe_data_input[#Headers],'Pipe data inputs'!C157:O157,0,0,)</f>
        <v>WbLDDJBEfnSPp3uv</v>
      </c>
      <c r="D158" s="293" cm="1">
        <f t="array" ref="D158">_xlfn.XLOOKUP(D$4,Pipe_data_input[#Headers],'Pipe data inputs'!C157:O157,0,0,)</f>
        <v>78.297269999999997</v>
      </c>
      <c r="E158" s="206" t="str" cm="1">
        <f t="array" ref="E158">_xlfn.XLOOKUP(E$4,Pipe_data_input[#Headers],'Pipe data inputs'!C157:O157,0,0,)</f>
        <v>Hard (default)</v>
      </c>
      <c r="F158" s="206" cm="1">
        <f t="array" ref="F158">_xlfn.XLOOKUP(F$4,Pipe_data_input[#Headers],'Pipe data inputs'!C157:O157,0,0,)</f>
        <v>125</v>
      </c>
      <c r="G158" s="241" cm="1">
        <f t="array" ref="G158">_xlfn.XLOOKUP(G$4,Pipe_data_input[#Headers],'Pipe data inputs'!C157:O157,0,0,)</f>
        <v>21664.884409343646</v>
      </c>
      <c r="H158" s="241" cm="1">
        <f t="array" ref="H158">_xlfn.XLOOKUP(H$4,Pipe_data_input[#Headers],'Pipe data inputs'!C157:O157,0,0,)</f>
        <v>1523.9643803030599</v>
      </c>
      <c r="I158" s="206" cm="1">
        <f t="array" ref="I158">_xlfn.XLOOKUP(I$4,Pipe_data_input[#Headers],'Pipe data inputs'!C157:O157,0,0,)</f>
        <v>0</v>
      </c>
      <c r="J158" s="206" cm="1">
        <f t="array" ref="J158">_xlfn.XLOOKUP(J$4,Pipe_data_input[#Headers],'Pipe data inputs'!C157:O157,0,0,)</f>
        <v>0</v>
      </c>
      <c r="K158" s="206" cm="1">
        <f t="array" ref="K158">_xlfn.XLOOKUP(K$4,Pipe_data_input[#Headers],'Pipe data inputs'!C157:O157,0,0,)</f>
        <v>0</v>
      </c>
      <c r="L158" s="206" cm="1">
        <f t="array" ref="L158">_xlfn.XLOOKUP(L$4,Pipe_data_input[#Headers],'Pipe data inputs'!C157:O157,0,0,)</f>
        <v>0</v>
      </c>
      <c r="M158" s="295" cm="1">
        <f t="array" ref="M158">_xlfn.XLOOKUP(M$4,Pipe_data_input[#Headers],'Pipe data inputs'!C157:O157,0,0,)</f>
        <v>0.80663529349950736</v>
      </c>
      <c r="N158" s="211"/>
      <c r="O158" s="206" t="str">
        <f>IF(Pipe_data[[#This Row],[ID]]&gt;0, IF(Pipe_data[[#This Row],[Assumed diversity from model]]=1, "Feed", "Main"), "-" )</f>
        <v>Main</v>
      </c>
      <c r="P158" s="240">
        <v>0</v>
      </c>
      <c r="Q158" s="274">
        <f>IF(Pipe_data[[#This Row],[Phase overwrite]]&gt;0,Pipe_data[[#This Row],[Phase overwrite]],
IF(Pipe_data[[#This Row],[Tag]]="Feed",
_xlfn.XLOOKUP(Pipe_data[[#This Row],[Connected buildings ID]],'Heat connections'!$D$5:$D$242,'Heat connections'!$M$5:$M$242,1,0,1),1))</f>
        <v>1</v>
      </c>
      <c r="R158" s="499">
        <f>IF(Pipe_data[[#This Row],[Surface]]="Hard (Default)",
_xlfn.XLOOKUP(Pipe_data[[#This Row],[Nominal Diameter]],'Technical inputs'!$B$79:$B$100,'Technical inputs'!$C$79:$C$100,0,0,1),
_xlfn.XLOOKUP(Pipe_data[[#This Row],[Nominal Diameter]],'Technical inputs'!$B$79:$B$100,'Technical inputs'!$D$79:$D$100,0,0,1)) * Pipe_data[[#This Row],[Length]]</f>
        <v>239912.07713218912</v>
      </c>
    </row>
    <row r="159" spans="3:18" x14ac:dyDescent="0.25">
      <c r="C159" s="206" t="str" cm="1">
        <f t="array" ref="C159">_xlfn.XLOOKUP(C$4,Pipe_data_input[#Headers],'Pipe data inputs'!C158:O158,0,0,)</f>
        <v>1UlXZebL0zpAsT4J</v>
      </c>
      <c r="D159" s="293" cm="1">
        <f t="array" ref="D159">_xlfn.XLOOKUP(D$4,Pipe_data_input[#Headers],'Pipe data inputs'!C158:O158,0,0,)</f>
        <v>5.2137384000000004</v>
      </c>
      <c r="E159" s="206" t="str" cm="1">
        <f t="array" ref="E159">_xlfn.XLOOKUP(E$4,Pipe_data_input[#Headers],'Pipe data inputs'!C158:O158,0,0,)</f>
        <v>Hard (default)</v>
      </c>
      <c r="F159" s="206" cm="1">
        <f t="array" ref="F159">_xlfn.XLOOKUP(F$4,Pipe_data_input[#Headers],'Pipe data inputs'!C158:O158,0,0,)</f>
        <v>80</v>
      </c>
      <c r="G159" s="241" cm="1">
        <f t="array" ref="G159">_xlfn.XLOOKUP(G$4,Pipe_data_input[#Headers],'Pipe data inputs'!C158:O158,0,0,)</f>
        <v>1234.5381850732717</v>
      </c>
      <c r="H159" s="241" cm="1">
        <f t="array" ref="H159">_xlfn.XLOOKUP(H$4,Pipe_data_input[#Headers],'Pipe data inputs'!C158:O158,0,0,)</f>
        <v>562.93208777304994</v>
      </c>
      <c r="I159" s="206" cm="1">
        <f t="array" ref="I159">_xlfn.XLOOKUP(I$4,Pipe_data_input[#Headers],'Pipe data inputs'!C158:O158,0,0,)</f>
        <v>0</v>
      </c>
      <c r="J159" s="206" cm="1">
        <f t="array" ref="J159">_xlfn.XLOOKUP(J$4,Pipe_data_input[#Headers],'Pipe data inputs'!C158:O158,0,0,)</f>
        <v>0</v>
      </c>
      <c r="K159" s="206" cm="1">
        <f t="array" ref="K159">_xlfn.XLOOKUP(K$4,Pipe_data_input[#Headers],'Pipe data inputs'!C158:O158,0,0,)</f>
        <v>0</v>
      </c>
      <c r="L159" s="206" cm="1">
        <f t="array" ref="L159">_xlfn.XLOOKUP(L$4,Pipe_data_input[#Headers],'Pipe data inputs'!C158:O158,0,0,)</f>
        <v>0</v>
      </c>
      <c r="M159" s="295" cm="1">
        <f t="array" ref="M159">_xlfn.XLOOKUP(M$4,Pipe_data_input[#Headers],'Pipe data inputs'!C158:O158,0,0,)</f>
        <v>0.65</v>
      </c>
      <c r="N159" s="211"/>
      <c r="O159" s="206" t="str">
        <f>IF(Pipe_data[[#This Row],[ID]]&gt;0, IF(Pipe_data[[#This Row],[Assumed diversity from model]]=1, "Feed", "Main"), "-" )</f>
        <v>Main</v>
      </c>
      <c r="P159" s="240">
        <v>0</v>
      </c>
      <c r="Q159" s="274">
        <f>IF(Pipe_data[[#This Row],[Phase overwrite]]&gt;0,Pipe_data[[#This Row],[Phase overwrite]],
IF(Pipe_data[[#This Row],[Tag]]="Feed",
_xlfn.XLOOKUP(Pipe_data[[#This Row],[Connected buildings ID]],'Heat connections'!$D$5:$D$242,'Heat connections'!$M$5:$M$242,1,0,1),1))</f>
        <v>1</v>
      </c>
      <c r="R159" s="499">
        <f>IF(Pipe_data[[#This Row],[Surface]]="Hard (Default)",
_xlfn.XLOOKUP(Pipe_data[[#This Row],[Nominal Diameter]],'Technical inputs'!$B$79:$B$100,'Technical inputs'!$C$79:$C$100,0,0,1),
_xlfn.XLOOKUP(Pipe_data[[#This Row],[Nominal Diameter]],'Technical inputs'!$B$79:$B$100,'Technical inputs'!$D$79:$D$100,0,0,1)) * Pipe_data[[#This Row],[Length]]</f>
        <v>14252.757376312014</v>
      </c>
    </row>
    <row r="160" spans="3:18" x14ac:dyDescent="0.25">
      <c r="C160" s="206" t="str" cm="1">
        <f t="array" ref="C160">_xlfn.XLOOKUP(C$4,Pipe_data_input[#Headers],'Pipe data inputs'!C159:O159,0,0,)</f>
        <v>Lohe8Lx+PbITktdy</v>
      </c>
      <c r="D160" s="293" cm="1">
        <f t="array" ref="D160">_xlfn.XLOOKUP(D$4,Pipe_data_input[#Headers],'Pipe data inputs'!C159:O159,0,0,)</f>
        <v>99.111176</v>
      </c>
      <c r="E160" s="206" t="str" cm="1">
        <f t="array" ref="E160">_xlfn.XLOOKUP(E$4,Pipe_data_input[#Headers],'Pipe data inputs'!C159:O159,0,0,)</f>
        <v>Hard (default)</v>
      </c>
      <c r="F160" s="206" cm="1">
        <f t="array" ref="F160">_xlfn.XLOOKUP(F$4,Pipe_data_input[#Headers],'Pipe data inputs'!C159:O159,0,0,)</f>
        <v>300</v>
      </c>
      <c r="G160" s="241" cm="1">
        <f t="array" ref="G160">_xlfn.XLOOKUP(G$4,Pipe_data_input[#Headers],'Pipe data inputs'!C159:O159,0,0,)</f>
        <v>36341.683878048192</v>
      </c>
      <c r="H160" s="241" cm="1">
        <f t="array" ref="H160">_xlfn.XLOOKUP(H$4,Pipe_data_input[#Headers],'Pipe data inputs'!C159:O159,0,0,)</f>
        <v>14313.356977737199</v>
      </c>
      <c r="I160" s="206" cm="1">
        <f t="array" ref="I160">_xlfn.XLOOKUP(I$4,Pipe_data_input[#Headers],'Pipe data inputs'!C159:O159,0,0,)</f>
        <v>0</v>
      </c>
      <c r="J160" s="206" cm="1">
        <f t="array" ref="J160">_xlfn.XLOOKUP(J$4,Pipe_data_input[#Headers],'Pipe data inputs'!C159:O159,0,0,)</f>
        <v>0</v>
      </c>
      <c r="K160" s="206" cm="1">
        <f t="array" ref="K160">_xlfn.XLOOKUP(K$4,Pipe_data_input[#Headers],'Pipe data inputs'!C159:O159,0,0,)</f>
        <v>0</v>
      </c>
      <c r="L160" s="206" cm="1">
        <f t="array" ref="L160">_xlfn.XLOOKUP(L$4,Pipe_data_input[#Headers],'Pipe data inputs'!C159:O159,0,0,)</f>
        <v>0</v>
      </c>
      <c r="M160" s="295" cm="1">
        <f t="array" ref="M160">_xlfn.XLOOKUP(M$4,Pipe_data_input[#Headers],'Pipe data inputs'!C159:O159,0,0,)</f>
        <v>0.63217717375457105</v>
      </c>
      <c r="N160" s="211"/>
      <c r="O160" s="206" t="str">
        <f>IF(Pipe_data[[#This Row],[ID]]&gt;0, IF(Pipe_data[[#This Row],[Assumed diversity from model]]=1, "Feed", "Main"), "-" )</f>
        <v>Main</v>
      </c>
      <c r="P160" s="240">
        <v>0</v>
      </c>
      <c r="Q160" s="274">
        <f>IF(Pipe_data[[#This Row],[Phase overwrite]]&gt;0,Pipe_data[[#This Row],[Phase overwrite]],
IF(Pipe_data[[#This Row],[Tag]]="Feed",
_xlfn.XLOOKUP(Pipe_data[[#This Row],[Connected buildings ID]],'Heat connections'!$D$5:$D$242,'Heat connections'!$M$5:$M$242,1,0,1),1))</f>
        <v>1</v>
      </c>
      <c r="R160" s="499">
        <f>IF(Pipe_data[[#This Row],[Surface]]="Hard (Default)",
_xlfn.XLOOKUP(Pipe_data[[#This Row],[Nominal Diameter]],'Technical inputs'!$B$79:$B$100,'Technical inputs'!$C$79:$C$100,0,0,1),
_xlfn.XLOOKUP(Pipe_data[[#This Row],[Nominal Diameter]],'Technical inputs'!$B$79:$B$100,'Technical inputs'!$D$79:$D$100,0,0,1)) * Pipe_data[[#This Row],[Length]]</f>
        <v>455886.1936585959</v>
      </c>
    </row>
    <row r="161" spans="3:18" x14ac:dyDescent="0.25">
      <c r="C161" s="206" t="str" cm="1">
        <f t="array" ref="C161">_xlfn.XLOOKUP(C$4,Pipe_data_input[#Headers],'Pipe data inputs'!C160:O160,0,0,)</f>
        <v>XWWwk1ylJ33iw7h1</v>
      </c>
      <c r="D161" s="293" cm="1">
        <f t="array" ref="D161">_xlfn.XLOOKUP(D$4,Pipe_data_input[#Headers],'Pipe data inputs'!C160:O160,0,0,)</f>
        <v>4.1040254000000003</v>
      </c>
      <c r="E161" s="206" t="str" cm="1">
        <f t="array" ref="E161">_xlfn.XLOOKUP(E$4,Pipe_data_input[#Headers],'Pipe data inputs'!C160:O160,0,0,)</f>
        <v>Hard (default)</v>
      </c>
      <c r="F161" s="206" cm="1">
        <f t="array" ref="F161">_xlfn.XLOOKUP(F$4,Pipe_data_input[#Headers],'Pipe data inputs'!C160:O160,0,0,)</f>
        <v>65</v>
      </c>
      <c r="G161" s="241" cm="1">
        <f t="array" ref="G161">_xlfn.XLOOKUP(G$4,Pipe_data_input[#Headers],'Pipe data inputs'!C160:O160,0,0,)</f>
        <v>879.06045670746244</v>
      </c>
      <c r="H161" s="241" cm="1">
        <f t="array" ref="H161">_xlfn.XLOOKUP(H$4,Pipe_data_input[#Headers],'Pipe data inputs'!C160:O160,0,0,)</f>
        <v>366.340331913667</v>
      </c>
      <c r="I161" s="206" cm="1">
        <f t="array" ref="I161">_xlfn.XLOOKUP(I$4,Pipe_data_input[#Headers],'Pipe data inputs'!C160:O160,0,0,)</f>
        <v>0</v>
      </c>
      <c r="J161" s="206" cm="1">
        <f t="array" ref="J161">_xlfn.XLOOKUP(J$4,Pipe_data_input[#Headers],'Pipe data inputs'!C160:O160,0,0,)</f>
        <v>0</v>
      </c>
      <c r="K161" s="206" cm="1">
        <f t="array" ref="K161">_xlfn.XLOOKUP(K$4,Pipe_data_input[#Headers],'Pipe data inputs'!C160:O160,0,0,)</f>
        <v>0</v>
      </c>
      <c r="L161" s="206" cm="1">
        <f t="array" ref="L161">_xlfn.XLOOKUP(L$4,Pipe_data_input[#Headers],'Pipe data inputs'!C160:O160,0,0,)</f>
        <v>0</v>
      </c>
      <c r="M161" s="295" cm="1">
        <f t="array" ref="M161">_xlfn.XLOOKUP(M$4,Pipe_data_input[#Headers],'Pipe data inputs'!C160:O160,0,0,)</f>
        <v>0.74826912236183685</v>
      </c>
      <c r="N161" s="211"/>
      <c r="O161" s="206" t="str">
        <f>IF(Pipe_data[[#This Row],[ID]]&gt;0, IF(Pipe_data[[#This Row],[Assumed diversity from model]]=1, "Feed", "Main"), "-" )</f>
        <v>Main</v>
      </c>
      <c r="P161" s="240">
        <v>0</v>
      </c>
      <c r="Q161" s="274">
        <f>IF(Pipe_data[[#This Row],[Phase overwrite]]&gt;0,Pipe_data[[#This Row],[Phase overwrite]],
IF(Pipe_data[[#This Row],[Tag]]="Feed",
_xlfn.XLOOKUP(Pipe_data[[#This Row],[Connected buildings ID]],'Heat connections'!$D$5:$D$242,'Heat connections'!$M$5:$M$242,1,0,1),1))</f>
        <v>1</v>
      </c>
      <c r="R161" s="499">
        <f>IF(Pipe_data[[#This Row],[Surface]]="Hard (Default)",
_xlfn.XLOOKUP(Pipe_data[[#This Row],[Nominal Diameter]],'Technical inputs'!$B$79:$B$100,'Technical inputs'!$C$79:$C$100,0,0,1),
_xlfn.XLOOKUP(Pipe_data[[#This Row],[Nominal Diameter]],'Technical inputs'!$B$79:$B$100,'Technical inputs'!$D$79:$D$100,0,0,1)) * Pipe_data[[#This Row],[Length]]</f>
        <v>10768.569216439511</v>
      </c>
    </row>
    <row r="162" spans="3:18" x14ac:dyDescent="0.25">
      <c r="C162" s="206" t="str" cm="1">
        <f t="array" ref="C162">_xlfn.XLOOKUP(C$4,Pipe_data_input[#Headers],'Pipe data inputs'!C161:O161,0,0,)</f>
        <v>hH9xfgm9EE8dLw5H</v>
      </c>
      <c r="D162" s="293" cm="1">
        <f t="array" ref="D162">_xlfn.XLOOKUP(D$4,Pipe_data_input[#Headers],'Pipe data inputs'!C161:O161,0,0,)</f>
        <v>4.5502323999999996</v>
      </c>
      <c r="E162" s="206" t="str" cm="1">
        <f t="array" ref="E162">_xlfn.XLOOKUP(E$4,Pipe_data_input[#Headers],'Pipe data inputs'!C161:O161,0,0,)</f>
        <v>Hard (default)</v>
      </c>
      <c r="F162" s="206" cm="1">
        <f t="array" ref="F162">_xlfn.XLOOKUP(F$4,Pipe_data_input[#Headers],'Pipe data inputs'!C161:O161,0,0,)</f>
        <v>40</v>
      </c>
      <c r="G162" s="241" cm="1">
        <f t="array" ref="G162">_xlfn.XLOOKUP(G$4,Pipe_data_input[#Headers],'Pipe data inputs'!C161:O161,0,0,)</f>
        <v>770.02784863763236</v>
      </c>
      <c r="H162" s="241" cm="1">
        <f t="array" ref="H162">_xlfn.XLOOKUP(H$4,Pipe_data_input[#Headers],'Pipe data inputs'!C161:O161,0,0,)</f>
        <v>100.29582977294901</v>
      </c>
      <c r="I162" s="206" cm="1">
        <f t="array" ref="I162">_xlfn.XLOOKUP(I$4,Pipe_data_input[#Headers],'Pipe data inputs'!C161:O161,0,0,)</f>
        <v>0</v>
      </c>
      <c r="J162" s="206" cm="1">
        <f t="array" ref="J162">_xlfn.XLOOKUP(J$4,Pipe_data_input[#Headers],'Pipe data inputs'!C161:O161,0,0,)</f>
        <v>0</v>
      </c>
      <c r="K162" s="206" cm="1">
        <f t="array" ref="K162">_xlfn.XLOOKUP(K$4,Pipe_data_input[#Headers],'Pipe data inputs'!C161:O161,0,0,)</f>
        <v>0</v>
      </c>
      <c r="L162" s="206" cm="1">
        <f t="array" ref="L162">_xlfn.XLOOKUP(L$4,Pipe_data_input[#Headers],'Pipe data inputs'!C161:O161,0,0,)</f>
        <v>0</v>
      </c>
      <c r="M162" s="295" cm="1">
        <f t="array" ref="M162">_xlfn.XLOOKUP(M$4,Pipe_data_input[#Headers],'Pipe data inputs'!C161:O161,0,0,)</f>
        <v>1</v>
      </c>
      <c r="N162" s="211"/>
      <c r="O162" s="206" t="str">
        <f>IF(Pipe_data[[#This Row],[ID]]&gt;0, IF(Pipe_data[[#This Row],[Assumed diversity from model]]=1, "Feed", "Main"), "-" )</f>
        <v>Feed</v>
      </c>
      <c r="P162" s="240">
        <v>0</v>
      </c>
      <c r="Q162" s="274">
        <f>IF(Pipe_data[[#This Row],[Phase overwrite]]&gt;0,Pipe_data[[#This Row],[Phase overwrite]],
IF(Pipe_data[[#This Row],[Tag]]="Feed",
_xlfn.XLOOKUP(Pipe_data[[#This Row],[Connected buildings ID]],'Heat connections'!$D$5:$D$242,'Heat connections'!$M$5:$M$242,1,0,1),1))</f>
        <v>1</v>
      </c>
      <c r="R162" s="499">
        <f>IF(Pipe_data[[#This Row],[Surface]]="Hard (Default)",
_xlfn.XLOOKUP(Pipe_data[[#This Row],[Nominal Diameter]],'Technical inputs'!$B$79:$B$100,'Technical inputs'!$C$79:$C$100,0,0,1),
_xlfn.XLOOKUP(Pipe_data[[#This Row],[Nominal Diameter]],'Technical inputs'!$B$79:$B$100,'Technical inputs'!$D$79:$D$100,0,0,1)) * Pipe_data[[#This Row],[Length]]</f>
        <v>11002.166668684828</v>
      </c>
    </row>
    <row r="163" spans="3:18" x14ac:dyDescent="0.25">
      <c r="C163" s="206" t="str" cm="1">
        <f t="array" ref="C163">_xlfn.XLOOKUP(C$4,Pipe_data_input[#Headers],'Pipe data inputs'!C162:O162,0,0,)</f>
        <v>1azYwQoQtJmRXzMr</v>
      </c>
      <c r="D163" s="293" cm="1">
        <f t="array" ref="D163">_xlfn.XLOOKUP(D$4,Pipe_data_input[#Headers],'Pipe data inputs'!C162:O162,0,0,)</f>
        <v>5.6194477000000003</v>
      </c>
      <c r="E163" s="206" t="str" cm="1">
        <f t="array" ref="E163">_xlfn.XLOOKUP(E$4,Pipe_data_input[#Headers],'Pipe data inputs'!C162:O162,0,0,)</f>
        <v>Hard (default)</v>
      </c>
      <c r="F163" s="206" cm="1">
        <f t="array" ref="F163">_xlfn.XLOOKUP(F$4,Pipe_data_input[#Headers],'Pipe data inputs'!C162:O162,0,0,)</f>
        <v>100</v>
      </c>
      <c r="G163" s="241" cm="1">
        <f t="array" ref="G163">_xlfn.XLOOKUP(G$4,Pipe_data_input[#Headers],'Pipe data inputs'!C162:O162,0,0,)</f>
        <v>1448.5253209319483</v>
      </c>
      <c r="H163" s="241" cm="1">
        <f t="array" ref="H163">_xlfn.XLOOKUP(H$4,Pipe_data_input[#Headers],'Pipe data inputs'!C162:O162,0,0,)</f>
        <v>962.60109389794502</v>
      </c>
      <c r="I163" s="206" cm="1">
        <f t="array" ref="I163">_xlfn.XLOOKUP(I$4,Pipe_data_input[#Headers],'Pipe data inputs'!C162:O162,0,0,)</f>
        <v>0</v>
      </c>
      <c r="J163" s="206" cm="1">
        <f t="array" ref="J163">_xlfn.XLOOKUP(J$4,Pipe_data_input[#Headers],'Pipe data inputs'!C162:O162,0,0,)</f>
        <v>0</v>
      </c>
      <c r="K163" s="206" cm="1">
        <f t="array" ref="K163">_xlfn.XLOOKUP(K$4,Pipe_data_input[#Headers],'Pipe data inputs'!C162:O162,0,0,)</f>
        <v>0</v>
      </c>
      <c r="L163" s="206" cm="1">
        <f t="array" ref="L163">_xlfn.XLOOKUP(L$4,Pipe_data_input[#Headers],'Pipe data inputs'!C162:O162,0,0,)</f>
        <v>0</v>
      </c>
      <c r="M163" s="295" cm="1">
        <f t="array" ref="M163">_xlfn.XLOOKUP(M$4,Pipe_data_input[#Headers],'Pipe data inputs'!C162:O162,0,0,)</f>
        <v>0.64</v>
      </c>
      <c r="N163" s="211"/>
      <c r="O163" s="206" t="str">
        <f>IF(Pipe_data[[#This Row],[ID]]&gt;0, IF(Pipe_data[[#This Row],[Assumed diversity from model]]=1, "Feed", "Main"), "-" )</f>
        <v>Main</v>
      </c>
      <c r="P163" s="240">
        <v>0</v>
      </c>
      <c r="Q163" s="274">
        <f>IF(Pipe_data[[#This Row],[Phase overwrite]]&gt;0,Pipe_data[[#This Row],[Phase overwrite]],
IF(Pipe_data[[#This Row],[Tag]]="Feed",
_xlfn.XLOOKUP(Pipe_data[[#This Row],[Connected buildings ID]],'Heat connections'!$D$5:$D$242,'Heat connections'!$M$5:$M$242,1,0,1),1))</f>
        <v>1</v>
      </c>
      <c r="R163" s="499">
        <f>IF(Pipe_data[[#This Row],[Surface]]="Hard (Default)",
_xlfn.XLOOKUP(Pipe_data[[#This Row],[Nominal Diameter]],'Technical inputs'!$B$79:$B$100,'Technical inputs'!$C$79:$C$100,0,0,1),
_xlfn.XLOOKUP(Pipe_data[[#This Row],[Nominal Diameter]],'Technical inputs'!$B$79:$B$100,'Technical inputs'!$D$79:$D$100,0,0,1)) * Pipe_data[[#This Row],[Length]]</f>
        <v>16485.704992539755</v>
      </c>
    </row>
    <row r="164" spans="3:18" x14ac:dyDescent="0.25">
      <c r="C164" s="206" t="str" cm="1">
        <f t="array" ref="C164">_xlfn.XLOOKUP(C$4,Pipe_data_input[#Headers],'Pipe data inputs'!C163:O163,0,0,)</f>
        <v>2evigs2B8FdGvCOa</v>
      </c>
      <c r="D164" s="293" cm="1">
        <f t="array" ref="D164">_xlfn.XLOOKUP(D$4,Pipe_data_input[#Headers],'Pipe data inputs'!C163:O163,0,0,)</f>
        <v>0.96299319999999999</v>
      </c>
      <c r="E164" s="206" t="str" cm="1">
        <f t="array" ref="E164">_xlfn.XLOOKUP(E$4,Pipe_data_input[#Headers],'Pipe data inputs'!C163:O163,0,0,)</f>
        <v>Hard (default)</v>
      </c>
      <c r="F164" s="206" cm="1">
        <f t="array" ref="F164">_xlfn.XLOOKUP(F$4,Pipe_data_input[#Headers],'Pipe data inputs'!C163:O163,0,0,)</f>
        <v>80</v>
      </c>
      <c r="G164" s="241" cm="1">
        <f t="array" ref="G164">_xlfn.XLOOKUP(G$4,Pipe_data_input[#Headers],'Pipe data inputs'!C163:O163,0,0,)</f>
        <v>228.58989935099692</v>
      </c>
      <c r="H164" s="241" cm="1">
        <f t="array" ref="H164">_xlfn.XLOOKUP(H$4,Pipe_data_input[#Headers],'Pipe data inputs'!C163:O163,0,0,)</f>
        <v>610.56615022576898</v>
      </c>
      <c r="I164" s="206" cm="1">
        <f t="array" ref="I164">_xlfn.XLOOKUP(I$4,Pipe_data_input[#Headers],'Pipe data inputs'!C163:O163,0,0,)</f>
        <v>0</v>
      </c>
      <c r="J164" s="206" cm="1">
        <f t="array" ref="J164">_xlfn.XLOOKUP(J$4,Pipe_data_input[#Headers],'Pipe data inputs'!C163:O163,0,0,)</f>
        <v>0</v>
      </c>
      <c r="K164" s="206" cm="1">
        <f t="array" ref="K164">_xlfn.XLOOKUP(K$4,Pipe_data_input[#Headers],'Pipe data inputs'!C163:O163,0,0,)</f>
        <v>0</v>
      </c>
      <c r="L164" s="206" cm="1">
        <f t="array" ref="L164">_xlfn.XLOOKUP(L$4,Pipe_data_input[#Headers],'Pipe data inputs'!C163:O163,0,0,)</f>
        <v>0</v>
      </c>
      <c r="M164" s="295" cm="1">
        <f t="array" ref="M164">_xlfn.XLOOKUP(M$4,Pipe_data_input[#Headers],'Pipe data inputs'!C163:O163,0,0,)</f>
        <v>0.67</v>
      </c>
      <c r="N164" s="211"/>
      <c r="O164" s="206" t="str">
        <f>IF(Pipe_data[[#This Row],[ID]]&gt;0, IF(Pipe_data[[#This Row],[Assumed diversity from model]]=1, "Feed", "Main"), "-" )</f>
        <v>Main</v>
      </c>
      <c r="P164" s="240">
        <v>0</v>
      </c>
      <c r="Q164" s="274">
        <f>IF(Pipe_data[[#This Row],[Phase overwrite]]&gt;0,Pipe_data[[#This Row],[Phase overwrite]],
IF(Pipe_data[[#This Row],[Tag]]="Feed",
_xlfn.XLOOKUP(Pipe_data[[#This Row],[Connected buildings ID]],'Heat connections'!$D$5:$D$242,'Heat connections'!$M$5:$M$242,1,0,1),1))</f>
        <v>1</v>
      </c>
      <c r="R164" s="499">
        <f>IF(Pipe_data[[#This Row],[Surface]]="Hard (Default)",
_xlfn.XLOOKUP(Pipe_data[[#This Row],[Nominal Diameter]],'Technical inputs'!$B$79:$B$100,'Technical inputs'!$C$79:$C$100,0,0,1),
_xlfn.XLOOKUP(Pipe_data[[#This Row],[Nominal Diameter]],'Technical inputs'!$B$79:$B$100,'Technical inputs'!$D$79:$D$100,0,0,1)) * Pipe_data[[#This Row],[Length]]</f>
        <v>2632.5272542708144</v>
      </c>
    </row>
    <row r="165" spans="3:18" x14ac:dyDescent="0.25">
      <c r="C165" s="208" t="str" cm="1">
        <f t="array" ref="C165">_xlfn.XLOOKUP(C$4,Pipe_data_input[#Headers],'Pipe data inputs'!C164:O164,0,0,)</f>
        <v>zU2Yfv+knFQKLS7b</v>
      </c>
      <c r="D165" s="294" cm="1">
        <f t="array" ref="D165">_xlfn.XLOOKUP(D$4,Pipe_data_input[#Headers],'Pipe data inputs'!C164:O164,0,0,)</f>
        <v>49.8643</v>
      </c>
      <c r="E165" s="206" t="str" cm="1">
        <f t="array" ref="E165">_xlfn.XLOOKUP(E$4,Pipe_data_input[#Headers],'Pipe data inputs'!C164:O164,0,0,)</f>
        <v>Hard (default)</v>
      </c>
      <c r="F165" s="208" cm="1">
        <f t="array" ref="F165">_xlfn.XLOOKUP(F$4,Pipe_data_input[#Headers],'Pipe data inputs'!C164:O164,0,0,)</f>
        <v>300</v>
      </c>
      <c r="G165" s="501" cm="1">
        <f t="array" ref="G165">_xlfn.XLOOKUP(G$4,Pipe_data_input[#Headers],'Pipe data inputs'!C164:O164,0,0,)</f>
        <v>18284.039202603733</v>
      </c>
      <c r="H165" s="501" cm="1">
        <f t="array" ref="H165">_xlfn.XLOOKUP(H$4,Pipe_data_input[#Headers],'Pipe data inputs'!C164:O164,0,0,)</f>
        <v>14313.356977737199</v>
      </c>
      <c r="I165" s="208" cm="1">
        <f t="array" ref="I165">_xlfn.XLOOKUP(I$4,Pipe_data_input[#Headers],'Pipe data inputs'!C164:O164,0,0,)</f>
        <v>0</v>
      </c>
      <c r="J165" s="208" cm="1">
        <f t="array" ref="J165">_xlfn.XLOOKUP(J$4,Pipe_data_input[#Headers],'Pipe data inputs'!C164:O164,0,0,)</f>
        <v>0</v>
      </c>
      <c r="K165" s="208" cm="1">
        <f t="array" ref="K165">_xlfn.XLOOKUP(K$4,Pipe_data_input[#Headers],'Pipe data inputs'!C164:O164,0,0,)</f>
        <v>0</v>
      </c>
      <c r="L165" s="208" cm="1">
        <f t="array" ref="L165">_xlfn.XLOOKUP(L$4,Pipe_data_input[#Headers],'Pipe data inputs'!C164:O164,0,0,)</f>
        <v>0</v>
      </c>
      <c r="M165" s="296" cm="1">
        <f t="array" ref="M165">_xlfn.XLOOKUP(M$4,Pipe_data_input[#Headers],'Pipe data inputs'!C164:O164,0,0,)</f>
        <v>0.63217717375457105</v>
      </c>
      <c r="N165" s="211"/>
      <c r="O165" s="208" t="str">
        <f>IF(Pipe_data[[#This Row],[ID]]&gt;0, IF(Pipe_data[[#This Row],[Assumed diversity from model]]=1, "Feed", "Main"), "-" )</f>
        <v>Main</v>
      </c>
      <c r="P165" s="240">
        <v>0</v>
      </c>
      <c r="Q165" s="274">
        <f>IF(Pipe_data[[#This Row],[Phase overwrite]]&gt;0,Pipe_data[[#This Row],[Phase overwrite]],
IF(Pipe_data[[#This Row],[Tag]]="Feed",
_xlfn.XLOOKUP(Pipe_data[[#This Row],[Connected buildings ID]],'Heat connections'!$D$5:$D$242,'Heat connections'!$M$5:$M$242,1,0,1),1))</f>
        <v>1</v>
      </c>
      <c r="R165" s="500">
        <f>IF(Pipe_data[[#This Row],[Surface]]="Hard (Default)",
_xlfn.XLOOKUP(Pipe_data[[#This Row],[Nominal Diameter]],'Technical inputs'!$B$79:$B$100,'Technical inputs'!$C$79:$C$100,0,0,1),
_xlfn.XLOOKUP(Pipe_data[[#This Row],[Nominal Diameter]],'Technical inputs'!$B$79:$B$100,'Technical inputs'!$D$79:$D$100,0,0,1)) * Pipe_data[[#This Row],[Length]]</f>
        <v>229363.09348655416</v>
      </c>
    </row>
  </sheetData>
  <phoneticPr fontId="20" type="noConversion"/>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0798-C709-4D67-A051-6A695257CECC}">
  <sheetPr>
    <tabColor theme="9" tint="0.79998168889431442"/>
  </sheetPr>
  <dimension ref="A1:AE29"/>
  <sheetViews>
    <sheetView workbookViewId="0"/>
  </sheetViews>
  <sheetFormatPr defaultRowHeight="15" x14ac:dyDescent="0.25"/>
  <cols>
    <col min="1" max="2" width="2.85546875" customWidth="1"/>
    <col min="3" max="3" width="20.5703125" bestFit="1" customWidth="1"/>
    <col min="4" max="4" width="24.7109375" bestFit="1" customWidth="1"/>
    <col min="5" max="5" width="32.5703125" bestFit="1" customWidth="1"/>
    <col min="6" max="6" width="22.28515625" bestFit="1" customWidth="1"/>
    <col min="7" max="7" width="18.7109375" bestFit="1" customWidth="1"/>
    <col min="8" max="8" width="13.85546875" bestFit="1" customWidth="1"/>
    <col min="9" max="9" width="12.7109375" bestFit="1" customWidth="1"/>
    <col min="10" max="10" width="15.7109375" bestFit="1" customWidth="1"/>
    <col min="11" max="11" width="12.140625" bestFit="1" customWidth="1"/>
    <col min="12" max="13" width="15" bestFit="1" customWidth="1"/>
    <col min="14" max="14" width="91" bestFit="1" customWidth="1"/>
    <col min="15" max="15" width="11.85546875" customWidth="1"/>
    <col min="16" max="16" width="7.85546875" bestFit="1" customWidth="1"/>
    <col min="17" max="18" width="15.28515625" bestFit="1" customWidth="1"/>
    <col min="19" max="19" width="16.28515625" bestFit="1" customWidth="1"/>
    <col min="23" max="23" width="9.5703125" hidden="1" customWidth="1"/>
    <col min="24" max="25" width="0" hidden="1" customWidth="1"/>
    <col min="29" max="31" width="12" bestFit="1" customWidth="1"/>
  </cols>
  <sheetData>
    <row r="1" spans="1:31" x14ac:dyDescent="0.25">
      <c r="A1" s="11"/>
      <c r="B1" s="11"/>
    </row>
    <row r="2" spans="1:31" s="11" customFormat="1" ht="14.25" customHeight="1" x14ac:dyDescent="0.2">
      <c r="B2" s="10">
        <v>2</v>
      </c>
      <c r="C2" s="10" t="s">
        <v>407</v>
      </c>
      <c r="D2" s="52"/>
      <c r="E2" s="52"/>
      <c r="F2" s="52"/>
      <c r="G2" s="10"/>
      <c r="H2" s="10"/>
      <c r="I2" s="10"/>
      <c r="J2" s="10"/>
      <c r="K2" s="10"/>
      <c r="L2" s="10"/>
      <c r="M2" s="10"/>
      <c r="N2" s="10"/>
      <c r="O2" s="10"/>
      <c r="P2" s="10"/>
      <c r="Q2" s="10"/>
      <c r="R2" s="10"/>
      <c r="S2" s="10"/>
    </row>
    <row r="3" spans="1:31" x14ac:dyDescent="0.25">
      <c r="W3" s="355" t="s">
        <v>2058</v>
      </c>
      <c r="Z3" t="s">
        <v>2059</v>
      </c>
    </row>
    <row r="4" spans="1:31" x14ac:dyDescent="0.25">
      <c r="C4" t="s">
        <v>149</v>
      </c>
      <c r="D4" t="s">
        <v>754</v>
      </c>
      <c r="E4" t="s">
        <v>1985</v>
      </c>
      <c r="F4" t="s">
        <v>1980</v>
      </c>
      <c r="G4" t="s">
        <v>1977</v>
      </c>
      <c r="H4" t="s">
        <v>1989</v>
      </c>
      <c r="I4" t="s">
        <v>1981</v>
      </c>
      <c r="J4" t="s">
        <v>1982</v>
      </c>
      <c r="K4" t="s">
        <v>1986</v>
      </c>
      <c r="L4" t="s">
        <v>1988</v>
      </c>
      <c r="M4" t="s">
        <v>1987</v>
      </c>
      <c r="N4" t="s">
        <v>1983</v>
      </c>
      <c r="W4" s="354">
        <f>_xlfn.MINIFS(Heat_supplies[Opex, per kWh],Heat_supplies[Opex, per kWh],"&gt;0")</f>
        <v>4.7521875612437731E-2</v>
      </c>
      <c r="Z4">
        <f>MIN(Heat_supplies[Phase 1 priority])</f>
        <v>1</v>
      </c>
    </row>
    <row r="5" spans="1:31" ht="25.5" x14ac:dyDescent="0.25">
      <c r="C5" s="213" t="s">
        <v>149</v>
      </c>
      <c r="D5" s="214" t="s">
        <v>2015</v>
      </c>
      <c r="E5" s="214" t="s">
        <v>2016</v>
      </c>
      <c r="F5" s="214" t="s">
        <v>2013</v>
      </c>
      <c r="G5" s="214" t="s">
        <v>401</v>
      </c>
      <c r="H5" s="214" t="s">
        <v>2014</v>
      </c>
      <c r="I5" s="214" t="s">
        <v>402</v>
      </c>
      <c r="J5" s="214" t="s">
        <v>403</v>
      </c>
      <c r="K5" s="214" t="s">
        <v>404</v>
      </c>
      <c r="L5" s="214" t="s">
        <v>405</v>
      </c>
      <c r="M5" s="214" t="s">
        <v>406</v>
      </c>
      <c r="N5" s="214" t="s">
        <v>2012</v>
      </c>
      <c r="O5" s="223" t="s">
        <v>2010</v>
      </c>
      <c r="P5" s="214" t="s">
        <v>147</v>
      </c>
      <c r="Q5" s="214" t="s">
        <v>2017</v>
      </c>
      <c r="R5" s="214" t="s">
        <v>2018</v>
      </c>
      <c r="S5" s="214" t="s">
        <v>2011</v>
      </c>
      <c r="T5" s="214" t="s">
        <v>247</v>
      </c>
      <c r="U5" s="214" t="s">
        <v>248</v>
      </c>
      <c r="V5" s="214" t="s">
        <v>249</v>
      </c>
      <c r="W5" s="214" t="s">
        <v>2055</v>
      </c>
      <c r="X5" s="214" t="s">
        <v>2056</v>
      </c>
      <c r="Y5" s="214" t="s">
        <v>2057</v>
      </c>
      <c r="Z5" s="214" t="s">
        <v>2051</v>
      </c>
      <c r="AA5" s="214" t="s">
        <v>2052</v>
      </c>
      <c r="AB5" s="214" t="s">
        <v>2053</v>
      </c>
      <c r="AC5" s="214" t="s">
        <v>2122</v>
      </c>
      <c r="AD5" s="363"/>
      <c r="AE5" s="363"/>
    </row>
    <row r="6" spans="1:31" x14ac:dyDescent="0.25">
      <c r="C6" s="374" t="str" cm="1">
        <f t="array" ref="C6">_xlfn.XLOOKUP(C$4,Heat_supplies_input[#Headers],Heat_supplies_input[#This Row],0,0,)</f>
        <v>6Er0zUOG2+mqp8wB</v>
      </c>
      <c r="D6" s="336" t="str" cm="1">
        <f t="array" ref="D6">_xlfn.XLOOKUP(D$4,Heat_supplies_input[#Headers],Heat_supplies_input[#This Row],0,0,)</f>
        <v>Aquifer source HP</v>
      </c>
      <c r="E6" s="336" t="str" cm="1">
        <f t="array" ref="E6">_xlfn.XLOOKUP(E$4,Heat_supplies_input[#Headers],Heat_supplies_input[#This Row],0,0,)</f>
        <v>Sheperd's Bush AqSHP (33,679m²)</v>
      </c>
      <c r="F6" s="337" cm="1">
        <f t="array" ref="F6">_xlfn.XLOOKUP(F$4,Heat_supplies_input[#Headers],Heat_supplies_input[#This Row],0,0,)</f>
        <v>5511.10888671875</v>
      </c>
      <c r="G6" s="310" cm="1">
        <f t="array" ref="G6">_xlfn.XLOOKUP(G$4,Heat_supplies_input[#Headers],Heat_supplies_input[#This Row],0,0,)</f>
        <v>17379834</v>
      </c>
      <c r="H6" s="310" cm="1">
        <f t="array" ref="H6">_xlfn.XLOOKUP(H$4,Heat_supplies_input[#Headers],Heat_supplies_input[#This Row],0,0,)</f>
        <v>80</v>
      </c>
      <c r="I6" s="319" cm="1">
        <f t="array" ref="I6">_xlfn.XLOOKUP(I$4,Heat_supplies_input[#Headers],Heat_supplies_input[#This Row],0,0,)</f>
        <v>1500000</v>
      </c>
      <c r="J6" s="319" cm="1">
        <f t="array" ref="J6">_xlfn.XLOOKUP(J$4,Heat_supplies_input[#Headers],Heat_supplies_input[#This Row],0,0,)</f>
        <v>1200</v>
      </c>
      <c r="K6" s="315" cm="1">
        <f t="array" ref="K6">_xlfn.XLOOKUP(K$4,Heat_supplies_input[#Headers],Heat_supplies_input[#This Row],0,0,)</f>
        <v>0</v>
      </c>
      <c r="L6" s="315" cm="1">
        <f t="array" ref="L6">_xlfn.XLOOKUP(L$4,Heat_supplies_input[#Headers],Heat_supplies_input[#This Row],0,0,)</f>
        <v>50.55</v>
      </c>
      <c r="M6" s="344" cm="1">
        <f t="array" ref="M6">_xlfn.XLOOKUP(M$4,Heat_supplies_input[#Headers],Heat_supplies_input[#This Row],"",0,)</f>
        <v>4.7521875612437731E-2</v>
      </c>
      <c r="N6" s="316" t="str" cm="1">
        <f t="array" ref="N6">_xlfn.XLOOKUP(N$4,Heat_supplies_input[#Headers],Heat_supplies_input[#This Row],0,0,)</f>
        <v>3.0 MW of low carbon. Aquifer source HP. Assumed peak energy centre capacity of 5.5 MW.</v>
      </c>
      <c r="O6" s="329"/>
      <c r="P6" s="332">
        <v>1</v>
      </c>
      <c r="Q6" s="351">
        <f>Heat_supplies[[#This Row],[Technology capacity, kW]]*Heat_supplies[[#This Row],[Opex, per kWp]]</f>
        <v>278586.55422363279</v>
      </c>
      <c r="R6" s="351">
        <f>Heat_supplies[[#This Row],[Opex, per kWh]]*Heat_supplies[[#This Row],[kWh/yr output, incl losses]]</f>
        <v>825922.30951281614</v>
      </c>
      <c r="S6" s="351">
        <f>Heat_supplies[[#This Row],[Capex, per kWp]]*Heat_supplies[[#This Row],[Technology capacity, kW]]</f>
        <v>6613330.6640625</v>
      </c>
      <c r="T6" s="356">
        <f>IF(Heat_supplies[[#This Row],[Phase]]=1,1,"")</f>
        <v>1</v>
      </c>
      <c r="U6" s="356">
        <f>IF(Heat_supplies[[#This Row],[Phase]]=2,1,0)</f>
        <v>0</v>
      </c>
      <c r="V6" s="356">
        <f>IF(Heat_supplies[[#This Row],[Phase]]=3,1,0)</f>
        <v>0</v>
      </c>
      <c r="W6" s="359">
        <f>IF(Heat_supplies[[#This Row],[Phase 1 flag]]=1,Heat_supplies[[#This Row],[Opex, per kWh]]/$W$4,"")</f>
        <v>1</v>
      </c>
      <c r="X6" s="359">
        <f>IF(OR(Heat_supplies[[#This Row],[Phase 2 flag]]=1,Heat_supplies[[#This Row],[Phase 1 flag]]=1),Heat_supplies[[#This Row],[Opex, per kWh]]/$W$4,"")</f>
        <v>1</v>
      </c>
      <c r="Y6" s="360">
        <f>IF(OR(Heat_supplies[[#This Row],[Phase 3 flag]]=1,Heat_supplies[[#This Row],[Phase 2 flag]]=1,Heat_supplies[[#This Row],[Phase 1 flag]]=1),Heat_supplies[[#This Row],[Opex, per kWh]]/$W$4,"")</f>
        <v>1</v>
      </c>
      <c r="Z6" s="351">
        <f>IFERROR(RANK(Heat_supplies[[#This Row],[Phase 1 ranking]],Heat_supplies[Phase 1 ranking],1)+COUNTIF($W$6:W6,W6)-1,"-")</f>
        <v>1</v>
      </c>
      <c r="AA6" s="351">
        <f>IFERROR(RANK(Heat_supplies[[#This Row],[Phase 2 ranking]],Heat_supplies[Phase 2 ranking],1)+COUNTIF($X$6:X6,X6)-1,"-")</f>
        <v>1</v>
      </c>
      <c r="AB6" s="351">
        <f>IFERROR(RANK(Heat_supplies[[#This Row],[Phase 3 ranking]],Heat_supplies[Phase 3 ranking],1)+COUNTIF($Y$6:Y6,Y6)-1,"-")</f>
        <v>1</v>
      </c>
      <c r="AC6" s="523">
        <f>13/(Heat_supplies[[#This Row],[Opex, per kWh]]*100)</f>
        <v>2.7355822623713015</v>
      </c>
    </row>
    <row r="7" spans="1:31" x14ac:dyDescent="0.25">
      <c r="C7" s="328" t="str" cm="1">
        <f t="array" ref="C7">_xlfn.XLOOKUP(C$4,Heat_supplies_input[#Headers],Heat_supplies_input[#This Row],0,0,)</f>
        <v>ZZPOGOxPtrR1spVW</v>
      </c>
      <c r="D7" s="306" t="str" cm="1">
        <f t="array" ref="D7">_xlfn.XLOOKUP(D$4,Heat_supplies_input[#Headers],Heat_supplies_input[#This Row],0,0,)</f>
        <v>ASHP</v>
      </c>
      <c r="E7" s="306" t="str" cm="1">
        <f t="array" ref="E7">_xlfn.XLOOKUP(E$4,Heat_supplies_input[#Headers],Heat_supplies_input[#This Row],0,0,)</f>
        <v>White City ASHP</v>
      </c>
      <c r="F7" s="311" cm="1">
        <f t="array" ref="F7">_xlfn.XLOOKUP(F$4,Heat_supplies_input[#Headers],Heat_supplies_input[#This Row],0,0,)</f>
        <v>45527.2734375</v>
      </c>
      <c r="G7" s="313" cm="1">
        <f t="array" ref="G7">_xlfn.XLOOKUP(G$4,Heat_supplies_input[#Headers],Heat_supplies_input[#This Row],0,0,)</f>
        <v>92105774</v>
      </c>
      <c r="H7" s="311" cm="1">
        <f t="array" ref="H7">_xlfn.XLOOKUP(H$4,Heat_supplies_input[#Headers],Heat_supplies_input[#This Row],0,0,)</f>
        <v>80</v>
      </c>
      <c r="I7" s="311" cm="1">
        <f t="array" ref="I7">_xlfn.XLOOKUP(I$4,Heat_supplies_input[#Headers],Heat_supplies_input[#This Row],0,0,)</f>
        <v>1000000</v>
      </c>
      <c r="J7" s="313" cm="1">
        <f t="array" ref="J7">_xlfn.XLOOKUP(J$4,Heat_supplies_input[#Headers],Heat_supplies_input[#This Row],0,0,)</f>
        <v>800</v>
      </c>
      <c r="K7" s="308" cm="1">
        <f t="array" ref="K7">_xlfn.XLOOKUP(K$4,Heat_supplies_input[#Headers],Heat_supplies_input[#This Row],0,0,)</f>
        <v>0</v>
      </c>
      <c r="L7" s="308" cm="1">
        <f t="array" ref="L7">_xlfn.XLOOKUP(L$4,Heat_supplies_input[#Headers],Heat_supplies_input[#This Row],0,0,)</f>
        <v>50.55</v>
      </c>
      <c r="M7" s="345" cm="1">
        <f t="array" ref="M7">_xlfn.XLOOKUP(M$4,Heat_supplies_input[#Headers],Heat_supplies_input[#This Row],"",0,)</f>
        <v>5.3332143761217601E-2</v>
      </c>
      <c r="N7" s="317" t="str" cm="1">
        <f t="array" ref="N7">_xlfn.XLOOKUP(N$4,Heat_supplies_input[#Headers],Heat_supplies_input[#This Row],0,0,)</f>
        <v>25.0 MW of low carbon. ASHP. Assumed peak energy centre capacity of 45.5 MW.</v>
      </c>
      <c r="O7" s="330"/>
      <c r="P7" s="333">
        <v>1</v>
      </c>
      <c r="Q7" s="313">
        <f>Heat_supplies[[#This Row],[Technology capacity, kW]]*Heat_supplies[[#This Row],[Opex, per kWp]]</f>
        <v>2301403.6722656251</v>
      </c>
      <c r="R7" s="313">
        <f>Heat_supplies[[#This Row],[Opex, per kWh]]*Heat_supplies[[#This Row],[kWh/yr output, incl losses]]</f>
        <v>4912198.380206218</v>
      </c>
      <c r="S7" s="313">
        <f>Heat_supplies[[#This Row],[Capex, per kWp]]*Heat_supplies[[#This Row],[Technology capacity, kW]]</f>
        <v>36421818.75</v>
      </c>
      <c r="T7" s="357">
        <f>IF(Heat_supplies[[#This Row],[Phase]]=1,1,"")</f>
        <v>1</v>
      </c>
      <c r="U7" s="357">
        <f>IF(Heat_supplies[[#This Row],[Phase]]=2,1,0)</f>
        <v>0</v>
      </c>
      <c r="V7" s="357">
        <f>IF(Heat_supplies[[#This Row],[Phase]]=3,1,0)</f>
        <v>0</v>
      </c>
      <c r="W7" s="361">
        <f>IF(Heat_supplies[[#This Row],[Phase 1 flag]]=1,Heat_supplies[[#This Row],[Opex, per kWh]]/$W$4,"")</f>
        <v>1.1222651268263319</v>
      </c>
      <c r="X7" s="361">
        <f>IF(OR(Heat_supplies[[#This Row],[Phase 2 flag]]=1,Heat_supplies[[#This Row],[Phase 1 flag]]=1),Heat_supplies[[#This Row],[Opex, per kWh]]/$W$4,"")</f>
        <v>1.1222651268263319</v>
      </c>
      <c r="Y7" s="360">
        <f>IF(OR(Heat_supplies[[#This Row],[Phase 3 flag]]=1,Heat_supplies[[#This Row],[Phase 2 flag]]=1,Heat_supplies[[#This Row],[Phase 1 flag]]=1),Heat_supplies[[#This Row],[Opex, per kWh]]/$W$4,"")</f>
        <v>1.1222651268263319</v>
      </c>
      <c r="Z7" s="313">
        <f>IFERROR(RANK(Heat_supplies[[#This Row],[Phase 1 ranking]],Heat_supplies[Phase 1 ranking],1)+COUNTIF($W$6:W7,W7)-1,"-")</f>
        <v>4</v>
      </c>
      <c r="AA7" s="313">
        <f>IFERROR(RANK(Heat_supplies[[#This Row],[Phase 2 ranking]],Heat_supplies[Phase 2 ranking],1)+COUNTIF($X$6:X7,X7)-1,"-")</f>
        <v>4</v>
      </c>
      <c r="AB7" s="313">
        <f>IFERROR(RANK(Heat_supplies[[#This Row],[Phase 3 ranking]],Heat_supplies[Phase 3 ranking],1)+COUNTIF($Y$6:Y7,Y7)-1,"-")</f>
        <v>4</v>
      </c>
      <c r="AC7" s="523">
        <f>13/(Heat_supplies[[#This Row],[Opex, per kWh]]*100)</f>
        <v>2.4375543683757601</v>
      </c>
    </row>
    <row r="8" spans="1:31" x14ac:dyDescent="0.25">
      <c r="C8" s="328" t="str" cm="1">
        <f t="array" ref="C8">_xlfn.XLOOKUP(C$4,Heat_supplies_input[#Headers],Heat_supplies_input[#This Row],0,0,)</f>
        <v>KEbCVx/G+f1kOV1Y</v>
      </c>
      <c r="D8" s="306" t="str" cm="1">
        <f t="array" ref="D8">_xlfn.XLOOKUP(D$4,Heat_supplies_input[#Headers],Heat_supplies_input[#This Row],0,0,)</f>
        <v>Aquifer source HP</v>
      </c>
      <c r="E8" s="306" t="str" cm="1">
        <f t="array" ref="E8">_xlfn.XLOOKUP(E$4,Heat_supplies_input[#Headers],Heat_supplies_input[#This Row],0,0,)</f>
        <v>Wormholt Park AqSHP (29,679m²)</v>
      </c>
      <c r="F8" s="311" cm="1">
        <f t="array" ref="F8">_xlfn.XLOOKUP(F$4,Heat_supplies_input[#Headers],Heat_supplies_input[#This Row],0,0,)</f>
        <v>4856.5634765625</v>
      </c>
      <c r="G8" s="313" cm="1">
        <f t="array" ref="G8">_xlfn.XLOOKUP(G$4,Heat_supplies_input[#Headers],Heat_supplies_input[#This Row],0,0,)</f>
        <v>15315659</v>
      </c>
      <c r="H8" s="311" cm="1">
        <f t="array" ref="H8">_xlfn.XLOOKUP(H$4,Heat_supplies_input[#Headers],Heat_supplies_input[#This Row],0,0,)</f>
        <v>80</v>
      </c>
      <c r="I8" s="311" cm="1">
        <f t="array" ref="I8">_xlfn.XLOOKUP(I$4,Heat_supplies_input[#Headers],Heat_supplies_input[#This Row],0,0,)</f>
        <v>1500000</v>
      </c>
      <c r="J8" s="313" cm="1">
        <f t="array" ref="J8">_xlfn.XLOOKUP(J$4,Heat_supplies_input[#Headers],Heat_supplies_input[#This Row],0,0,)</f>
        <v>1200</v>
      </c>
      <c r="K8" s="308" cm="1">
        <f t="array" ref="K8">_xlfn.XLOOKUP(K$4,Heat_supplies_input[#Headers],Heat_supplies_input[#This Row],0,0,)</f>
        <v>0</v>
      </c>
      <c r="L8" s="308" cm="1">
        <f t="array" ref="L8">_xlfn.XLOOKUP(L$4,Heat_supplies_input[#Headers],Heat_supplies_input[#This Row],0,0,)</f>
        <v>50.55</v>
      </c>
      <c r="M8" s="345" cm="1">
        <f t="array" ref="M8">_xlfn.XLOOKUP(M$4,Heat_supplies_input[#Headers],Heat_supplies_input[#This Row],"",0,)</f>
        <v>4.7521875612437731E-2</v>
      </c>
      <c r="N8" s="317" t="str" cm="1">
        <f t="array" ref="N8">_xlfn.XLOOKUP(N$4,Heat_supplies_input[#Headers],Heat_supplies_input[#This Row],0,0,)</f>
        <v>2.7 MW of low carbon. Aquifer source HP. Assumed peak energy centre capacity of 4.9 MW.</v>
      </c>
      <c r="O8" s="330"/>
      <c r="P8" s="333">
        <v>1</v>
      </c>
      <c r="Q8" s="313">
        <f>Heat_supplies[[#This Row],[Technology capacity, kW]]*Heat_supplies[[#This Row],[Opex, per kWp]]</f>
        <v>245499.28374023436</v>
      </c>
      <c r="R8" s="313">
        <f>Heat_supplies[[#This Row],[Opex, per kWh]]*Heat_supplies[[#This Row],[kWh/yr output, incl losses]]</f>
        <v>727828.8419205125</v>
      </c>
      <c r="S8" s="313">
        <f>Heat_supplies[[#This Row],[Capex, per kWp]]*Heat_supplies[[#This Row],[Technology capacity, kW]]</f>
        <v>5827876.171875</v>
      </c>
      <c r="T8" s="357">
        <f>IF(Heat_supplies[[#This Row],[Phase]]=1,1,"")</f>
        <v>1</v>
      </c>
      <c r="U8" s="357">
        <f>IF(Heat_supplies[[#This Row],[Phase]]=2,1,0)</f>
        <v>0</v>
      </c>
      <c r="V8" s="357">
        <f>IF(Heat_supplies[[#This Row],[Phase]]=3,1,0)</f>
        <v>0</v>
      </c>
      <c r="W8" s="361">
        <f>IF(Heat_supplies[[#This Row],[Phase 1 flag]]=1,Heat_supplies[[#This Row],[Opex, per kWh]]/$W$4,"")</f>
        <v>1</v>
      </c>
      <c r="X8" s="361">
        <f>IF(OR(Heat_supplies[[#This Row],[Phase 2 flag]]=1,Heat_supplies[[#This Row],[Phase 1 flag]]=1),Heat_supplies[[#This Row],[Opex, per kWh]]/$W$4,"")</f>
        <v>1</v>
      </c>
      <c r="Y8" s="360">
        <f>IF(OR(Heat_supplies[[#This Row],[Phase 3 flag]]=1,Heat_supplies[[#This Row],[Phase 2 flag]]=1,Heat_supplies[[#This Row],[Phase 1 flag]]=1),Heat_supplies[[#This Row],[Opex, per kWh]]/$W$4,"")</f>
        <v>1</v>
      </c>
      <c r="Z8" s="313">
        <f>IFERROR(RANK(Heat_supplies[[#This Row],[Phase 1 ranking]],Heat_supplies[Phase 1 ranking],1)+COUNTIF($W$6:W8,W8)-1,"-")</f>
        <v>2</v>
      </c>
      <c r="AA8" s="313">
        <f>IFERROR(RANK(Heat_supplies[[#This Row],[Phase 2 ranking]],Heat_supplies[Phase 2 ranking],1)+COUNTIF($X$6:X8,X8)-1,"-")</f>
        <v>2</v>
      </c>
      <c r="AB8" s="313">
        <f>IFERROR(RANK(Heat_supplies[[#This Row],[Phase 3 ranking]],Heat_supplies[Phase 3 ranking],1)+COUNTIF($Y$6:Y8,Y8)-1,"-")</f>
        <v>2</v>
      </c>
      <c r="AC8" s="523">
        <f>13/(Heat_supplies[[#This Row],[Opex, per kWh]]*100)</f>
        <v>2.7355822623713015</v>
      </c>
    </row>
    <row r="9" spans="1:31" x14ac:dyDescent="0.25">
      <c r="C9" s="328" t="str" cm="1">
        <f t="array" ref="C9">_xlfn.XLOOKUP(C$4,Heat_supplies_input[#Headers],Heat_supplies_input[#This Row],0,0,)</f>
        <v>AEZkTGK07CXKCF8R</v>
      </c>
      <c r="D9" s="306" t="str" cm="1">
        <f t="array" ref="D9">_xlfn.XLOOKUP(D$4,Heat_supplies_input[#Headers],Heat_supplies_input[#This Row],0,0,)</f>
        <v>Waste exhaust heat (TfL)</v>
      </c>
      <c r="E9" s="306" t="str" cm="1">
        <f t="array" ref="E9">_xlfn.XLOOKUP(E$4,Heat_supplies_input[#Headers],Heat_supplies_input[#This Row],0,0,)</f>
        <v>Sheperd's Bush (TfL)</v>
      </c>
      <c r="F9" s="311" cm="1">
        <f t="array" ref="F9">_xlfn.XLOOKUP(F$4,Heat_supplies_input[#Headers],Heat_supplies_input[#This Row],0,0,)</f>
        <v>919.583984375</v>
      </c>
      <c r="G9" s="313" cm="1">
        <f t="array" ref="G9">_xlfn.XLOOKUP(G$4,Heat_supplies_input[#Headers],Heat_supplies_input[#This Row],0,0,)</f>
        <v>2900000</v>
      </c>
      <c r="H9" s="311" cm="1">
        <f t="array" ref="H9">_xlfn.XLOOKUP(H$4,Heat_supplies_input[#Headers],Heat_supplies_input[#This Row],0,0,)</f>
        <v>80</v>
      </c>
      <c r="I9" s="311" cm="1">
        <f t="array" ref="I9">_xlfn.XLOOKUP(I$4,Heat_supplies_input[#Headers],Heat_supplies_input[#This Row],0,0,)</f>
        <v>2000000</v>
      </c>
      <c r="J9" s="313" cm="1">
        <f t="array" ref="J9">_xlfn.XLOOKUP(J$4,Heat_supplies_input[#Headers],Heat_supplies_input[#This Row],0,0,)</f>
        <v>1000</v>
      </c>
      <c r="K9" s="308" cm="1">
        <f t="array" ref="K9">_xlfn.XLOOKUP(K$4,Heat_supplies_input[#Headers],Heat_supplies_input[#This Row],0,0,)</f>
        <v>0</v>
      </c>
      <c r="L9" s="308" cm="1">
        <f t="array" ref="L9">_xlfn.XLOOKUP(L$4,Heat_supplies_input[#Headers],Heat_supplies_input[#This Row],0,0,)</f>
        <v>50.55</v>
      </c>
      <c r="M9" s="345" cm="1">
        <f t="array" ref="M9">_xlfn.XLOOKUP(M$4,Heat_supplies_input[#Headers],Heat_supplies_input[#This Row],"",0,)</f>
        <v>5.0233331359922889E-2</v>
      </c>
      <c r="N9" s="317" t="str" cm="1">
        <f t="array" ref="N9">_xlfn.XLOOKUP(N$4,Heat_supplies_input[#Headers],Heat_supplies_input[#This Row],0,0,)</f>
        <v>0.5 MW of low carbon. Waste exhaust heat (TfL). Assumed peak energy centre capacity of 0.9 MW.</v>
      </c>
      <c r="O9" s="330"/>
      <c r="P9" s="333">
        <v>1</v>
      </c>
      <c r="Q9" s="313">
        <f>Heat_supplies[[#This Row],[Technology capacity, kW]]*Heat_supplies[[#This Row],[Opex, per kWp]]</f>
        <v>46484.970410156246</v>
      </c>
      <c r="R9" s="313">
        <f>Heat_supplies[[#This Row],[Opex, per kWh]]*Heat_supplies[[#This Row],[kWh/yr output, incl losses]]</f>
        <v>145676.66094377637</v>
      </c>
      <c r="S9" s="313">
        <f>Heat_supplies[[#This Row],[Capex, per kWp]]*Heat_supplies[[#This Row],[Technology capacity, kW]]</f>
        <v>919583.984375</v>
      </c>
      <c r="T9" s="357">
        <f>IF(Heat_supplies[[#This Row],[Phase]]=1,1,"")</f>
        <v>1</v>
      </c>
      <c r="U9" s="357">
        <f>IF(Heat_supplies[[#This Row],[Phase]]=2,1,0)</f>
        <v>0</v>
      </c>
      <c r="V9" s="357">
        <f>IF(Heat_supplies[[#This Row],[Phase]]=3,1,0)</f>
        <v>0</v>
      </c>
      <c r="W9" s="361">
        <f>IF(Heat_supplies[[#This Row],[Phase 1 flag]]=1,Heat_supplies[[#This Row],[Opex, per kWh]]/$W$4,"")</f>
        <v>1.0570570019078855</v>
      </c>
      <c r="X9" s="361">
        <f>IF(OR(Heat_supplies[[#This Row],[Phase 2 flag]]=1,Heat_supplies[[#This Row],[Phase 1 flag]]=1),Heat_supplies[[#This Row],[Opex, per kWh]]/$W$4,"")</f>
        <v>1.0570570019078855</v>
      </c>
      <c r="Y9" s="360">
        <f>IF(OR(Heat_supplies[[#This Row],[Phase 3 flag]]=1,Heat_supplies[[#This Row],[Phase 2 flag]]=1,Heat_supplies[[#This Row],[Phase 1 flag]]=1),Heat_supplies[[#This Row],[Opex, per kWh]]/$W$4,"")</f>
        <v>1.0570570019078855</v>
      </c>
      <c r="Z9" s="313">
        <f>IFERROR(RANK(Heat_supplies[[#This Row],[Phase 1 ranking]],Heat_supplies[Phase 1 ranking],1)+COUNTIF($W$6:W9,W9)-1,"-")</f>
        <v>3</v>
      </c>
      <c r="AA9" s="313">
        <f>IFERROR(RANK(Heat_supplies[[#This Row],[Phase 2 ranking]],Heat_supplies[Phase 2 ranking],1)+COUNTIF($X$6:X9,X9)-1,"-")</f>
        <v>3</v>
      </c>
      <c r="AB9" s="313">
        <f>IFERROR(RANK(Heat_supplies[[#This Row],[Phase 3 ranking]],Heat_supplies[Phase 3 ranking],1)+COUNTIF($Y$6:Y9,Y9)-1,"-")</f>
        <v>3</v>
      </c>
      <c r="AC9" s="523">
        <f>13/(Heat_supplies[[#This Row],[Opex, per kWh]]*100)</f>
        <v>2.5879231275454786</v>
      </c>
    </row>
    <row r="10" spans="1:31" x14ac:dyDescent="0.25">
      <c r="C10" s="328" t="str" cm="1">
        <f t="array" ref="C10">_xlfn.XLOOKUP(C$4,Heat_supplies_input[#Headers],Heat_supplies_input[#This Row],0,0,)</f>
        <v>llaMCm41jZLxq+i+</v>
      </c>
      <c r="D10" s="306" t="str" cm="1">
        <f t="array" ref="D10">_xlfn.XLOOKUP(D$4,Heat_supplies_input[#Headers],Heat_supplies_input[#This Row],0,0,)</f>
        <v>Aquifer source HP</v>
      </c>
      <c r="E10" s="306" t="str" cm="1">
        <f t="array" ref="E10">_xlfn.XLOOKUP(E$4,Heat_supplies_input[#Headers],Heat_supplies_input[#This Row],0,0,)</f>
        <v>Holland Park AqSHP (201,396m²)</v>
      </c>
      <c r="F10" s="311" cm="1">
        <f t="array" ref="F10">_xlfn.XLOOKUP(F$4,Heat_supplies_input[#Headers],Heat_supplies_input[#This Row],0,0,)</f>
        <v>32955.7109375</v>
      </c>
      <c r="G10" s="313" cm="1">
        <f t="array" ref="G10">_xlfn.XLOOKUP(G$4,Heat_supplies_input[#Headers],Heat_supplies_input[#This Row],0,0,)</f>
        <v>103929128</v>
      </c>
      <c r="H10" s="311" cm="1">
        <f t="array" ref="H10">_xlfn.XLOOKUP(H$4,Heat_supplies_input[#Headers],Heat_supplies_input[#This Row],0,0,)</f>
        <v>80</v>
      </c>
      <c r="I10" s="311" cm="1">
        <f t="array" ref="I10">_xlfn.XLOOKUP(I$4,Heat_supplies_input[#Headers],Heat_supplies_input[#This Row],0,0,)</f>
        <v>1500000</v>
      </c>
      <c r="J10" s="313" cm="1">
        <f t="array" ref="J10">_xlfn.XLOOKUP(J$4,Heat_supplies_input[#Headers],Heat_supplies_input[#This Row],0,0,)</f>
        <v>1200</v>
      </c>
      <c r="K10" s="308" cm="1">
        <f t="array" ref="K10">_xlfn.XLOOKUP(K$4,Heat_supplies_input[#Headers],Heat_supplies_input[#This Row],0,0,)</f>
        <v>0</v>
      </c>
      <c r="L10" s="308" cm="1">
        <f t="array" ref="L10">_xlfn.XLOOKUP(L$4,Heat_supplies_input[#Headers],Heat_supplies_input[#This Row],0,0,)</f>
        <v>50.55</v>
      </c>
      <c r="M10" s="345" cm="1">
        <f t="array" ref="M10">_xlfn.XLOOKUP(M$4,Heat_supplies_input[#Headers],Heat_supplies_input[#This Row],"",0,)</f>
        <v>0.06</v>
      </c>
      <c r="N10" s="317" t="str" cm="1">
        <f t="array" ref="N10">_xlfn.XLOOKUP(N$4,Heat_supplies_input[#Headers],Heat_supplies_input[#This Row],0,0,)</f>
        <v>18.1 MW of low carbon. Aquifer source HP. Assumed peak energy centre capacity of 33.0 MW.</v>
      </c>
      <c r="O10" s="330"/>
      <c r="P10" s="333">
        <v>1</v>
      </c>
      <c r="Q10" s="313">
        <f>Heat_supplies[[#This Row],[Technology capacity, kW]]*Heat_supplies[[#This Row],[Opex, per kWp]]</f>
        <v>1665911.1878906249</v>
      </c>
      <c r="R10" s="313">
        <f>Heat_supplies[[#This Row],[Opex, per kWh]]*Heat_supplies[[#This Row],[kWh/yr output, incl losses]]</f>
        <v>6235747.6799999997</v>
      </c>
      <c r="S10" s="313">
        <f>Heat_supplies[[#This Row],[Capex, per kWp]]*Heat_supplies[[#This Row],[Technology capacity, kW]]</f>
        <v>39546853.125</v>
      </c>
      <c r="T10" s="357">
        <f>IF(Heat_supplies[[#This Row],[Phase]]=1,1,"")</f>
        <v>1</v>
      </c>
      <c r="U10" s="357">
        <f>IF(Heat_supplies[[#This Row],[Phase]]=2,1,0)</f>
        <v>0</v>
      </c>
      <c r="V10" s="357">
        <f>IF(Heat_supplies[[#This Row],[Phase]]=3,1,0)</f>
        <v>0</v>
      </c>
      <c r="W10" s="361">
        <f>IF(Heat_supplies[[#This Row],[Phase 1 flag]]=1,Heat_supplies[[#This Row],[Opex, per kWh]]/$W$4,"")</f>
        <v>1.2625764287867547</v>
      </c>
      <c r="X10" s="361">
        <f>IF(OR(Heat_supplies[[#This Row],[Phase 2 flag]]=1,Heat_supplies[[#This Row],[Phase 1 flag]]=1),Heat_supplies[[#This Row],[Opex, per kWh]]/$W$4,"")</f>
        <v>1.2625764287867547</v>
      </c>
      <c r="Y10" s="360">
        <f>IF(OR(Heat_supplies[[#This Row],[Phase 3 flag]]=1,Heat_supplies[[#This Row],[Phase 2 flag]]=1,Heat_supplies[[#This Row],[Phase 1 flag]]=1),Heat_supplies[[#This Row],[Opex, per kWh]]/$W$4,"")</f>
        <v>1.2625764287867547</v>
      </c>
      <c r="Z10" s="313">
        <f>IFERROR(RANK(Heat_supplies[[#This Row],[Phase 1 ranking]],Heat_supplies[Phase 1 ranking],1)+COUNTIF($W$6:W10,W10)-1,"-")</f>
        <v>5</v>
      </c>
      <c r="AA10" s="313">
        <f>IFERROR(RANK(Heat_supplies[[#This Row],[Phase 2 ranking]],Heat_supplies[Phase 2 ranking],1)+COUNTIF($X$6:X10,X10)-1,"-")</f>
        <v>5</v>
      </c>
      <c r="AB10" s="313">
        <f>IFERROR(RANK(Heat_supplies[[#This Row],[Phase 3 ranking]],Heat_supplies[Phase 3 ranking],1)+COUNTIF($Y$6:Y10,Y10)-1,"-")</f>
        <v>5</v>
      </c>
      <c r="AC10" s="523">
        <f>13/(Heat_supplies[[#This Row],[Opex, per kWh]]*100)</f>
        <v>2.1666666666666665</v>
      </c>
    </row>
    <row r="11" spans="1:31" x14ac:dyDescent="0.25">
      <c r="C11" s="328" cm="1">
        <f t="array" ref="C11">_xlfn.XLOOKUP(C$4,Heat_supplies_input[#Headers],Heat_supplies_input[#This Row],0,0,)</f>
        <v>0</v>
      </c>
      <c r="D11" s="306" cm="1">
        <f t="array" ref="D11">_xlfn.XLOOKUP(D$4,Heat_supplies_input[#Headers],Heat_supplies_input[#This Row],0,0,)</f>
        <v>0</v>
      </c>
      <c r="E11" s="306" cm="1">
        <f t="array" ref="E11">_xlfn.XLOOKUP(E$4,Heat_supplies_input[#Headers],Heat_supplies_input[#This Row],0,0,)</f>
        <v>0</v>
      </c>
      <c r="F11" s="311" cm="1">
        <f t="array" ref="F11">_xlfn.XLOOKUP(F$4,Heat_supplies_input[#Headers],Heat_supplies_input[#This Row],0,0,)</f>
        <v>0</v>
      </c>
      <c r="G11" s="313" cm="1">
        <f t="array" ref="G11">_xlfn.XLOOKUP(G$4,Heat_supplies_input[#Headers],Heat_supplies_input[#This Row],0,0,)</f>
        <v>0</v>
      </c>
      <c r="H11" s="311" cm="1">
        <f t="array" ref="H11">_xlfn.XLOOKUP(H$4,Heat_supplies_input[#Headers],Heat_supplies_input[#This Row],0,0,)</f>
        <v>0</v>
      </c>
      <c r="I11" s="311" cm="1">
        <f t="array" ref="I11">_xlfn.XLOOKUP(I$4,Heat_supplies_input[#Headers],Heat_supplies_input[#This Row],0,0,)</f>
        <v>0</v>
      </c>
      <c r="J11" s="308" cm="1">
        <f t="array" ref="J11">_xlfn.XLOOKUP(J$4,Heat_supplies_input[#Headers],Heat_supplies_input[#This Row],0,0,)</f>
        <v>0</v>
      </c>
      <c r="K11" s="308" cm="1">
        <f t="array" ref="K11">_xlfn.XLOOKUP(K$4,Heat_supplies_input[#Headers],Heat_supplies_input[#This Row],0,0,)</f>
        <v>0</v>
      </c>
      <c r="L11" s="308" cm="1">
        <f t="array" ref="L11">_xlfn.XLOOKUP(L$4,Heat_supplies_input[#Headers],Heat_supplies_input[#This Row],0,0,)</f>
        <v>0</v>
      </c>
      <c r="M11" s="345" cm="1">
        <f t="array" ref="M11">_xlfn.XLOOKUP(M$4,Heat_supplies_input[#Headers],Heat_supplies_input[#This Row],"",0,)</f>
        <v>0</v>
      </c>
      <c r="N11" s="317" cm="1">
        <f t="array" ref="N11">_xlfn.XLOOKUP(N$4,Heat_supplies_input[#Headers],Heat_supplies_input[#This Row],0,0,)</f>
        <v>0</v>
      </c>
      <c r="O11" s="330"/>
      <c r="P11" s="334"/>
      <c r="Q11" s="313">
        <f>Heat_supplies[[#This Row],[Technology capacity, kW]]*Heat_supplies[[#This Row],[Opex, per kWp]]</f>
        <v>0</v>
      </c>
      <c r="R11" s="313">
        <f>Heat_supplies[[#This Row],[Opex, per kWh]]*Heat_supplies[[#This Row],[kWh/yr output, incl losses]]</f>
        <v>0</v>
      </c>
      <c r="S11" s="313">
        <f>Heat_supplies[[#This Row],[Capex, per kWp]]*Heat_supplies[[#This Row],[Technology capacity, kW]]</f>
        <v>0</v>
      </c>
      <c r="T11" s="357" t="str">
        <f>IF(Heat_supplies[[#This Row],[Phase]]=1,1,"")</f>
        <v/>
      </c>
      <c r="U11" s="357">
        <f>IF(Heat_supplies[[#This Row],[Phase]]=2,1,0)</f>
        <v>0</v>
      </c>
      <c r="V11" s="357">
        <f>IF(Heat_supplies[[#This Row],[Phase]]=3,1,0)</f>
        <v>0</v>
      </c>
      <c r="W11" s="361" t="str">
        <f>IF(Heat_supplies[[#This Row],[Phase 1 flag]]=1,Heat_supplies[[#This Row],[Opex, per kWh]]/$W$4,"")</f>
        <v/>
      </c>
      <c r="X11" s="361" t="str">
        <f>IF(OR(Heat_supplies[[#This Row],[Phase 2 flag]]=1,Heat_supplies[[#This Row],[Phase 1 flag]]=1),Heat_supplies[[#This Row],[Opex, per kWh]]/$W$4,"")</f>
        <v/>
      </c>
      <c r="Y11" s="360" t="str">
        <f>IF(OR(Heat_supplies[[#This Row],[Phase 3 flag]]=1,Heat_supplies[[#This Row],[Phase 2 flag]]=1,Heat_supplies[[#This Row],[Phase 1 flag]]=1),Heat_supplies[[#This Row],[Opex, per kWh]]/$W$4,"")</f>
        <v/>
      </c>
      <c r="Z11" s="313" t="str">
        <f>IFERROR(RANK(Heat_supplies[[#This Row],[Phase 1 ranking]],Heat_supplies[Phase 1 ranking],1)+COUNTIF($W$6:W11,W11)-1,"-")</f>
        <v>-</v>
      </c>
      <c r="AA11" s="313" t="str">
        <f>IFERROR(RANK(Heat_supplies[[#This Row],[Phase 2 ranking]],Heat_supplies[Phase 2 ranking],1)+COUNTIF($X$6:X11,X11)-1,"-")</f>
        <v>-</v>
      </c>
      <c r="AB11" s="313" t="str">
        <f>IFERROR(RANK(Heat_supplies[[#This Row],[Phase 3 ranking]],Heat_supplies[Phase 3 ranking],1)+COUNTIF($Y$6:Y11,Y11)-1,"-")</f>
        <v>-</v>
      </c>
      <c r="AC11" s="523" t="e">
        <f>13/(Heat_supplies[[#This Row],[Opex, per kWh]]*100)</f>
        <v>#DIV/0!</v>
      </c>
    </row>
    <row r="12" spans="1:31" x14ac:dyDescent="0.25">
      <c r="C12" s="328" cm="1">
        <f t="array" ref="C12">_xlfn.XLOOKUP(C$4,Heat_supplies_input[#Headers],Heat_supplies_input[#This Row],0,0,)</f>
        <v>0</v>
      </c>
      <c r="D12" s="306" cm="1">
        <f t="array" ref="D12">_xlfn.XLOOKUP(D$4,Heat_supplies_input[#Headers],Heat_supplies_input[#This Row],0,0,)</f>
        <v>0</v>
      </c>
      <c r="E12" s="306" cm="1">
        <f t="array" ref="E12">_xlfn.XLOOKUP(E$4,Heat_supplies_input[#Headers],Heat_supplies_input[#This Row],0,0,)</f>
        <v>0</v>
      </c>
      <c r="F12" s="311" cm="1">
        <f t="array" ref="F12">_xlfn.XLOOKUP(F$4,Heat_supplies_input[#Headers],Heat_supplies_input[#This Row],0,0,)</f>
        <v>0</v>
      </c>
      <c r="G12" s="313" cm="1">
        <f t="array" ref="G12">_xlfn.XLOOKUP(G$4,Heat_supplies_input[#Headers],Heat_supplies_input[#This Row],0,0,)</f>
        <v>0</v>
      </c>
      <c r="H12" s="311" cm="1">
        <f t="array" ref="H12">_xlfn.XLOOKUP(H$4,Heat_supplies_input[#Headers],Heat_supplies_input[#This Row],0,0,)</f>
        <v>0</v>
      </c>
      <c r="I12" s="311" cm="1">
        <f t="array" ref="I12">_xlfn.XLOOKUP(I$4,Heat_supplies_input[#Headers],Heat_supplies_input[#This Row],0,0,)</f>
        <v>0</v>
      </c>
      <c r="J12" s="308" cm="1">
        <f t="array" ref="J12">_xlfn.XLOOKUP(J$4,Heat_supplies_input[#Headers],Heat_supplies_input[#This Row],0,0,)</f>
        <v>0</v>
      </c>
      <c r="K12" s="308" cm="1">
        <f t="array" ref="K12">_xlfn.XLOOKUP(K$4,Heat_supplies_input[#Headers],Heat_supplies_input[#This Row],0,0,)</f>
        <v>0</v>
      </c>
      <c r="L12" s="308" cm="1">
        <f t="array" ref="L12">_xlfn.XLOOKUP(L$4,Heat_supplies_input[#Headers],Heat_supplies_input[#This Row],0,0,)</f>
        <v>0</v>
      </c>
      <c r="M12" s="345" cm="1">
        <f t="array" ref="M12">_xlfn.XLOOKUP(M$4,Heat_supplies_input[#Headers],Heat_supplies_input[#This Row],"",0,)</f>
        <v>0</v>
      </c>
      <c r="N12" s="317" cm="1">
        <f t="array" ref="N12">_xlfn.XLOOKUP(N$4,Heat_supplies_input[#Headers],Heat_supplies_input[#This Row],0,0,)</f>
        <v>0</v>
      </c>
      <c r="O12" s="330"/>
      <c r="P12" s="334"/>
      <c r="Q12" s="313">
        <f>Heat_supplies[[#This Row],[Technology capacity, kW]]*Heat_supplies[[#This Row],[Opex, per kWp]]</f>
        <v>0</v>
      </c>
      <c r="R12" s="313">
        <f>Heat_supplies[[#This Row],[Opex, per kWh]]*Heat_supplies[[#This Row],[kWh/yr output, incl losses]]</f>
        <v>0</v>
      </c>
      <c r="S12" s="313">
        <f>Heat_supplies[[#This Row],[Capex, per kWp]]*Heat_supplies[[#This Row],[Technology capacity, kW]]</f>
        <v>0</v>
      </c>
      <c r="T12" s="357" t="str">
        <f>IF(Heat_supplies[[#This Row],[Phase]]=1,1,"")</f>
        <v/>
      </c>
      <c r="U12" s="357">
        <f>IF(Heat_supplies[[#This Row],[Phase]]=2,1,0)</f>
        <v>0</v>
      </c>
      <c r="V12" s="357">
        <f>IF(Heat_supplies[[#This Row],[Phase]]=3,1,0)</f>
        <v>0</v>
      </c>
      <c r="W12" s="361" t="str">
        <f>IF(Heat_supplies[[#This Row],[Phase 1 flag]]=1,Heat_supplies[[#This Row],[Opex, per kWh]]/$W$4,"")</f>
        <v/>
      </c>
      <c r="X12" s="361" t="str">
        <f>IF(OR(Heat_supplies[[#This Row],[Phase 2 flag]]=1,Heat_supplies[[#This Row],[Phase 1 flag]]=1),Heat_supplies[[#This Row],[Opex, per kWh]]/$W$4,"")</f>
        <v/>
      </c>
      <c r="Y12" s="360" t="str">
        <f>IF(OR(Heat_supplies[[#This Row],[Phase 3 flag]]=1,Heat_supplies[[#This Row],[Phase 2 flag]]=1,Heat_supplies[[#This Row],[Phase 1 flag]]=1),Heat_supplies[[#This Row],[Opex, per kWh]]/$W$4,"")</f>
        <v/>
      </c>
      <c r="Z12" s="313" t="str">
        <f>IFERROR(RANK(Heat_supplies[[#This Row],[Phase 1 ranking]],Heat_supplies[Phase 1 ranking],1)+COUNTIF($W$6:W12,W12)-1,"-")</f>
        <v>-</v>
      </c>
      <c r="AA12" s="313" t="str">
        <f>IFERROR(RANK(Heat_supplies[[#This Row],[Phase 2 ranking]],Heat_supplies[Phase 2 ranking],1)+COUNTIF($X$6:X12,X12)-1,"-")</f>
        <v>-</v>
      </c>
      <c r="AB12" s="313" t="str">
        <f>IFERROR(RANK(Heat_supplies[[#This Row],[Phase 3 ranking]],Heat_supplies[Phase 3 ranking],1)+COUNTIF($Y$6:Y12,Y12)-1,"-")</f>
        <v>-</v>
      </c>
      <c r="AC12" s="523" t="e">
        <f>13/(Heat_supplies[[#This Row],[Opex, per kWh]]*100)</f>
        <v>#DIV/0!</v>
      </c>
    </row>
    <row r="13" spans="1:31" x14ac:dyDescent="0.25">
      <c r="C13" s="328" cm="1">
        <f t="array" ref="C13">_xlfn.XLOOKUP(C$4,Heat_supplies_input[#Headers],Heat_supplies_input[#This Row],0,0,)</f>
        <v>0</v>
      </c>
      <c r="D13" s="306" cm="1">
        <f t="array" ref="D13">_xlfn.XLOOKUP(D$4,Heat_supplies_input[#Headers],Heat_supplies_input[#This Row],0,0,)</f>
        <v>0</v>
      </c>
      <c r="E13" s="306" cm="1">
        <f t="array" ref="E13">_xlfn.XLOOKUP(E$4,Heat_supplies_input[#Headers],Heat_supplies_input[#This Row],0,0,)</f>
        <v>0</v>
      </c>
      <c r="F13" s="311" cm="1">
        <f t="array" ref="F13">_xlfn.XLOOKUP(F$4,Heat_supplies_input[#Headers],Heat_supplies_input[#This Row],0,0,)</f>
        <v>0</v>
      </c>
      <c r="G13" s="313" cm="1">
        <f t="array" ref="G13">_xlfn.XLOOKUP(G$4,Heat_supplies_input[#Headers],Heat_supplies_input[#This Row],0,0,)</f>
        <v>0</v>
      </c>
      <c r="H13" s="311" cm="1">
        <f t="array" ref="H13">_xlfn.XLOOKUP(H$4,Heat_supplies_input[#Headers],Heat_supplies_input[#This Row],0,0,)</f>
        <v>0</v>
      </c>
      <c r="I13" s="311" cm="1">
        <f t="array" ref="I13">_xlfn.XLOOKUP(I$4,Heat_supplies_input[#Headers],Heat_supplies_input[#This Row],0,0,)</f>
        <v>0</v>
      </c>
      <c r="J13" s="308" cm="1">
        <f t="array" ref="J13">_xlfn.XLOOKUP(J$4,Heat_supplies_input[#Headers],Heat_supplies_input[#This Row],0,0,)</f>
        <v>0</v>
      </c>
      <c r="K13" s="308" cm="1">
        <f t="array" ref="K13">_xlfn.XLOOKUP(K$4,Heat_supplies_input[#Headers],Heat_supplies_input[#This Row],0,0,)</f>
        <v>0</v>
      </c>
      <c r="L13" s="308" cm="1">
        <f t="array" ref="L13">_xlfn.XLOOKUP(L$4,Heat_supplies_input[#Headers],Heat_supplies_input[#This Row],0,0,)</f>
        <v>0</v>
      </c>
      <c r="M13" s="345" cm="1">
        <f t="array" ref="M13">_xlfn.XLOOKUP(M$4,Heat_supplies_input[#Headers],Heat_supplies_input[#This Row],"",0,)</f>
        <v>0</v>
      </c>
      <c r="N13" s="317" cm="1">
        <f t="array" ref="N13">_xlfn.XLOOKUP(N$4,Heat_supplies_input[#Headers],Heat_supplies_input[#This Row],0,0,)</f>
        <v>0</v>
      </c>
      <c r="O13" s="330"/>
      <c r="P13" s="334"/>
      <c r="Q13" s="313">
        <f>Heat_supplies[[#This Row],[Technology capacity, kW]]*Heat_supplies[[#This Row],[Opex, per kWp]]</f>
        <v>0</v>
      </c>
      <c r="R13" s="313">
        <f>Heat_supplies[[#This Row],[Opex, per kWh]]*Heat_supplies[[#This Row],[kWh/yr output, incl losses]]</f>
        <v>0</v>
      </c>
      <c r="S13" s="313">
        <f>Heat_supplies[[#This Row],[Capex, per kWp]]*Heat_supplies[[#This Row],[Technology capacity, kW]]</f>
        <v>0</v>
      </c>
      <c r="T13" s="357" t="str">
        <f>IF(Heat_supplies[[#This Row],[Phase]]=1,1,"")</f>
        <v/>
      </c>
      <c r="U13" s="357">
        <f>IF(Heat_supplies[[#This Row],[Phase]]=2,1,0)</f>
        <v>0</v>
      </c>
      <c r="V13" s="357">
        <f>IF(Heat_supplies[[#This Row],[Phase]]=3,1,0)</f>
        <v>0</v>
      </c>
      <c r="W13" s="361" t="str">
        <f>IF(Heat_supplies[[#This Row],[Phase 1 flag]]=1,Heat_supplies[[#This Row],[Opex, per kWh]]/$W$4,"")</f>
        <v/>
      </c>
      <c r="X13" s="361" t="str">
        <f>IF(OR(Heat_supplies[[#This Row],[Phase 2 flag]]=1,Heat_supplies[[#This Row],[Phase 1 flag]]=1),Heat_supplies[[#This Row],[Opex, per kWh]]/$W$4,"")</f>
        <v/>
      </c>
      <c r="Y13" s="360" t="str">
        <f>IF(OR(Heat_supplies[[#This Row],[Phase 3 flag]]=1,Heat_supplies[[#This Row],[Phase 2 flag]]=1,Heat_supplies[[#This Row],[Phase 1 flag]]=1),Heat_supplies[[#This Row],[Opex, per kWh]]/$W$4,"")</f>
        <v/>
      </c>
      <c r="Z13" s="313" t="str">
        <f>IFERROR(RANK(Heat_supplies[[#This Row],[Phase 1 ranking]],Heat_supplies[Phase 1 ranking],1)+COUNTIF($W$6:W13,W13)-1,"-")</f>
        <v>-</v>
      </c>
      <c r="AA13" s="313" t="str">
        <f>IFERROR(RANK(Heat_supplies[[#This Row],[Phase 2 ranking]],Heat_supplies[Phase 2 ranking],1)+COUNTIF($X$6:X13,X13)-1,"-")</f>
        <v>-</v>
      </c>
      <c r="AB13" s="313" t="str">
        <f>IFERROR(RANK(Heat_supplies[[#This Row],[Phase 3 ranking]],Heat_supplies[Phase 3 ranking],1)+COUNTIF($Y$6:Y13,Y13)-1,"-")</f>
        <v>-</v>
      </c>
      <c r="AC13" s="523" t="e">
        <f>13/(Heat_supplies[[#This Row],[Opex, per kWh]]*100)</f>
        <v>#DIV/0!</v>
      </c>
    </row>
    <row r="14" spans="1:31" x14ac:dyDescent="0.25">
      <c r="C14" s="328" cm="1">
        <f t="array" ref="C14">_xlfn.XLOOKUP(C$4,Heat_supplies_input[#Headers],Heat_supplies_input[#This Row],0,0,)</f>
        <v>0</v>
      </c>
      <c r="D14" s="306" cm="1">
        <f t="array" ref="D14">_xlfn.XLOOKUP(D$4,Heat_supplies_input[#Headers],Heat_supplies_input[#This Row],0,0,)</f>
        <v>0</v>
      </c>
      <c r="E14" s="306" cm="1">
        <f t="array" ref="E14">_xlfn.XLOOKUP(E$4,Heat_supplies_input[#Headers],Heat_supplies_input[#This Row],0,0,)</f>
        <v>0</v>
      </c>
      <c r="F14" s="311" cm="1">
        <f t="array" ref="F14">_xlfn.XLOOKUP(F$4,Heat_supplies_input[#Headers],Heat_supplies_input[#This Row],0,0,)</f>
        <v>0</v>
      </c>
      <c r="G14" s="313" cm="1">
        <f t="array" ref="G14">_xlfn.XLOOKUP(G$4,Heat_supplies_input[#Headers],Heat_supplies_input[#This Row],0,0,)</f>
        <v>0</v>
      </c>
      <c r="H14" s="311" cm="1">
        <f t="array" ref="H14">_xlfn.XLOOKUP(H$4,Heat_supplies_input[#Headers],Heat_supplies_input[#This Row],0,0,)</f>
        <v>0</v>
      </c>
      <c r="I14" s="311" cm="1">
        <f t="array" ref="I14">_xlfn.XLOOKUP(I$4,Heat_supplies_input[#Headers],Heat_supplies_input[#This Row],0,0,)</f>
        <v>0</v>
      </c>
      <c r="J14" s="308" cm="1">
        <f t="array" ref="J14">_xlfn.XLOOKUP(J$4,Heat_supplies_input[#Headers],Heat_supplies_input[#This Row],0,0,)</f>
        <v>0</v>
      </c>
      <c r="K14" s="308" cm="1">
        <f t="array" ref="K14">_xlfn.XLOOKUP(K$4,Heat_supplies_input[#Headers],Heat_supplies_input[#This Row],0,0,)</f>
        <v>0</v>
      </c>
      <c r="L14" s="308" cm="1">
        <f t="array" ref="L14">_xlfn.XLOOKUP(L$4,Heat_supplies_input[#Headers],Heat_supplies_input[#This Row],0,0,)</f>
        <v>0</v>
      </c>
      <c r="M14" s="345" cm="1">
        <f t="array" ref="M14">_xlfn.XLOOKUP(M$4,Heat_supplies_input[#Headers],Heat_supplies_input[#This Row],"",0,)</f>
        <v>0</v>
      </c>
      <c r="N14" s="317" cm="1">
        <f t="array" ref="N14">_xlfn.XLOOKUP(N$4,Heat_supplies_input[#Headers],Heat_supplies_input[#This Row],0,0,)</f>
        <v>0</v>
      </c>
      <c r="O14" s="330"/>
      <c r="P14" s="334"/>
      <c r="Q14" s="313">
        <f>Heat_supplies[[#This Row],[Technology capacity, kW]]*Heat_supplies[[#This Row],[Opex, per kWp]]</f>
        <v>0</v>
      </c>
      <c r="R14" s="313">
        <f>Heat_supplies[[#This Row],[Opex, per kWh]]*Heat_supplies[[#This Row],[kWh/yr output, incl losses]]</f>
        <v>0</v>
      </c>
      <c r="S14" s="313">
        <f>Heat_supplies[[#This Row],[Capex, per kWp]]*Heat_supplies[[#This Row],[Technology capacity, kW]]</f>
        <v>0</v>
      </c>
      <c r="T14" s="357" t="str">
        <f>IF(Heat_supplies[[#This Row],[Phase]]=1,1,"")</f>
        <v/>
      </c>
      <c r="U14" s="357">
        <f>IF(Heat_supplies[[#This Row],[Phase]]=2,1,0)</f>
        <v>0</v>
      </c>
      <c r="V14" s="357">
        <f>IF(Heat_supplies[[#This Row],[Phase]]=3,1,0)</f>
        <v>0</v>
      </c>
      <c r="W14" s="361" t="str">
        <f>IF(Heat_supplies[[#This Row],[Phase 1 flag]]=1,Heat_supplies[[#This Row],[Opex, per kWh]]/$W$4,"")</f>
        <v/>
      </c>
      <c r="X14" s="361" t="str">
        <f>IF(OR(Heat_supplies[[#This Row],[Phase 2 flag]]=1,Heat_supplies[[#This Row],[Phase 1 flag]]=1),Heat_supplies[[#This Row],[Opex, per kWh]]/$W$4,"")</f>
        <v/>
      </c>
      <c r="Y14" s="360" t="str">
        <f>IF(OR(Heat_supplies[[#This Row],[Phase 3 flag]]=1,Heat_supplies[[#This Row],[Phase 2 flag]]=1,Heat_supplies[[#This Row],[Phase 1 flag]]=1),Heat_supplies[[#This Row],[Opex, per kWh]]/$W$4,"")</f>
        <v/>
      </c>
      <c r="Z14" s="313" t="str">
        <f>IFERROR(RANK(Heat_supplies[[#This Row],[Phase 1 ranking]],Heat_supplies[Phase 1 ranking],1)+COUNTIF($W$6:W14,W14)-1,"-")</f>
        <v>-</v>
      </c>
      <c r="AA14" s="313" t="str">
        <f>IFERROR(RANK(Heat_supplies[[#This Row],[Phase 2 ranking]],Heat_supplies[Phase 2 ranking],1)+COUNTIF($X$6:X14,X14)-1,"-")</f>
        <v>-</v>
      </c>
      <c r="AB14" s="313" t="str">
        <f>IFERROR(RANK(Heat_supplies[[#This Row],[Phase 3 ranking]],Heat_supplies[Phase 3 ranking],1)+COUNTIF($Y$6:Y14,Y14)-1,"-")</f>
        <v>-</v>
      </c>
      <c r="AC14" s="523" t="e">
        <f>13/(Heat_supplies[[#This Row],[Opex, per kWh]]*100)</f>
        <v>#DIV/0!</v>
      </c>
    </row>
    <row r="15" spans="1:31" x14ac:dyDescent="0.25">
      <c r="C15" s="328" cm="1">
        <f t="array" ref="C15">_xlfn.XLOOKUP(C$4,Heat_supplies_input[#Headers],Heat_supplies_input[#This Row],0,0,)</f>
        <v>0</v>
      </c>
      <c r="D15" s="306" cm="1">
        <f t="array" ref="D15">_xlfn.XLOOKUP(D$4,Heat_supplies_input[#Headers],Heat_supplies_input[#This Row],0,0,)</f>
        <v>0</v>
      </c>
      <c r="E15" s="306" cm="1">
        <f t="array" ref="E15">_xlfn.XLOOKUP(E$4,Heat_supplies_input[#Headers],Heat_supplies_input[#This Row],0,0,)</f>
        <v>0</v>
      </c>
      <c r="F15" s="311" cm="1">
        <f t="array" ref="F15">_xlfn.XLOOKUP(F$4,Heat_supplies_input[#Headers],Heat_supplies_input[#This Row],0,0,)</f>
        <v>0</v>
      </c>
      <c r="G15" s="313" cm="1">
        <f t="array" ref="G15">_xlfn.XLOOKUP(G$4,Heat_supplies_input[#Headers],Heat_supplies_input[#This Row],0,0,)</f>
        <v>0</v>
      </c>
      <c r="H15" s="311" cm="1">
        <f t="array" ref="H15">_xlfn.XLOOKUP(H$4,Heat_supplies_input[#Headers],Heat_supplies_input[#This Row],0,0,)</f>
        <v>0</v>
      </c>
      <c r="I15" s="311" cm="1">
        <f t="array" ref="I15">_xlfn.XLOOKUP(I$4,Heat_supplies_input[#Headers],Heat_supplies_input[#This Row],0,0,)</f>
        <v>0</v>
      </c>
      <c r="J15" s="308" cm="1">
        <f t="array" ref="J15">_xlfn.XLOOKUP(J$4,Heat_supplies_input[#Headers],Heat_supplies_input[#This Row],0,0,)</f>
        <v>0</v>
      </c>
      <c r="K15" s="308" cm="1">
        <f t="array" ref="K15">_xlfn.XLOOKUP(K$4,Heat_supplies_input[#Headers],Heat_supplies_input[#This Row],0,0,)</f>
        <v>0</v>
      </c>
      <c r="L15" s="308" cm="1">
        <f t="array" ref="L15">_xlfn.XLOOKUP(L$4,Heat_supplies_input[#Headers],Heat_supplies_input[#This Row],0,0,)</f>
        <v>0</v>
      </c>
      <c r="M15" s="345" cm="1">
        <f t="array" ref="M15">_xlfn.XLOOKUP(M$4,Heat_supplies_input[#Headers],Heat_supplies_input[#This Row],"",0,)</f>
        <v>0</v>
      </c>
      <c r="N15" s="317" cm="1">
        <f t="array" ref="N15">_xlfn.XLOOKUP(N$4,Heat_supplies_input[#Headers],Heat_supplies_input[#This Row],0,0,)</f>
        <v>0</v>
      </c>
      <c r="O15" s="330"/>
      <c r="P15" s="334"/>
      <c r="Q15" s="313">
        <f>Heat_supplies[[#This Row],[Technology capacity, kW]]*Heat_supplies[[#This Row],[Opex, per kWp]]</f>
        <v>0</v>
      </c>
      <c r="R15" s="313">
        <f>Heat_supplies[[#This Row],[Opex, per kWh]]*Heat_supplies[[#This Row],[kWh/yr output, incl losses]]</f>
        <v>0</v>
      </c>
      <c r="S15" s="313">
        <f>Heat_supplies[[#This Row],[Capex, per kWp]]*Heat_supplies[[#This Row],[Technology capacity, kW]]</f>
        <v>0</v>
      </c>
      <c r="T15" s="357" t="str">
        <f>IF(Heat_supplies[[#This Row],[Phase]]=1,1,"")</f>
        <v/>
      </c>
      <c r="U15" s="357">
        <f>IF(Heat_supplies[[#This Row],[Phase]]=2,1,0)</f>
        <v>0</v>
      </c>
      <c r="V15" s="357">
        <f>IF(Heat_supplies[[#This Row],[Phase]]=3,1,0)</f>
        <v>0</v>
      </c>
      <c r="W15" s="361" t="str">
        <f>IF(Heat_supplies[[#This Row],[Phase 1 flag]]=1,Heat_supplies[[#This Row],[Opex, per kWh]]/$W$4,"")</f>
        <v/>
      </c>
      <c r="X15" s="361" t="str">
        <f>IF(OR(Heat_supplies[[#This Row],[Phase 2 flag]]=1,Heat_supplies[[#This Row],[Phase 1 flag]]=1),Heat_supplies[[#This Row],[Opex, per kWh]]/$W$4,"")</f>
        <v/>
      </c>
      <c r="Y15" s="360" t="str">
        <f>IF(OR(Heat_supplies[[#This Row],[Phase 3 flag]]=1,Heat_supplies[[#This Row],[Phase 2 flag]]=1,Heat_supplies[[#This Row],[Phase 1 flag]]=1),Heat_supplies[[#This Row],[Opex, per kWh]]/$W$4,"")</f>
        <v/>
      </c>
      <c r="Z15" s="313" t="str">
        <f>IFERROR(RANK(Heat_supplies[[#This Row],[Phase 1 ranking]],Heat_supplies[Phase 1 ranking],1)+COUNTIF($W$6:W15,W15)-1,"-")</f>
        <v>-</v>
      </c>
      <c r="AA15" s="313" t="str">
        <f>IFERROR(RANK(Heat_supplies[[#This Row],[Phase 2 ranking]],Heat_supplies[Phase 2 ranking],1)+COUNTIF($X$6:X15,X15)-1,"-")</f>
        <v>-</v>
      </c>
      <c r="AB15" s="313" t="str">
        <f>IFERROR(RANK(Heat_supplies[[#This Row],[Phase 3 ranking]],Heat_supplies[Phase 3 ranking],1)+COUNTIF($Y$6:Y15,Y15)-1,"-")</f>
        <v>-</v>
      </c>
      <c r="AC15" s="523" t="e">
        <f>13/(Heat_supplies[[#This Row],[Opex, per kWh]]*100)</f>
        <v>#DIV/0!</v>
      </c>
    </row>
    <row r="16" spans="1:31" x14ac:dyDescent="0.25">
      <c r="C16" s="328" cm="1">
        <f t="array" ref="C16">_xlfn.XLOOKUP(C$4,Heat_supplies_input[#Headers],Heat_supplies_input[#This Row],0,0,)</f>
        <v>0</v>
      </c>
      <c r="D16" s="306" cm="1">
        <f t="array" ref="D16">_xlfn.XLOOKUP(D$4,Heat_supplies_input[#Headers],Heat_supplies_input[#This Row],0,0,)</f>
        <v>0</v>
      </c>
      <c r="E16" s="306" cm="1">
        <f t="array" ref="E16">_xlfn.XLOOKUP(E$4,Heat_supplies_input[#Headers],Heat_supplies_input[#This Row],0,0,)</f>
        <v>0</v>
      </c>
      <c r="F16" s="311" cm="1">
        <f t="array" ref="F16">_xlfn.XLOOKUP(F$4,Heat_supplies_input[#Headers],Heat_supplies_input[#This Row],0,0,)</f>
        <v>0</v>
      </c>
      <c r="G16" s="313" cm="1">
        <f t="array" ref="G16">_xlfn.XLOOKUP(G$4,Heat_supplies_input[#Headers],Heat_supplies_input[#This Row],0,0,)</f>
        <v>0</v>
      </c>
      <c r="H16" s="311" cm="1">
        <f t="array" ref="H16">_xlfn.XLOOKUP(H$4,Heat_supplies_input[#Headers],Heat_supplies_input[#This Row],0,0,)</f>
        <v>0</v>
      </c>
      <c r="I16" s="311" cm="1">
        <f t="array" ref="I16">_xlfn.XLOOKUP(I$4,Heat_supplies_input[#Headers],Heat_supplies_input[#This Row],0,0,)</f>
        <v>0</v>
      </c>
      <c r="J16" s="308" cm="1">
        <f t="array" ref="J16">_xlfn.XLOOKUP(J$4,Heat_supplies_input[#Headers],Heat_supplies_input[#This Row],0,0,)</f>
        <v>0</v>
      </c>
      <c r="K16" s="308" cm="1">
        <f t="array" ref="K16">_xlfn.XLOOKUP(K$4,Heat_supplies_input[#Headers],Heat_supplies_input[#This Row],0,0,)</f>
        <v>0</v>
      </c>
      <c r="L16" s="308" cm="1">
        <f t="array" ref="L16">_xlfn.XLOOKUP(L$4,Heat_supplies_input[#Headers],Heat_supplies_input[#This Row],0,0,)</f>
        <v>0</v>
      </c>
      <c r="M16" s="345" cm="1">
        <f t="array" ref="M16">_xlfn.XLOOKUP(M$4,Heat_supplies_input[#Headers],Heat_supplies_input[#This Row],"",0,)</f>
        <v>0</v>
      </c>
      <c r="N16" s="317" cm="1">
        <f t="array" ref="N16">_xlfn.XLOOKUP(N$4,Heat_supplies_input[#Headers],Heat_supplies_input[#This Row],0,0,)</f>
        <v>0</v>
      </c>
      <c r="O16" s="330"/>
      <c r="P16" s="334"/>
      <c r="Q16" s="313">
        <f>Heat_supplies[[#This Row],[Technology capacity, kW]]*Heat_supplies[[#This Row],[Opex, per kWp]]</f>
        <v>0</v>
      </c>
      <c r="R16" s="313">
        <f>Heat_supplies[[#This Row],[Opex, per kWh]]*Heat_supplies[[#This Row],[kWh/yr output, incl losses]]</f>
        <v>0</v>
      </c>
      <c r="S16" s="313">
        <f>Heat_supplies[[#This Row],[Capex, per kWp]]*Heat_supplies[[#This Row],[Technology capacity, kW]]</f>
        <v>0</v>
      </c>
      <c r="T16" s="357" t="str">
        <f>IF(Heat_supplies[[#This Row],[Phase]]=1,1,"")</f>
        <v/>
      </c>
      <c r="U16" s="357">
        <f>IF(Heat_supplies[[#This Row],[Phase]]=2,1,0)</f>
        <v>0</v>
      </c>
      <c r="V16" s="357">
        <f>IF(Heat_supplies[[#This Row],[Phase]]=3,1,0)</f>
        <v>0</v>
      </c>
      <c r="W16" s="361" t="str">
        <f>IF(Heat_supplies[[#This Row],[Phase 1 flag]]=1,Heat_supplies[[#This Row],[Opex, per kWh]]/$W$4,"")</f>
        <v/>
      </c>
      <c r="X16" s="361" t="str">
        <f>IF(OR(Heat_supplies[[#This Row],[Phase 2 flag]]=1,Heat_supplies[[#This Row],[Phase 1 flag]]=1),Heat_supplies[[#This Row],[Opex, per kWh]]/$W$4,"")</f>
        <v/>
      </c>
      <c r="Y16" s="360" t="str">
        <f>IF(OR(Heat_supplies[[#This Row],[Phase 3 flag]]=1,Heat_supplies[[#This Row],[Phase 2 flag]]=1,Heat_supplies[[#This Row],[Phase 1 flag]]=1),Heat_supplies[[#This Row],[Opex, per kWh]]/$W$4,"")</f>
        <v/>
      </c>
      <c r="Z16" s="313" t="str">
        <f>IFERROR(RANK(Heat_supplies[[#This Row],[Phase 1 ranking]],Heat_supplies[Phase 1 ranking],1)+COUNTIF($W$6:W16,W16)-1,"-")</f>
        <v>-</v>
      </c>
      <c r="AA16" s="313" t="str">
        <f>IFERROR(RANK(Heat_supplies[[#This Row],[Phase 2 ranking]],Heat_supplies[Phase 2 ranking],1)+COUNTIF($X$6:X16,X16)-1,"-")</f>
        <v>-</v>
      </c>
      <c r="AB16" s="313" t="str">
        <f>IFERROR(RANK(Heat_supplies[[#This Row],[Phase 3 ranking]],Heat_supplies[Phase 3 ranking],1)+COUNTIF($Y$6:Y16,Y16)-1,"-")</f>
        <v>-</v>
      </c>
      <c r="AC16" s="523" t="e">
        <f>13/(Heat_supplies[[#This Row],[Opex, per kWh]]*100)</f>
        <v>#DIV/0!</v>
      </c>
    </row>
    <row r="17" spans="3:29" x14ac:dyDescent="0.25">
      <c r="C17" s="328" cm="1">
        <f t="array" ref="C17">_xlfn.XLOOKUP(C$4,Heat_supplies_input[#Headers],Heat_supplies_input[#This Row],0,0,)</f>
        <v>0</v>
      </c>
      <c r="D17" s="306" cm="1">
        <f t="array" ref="D17">_xlfn.XLOOKUP(D$4,Heat_supplies_input[#Headers],Heat_supplies_input[#This Row],0,0,)</f>
        <v>0</v>
      </c>
      <c r="E17" s="306" cm="1">
        <f t="array" ref="E17">_xlfn.XLOOKUP(E$4,Heat_supplies_input[#Headers],Heat_supplies_input[#This Row],0,0,)</f>
        <v>0</v>
      </c>
      <c r="F17" s="311" cm="1">
        <f t="array" ref="F17">_xlfn.XLOOKUP(F$4,Heat_supplies_input[#Headers],Heat_supplies_input[#This Row],0,0,)</f>
        <v>0</v>
      </c>
      <c r="G17" s="313" cm="1">
        <f t="array" ref="G17">_xlfn.XLOOKUP(G$4,Heat_supplies_input[#Headers],Heat_supplies_input[#This Row],0,0,)</f>
        <v>0</v>
      </c>
      <c r="H17" s="311" cm="1">
        <f t="array" ref="H17">_xlfn.XLOOKUP(H$4,Heat_supplies_input[#Headers],Heat_supplies_input[#This Row],0,0,)</f>
        <v>0</v>
      </c>
      <c r="I17" s="311" cm="1">
        <f t="array" ref="I17">_xlfn.XLOOKUP(I$4,Heat_supplies_input[#Headers],Heat_supplies_input[#This Row],0,0,)</f>
        <v>0</v>
      </c>
      <c r="J17" s="308" cm="1">
        <f t="array" ref="J17">_xlfn.XLOOKUP(J$4,Heat_supplies_input[#Headers],Heat_supplies_input[#This Row],0,0,)</f>
        <v>0</v>
      </c>
      <c r="K17" s="308" cm="1">
        <f t="array" ref="K17">_xlfn.XLOOKUP(K$4,Heat_supplies_input[#Headers],Heat_supplies_input[#This Row],0,0,)</f>
        <v>0</v>
      </c>
      <c r="L17" s="308" cm="1">
        <f t="array" ref="L17">_xlfn.XLOOKUP(L$4,Heat_supplies_input[#Headers],Heat_supplies_input[#This Row],0,0,)</f>
        <v>0</v>
      </c>
      <c r="M17" s="345" cm="1">
        <f t="array" ref="M17">_xlfn.XLOOKUP(M$4,Heat_supplies_input[#Headers],Heat_supplies_input[#This Row],"",0,)</f>
        <v>0</v>
      </c>
      <c r="N17" s="317" cm="1">
        <f t="array" ref="N17">_xlfn.XLOOKUP(N$4,Heat_supplies_input[#Headers],Heat_supplies_input[#This Row],0,0,)</f>
        <v>0</v>
      </c>
      <c r="O17" s="330"/>
      <c r="P17" s="334"/>
      <c r="Q17" s="313">
        <f>Heat_supplies[[#This Row],[Technology capacity, kW]]*Heat_supplies[[#This Row],[Opex, per kWp]]</f>
        <v>0</v>
      </c>
      <c r="R17" s="313">
        <f>Heat_supplies[[#This Row],[Opex, per kWh]]*Heat_supplies[[#This Row],[kWh/yr output, incl losses]]</f>
        <v>0</v>
      </c>
      <c r="S17" s="313">
        <f>Heat_supplies[[#This Row],[Capex, per kWp]]*Heat_supplies[[#This Row],[Technology capacity, kW]]</f>
        <v>0</v>
      </c>
      <c r="T17" s="357" t="str">
        <f>IF(Heat_supplies[[#This Row],[Phase]]=1,1,"")</f>
        <v/>
      </c>
      <c r="U17" s="357">
        <f>IF(Heat_supplies[[#This Row],[Phase]]=2,1,0)</f>
        <v>0</v>
      </c>
      <c r="V17" s="357">
        <f>IF(Heat_supplies[[#This Row],[Phase]]=3,1,0)</f>
        <v>0</v>
      </c>
      <c r="W17" s="361" t="str">
        <f>IF(Heat_supplies[[#This Row],[Phase 1 flag]]=1,Heat_supplies[[#This Row],[Opex, per kWh]]/$W$4,"")</f>
        <v/>
      </c>
      <c r="X17" s="361" t="str">
        <f>IF(OR(Heat_supplies[[#This Row],[Phase 2 flag]]=1,Heat_supplies[[#This Row],[Phase 1 flag]]=1),Heat_supplies[[#This Row],[Opex, per kWh]]/$W$4,"")</f>
        <v/>
      </c>
      <c r="Y17" s="360" t="str">
        <f>IF(OR(Heat_supplies[[#This Row],[Phase 3 flag]]=1,Heat_supplies[[#This Row],[Phase 2 flag]]=1,Heat_supplies[[#This Row],[Phase 1 flag]]=1),Heat_supplies[[#This Row],[Opex, per kWh]]/$W$4,"")</f>
        <v/>
      </c>
      <c r="Z17" s="313" t="str">
        <f>IFERROR(RANK(Heat_supplies[[#This Row],[Phase 1 ranking]],Heat_supplies[Phase 1 ranking],1)+COUNTIF($W$6:W17,W17)-1,"-")</f>
        <v>-</v>
      </c>
      <c r="AA17" s="313" t="str">
        <f>IFERROR(RANK(Heat_supplies[[#This Row],[Phase 2 ranking]],Heat_supplies[Phase 2 ranking],1)+COUNTIF($X$6:X17,X17)-1,"-")</f>
        <v>-</v>
      </c>
      <c r="AB17" s="313" t="str">
        <f>IFERROR(RANK(Heat_supplies[[#This Row],[Phase 3 ranking]],Heat_supplies[Phase 3 ranking],1)+COUNTIF($Y$6:Y17,Y17)-1,"-")</f>
        <v>-</v>
      </c>
      <c r="AC17" s="523" t="e">
        <f>13/(Heat_supplies[[#This Row],[Opex, per kWh]]*100)</f>
        <v>#DIV/0!</v>
      </c>
    </row>
    <row r="18" spans="3:29" x14ac:dyDescent="0.25">
      <c r="C18" s="328" cm="1">
        <f t="array" ref="C18">_xlfn.XLOOKUP(C$4,Heat_supplies_input[#Headers],Heat_supplies_input[#This Row],0,0,)</f>
        <v>0</v>
      </c>
      <c r="D18" s="306" cm="1">
        <f t="array" ref="D18">_xlfn.XLOOKUP(D$4,Heat_supplies_input[#Headers],Heat_supplies_input[#This Row],0,0,)</f>
        <v>0</v>
      </c>
      <c r="E18" s="306" cm="1">
        <f t="array" ref="E18">_xlfn.XLOOKUP(E$4,Heat_supplies_input[#Headers],Heat_supplies_input[#This Row],0,0,)</f>
        <v>0</v>
      </c>
      <c r="F18" s="311" cm="1">
        <f t="array" ref="F18">_xlfn.XLOOKUP(F$4,Heat_supplies_input[#Headers],Heat_supplies_input[#This Row],0,0,)</f>
        <v>0</v>
      </c>
      <c r="G18" s="313" cm="1">
        <f t="array" ref="G18">_xlfn.XLOOKUP(G$4,Heat_supplies_input[#Headers],Heat_supplies_input[#This Row],0,0,)</f>
        <v>0</v>
      </c>
      <c r="H18" s="311" cm="1">
        <f t="array" ref="H18">_xlfn.XLOOKUP(H$4,Heat_supplies_input[#Headers],Heat_supplies_input[#This Row],0,0,)</f>
        <v>0</v>
      </c>
      <c r="I18" s="311" cm="1">
        <f t="array" ref="I18">_xlfn.XLOOKUP(I$4,Heat_supplies_input[#Headers],Heat_supplies_input[#This Row],0,0,)</f>
        <v>0</v>
      </c>
      <c r="J18" s="308" cm="1">
        <f t="array" ref="J18">_xlfn.XLOOKUP(J$4,Heat_supplies_input[#Headers],Heat_supplies_input[#This Row],0,0,)</f>
        <v>0</v>
      </c>
      <c r="K18" s="308" cm="1">
        <f t="array" ref="K18">_xlfn.XLOOKUP(K$4,Heat_supplies_input[#Headers],Heat_supplies_input[#This Row],0,0,)</f>
        <v>0</v>
      </c>
      <c r="L18" s="308" cm="1">
        <f t="array" ref="L18">_xlfn.XLOOKUP(L$4,Heat_supplies_input[#Headers],Heat_supplies_input[#This Row],0,0,)</f>
        <v>0</v>
      </c>
      <c r="M18" s="345" cm="1">
        <f t="array" ref="M18">_xlfn.XLOOKUP(M$4,Heat_supplies_input[#Headers],Heat_supplies_input[#This Row],"",0,)</f>
        <v>0</v>
      </c>
      <c r="N18" s="317" cm="1">
        <f t="array" ref="N18">_xlfn.XLOOKUP(N$4,Heat_supplies_input[#Headers],Heat_supplies_input[#This Row],0,0,)</f>
        <v>0</v>
      </c>
      <c r="O18" s="330"/>
      <c r="P18" s="334"/>
      <c r="Q18" s="313">
        <f>Heat_supplies[[#This Row],[Technology capacity, kW]]*Heat_supplies[[#This Row],[Opex, per kWp]]</f>
        <v>0</v>
      </c>
      <c r="R18" s="313">
        <f>Heat_supplies[[#This Row],[Opex, per kWh]]*Heat_supplies[[#This Row],[kWh/yr output, incl losses]]</f>
        <v>0</v>
      </c>
      <c r="S18" s="313">
        <f>Heat_supplies[[#This Row],[Capex, per kWp]]*Heat_supplies[[#This Row],[Technology capacity, kW]]</f>
        <v>0</v>
      </c>
      <c r="T18" s="357" t="str">
        <f>IF(Heat_supplies[[#This Row],[Phase]]=1,1,"")</f>
        <v/>
      </c>
      <c r="U18" s="357">
        <f>IF(Heat_supplies[[#This Row],[Phase]]=2,1,0)</f>
        <v>0</v>
      </c>
      <c r="V18" s="357">
        <f>IF(Heat_supplies[[#This Row],[Phase]]=3,1,0)</f>
        <v>0</v>
      </c>
      <c r="W18" s="361" t="str">
        <f>IF(Heat_supplies[[#This Row],[Phase 1 flag]]=1,Heat_supplies[[#This Row],[Opex, per kWh]]/$W$4,"")</f>
        <v/>
      </c>
      <c r="X18" s="361" t="str">
        <f>IF(OR(Heat_supplies[[#This Row],[Phase 2 flag]]=1,Heat_supplies[[#This Row],[Phase 1 flag]]=1),Heat_supplies[[#This Row],[Opex, per kWh]]/$W$4,"")</f>
        <v/>
      </c>
      <c r="Y18" s="360" t="str">
        <f>IF(OR(Heat_supplies[[#This Row],[Phase 3 flag]]=1,Heat_supplies[[#This Row],[Phase 2 flag]]=1,Heat_supplies[[#This Row],[Phase 1 flag]]=1),Heat_supplies[[#This Row],[Opex, per kWh]]/$W$4,"")</f>
        <v/>
      </c>
      <c r="Z18" s="313" t="str">
        <f>IFERROR(RANK(Heat_supplies[[#This Row],[Phase 1 ranking]],Heat_supplies[Phase 1 ranking],1)+COUNTIF($W$6:W18,W18)-1,"-")</f>
        <v>-</v>
      </c>
      <c r="AA18" s="313" t="str">
        <f>IFERROR(RANK(Heat_supplies[[#This Row],[Phase 2 ranking]],Heat_supplies[Phase 2 ranking],1)+COUNTIF($X$6:X18,X18)-1,"-")</f>
        <v>-</v>
      </c>
      <c r="AB18" s="313" t="str">
        <f>IFERROR(RANK(Heat_supplies[[#This Row],[Phase 3 ranking]],Heat_supplies[Phase 3 ranking],1)+COUNTIF($Y$6:Y18,Y18)-1,"-")</f>
        <v>-</v>
      </c>
      <c r="AC18" s="523" t="e">
        <f>13/(Heat_supplies[[#This Row],[Opex, per kWh]]*100)</f>
        <v>#DIV/0!</v>
      </c>
    </row>
    <row r="19" spans="3:29" x14ac:dyDescent="0.25">
      <c r="C19" s="328" cm="1">
        <f t="array" ref="C19">_xlfn.XLOOKUP(C$4,Heat_supplies_input[#Headers],Heat_supplies_input[#This Row],0,0,)</f>
        <v>0</v>
      </c>
      <c r="D19" s="306" cm="1">
        <f t="array" ref="D19">_xlfn.XLOOKUP(D$4,Heat_supplies_input[#Headers],Heat_supplies_input[#This Row],0,0,)</f>
        <v>0</v>
      </c>
      <c r="E19" s="306" cm="1">
        <f t="array" ref="E19">_xlfn.XLOOKUP(E$4,Heat_supplies_input[#Headers],Heat_supplies_input[#This Row],0,0,)</f>
        <v>0</v>
      </c>
      <c r="F19" s="311" cm="1">
        <f t="array" ref="F19">_xlfn.XLOOKUP(F$4,Heat_supplies_input[#Headers],Heat_supplies_input[#This Row],0,0,)</f>
        <v>0</v>
      </c>
      <c r="G19" s="313" cm="1">
        <f t="array" ref="G19">_xlfn.XLOOKUP(G$4,Heat_supplies_input[#Headers],Heat_supplies_input[#This Row],0,0,)</f>
        <v>0</v>
      </c>
      <c r="H19" s="311" cm="1">
        <f t="array" ref="H19">_xlfn.XLOOKUP(H$4,Heat_supplies_input[#Headers],Heat_supplies_input[#This Row],0,0,)</f>
        <v>0</v>
      </c>
      <c r="I19" s="311" cm="1">
        <f t="array" ref="I19">_xlfn.XLOOKUP(I$4,Heat_supplies_input[#Headers],Heat_supplies_input[#This Row],0,0,)</f>
        <v>0</v>
      </c>
      <c r="J19" s="308" cm="1">
        <f t="array" ref="J19">_xlfn.XLOOKUP(J$4,Heat_supplies_input[#Headers],Heat_supplies_input[#This Row],0,0,)</f>
        <v>0</v>
      </c>
      <c r="K19" s="308" cm="1">
        <f t="array" ref="K19">_xlfn.XLOOKUP(K$4,Heat_supplies_input[#Headers],Heat_supplies_input[#This Row],0,0,)</f>
        <v>0</v>
      </c>
      <c r="L19" s="308" cm="1">
        <f t="array" ref="L19">_xlfn.XLOOKUP(L$4,Heat_supplies_input[#Headers],Heat_supplies_input[#This Row],0,0,)</f>
        <v>0</v>
      </c>
      <c r="M19" s="345" cm="1">
        <f t="array" ref="M19">_xlfn.XLOOKUP(M$4,Heat_supplies_input[#Headers],Heat_supplies_input[#This Row],"",0,)</f>
        <v>0</v>
      </c>
      <c r="N19" s="317" cm="1">
        <f t="array" ref="N19">_xlfn.XLOOKUP(N$4,Heat_supplies_input[#Headers],Heat_supplies_input[#This Row],0,0,)</f>
        <v>0</v>
      </c>
      <c r="O19" s="330"/>
      <c r="P19" s="334"/>
      <c r="Q19" s="313">
        <f>Heat_supplies[[#This Row],[Technology capacity, kW]]*Heat_supplies[[#This Row],[Opex, per kWp]]</f>
        <v>0</v>
      </c>
      <c r="R19" s="313">
        <f>Heat_supplies[[#This Row],[Opex, per kWh]]*Heat_supplies[[#This Row],[kWh/yr output, incl losses]]</f>
        <v>0</v>
      </c>
      <c r="S19" s="313">
        <f>Heat_supplies[[#This Row],[Capex, per kWp]]*Heat_supplies[[#This Row],[Technology capacity, kW]]</f>
        <v>0</v>
      </c>
      <c r="T19" s="357" t="str">
        <f>IF(Heat_supplies[[#This Row],[Phase]]=1,1,"")</f>
        <v/>
      </c>
      <c r="U19" s="357">
        <f>IF(Heat_supplies[[#This Row],[Phase]]=2,1,0)</f>
        <v>0</v>
      </c>
      <c r="V19" s="357">
        <f>IF(Heat_supplies[[#This Row],[Phase]]=3,1,0)</f>
        <v>0</v>
      </c>
      <c r="W19" s="361" t="str">
        <f>IF(Heat_supplies[[#This Row],[Phase 1 flag]]=1,Heat_supplies[[#This Row],[Opex, per kWh]]/$W$4,"")</f>
        <v/>
      </c>
      <c r="X19" s="361" t="str">
        <f>IF(OR(Heat_supplies[[#This Row],[Phase 2 flag]]=1,Heat_supplies[[#This Row],[Phase 1 flag]]=1),Heat_supplies[[#This Row],[Opex, per kWh]]/$W$4,"")</f>
        <v/>
      </c>
      <c r="Y19" s="360" t="str">
        <f>IF(OR(Heat_supplies[[#This Row],[Phase 3 flag]]=1,Heat_supplies[[#This Row],[Phase 2 flag]]=1,Heat_supplies[[#This Row],[Phase 1 flag]]=1),Heat_supplies[[#This Row],[Opex, per kWh]]/$W$4,"")</f>
        <v/>
      </c>
      <c r="Z19" s="313" t="str">
        <f>IFERROR(RANK(Heat_supplies[[#This Row],[Phase 1 ranking]],Heat_supplies[Phase 1 ranking],1)+COUNTIF($W$6:W19,W19)-1,"-")</f>
        <v>-</v>
      </c>
      <c r="AA19" s="313" t="str">
        <f>IFERROR(RANK(Heat_supplies[[#This Row],[Phase 2 ranking]],Heat_supplies[Phase 2 ranking],1)+COUNTIF($X$6:X19,X19)-1,"-")</f>
        <v>-</v>
      </c>
      <c r="AB19" s="313" t="str">
        <f>IFERROR(RANK(Heat_supplies[[#This Row],[Phase 3 ranking]],Heat_supplies[Phase 3 ranking],1)+COUNTIF($Y$6:Y19,Y19)-1,"-")</f>
        <v>-</v>
      </c>
      <c r="AC19" s="523" t="e">
        <f>13/(Heat_supplies[[#This Row],[Opex, per kWh]]*100)</f>
        <v>#DIV/0!</v>
      </c>
    </row>
    <row r="20" spans="3:29" x14ac:dyDescent="0.25">
      <c r="C20" s="328" cm="1">
        <f t="array" ref="C20">_xlfn.XLOOKUP(C$4,Heat_supplies_input[#Headers],Heat_supplies_input[#This Row],0,0,)</f>
        <v>0</v>
      </c>
      <c r="D20" s="306" cm="1">
        <f t="array" ref="D20">_xlfn.XLOOKUP(D$4,Heat_supplies_input[#Headers],Heat_supplies_input[#This Row],0,0,)</f>
        <v>0</v>
      </c>
      <c r="E20" s="306" cm="1">
        <f t="array" ref="E20">_xlfn.XLOOKUP(E$4,Heat_supplies_input[#Headers],Heat_supplies_input[#This Row],0,0,)</f>
        <v>0</v>
      </c>
      <c r="F20" s="311" cm="1">
        <f t="array" ref="F20">_xlfn.XLOOKUP(F$4,Heat_supplies_input[#Headers],Heat_supplies_input[#This Row],0,0,)</f>
        <v>0</v>
      </c>
      <c r="G20" s="313" cm="1">
        <f t="array" ref="G20">_xlfn.XLOOKUP(G$4,Heat_supplies_input[#Headers],Heat_supplies_input[#This Row],0,0,)</f>
        <v>0</v>
      </c>
      <c r="H20" s="311" cm="1">
        <f t="array" ref="H20">_xlfn.XLOOKUP(H$4,Heat_supplies_input[#Headers],Heat_supplies_input[#This Row],0,0,)</f>
        <v>0</v>
      </c>
      <c r="I20" s="311" cm="1">
        <f t="array" ref="I20">_xlfn.XLOOKUP(I$4,Heat_supplies_input[#Headers],Heat_supplies_input[#This Row],0,0,)</f>
        <v>0</v>
      </c>
      <c r="J20" s="308" cm="1">
        <f t="array" ref="J20">_xlfn.XLOOKUP(J$4,Heat_supplies_input[#Headers],Heat_supplies_input[#This Row],0,0,)</f>
        <v>0</v>
      </c>
      <c r="K20" s="308" cm="1">
        <f t="array" ref="K20">_xlfn.XLOOKUP(K$4,Heat_supplies_input[#Headers],Heat_supplies_input[#This Row],0,0,)</f>
        <v>0</v>
      </c>
      <c r="L20" s="308" cm="1">
        <f t="array" ref="L20">_xlfn.XLOOKUP(L$4,Heat_supplies_input[#Headers],Heat_supplies_input[#This Row],0,0,)</f>
        <v>0</v>
      </c>
      <c r="M20" s="345" cm="1">
        <f t="array" ref="M20">_xlfn.XLOOKUP(M$4,Heat_supplies_input[#Headers],Heat_supplies_input[#This Row],"",0,)</f>
        <v>0</v>
      </c>
      <c r="N20" s="317" cm="1">
        <f t="array" ref="N20">_xlfn.XLOOKUP(N$4,Heat_supplies_input[#Headers],Heat_supplies_input[#This Row],0,0,)</f>
        <v>0</v>
      </c>
      <c r="O20" s="330"/>
      <c r="P20" s="334"/>
      <c r="Q20" s="313">
        <f>Heat_supplies[[#This Row],[Technology capacity, kW]]*Heat_supplies[[#This Row],[Opex, per kWp]]</f>
        <v>0</v>
      </c>
      <c r="R20" s="313">
        <f>Heat_supplies[[#This Row],[Opex, per kWh]]*Heat_supplies[[#This Row],[kWh/yr output, incl losses]]</f>
        <v>0</v>
      </c>
      <c r="S20" s="313">
        <f>Heat_supplies[[#This Row],[Capex, per kWp]]*Heat_supplies[[#This Row],[Technology capacity, kW]]</f>
        <v>0</v>
      </c>
      <c r="T20" s="357" t="str">
        <f>IF(Heat_supplies[[#This Row],[Phase]]=1,1,"")</f>
        <v/>
      </c>
      <c r="U20" s="357">
        <f>IF(Heat_supplies[[#This Row],[Phase]]=2,1,0)</f>
        <v>0</v>
      </c>
      <c r="V20" s="357">
        <f>IF(Heat_supplies[[#This Row],[Phase]]=3,1,0)</f>
        <v>0</v>
      </c>
      <c r="W20" s="361" t="str">
        <f>IF(Heat_supplies[[#This Row],[Phase 1 flag]]=1,Heat_supplies[[#This Row],[Opex, per kWh]]/$W$4,"")</f>
        <v/>
      </c>
      <c r="X20" s="361" t="str">
        <f>IF(OR(Heat_supplies[[#This Row],[Phase 2 flag]]=1,Heat_supplies[[#This Row],[Phase 1 flag]]=1),Heat_supplies[[#This Row],[Opex, per kWh]]/$W$4,"")</f>
        <v/>
      </c>
      <c r="Y20" s="360" t="str">
        <f>IF(OR(Heat_supplies[[#This Row],[Phase 3 flag]]=1,Heat_supplies[[#This Row],[Phase 2 flag]]=1,Heat_supplies[[#This Row],[Phase 1 flag]]=1),Heat_supplies[[#This Row],[Opex, per kWh]]/$W$4,"")</f>
        <v/>
      </c>
      <c r="Z20" s="313" t="str">
        <f>IFERROR(RANK(Heat_supplies[[#This Row],[Phase 1 ranking]],Heat_supplies[Phase 1 ranking],1)+COUNTIF($W$6:W20,W20)-1,"-")</f>
        <v>-</v>
      </c>
      <c r="AA20" s="313" t="str">
        <f>IFERROR(RANK(Heat_supplies[[#This Row],[Phase 2 ranking]],Heat_supplies[Phase 2 ranking],1)+COUNTIF($X$6:X20,X20)-1,"-")</f>
        <v>-</v>
      </c>
      <c r="AB20" s="313" t="str">
        <f>IFERROR(RANK(Heat_supplies[[#This Row],[Phase 3 ranking]],Heat_supplies[Phase 3 ranking],1)+COUNTIF($Y$6:Y20,Y20)-1,"-")</f>
        <v>-</v>
      </c>
      <c r="AC20" s="523" t="e">
        <f>13/(Heat_supplies[[#This Row],[Opex, per kWh]]*100)</f>
        <v>#DIV/0!</v>
      </c>
    </row>
    <row r="21" spans="3:29" x14ac:dyDescent="0.25">
      <c r="C21" s="328" cm="1">
        <f t="array" ref="C21">_xlfn.XLOOKUP(C$4,Heat_supplies_input[#Headers],Heat_supplies_input[#This Row],0,0,)</f>
        <v>0</v>
      </c>
      <c r="D21" s="306" cm="1">
        <f t="array" ref="D21">_xlfn.XLOOKUP(D$4,Heat_supplies_input[#Headers],Heat_supplies_input[#This Row],0,0,)</f>
        <v>0</v>
      </c>
      <c r="E21" s="306" cm="1">
        <f t="array" ref="E21">_xlfn.XLOOKUP(E$4,Heat_supplies_input[#Headers],Heat_supplies_input[#This Row],0,0,)</f>
        <v>0</v>
      </c>
      <c r="F21" s="311" cm="1">
        <f t="array" ref="F21">_xlfn.XLOOKUP(F$4,Heat_supplies_input[#Headers],Heat_supplies_input[#This Row],0,0,)</f>
        <v>0</v>
      </c>
      <c r="G21" s="313" cm="1">
        <f t="array" ref="G21">_xlfn.XLOOKUP(G$4,Heat_supplies_input[#Headers],Heat_supplies_input[#This Row],0,0,)</f>
        <v>0</v>
      </c>
      <c r="H21" s="311" cm="1">
        <f t="array" ref="H21">_xlfn.XLOOKUP(H$4,Heat_supplies_input[#Headers],Heat_supplies_input[#This Row],0,0,)</f>
        <v>0</v>
      </c>
      <c r="I21" s="311" cm="1">
        <f t="array" ref="I21">_xlfn.XLOOKUP(I$4,Heat_supplies_input[#Headers],Heat_supplies_input[#This Row],0,0,)</f>
        <v>0</v>
      </c>
      <c r="J21" s="308" cm="1">
        <f t="array" ref="J21">_xlfn.XLOOKUP(J$4,Heat_supplies_input[#Headers],Heat_supplies_input[#This Row],0,0,)</f>
        <v>0</v>
      </c>
      <c r="K21" s="308" cm="1">
        <f t="array" ref="K21">_xlfn.XLOOKUP(K$4,Heat_supplies_input[#Headers],Heat_supplies_input[#This Row],0,0,)</f>
        <v>0</v>
      </c>
      <c r="L21" s="308" cm="1">
        <f t="array" ref="L21">_xlfn.XLOOKUP(L$4,Heat_supplies_input[#Headers],Heat_supplies_input[#This Row],0,0,)</f>
        <v>0</v>
      </c>
      <c r="M21" s="345" cm="1">
        <f t="array" ref="M21">_xlfn.XLOOKUP(M$4,Heat_supplies_input[#Headers],Heat_supplies_input[#This Row],"",0,)</f>
        <v>0</v>
      </c>
      <c r="N21" s="317" cm="1">
        <f t="array" ref="N21">_xlfn.XLOOKUP(N$4,Heat_supplies_input[#Headers],Heat_supplies_input[#This Row],0,0,)</f>
        <v>0</v>
      </c>
      <c r="O21" s="330"/>
      <c r="P21" s="334"/>
      <c r="Q21" s="313">
        <f>Heat_supplies[[#This Row],[Technology capacity, kW]]*Heat_supplies[[#This Row],[Opex, per kWp]]</f>
        <v>0</v>
      </c>
      <c r="R21" s="313">
        <f>Heat_supplies[[#This Row],[Opex, per kWh]]*Heat_supplies[[#This Row],[kWh/yr output, incl losses]]</f>
        <v>0</v>
      </c>
      <c r="S21" s="313">
        <f>Heat_supplies[[#This Row],[Capex, per kWp]]*Heat_supplies[[#This Row],[Technology capacity, kW]]</f>
        <v>0</v>
      </c>
      <c r="T21" s="357" t="str">
        <f>IF(Heat_supplies[[#This Row],[Phase]]=1,1,"")</f>
        <v/>
      </c>
      <c r="U21" s="357">
        <f>IF(Heat_supplies[[#This Row],[Phase]]=2,1,0)</f>
        <v>0</v>
      </c>
      <c r="V21" s="357">
        <f>IF(Heat_supplies[[#This Row],[Phase]]=3,1,0)</f>
        <v>0</v>
      </c>
      <c r="W21" s="361" t="str">
        <f>IF(Heat_supplies[[#This Row],[Phase 1 flag]]=1,Heat_supplies[[#This Row],[Opex, per kWh]]/$W$4,"")</f>
        <v/>
      </c>
      <c r="X21" s="361" t="str">
        <f>IF(OR(Heat_supplies[[#This Row],[Phase 2 flag]]=1,Heat_supplies[[#This Row],[Phase 1 flag]]=1),Heat_supplies[[#This Row],[Opex, per kWh]]/$W$4,"")</f>
        <v/>
      </c>
      <c r="Y21" s="360" t="str">
        <f>IF(OR(Heat_supplies[[#This Row],[Phase 3 flag]]=1,Heat_supplies[[#This Row],[Phase 2 flag]]=1,Heat_supplies[[#This Row],[Phase 1 flag]]=1),Heat_supplies[[#This Row],[Opex, per kWh]]/$W$4,"")</f>
        <v/>
      </c>
      <c r="Z21" s="313" t="str">
        <f>IFERROR(RANK(Heat_supplies[[#This Row],[Phase 1 ranking]],Heat_supplies[Phase 1 ranking],1)+COUNTIF($W$6:W21,W21)-1,"-")</f>
        <v>-</v>
      </c>
      <c r="AA21" s="313" t="str">
        <f>IFERROR(RANK(Heat_supplies[[#This Row],[Phase 2 ranking]],Heat_supplies[Phase 2 ranking],1)+COUNTIF($X$6:X21,X21)-1,"-")</f>
        <v>-</v>
      </c>
      <c r="AB21" s="313" t="str">
        <f>IFERROR(RANK(Heat_supplies[[#This Row],[Phase 3 ranking]],Heat_supplies[Phase 3 ranking],1)+COUNTIF($Y$6:Y21,Y21)-1,"-")</f>
        <v>-</v>
      </c>
      <c r="AC21" s="523" t="e">
        <f>13/(Heat_supplies[[#This Row],[Opex, per kWh]]*100)</f>
        <v>#DIV/0!</v>
      </c>
    </row>
    <row r="22" spans="3:29" x14ac:dyDescent="0.25">
      <c r="C22" s="328" cm="1">
        <f t="array" ref="C22">_xlfn.XLOOKUP(C$4,Heat_supplies_input[#Headers],Heat_supplies_input[#This Row],0,0,)</f>
        <v>0</v>
      </c>
      <c r="D22" s="306" cm="1">
        <f t="array" ref="D22">_xlfn.XLOOKUP(D$4,Heat_supplies_input[#Headers],Heat_supplies_input[#This Row],0,0,)</f>
        <v>0</v>
      </c>
      <c r="E22" s="306" cm="1">
        <f t="array" ref="E22">_xlfn.XLOOKUP(E$4,Heat_supplies_input[#Headers],Heat_supplies_input[#This Row],0,0,)</f>
        <v>0</v>
      </c>
      <c r="F22" s="311" cm="1">
        <f t="array" ref="F22">_xlfn.XLOOKUP(F$4,Heat_supplies_input[#Headers],Heat_supplies_input[#This Row],0,0,)</f>
        <v>0</v>
      </c>
      <c r="G22" s="313" cm="1">
        <f t="array" ref="G22">_xlfn.XLOOKUP(G$4,Heat_supplies_input[#Headers],Heat_supplies_input[#This Row],0,0,)</f>
        <v>0</v>
      </c>
      <c r="H22" s="311" cm="1">
        <f t="array" ref="H22">_xlfn.XLOOKUP(H$4,Heat_supplies_input[#Headers],Heat_supplies_input[#This Row],0,0,)</f>
        <v>0</v>
      </c>
      <c r="I22" s="311" cm="1">
        <f t="array" ref="I22">_xlfn.XLOOKUP(I$4,Heat_supplies_input[#Headers],Heat_supplies_input[#This Row],0,0,)</f>
        <v>0</v>
      </c>
      <c r="J22" s="308" cm="1">
        <f t="array" ref="J22">_xlfn.XLOOKUP(J$4,Heat_supplies_input[#Headers],Heat_supplies_input[#This Row],0,0,)</f>
        <v>0</v>
      </c>
      <c r="K22" s="308" cm="1">
        <f t="array" ref="K22">_xlfn.XLOOKUP(K$4,Heat_supplies_input[#Headers],Heat_supplies_input[#This Row],0,0,)</f>
        <v>0</v>
      </c>
      <c r="L22" s="308" cm="1">
        <f t="array" ref="L22">_xlfn.XLOOKUP(L$4,Heat_supplies_input[#Headers],Heat_supplies_input[#This Row],0,0,)</f>
        <v>0</v>
      </c>
      <c r="M22" s="345" cm="1">
        <f t="array" ref="M22">_xlfn.XLOOKUP(M$4,Heat_supplies_input[#Headers],Heat_supplies_input[#This Row],"",0,)</f>
        <v>0</v>
      </c>
      <c r="N22" s="317" cm="1">
        <f t="array" ref="N22">_xlfn.XLOOKUP(N$4,Heat_supplies_input[#Headers],Heat_supplies_input[#This Row],0,0,)</f>
        <v>0</v>
      </c>
      <c r="O22" s="330"/>
      <c r="P22" s="334"/>
      <c r="Q22" s="313">
        <f>Heat_supplies[[#This Row],[Technology capacity, kW]]*Heat_supplies[[#This Row],[Opex, per kWp]]</f>
        <v>0</v>
      </c>
      <c r="R22" s="313">
        <f>Heat_supplies[[#This Row],[Opex, per kWh]]*Heat_supplies[[#This Row],[kWh/yr output, incl losses]]</f>
        <v>0</v>
      </c>
      <c r="S22" s="313">
        <f>Heat_supplies[[#This Row],[Capex, per kWp]]*Heat_supplies[[#This Row],[Technology capacity, kW]]</f>
        <v>0</v>
      </c>
      <c r="T22" s="357" t="str">
        <f>IF(Heat_supplies[[#This Row],[Phase]]=1,1,"")</f>
        <v/>
      </c>
      <c r="U22" s="357">
        <f>IF(Heat_supplies[[#This Row],[Phase]]=2,1,0)</f>
        <v>0</v>
      </c>
      <c r="V22" s="357">
        <f>IF(Heat_supplies[[#This Row],[Phase]]=3,1,0)</f>
        <v>0</v>
      </c>
      <c r="W22" s="361" t="str">
        <f>IF(Heat_supplies[[#This Row],[Phase 1 flag]]=1,Heat_supplies[[#This Row],[Opex, per kWh]]/$W$4,"")</f>
        <v/>
      </c>
      <c r="X22" s="361" t="str">
        <f>IF(OR(Heat_supplies[[#This Row],[Phase 2 flag]]=1,Heat_supplies[[#This Row],[Phase 1 flag]]=1),Heat_supplies[[#This Row],[Opex, per kWh]]/$W$4,"")</f>
        <v/>
      </c>
      <c r="Y22" s="360" t="str">
        <f>IF(OR(Heat_supplies[[#This Row],[Phase 3 flag]]=1,Heat_supplies[[#This Row],[Phase 2 flag]]=1,Heat_supplies[[#This Row],[Phase 1 flag]]=1),Heat_supplies[[#This Row],[Opex, per kWh]]/$W$4,"")</f>
        <v/>
      </c>
      <c r="Z22" s="313" t="str">
        <f>IFERROR(RANK(Heat_supplies[[#This Row],[Phase 1 ranking]],Heat_supplies[Phase 1 ranking],1)+COUNTIF($W$6:W22,W22)-1,"-")</f>
        <v>-</v>
      </c>
      <c r="AA22" s="313" t="str">
        <f>IFERROR(RANK(Heat_supplies[[#This Row],[Phase 2 ranking]],Heat_supplies[Phase 2 ranking],1)+COUNTIF($X$6:X22,X22)-1,"-")</f>
        <v>-</v>
      </c>
      <c r="AB22" s="313" t="str">
        <f>IFERROR(RANK(Heat_supplies[[#This Row],[Phase 3 ranking]],Heat_supplies[Phase 3 ranking],1)+COUNTIF($Y$6:Y22,Y22)-1,"-")</f>
        <v>-</v>
      </c>
      <c r="AC22" s="523" t="e">
        <f>13/(Heat_supplies[[#This Row],[Opex, per kWh]]*100)</f>
        <v>#DIV/0!</v>
      </c>
    </row>
    <row r="23" spans="3:29" x14ac:dyDescent="0.25">
      <c r="C23" s="328" cm="1">
        <f t="array" ref="C23">_xlfn.XLOOKUP(C$4,Heat_supplies_input[#Headers],Heat_supplies_input[#This Row],0,0,)</f>
        <v>0</v>
      </c>
      <c r="D23" s="306" cm="1">
        <f t="array" ref="D23">_xlfn.XLOOKUP(D$4,Heat_supplies_input[#Headers],Heat_supplies_input[#This Row],0,0,)</f>
        <v>0</v>
      </c>
      <c r="E23" s="306" cm="1">
        <f t="array" ref="E23">_xlfn.XLOOKUP(E$4,Heat_supplies_input[#Headers],Heat_supplies_input[#This Row],0,0,)</f>
        <v>0</v>
      </c>
      <c r="F23" s="311" cm="1">
        <f t="array" ref="F23">_xlfn.XLOOKUP(F$4,Heat_supplies_input[#Headers],Heat_supplies_input[#This Row],0,0,)</f>
        <v>0</v>
      </c>
      <c r="G23" s="313" cm="1">
        <f t="array" ref="G23">_xlfn.XLOOKUP(G$4,Heat_supplies_input[#Headers],Heat_supplies_input[#This Row],0,0,)</f>
        <v>0</v>
      </c>
      <c r="H23" s="311" cm="1">
        <f t="array" ref="H23">_xlfn.XLOOKUP(H$4,Heat_supplies_input[#Headers],Heat_supplies_input[#This Row],0,0,)</f>
        <v>0</v>
      </c>
      <c r="I23" s="311" cm="1">
        <f t="array" ref="I23">_xlfn.XLOOKUP(I$4,Heat_supplies_input[#Headers],Heat_supplies_input[#This Row],0,0,)</f>
        <v>0</v>
      </c>
      <c r="J23" s="308" cm="1">
        <f t="array" ref="J23">_xlfn.XLOOKUP(J$4,Heat_supplies_input[#Headers],Heat_supplies_input[#This Row],0,0,)</f>
        <v>0</v>
      </c>
      <c r="K23" s="308" cm="1">
        <f t="array" ref="K23">_xlfn.XLOOKUP(K$4,Heat_supplies_input[#Headers],Heat_supplies_input[#This Row],0,0,)</f>
        <v>0</v>
      </c>
      <c r="L23" s="308" cm="1">
        <f t="array" ref="L23">_xlfn.XLOOKUP(L$4,Heat_supplies_input[#Headers],Heat_supplies_input[#This Row],0,0,)</f>
        <v>0</v>
      </c>
      <c r="M23" s="345" cm="1">
        <f t="array" ref="M23">_xlfn.XLOOKUP(M$4,Heat_supplies_input[#Headers],Heat_supplies_input[#This Row],"",0,)</f>
        <v>0</v>
      </c>
      <c r="N23" s="317" cm="1">
        <f t="array" ref="N23">_xlfn.XLOOKUP(N$4,Heat_supplies_input[#Headers],Heat_supplies_input[#This Row],0,0,)</f>
        <v>0</v>
      </c>
      <c r="O23" s="330"/>
      <c r="P23" s="334"/>
      <c r="Q23" s="313">
        <f>Heat_supplies[[#This Row],[Technology capacity, kW]]*Heat_supplies[[#This Row],[Opex, per kWp]]</f>
        <v>0</v>
      </c>
      <c r="R23" s="313">
        <f>Heat_supplies[[#This Row],[Opex, per kWh]]*Heat_supplies[[#This Row],[kWh/yr output, incl losses]]</f>
        <v>0</v>
      </c>
      <c r="S23" s="313">
        <f>Heat_supplies[[#This Row],[Capex, per kWp]]*Heat_supplies[[#This Row],[Technology capacity, kW]]</f>
        <v>0</v>
      </c>
      <c r="T23" s="357" t="str">
        <f>IF(Heat_supplies[[#This Row],[Phase]]=1,1,"")</f>
        <v/>
      </c>
      <c r="U23" s="357">
        <f>IF(Heat_supplies[[#This Row],[Phase]]=2,1,0)</f>
        <v>0</v>
      </c>
      <c r="V23" s="357">
        <f>IF(Heat_supplies[[#This Row],[Phase]]=3,1,0)</f>
        <v>0</v>
      </c>
      <c r="W23" s="361" t="str">
        <f>IF(Heat_supplies[[#This Row],[Phase 1 flag]]=1,Heat_supplies[[#This Row],[Opex, per kWh]]/$W$4,"")</f>
        <v/>
      </c>
      <c r="X23" s="361" t="str">
        <f>IF(OR(Heat_supplies[[#This Row],[Phase 2 flag]]=1,Heat_supplies[[#This Row],[Phase 1 flag]]=1),Heat_supplies[[#This Row],[Opex, per kWh]]/$W$4,"")</f>
        <v/>
      </c>
      <c r="Y23" s="360" t="str">
        <f>IF(OR(Heat_supplies[[#This Row],[Phase 3 flag]]=1,Heat_supplies[[#This Row],[Phase 2 flag]]=1,Heat_supplies[[#This Row],[Phase 1 flag]]=1),Heat_supplies[[#This Row],[Opex, per kWh]]/$W$4,"")</f>
        <v/>
      </c>
      <c r="Z23" s="313" t="str">
        <f>IFERROR(RANK(Heat_supplies[[#This Row],[Phase 1 ranking]],Heat_supplies[Phase 1 ranking],1)+COUNTIF($W$6:W23,W23)-1,"-")</f>
        <v>-</v>
      </c>
      <c r="AA23" s="313" t="str">
        <f>IFERROR(RANK(Heat_supplies[[#This Row],[Phase 2 ranking]],Heat_supplies[Phase 2 ranking],1)+COUNTIF($X$6:X23,X23)-1,"-")</f>
        <v>-</v>
      </c>
      <c r="AB23" s="313" t="str">
        <f>IFERROR(RANK(Heat_supplies[[#This Row],[Phase 3 ranking]],Heat_supplies[Phase 3 ranking],1)+COUNTIF($Y$6:Y23,Y23)-1,"-")</f>
        <v>-</v>
      </c>
      <c r="AC23" s="523" t="e">
        <f>13/(Heat_supplies[[#This Row],[Opex, per kWh]]*100)</f>
        <v>#DIV/0!</v>
      </c>
    </row>
    <row r="24" spans="3:29" x14ac:dyDescent="0.25">
      <c r="C24" s="328" cm="1">
        <f t="array" ref="C24">_xlfn.XLOOKUP(C$4,Heat_supplies_input[#Headers],Heat_supplies_input[#This Row],0,0,)</f>
        <v>0</v>
      </c>
      <c r="D24" s="306" cm="1">
        <f t="array" ref="D24">_xlfn.XLOOKUP(D$4,Heat_supplies_input[#Headers],Heat_supplies_input[#This Row],0,0,)</f>
        <v>0</v>
      </c>
      <c r="E24" s="306" cm="1">
        <f t="array" ref="E24">_xlfn.XLOOKUP(E$4,Heat_supplies_input[#Headers],Heat_supplies_input[#This Row],0,0,)</f>
        <v>0</v>
      </c>
      <c r="F24" s="311" cm="1">
        <f t="array" ref="F24">_xlfn.XLOOKUP(F$4,Heat_supplies_input[#Headers],Heat_supplies_input[#This Row],0,0,)</f>
        <v>0</v>
      </c>
      <c r="G24" s="313" cm="1">
        <f t="array" ref="G24">_xlfn.XLOOKUP(G$4,Heat_supplies_input[#Headers],Heat_supplies_input[#This Row],0,0,)</f>
        <v>0</v>
      </c>
      <c r="H24" s="311" cm="1">
        <f t="array" ref="H24">_xlfn.XLOOKUP(H$4,Heat_supplies_input[#Headers],Heat_supplies_input[#This Row],0,0,)</f>
        <v>0</v>
      </c>
      <c r="I24" s="311" cm="1">
        <f t="array" ref="I24">_xlfn.XLOOKUP(I$4,Heat_supplies_input[#Headers],Heat_supplies_input[#This Row],0,0,)</f>
        <v>0</v>
      </c>
      <c r="J24" s="308" cm="1">
        <f t="array" ref="J24">_xlfn.XLOOKUP(J$4,Heat_supplies_input[#Headers],Heat_supplies_input[#This Row],0,0,)</f>
        <v>0</v>
      </c>
      <c r="K24" s="308" cm="1">
        <f t="array" ref="K24">_xlfn.XLOOKUP(K$4,Heat_supplies_input[#Headers],Heat_supplies_input[#This Row],0,0,)</f>
        <v>0</v>
      </c>
      <c r="L24" s="308" cm="1">
        <f t="array" ref="L24">_xlfn.XLOOKUP(L$4,Heat_supplies_input[#Headers],Heat_supplies_input[#This Row],0,0,)</f>
        <v>0</v>
      </c>
      <c r="M24" s="345" cm="1">
        <f t="array" ref="M24">_xlfn.XLOOKUP(M$4,Heat_supplies_input[#Headers],Heat_supplies_input[#This Row],"",0,)</f>
        <v>0</v>
      </c>
      <c r="N24" s="317" cm="1">
        <f t="array" ref="N24">_xlfn.XLOOKUP(N$4,Heat_supplies_input[#Headers],Heat_supplies_input[#This Row],0,0,)</f>
        <v>0</v>
      </c>
      <c r="O24" s="330"/>
      <c r="P24" s="334"/>
      <c r="Q24" s="313">
        <f>Heat_supplies[[#This Row],[Technology capacity, kW]]*Heat_supplies[[#This Row],[Opex, per kWp]]</f>
        <v>0</v>
      </c>
      <c r="R24" s="313">
        <f>Heat_supplies[[#This Row],[Opex, per kWh]]*Heat_supplies[[#This Row],[kWh/yr output, incl losses]]</f>
        <v>0</v>
      </c>
      <c r="S24" s="313">
        <f>Heat_supplies[[#This Row],[Capex, per kWp]]*Heat_supplies[[#This Row],[Technology capacity, kW]]</f>
        <v>0</v>
      </c>
      <c r="T24" s="357" t="str">
        <f>IF(Heat_supplies[[#This Row],[Phase]]=1,1,"")</f>
        <v/>
      </c>
      <c r="U24" s="357">
        <f>IF(Heat_supplies[[#This Row],[Phase]]=2,1,0)</f>
        <v>0</v>
      </c>
      <c r="V24" s="357">
        <f>IF(Heat_supplies[[#This Row],[Phase]]=3,1,0)</f>
        <v>0</v>
      </c>
      <c r="W24" s="361" t="str">
        <f>IF(Heat_supplies[[#This Row],[Phase 1 flag]]=1,Heat_supplies[[#This Row],[Opex, per kWh]]/$W$4,"")</f>
        <v/>
      </c>
      <c r="X24" s="361" t="str">
        <f>IF(OR(Heat_supplies[[#This Row],[Phase 2 flag]]=1,Heat_supplies[[#This Row],[Phase 1 flag]]=1),Heat_supplies[[#This Row],[Opex, per kWh]]/$W$4,"")</f>
        <v/>
      </c>
      <c r="Y24" s="360" t="str">
        <f>IF(OR(Heat_supplies[[#This Row],[Phase 3 flag]]=1,Heat_supplies[[#This Row],[Phase 2 flag]]=1,Heat_supplies[[#This Row],[Phase 1 flag]]=1),Heat_supplies[[#This Row],[Opex, per kWh]]/$W$4,"")</f>
        <v/>
      </c>
      <c r="Z24" s="313" t="str">
        <f>IFERROR(RANK(Heat_supplies[[#This Row],[Phase 1 ranking]],Heat_supplies[Phase 1 ranking],1)+COUNTIF($W$6:W24,W24)-1,"-")</f>
        <v>-</v>
      </c>
      <c r="AA24" s="313" t="str">
        <f>IFERROR(RANK(Heat_supplies[[#This Row],[Phase 2 ranking]],Heat_supplies[Phase 2 ranking],1)+COUNTIF($X$6:X24,X24)-1,"-")</f>
        <v>-</v>
      </c>
      <c r="AB24" s="313" t="str">
        <f>IFERROR(RANK(Heat_supplies[[#This Row],[Phase 3 ranking]],Heat_supplies[Phase 3 ranking],1)+COUNTIF($Y$6:Y24,Y24)-1,"-")</f>
        <v>-</v>
      </c>
      <c r="AC24" s="523" t="e">
        <f>13/(Heat_supplies[[#This Row],[Opex, per kWh]]*100)</f>
        <v>#DIV/0!</v>
      </c>
    </row>
    <row r="25" spans="3:29" x14ac:dyDescent="0.25">
      <c r="C25" s="328" cm="1">
        <f t="array" ref="C25">_xlfn.XLOOKUP(C$4,Heat_supplies_input[#Headers],Heat_supplies_input[#This Row],0,0,)</f>
        <v>0</v>
      </c>
      <c r="D25" s="306" cm="1">
        <f t="array" ref="D25">_xlfn.XLOOKUP(D$4,Heat_supplies_input[#Headers],Heat_supplies_input[#This Row],0,0,)</f>
        <v>0</v>
      </c>
      <c r="E25" s="306" cm="1">
        <f t="array" ref="E25">_xlfn.XLOOKUP(E$4,Heat_supplies_input[#Headers],Heat_supplies_input[#This Row],0,0,)</f>
        <v>0</v>
      </c>
      <c r="F25" s="311" cm="1">
        <f t="array" ref="F25">_xlfn.XLOOKUP(F$4,Heat_supplies_input[#Headers],Heat_supplies_input[#This Row],0,0,)</f>
        <v>0</v>
      </c>
      <c r="G25" s="313" cm="1">
        <f t="array" ref="G25">_xlfn.XLOOKUP(G$4,Heat_supplies_input[#Headers],Heat_supplies_input[#This Row],0,0,)</f>
        <v>0</v>
      </c>
      <c r="H25" s="311" cm="1">
        <f t="array" ref="H25">_xlfn.XLOOKUP(H$4,Heat_supplies_input[#Headers],Heat_supplies_input[#This Row],0,0,)</f>
        <v>0</v>
      </c>
      <c r="I25" s="311" cm="1">
        <f t="array" ref="I25">_xlfn.XLOOKUP(I$4,Heat_supplies_input[#Headers],Heat_supplies_input[#This Row],0,0,)</f>
        <v>0</v>
      </c>
      <c r="J25" s="308" cm="1">
        <f t="array" ref="J25">_xlfn.XLOOKUP(J$4,Heat_supplies_input[#Headers],Heat_supplies_input[#This Row],0,0,)</f>
        <v>0</v>
      </c>
      <c r="K25" s="308" cm="1">
        <f t="array" ref="K25">_xlfn.XLOOKUP(K$4,Heat_supplies_input[#Headers],Heat_supplies_input[#This Row],0,0,)</f>
        <v>0</v>
      </c>
      <c r="L25" s="308" cm="1">
        <f t="array" ref="L25">_xlfn.XLOOKUP(L$4,Heat_supplies_input[#Headers],Heat_supplies_input[#This Row],0,0,)</f>
        <v>0</v>
      </c>
      <c r="M25" s="345" cm="1">
        <f t="array" ref="M25">_xlfn.XLOOKUP(M$4,Heat_supplies_input[#Headers],Heat_supplies_input[#This Row],"",0,)</f>
        <v>0</v>
      </c>
      <c r="N25" s="317" cm="1">
        <f t="array" ref="N25">_xlfn.XLOOKUP(N$4,Heat_supplies_input[#Headers],Heat_supplies_input[#This Row],0,0,)</f>
        <v>0</v>
      </c>
      <c r="O25" s="330"/>
      <c r="P25" s="334"/>
      <c r="Q25" s="313">
        <f>Heat_supplies[[#This Row],[Technology capacity, kW]]*Heat_supplies[[#This Row],[Opex, per kWp]]</f>
        <v>0</v>
      </c>
      <c r="R25" s="313">
        <f>Heat_supplies[[#This Row],[Opex, per kWh]]*Heat_supplies[[#This Row],[kWh/yr output, incl losses]]</f>
        <v>0</v>
      </c>
      <c r="S25" s="313">
        <f>Heat_supplies[[#This Row],[Capex, per kWp]]*Heat_supplies[[#This Row],[Technology capacity, kW]]</f>
        <v>0</v>
      </c>
      <c r="T25" s="357" t="str">
        <f>IF(Heat_supplies[[#This Row],[Phase]]=1,1,"")</f>
        <v/>
      </c>
      <c r="U25" s="357">
        <f>IF(Heat_supplies[[#This Row],[Phase]]=2,1,0)</f>
        <v>0</v>
      </c>
      <c r="V25" s="357">
        <f>IF(Heat_supplies[[#This Row],[Phase]]=3,1,0)</f>
        <v>0</v>
      </c>
      <c r="W25" s="361" t="str">
        <f>IF(Heat_supplies[[#This Row],[Phase 1 flag]]=1,Heat_supplies[[#This Row],[Opex, per kWh]]/$W$4,"")</f>
        <v/>
      </c>
      <c r="X25" s="361" t="str">
        <f>IF(OR(Heat_supplies[[#This Row],[Phase 2 flag]]=1,Heat_supplies[[#This Row],[Phase 1 flag]]=1),Heat_supplies[[#This Row],[Opex, per kWh]]/$W$4,"")</f>
        <v/>
      </c>
      <c r="Y25" s="360" t="str">
        <f>IF(OR(Heat_supplies[[#This Row],[Phase 3 flag]]=1,Heat_supplies[[#This Row],[Phase 2 flag]]=1,Heat_supplies[[#This Row],[Phase 1 flag]]=1),Heat_supplies[[#This Row],[Opex, per kWh]]/$W$4,"")</f>
        <v/>
      </c>
      <c r="Z25" s="313" t="str">
        <f>IFERROR(RANK(Heat_supplies[[#This Row],[Phase 1 ranking]],Heat_supplies[Phase 1 ranking],1)+COUNTIF($W$6:W25,W25)-1,"-")</f>
        <v>-</v>
      </c>
      <c r="AA25" s="313" t="str">
        <f>IFERROR(RANK(Heat_supplies[[#This Row],[Phase 2 ranking]],Heat_supplies[Phase 2 ranking],1)+COUNTIF($X$6:X25,X25)-1,"-")</f>
        <v>-</v>
      </c>
      <c r="AB25" s="313" t="str">
        <f>IFERROR(RANK(Heat_supplies[[#This Row],[Phase 3 ranking]],Heat_supplies[Phase 3 ranking],1)+COUNTIF($Y$6:Y25,Y25)-1,"-")</f>
        <v>-</v>
      </c>
      <c r="AC25" s="523" t="e">
        <f>13/(Heat_supplies[[#This Row],[Opex, per kWh]]*100)</f>
        <v>#DIV/0!</v>
      </c>
    </row>
    <row r="26" spans="3:29" x14ac:dyDescent="0.25">
      <c r="C26" s="328" cm="1">
        <f t="array" ref="C26">_xlfn.XLOOKUP(C$4,Heat_supplies_input[#Headers],Heat_supplies_input[#This Row],0,0,)</f>
        <v>0</v>
      </c>
      <c r="D26" s="306" cm="1">
        <f t="array" ref="D26">_xlfn.XLOOKUP(D$4,Heat_supplies_input[#Headers],Heat_supplies_input[#This Row],0,0,)</f>
        <v>0</v>
      </c>
      <c r="E26" s="306" cm="1">
        <f t="array" ref="E26">_xlfn.XLOOKUP(E$4,Heat_supplies_input[#Headers],Heat_supplies_input[#This Row],0,0,)</f>
        <v>0</v>
      </c>
      <c r="F26" s="311" cm="1">
        <f t="array" ref="F26">_xlfn.XLOOKUP(F$4,Heat_supplies_input[#Headers],Heat_supplies_input[#This Row],0,0,)</f>
        <v>0</v>
      </c>
      <c r="G26" s="313" cm="1">
        <f t="array" ref="G26">_xlfn.XLOOKUP(G$4,Heat_supplies_input[#Headers],Heat_supplies_input[#This Row],0,0,)</f>
        <v>0</v>
      </c>
      <c r="H26" s="311" cm="1">
        <f t="array" ref="H26">_xlfn.XLOOKUP(H$4,Heat_supplies_input[#Headers],Heat_supplies_input[#This Row],0,0,)</f>
        <v>0</v>
      </c>
      <c r="I26" s="311" cm="1">
        <f t="array" ref="I26">_xlfn.XLOOKUP(I$4,Heat_supplies_input[#Headers],Heat_supplies_input[#This Row],0,0,)</f>
        <v>0</v>
      </c>
      <c r="J26" s="308" cm="1">
        <f t="array" ref="J26">_xlfn.XLOOKUP(J$4,Heat_supplies_input[#Headers],Heat_supplies_input[#This Row],0,0,)</f>
        <v>0</v>
      </c>
      <c r="K26" s="308" cm="1">
        <f t="array" ref="K26">_xlfn.XLOOKUP(K$4,Heat_supplies_input[#Headers],Heat_supplies_input[#This Row],0,0,)</f>
        <v>0</v>
      </c>
      <c r="L26" s="308" cm="1">
        <f t="array" ref="L26">_xlfn.XLOOKUP(L$4,Heat_supplies_input[#Headers],Heat_supplies_input[#This Row],0,0,)</f>
        <v>0</v>
      </c>
      <c r="M26" s="345" cm="1">
        <f t="array" ref="M26">_xlfn.XLOOKUP(M$4,Heat_supplies_input[#Headers],Heat_supplies_input[#This Row],"",0,)</f>
        <v>0</v>
      </c>
      <c r="N26" s="317" cm="1">
        <f t="array" ref="N26">_xlfn.XLOOKUP(N$4,Heat_supplies_input[#Headers],Heat_supplies_input[#This Row],0,0,)</f>
        <v>0</v>
      </c>
      <c r="O26" s="330"/>
      <c r="P26" s="334"/>
      <c r="Q26" s="313">
        <f>Heat_supplies[[#This Row],[Technology capacity, kW]]*Heat_supplies[[#This Row],[Opex, per kWp]]</f>
        <v>0</v>
      </c>
      <c r="R26" s="313">
        <f>Heat_supplies[[#This Row],[Opex, per kWh]]*Heat_supplies[[#This Row],[kWh/yr output, incl losses]]</f>
        <v>0</v>
      </c>
      <c r="S26" s="313">
        <f>Heat_supplies[[#This Row],[Capex, per kWp]]*Heat_supplies[[#This Row],[Technology capacity, kW]]</f>
        <v>0</v>
      </c>
      <c r="T26" s="357" t="str">
        <f>IF(Heat_supplies[[#This Row],[Phase]]=1,1,"")</f>
        <v/>
      </c>
      <c r="U26" s="357">
        <f>IF(Heat_supplies[[#This Row],[Phase]]=2,1,0)</f>
        <v>0</v>
      </c>
      <c r="V26" s="357">
        <f>IF(Heat_supplies[[#This Row],[Phase]]=3,1,0)</f>
        <v>0</v>
      </c>
      <c r="W26" s="361" t="str">
        <f>IF(Heat_supplies[[#This Row],[Phase 1 flag]]=1,Heat_supplies[[#This Row],[Opex, per kWh]]/$W$4,"")</f>
        <v/>
      </c>
      <c r="X26" s="361" t="str">
        <f>IF(OR(Heat_supplies[[#This Row],[Phase 2 flag]]=1,Heat_supplies[[#This Row],[Phase 1 flag]]=1),Heat_supplies[[#This Row],[Opex, per kWh]]/$W$4,"")</f>
        <v/>
      </c>
      <c r="Y26" s="360" t="str">
        <f>IF(OR(Heat_supplies[[#This Row],[Phase 3 flag]]=1,Heat_supplies[[#This Row],[Phase 2 flag]]=1,Heat_supplies[[#This Row],[Phase 1 flag]]=1),Heat_supplies[[#This Row],[Opex, per kWh]]/$W$4,"")</f>
        <v/>
      </c>
      <c r="Z26" s="313" t="str">
        <f>IFERROR(RANK(Heat_supplies[[#This Row],[Phase 1 ranking]],Heat_supplies[Phase 1 ranking],1)+COUNTIF($W$6:W26,W26)-1,"-")</f>
        <v>-</v>
      </c>
      <c r="AA26" s="313" t="str">
        <f>IFERROR(RANK(Heat_supplies[[#This Row],[Phase 2 ranking]],Heat_supplies[Phase 2 ranking],1)+COUNTIF($X$6:X26,X26)-1,"-")</f>
        <v>-</v>
      </c>
      <c r="AB26" s="313" t="str">
        <f>IFERROR(RANK(Heat_supplies[[#This Row],[Phase 3 ranking]],Heat_supplies[Phase 3 ranking],1)+COUNTIF($Y$6:Y26,Y26)-1,"-")</f>
        <v>-</v>
      </c>
      <c r="AC26" s="523" t="e">
        <f>13/(Heat_supplies[[#This Row],[Opex, per kWh]]*100)</f>
        <v>#DIV/0!</v>
      </c>
    </row>
    <row r="27" spans="3:29" x14ac:dyDescent="0.25">
      <c r="C27" s="328" cm="1">
        <f t="array" ref="C27">_xlfn.XLOOKUP(C$4,Heat_supplies_input[#Headers],Heat_supplies_input[#This Row],0,0,)</f>
        <v>0</v>
      </c>
      <c r="D27" s="306" cm="1">
        <f t="array" ref="D27">_xlfn.XLOOKUP(D$4,Heat_supplies_input[#Headers],Heat_supplies_input[#This Row],0,0,)</f>
        <v>0</v>
      </c>
      <c r="E27" s="306" cm="1">
        <f t="array" ref="E27">_xlfn.XLOOKUP(E$4,Heat_supplies_input[#Headers],Heat_supplies_input[#This Row],0,0,)</f>
        <v>0</v>
      </c>
      <c r="F27" s="311" cm="1">
        <f t="array" ref="F27">_xlfn.XLOOKUP(F$4,Heat_supplies_input[#Headers],Heat_supplies_input[#This Row],0,0,)</f>
        <v>0</v>
      </c>
      <c r="G27" s="313" cm="1">
        <f t="array" ref="G27">_xlfn.XLOOKUP(G$4,Heat_supplies_input[#Headers],Heat_supplies_input[#This Row],0,0,)</f>
        <v>0</v>
      </c>
      <c r="H27" s="311" cm="1">
        <f t="array" ref="H27">_xlfn.XLOOKUP(H$4,Heat_supplies_input[#Headers],Heat_supplies_input[#This Row],0,0,)</f>
        <v>0</v>
      </c>
      <c r="I27" s="311" cm="1">
        <f t="array" ref="I27">_xlfn.XLOOKUP(I$4,Heat_supplies_input[#Headers],Heat_supplies_input[#This Row],0,0,)</f>
        <v>0</v>
      </c>
      <c r="J27" s="308" cm="1">
        <f t="array" ref="J27">_xlfn.XLOOKUP(J$4,Heat_supplies_input[#Headers],Heat_supplies_input[#This Row],0,0,)</f>
        <v>0</v>
      </c>
      <c r="K27" s="308" cm="1">
        <f t="array" ref="K27">_xlfn.XLOOKUP(K$4,Heat_supplies_input[#Headers],Heat_supplies_input[#This Row],0,0,)</f>
        <v>0</v>
      </c>
      <c r="L27" s="308" cm="1">
        <f t="array" ref="L27">_xlfn.XLOOKUP(L$4,Heat_supplies_input[#Headers],Heat_supplies_input[#This Row],0,0,)</f>
        <v>0</v>
      </c>
      <c r="M27" s="345" cm="1">
        <f t="array" ref="M27">_xlfn.XLOOKUP(M$4,Heat_supplies_input[#Headers],Heat_supplies_input[#This Row],"",0,)</f>
        <v>0</v>
      </c>
      <c r="N27" s="317" cm="1">
        <f t="array" ref="N27">_xlfn.XLOOKUP(N$4,Heat_supplies_input[#Headers],Heat_supplies_input[#This Row],0,0,)</f>
        <v>0</v>
      </c>
      <c r="O27" s="330"/>
      <c r="P27" s="334"/>
      <c r="Q27" s="313">
        <f>Heat_supplies[[#This Row],[Technology capacity, kW]]*Heat_supplies[[#This Row],[Opex, per kWp]]</f>
        <v>0</v>
      </c>
      <c r="R27" s="313">
        <f>Heat_supplies[[#This Row],[Opex, per kWh]]*Heat_supplies[[#This Row],[kWh/yr output, incl losses]]</f>
        <v>0</v>
      </c>
      <c r="S27" s="313">
        <f>Heat_supplies[[#This Row],[Capex, per kWp]]*Heat_supplies[[#This Row],[Technology capacity, kW]]</f>
        <v>0</v>
      </c>
      <c r="T27" s="357" t="str">
        <f>IF(Heat_supplies[[#This Row],[Phase]]=1,1,"")</f>
        <v/>
      </c>
      <c r="U27" s="357">
        <f>IF(Heat_supplies[[#This Row],[Phase]]=2,1,0)</f>
        <v>0</v>
      </c>
      <c r="V27" s="357">
        <f>IF(Heat_supplies[[#This Row],[Phase]]=3,1,0)</f>
        <v>0</v>
      </c>
      <c r="W27" s="361" t="str">
        <f>IF(Heat_supplies[[#This Row],[Phase 1 flag]]=1,Heat_supplies[[#This Row],[Opex, per kWh]]/$W$4,"")</f>
        <v/>
      </c>
      <c r="X27" s="361" t="str">
        <f>IF(OR(Heat_supplies[[#This Row],[Phase 2 flag]]=1,Heat_supplies[[#This Row],[Phase 1 flag]]=1),Heat_supplies[[#This Row],[Opex, per kWh]]/$W$4,"")</f>
        <v/>
      </c>
      <c r="Y27" s="360" t="str">
        <f>IF(OR(Heat_supplies[[#This Row],[Phase 3 flag]]=1,Heat_supplies[[#This Row],[Phase 2 flag]]=1,Heat_supplies[[#This Row],[Phase 1 flag]]=1),Heat_supplies[[#This Row],[Opex, per kWh]]/$W$4,"")</f>
        <v/>
      </c>
      <c r="Z27" s="313" t="str">
        <f>IFERROR(RANK(Heat_supplies[[#This Row],[Phase 1 ranking]],Heat_supplies[Phase 1 ranking],1)+COUNTIF($W$6:W27,W27)-1,"-")</f>
        <v>-</v>
      </c>
      <c r="AA27" s="313" t="str">
        <f>IFERROR(RANK(Heat_supplies[[#This Row],[Phase 2 ranking]],Heat_supplies[Phase 2 ranking],1)+COUNTIF($X$6:X27,X27)-1,"-")</f>
        <v>-</v>
      </c>
      <c r="AB27" s="313" t="str">
        <f>IFERROR(RANK(Heat_supplies[[#This Row],[Phase 3 ranking]],Heat_supplies[Phase 3 ranking],1)+COUNTIF($Y$6:Y27,Y27)-1,"-")</f>
        <v>-</v>
      </c>
      <c r="AC27" s="523" t="e">
        <f>13/(Heat_supplies[[#This Row],[Opex, per kWh]]*100)</f>
        <v>#DIV/0!</v>
      </c>
    </row>
    <row r="28" spans="3:29" x14ac:dyDescent="0.25">
      <c r="C28" s="328" cm="1">
        <f t="array" ref="C28">_xlfn.XLOOKUP(C$4,Heat_supplies_input[#Headers],Heat_supplies_input[#This Row],0,0,)</f>
        <v>0</v>
      </c>
      <c r="D28" s="306" cm="1">
        <f t="array" ref="D28">_xlfn.XLOOKUP(D$4,Heat_supplies_input[#Headers],Heat_supplies_input[#This Row],0,0,)</f>
        <v>0</v>
      </c>
      <c r="E28" s="306" cm="1">
        <f t="array" ref="E28">_xlfn.XLOOKUP(E$4,Heat_supplies_input[#Headers],Heat_supplies_input[#This Row],0,0,)</f>
        <v>0</v>
      </c>
      <c r="F28" s="311" cm="1">
        <f t="array" ref="F28">_xlfn.XLOOKUP(F$4,Heat_supplies_input[#Headers],Heat_supplies_input[#This Row],0,0,)</f>
        <v>0</v>
      </c>
      <c r="G28" s="313" cm="1">
        <f t="array" ref="G28">_xlfn.XLOOKUP(G$4,Heat_supplies_input[#Headers],Heat_supplies_input[#This Row],0,0,)</f>
        <v>0</v>
      </c>
      <c r="H28" s="311" cm="1">
        <f t="array" ref="H28">_xlfn.XLOOKUP(H$4,Heat_supplies_input[#Headers],Heat_supplies_input[#This Row],0,0,)</f>
        <v>0</v>
      </c>
      <c r="I28" s="311" cm="1">
        <f t="array" ref="I28">_xlfn.XLOOKUP(I$4,Heat_supplies_input[#Headers],Heat_supplies_input[#This Row],0,0,)</f>
        <v>0</v>
      </c>
      <c r="J28" s="308" cm="1">
        <f t="array" ref="J28">_xlfn.XLOOKUP(J$4,Heat_supplies_input[#Headers],Heat_supplies_input[#This Row],0,0,)</f>
        <v>0</v>
      </c>
      <c r="K28" s="308" cm="1">
        <f t="array" ref="K28">_xlfn.XLOOKUP(K$4,Heat_supplies_input[#Headers],Heat_supplies_input[#This Row],0,0,)</f>
        <v>0</v>
      </c>
      <c r="L28" s="308" cm="1">
        <f t="array" ref="L28">_xlfn.XLOOKUP(L$4,Heat_supplies_input[#Headers],Heat_supplies_input[#This Row],0,0,)</f>
        <v>0</v>
      </c>
      <c r="M28" s="345" cm="1">
        <f t="array" ref="M28">_xlfn.XLOOKUP(M$4,Heat_supplies_input[#Headers],Heat_supplies_input[#This Row],"",0,)</f>
        <v>0</v>
      </c>
      <c r="N28" s="317" cm="1">
        <f t="array" ref="N28">_xlfn.XLOOKUP(N$4,Heat_supplies_input[#Headers],Heat_supplies_input[#This Row],0,0,)</f>
        <v>0</v>
      </c>
      <c r="O28" s="330"/>
      <c r="P28" s="334"/>
      <c r="Q28" s="313">
        <f>Heat_supplies[[#This Row],[Technology capacity, kW]]*Heat_supplies[[#This Row],[Opex, per kWp]]</f>
        <v>0</v>
      </c>
      <c r="R28" s="313">
        <f>Heat_supplies[[#This Row],[Opex, per kWh]]*Heat_supplies[[#This Row],[kWh/yr output, incl losses]]</f>
        <v>0</v>
      </c>
      <c r="S28" s="313">
        <f>Heat_supplies[[#This Row],[Capex, per kWp]]*Heat_supplies[[#This Row],[Technology capacity, kW]]</f>
        <v>0</v>
      </c>
      <c r="T28" s="357" t="str">
        <f>IF(Heat_supplies[[#This Row],[Phase]]=1,1,"")</f>
        <v/>
      </c>
      <c r="U28" s="357">
        <f>IF(Heat_supplies[[#This Row],[Phase]]=2,1,0)</f>
        <v>0</v>
      </c>
      <c r="V28" s="357">
        <f>IF(Heat_supplies[[#This Row],[Phase]]=3,1,0)</f>
        <v>0</v>
      </c>
      <c r="W28" s="361" t="str">
        <f>IF(Heat_supplies[[#This Row],[Phase 1 flag]]=1,Heat_supplies[[#This Row],[Opex, per kWh]]/$W$4,"")</f>
        <v/>
      </c>
      <c r="X28" s="361" t="str">
        <f>IF(OR(Heat_supplies[[#This Row],[Phase 2 flag]]=1,Heat_supplies[[#This Row],[Phase 1 flag]]=1),Heat_supplies[[#This Row],[Opex, per kWh]]/$W$4,"")</f>
        <v/>
      </c>
      <c r="Y28" s="360" t="str">
        <f>IF(OR(Heat_supplies[[#This Row],[Phase 3 flag]]=1,Heat_supplies[[#This Row],[Phase 2 flag]]=1,Heat_supplies[[#This Row],[Phase 1 flag]]=1),Heat_supplies[[#This Row],[Opex, per kWh]]/$W$4,"")</f>
        <v/>
      </c>
      <c r="Z28" s="313" t="str">
        <f>IFERROR(RANK(Heat_supplies[[#This Row],[Phase 1 ranking]],Heat_supplies[Phase 1 ranking],1)+COUNTIF($W$6:W28,W28)-1,"-")</f>
        <v>-</v>
      </c>
      <c r="AA28" s="313" t="str">
        <f>IFERROR(RANK(Heat_supplies[[#This Row],[Phase 2 ranking]],Heat_supplies[Phase 2 ranking],1)+COUNTIF($X$6:X28,X28)-1,"-")</f>
        <v>-</v>
      </c>
      <c r="AB28" s="313" t="str">
        <f>IFERROR(RANK(Heat_supplies[[#This Row],[Phase 3 ranking]],Heat_supplies[Phase 3 ranking],1)+COUNTIF($Y$6:Y28,Y28)-1,"-")</f>
        <v>-</v>
      </c>
      <c r="AC28" s="523" t="e">
        <f>13/(Heat_supplies[[#This Row],[Opex, per kWh]]*100)</f>
        <v>#DIV/0!</v>
      </c>
    </row>
    <row r="29" spans="3:29" x14ac:dyDescent="0.25">
      <c r="C29" s="328" cm="1">
        <f t="array" ref="C29">_xlfn.XLOOKUP(C$4,Heat_supplies_input[#Headers],Heat_supplies_input[#This Row],0,0,)</f>
        <v>0</v>
      </c>
      <c r="D29" s="307" cm="1">
        <f t="array" ref="D29">_xlfn.XLOOKUP(D$4,Heat_supplies_input[#Headers],Heat_supplies_input[#This Row],0,0,)</f>
        <v>0</v>
      </c>
      <c r="E29" s="307" cm="1">
        <f t="array" ref="E29">_xlfn.XLOOKUP(E$4,Heat_supplies_input[#Headers],Heat_supplies_input[#This Row],0,0,)</f>
        <v>0</v>
      </c>
      <c r="F29" s="312" cm="1">
        <f t="array" ref="F29">_xlfn.XLOOKUP(F$4,Heat_supplies_input[#Headers],Heat_supplies_input[#This Row],0,0,)</f>
        <v>0</v>
      </c>
      <c r="G29" s="314" cm="1">
        <f t="array" ref="G29">_xlfn.XLOOKUP(G$4,Heat_supplies_input[#Headers],Heat_supplies_input[#This Row],0,0,)</f>
        <v>0</v>
      </c>
      <c r="H29" s="312" cm="1">
        <f t="array" ref="H29">_xlfn.XLOOKUP(H$4,Heat_supplies_input[#Headers],Heat_supplies_input[#This Row],0,0,)</f>
        <v>0</v>
      </c>
      <c r="I29" s="312" cm="1">
        <f t="array" ref="I29">_xlfn.XLOOKUP(I$4,Heat_supplies_input[#Headers],Heat_supplies_input[#This Row],0,0,)</f>
        <v>0</v>
      </c>
      <c r="J29" s="309" cm="1">
        <f t="array" ref="J29">_xlfn.XLOOKUP(J$4,Heat_supplies_input[#Headers],Heat_supplies_input[#This Row],0,0,)</f>
        <v>0</v>
      </c>
      <c r="K29" s="309" cm="1">
        <f t="array" ref="K29">_xlfn.XLOOKUP(K$4,Heat_supplies_input[#Headers],Heat_supplies_input[#This Row],0,0,)</f>
        <v>0</v>
      </c>
      <c r="L29" s="309" cm="1">
        <f t="array" ref="L29">_xlfn.XLOOKUP(L$4,Heat_supplies_input[#Headers],Heat_supplies_input[#This Row],0,0,)</f>
        <v>0</v>
      </c>
      <c r="M29" s="346" cm="1">
        <f t="array" ref="M29">_xlfn.XLOOKUP(M$4,Heat_supplies_input[#Headers],Heat_supplies_input[#This Row],"",0,)</f>
        <v>0</v>
      </c>
      <c r="N29" s="318" cm="1">
        <f t="array" ref="N29">_xlfn.XLOOKUP(N$4,Heat_supplies_input[#Headers],Heat_supplies_input[#This Row],0,0,)</f>
        <v>0</v>
      </c>
      <c r="O29" s="331"/>
      <c r="P29" s="335"/>
      <c r="Q29" s="314">
        <f>Heat_supplies[[#This Row],[Technology capacity, kW]]*Heat_supplies[[#This Row],[Opex, per kWp]]</f>
        <v>0</v>
      </c>
      <c r="R29" s="314">
        <f>Heat_supplies[[#This Row],[Opex, per kWh]]*Heat_supplies[[#This Row],[kWh/yr output, incl losses]]</f>
        <v>0</v>
      </c>
      <c r="S29" s="314">
        <f>Heat_supplies[[#This Row],[Capex, per kWp]]*Heat_supplies[[#This Row],[Technology capacity, kW]]</f>
        <v>0</v>
      </c>
      <c r="T29" s="358" t="str">
        <f>IF(Heat_supplies[[#This Row],[Phase]]=1,1,"")</f>
        <v/>
      </c>
      <c r="U29" s="358">
        <f>IF(Heat_supplies[[#This Row],[Phase]]=2,1,0)</f>
        <v>0</v>
      </c>
      <c r="V29" s="358">
        <f>IF(Heat_supplies[[#This Row],[Phase]]=3,1,0)</f>
        <v>0</v>
      </c>
      <c r="W29" s="362" t="str">
        <f>IF(Heat_supplies[[#This Row],[Phase 1 flag]]=1,Heat_supplies[[#This Row],[Opex, per kWh]]/$W$4,"")</f>
        <v/>
      </c>
      <c r="X29" s="362" t="str">
        <f>IF(OR(Heat_supplies[[#This Row],[Phase 2 flag]]=1,Heat_supplies[[#This Row],[Phase 1 flag]]=1),Heat_supplies[[#This Row],[Opex, per kWh]]/$W$4,"")</f>
        <v/>
      </c>
      <c r="Y29" s="360" t="str">
        <f>IF(OR(Heat_supplies[[#This Row],[Phase 3 flag]]=1,Heat_supplies[[#This Row],[Phase 2 flag]]=1,Heat_supplies[[#This Row],[Phase 1 flag]]=1),Heat_supplies[[#This Row],[Opex, per kWh]]/$W$4,"")</f>
        <v/>
      </c>
      <c r="Z29" s="314" t="str">
        <f>IFERROR(RANK(Heat_supplies[[#This Row],[Phase 1 ranking]],Heat_supplies[Phase 1 ranking],1)+COUNTIF($W$6:W29,W29)-1,"-")</f>
        <v>-</v>
      </c>
      <c r="AA29" s="314" t="str">
        <f>IFERROR(RANK(Heat_supplies[[#This Row],[Phase 2 ranking]],Heat_supplies[Phase 2 ranking],1)+COUNTIF($X$6:X29,X29)-1,"-")</f>
        <v>-</v>
      </c>
      <c r="AB29" s="314" t="str">
        <f>IFERROR(RANK(Heat_supplies[[#This Row],[Phase 3 ranking]],Heat_supplies[Phase 3 ranking],1)+COUNTIF($Y$6:Y29,Y29)-1,"-")</f>
        <v>-</v>
      </c>
      <c r="AC29" s="523" t="e">
        <f>13/(Heat_supplies[[#This Row],[Opex, per kWh]]*100)</f>
        <v>#DIV/0!</v>
      </c>
    </row>
  </sheetData>
  <phoneticPr fontId="20" type="noConversion"/>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0670-6B25-43D3-9DAB-48BBE29690DC}">
  <sheetPr>
    <tabColor theme="9" tint="0.79998168889431442"/>
  </sheetPr>
  <dimension ref="A1:I102"/>
  <sheetViews>
    <sheetView topLeftCell="A23" workbookViewId="0">
      <selection activeCell="C44" sqref="C44"/>
    </sheetView>
  </sheetViews>
  <sheetFormatPr defaultColWidth="9.140625" defaultRowHeight="12.75" x14ac:dyDescent="0.2"/>
  <cols>
    <col min="1" max="1" width="4" style="11" customWidth="1"/>
    <col min="2" max="2" width="60.140625" style="11" customWidth="1"/>
    <col min="3" max="4" width="20.7109375" style="11" customWidth="1"/>
    <col min="5" max="5" width="17.7109375" style="11" bestFit="1" customWidth="1"/>
    <col min="6" max="6" width="20.7109375" style="11" customWidth="1"/>
    <col min="7" max="7" width="68.28515625" style="11" bestFit="1" customWidth="1"/>
    <col min="8" max="9" width="20.7109375" style="11" customWidth="1"/>
    <col min="10" max="16" width="17.7109375" style="11" customWidth="1"/>
    <col min="17" max="16384" width="9.140625" style="11"/>
  </cols>
  <sheetData>
    <row r="1" spans="1:8" ht="14.25" customHeight="1" x14ac:dyDescent="0.2"/>
    <row r="2" spans="1:8" ht="14.25" customHeight="1" x14ac:dyDescent="0.2">
      <c r="A2" s="10">
        <v>1</v>
      </c>
      <c r="B2" s="52" t="s">
        <v>156</v>
      </c>
      <c r="C2" s="10"/>
      <c r="D2" s="10"/>
      <c r="E2" s="10"/>
      <c r="F2" s="10"/>
      <c r="G2" s="10"/>
      <c r="H2" s="10"/>
    </row>
    <row r="3" spans="1:8" ht="14.25" customHeight="1" x14ac:dyDescent="0.25">
      <c r="H3"/>
    </row>
    <row r="4" spans="1:8" ht="14.25" customHeight="1" x14ac:dyDescent="0.25">
      <c r="B4" s="35" t="s">
        <v>157</v>
      </c>
      <c r="H4"/>
    </row>
    <row r="5" spans="1:8" ht="29.25" customHeight="1" x14ac:dyDescent="0.25">
      <c r="C5" s="148" t="s">
        <v>158</v>
      </c>
      <c r="D5" s="148" t="s">
        <v>159</v>
      </c>
      <c r="E5" s="148" t="s">
        <v>160</v>
      </c>
      <c r="H5"/>
    </row>
    <row r="6" spans="1:8" ht="14.25" customHeight="1" x14ac:dyDescent="0.25">
      <c r="B6" s="54" t="s">
        <v>161</v>
      </c>
      <c r="C6" s="271">
        <f>SUMIFS(Heat_connections[Annual Demand, kWh],
Heat_connections[Phase],1,Heat_connections[Commercial flag],1)</f>
        <v>124399493.01469998</v>
      </c>
      <c r="D6" s="271">
        <f>SUMIFS(Heat_connections[Annual Demand, kWh],
Heat_connections[Phase],2,Heat_connections[Commercial flag],1)+C6</f>
        <v>124399493.01469998</v>
      </c>
      <c r="E6" s="271">
        <f>SUMIFS(Heat_connections[Annual Demand, kWh],
Heat_connections[Phase],3,Heat_connections[Commercial flag],1)+D6</f>
        <v>124399493.01469998</v>
      </c>
      <c r="G6" s="191"/>
      <c r="H6"/>
    </row>
    <row r="7" spans="1:8" ht="14.25" customHeight="1" x14ac:dyDescent="0.25">
      <c r="B7" s="54" t="s">
        <v>162</v>
      </c>
      <c r="C7" s="271">
        <f>SUMIFS(Heat_connections[Annual Demand, kWh],
Heat_connections[Phase],1,Heat_connections[Residential flag],1)</f>
        <v>235862.68799999997</v>
      </c>
      <c r="D7" s="271">
        <f>SUMIFS(Heat_connections[Annual Demand, kWh],
Heat_connections[Phase],2,Heat_connections[Residential flag],1)+C7</f>
        <v>235862.68799999997</v>
      </c>
      <c r="E7" s="271">
        <f>SUMIFS(Heat_connections[Annual Demand, kWh],
Heat_connections[Phase],3,Heat_connections[Residential flag],1)+D7</f>
        <v>235862.68799999997</v>
      </c>
      <c r="F7" s="136"/>
      <c r="G7" s="191"/>
      <c r="H7"/>
    </row>
    <row r="8" spans="1:8" ht="14.25" customHeight="1" x14ac:dyDescent="0.25">
      <c r="B8" s="54" t="s">
        <v>163</v>
      </c>
      <c r="C8" s="130">
        <v>0.1</v>
      </c>
      <c r="D8" s="130">
        <v>0.1</v>
      </c>
      <c r="E8" s="130">
        <v>0.1</v>
      </c>
      <c r="H8"/>
    </row>
    <row r="9" spans="1:8" ht="14.25" customHeight="1" x14ac:dyDescent="0.25">
      <c r="B9" s="54" t="s">
        <v>2026</v>
      </c>
      <c r="C9" s="327">
        <f>SUMIF('Heat connections'!M5:M70,1,Heat_connections[Peak Demand, kW])</f>
        <v>63297.966752999986</v>
      </c>
      <c r="D9" s="327">
        <f>SUMIF('Heat connections'!M5:M70,2,Heat_connections[Peak Demand, kW])+C9</f>
        <v>63297.966752999986</v>
      </c>
      <c r="E9" s="327">
        <f>SUMIF('Heat connections'!M5:M70,3,Heat_connections[Peak Demand, kW])+D9</f>
        <v>63297.966752999986</v>
      </c>
      <c r="F9" s="136"/>
      <c r="H9"/>
    </row>
    <row r="10" spans="1:8" ht="14.25" customHeight="1" x14ac:dyDescent="0.25">
      <c r="B10" s="54" t="s">
        <v>2027</v>
      </c>
      <c r="C10" s="130">
        <v>0.65</v>
      </c>
      <c r="D10" s="130">
        <v>0.65</v>
      </c>
      <c r="E10" s="130">
        <v>0.65</v>
      </c>
      <c r="F10" s="136"/>
      <c r="H10"/>
    </row>
    <row r="11" spans="1:8" ht="14.25" customHeight="1" x14ac:dyDescent="0.25">
      <c r="B11" s="54" t="s">
        <v>2054</v>
      </c>
      <c r="C11" s="327">
        <f>C9*C10</f>
        <v>41143.678389449989</v>
      </c>
      <c r="D11" s="327">
        <f t="shared" ref="D11:E11" si="0">D9*D10</f>
        <v>41143.678389449989</v>
      </c>
      <c r="E11" s="327">
        <f t="shared" si="0"/>
        <v>41143.678389449989</v>
      </c>
      <c r="F11" s="136"/>
      <c r="H11"/>
    </row>
    <row r="12" spans="1:8" ht="3.75" customHeight="1" x14ac:dyDescent="0.25">
      <c r="B12" s="54"/>
      <c r="C12" s="121"/>
      <c r="H12"/>
    </row>
    <row r="13" spans="1:8" ht="14.25" customHeight="1" x14ac:dyDescent="0.25">
      <c r="B13" s="54" t="s">
        <v>164</v>
      </c>
      <c r="C13" s="81">
        <v>0.5</v>
      </c>
      <c r="D13" s="81">
        <v>0.5</v>
      </c>
      <c r="E13" s="81">
        <v>0.5</v>
      </c>
      <c r="G13" s="136"/>
      <c r="H13"/>
    </row>
    <row r="14" spans="1:8" ht="14.25" customHeight="1" x14ac:dyDescent="0.25">
      <c r="B14" s="54" t="s">
        <v>165</v>
      </c>
      <c r="C14" s="47">
        <v>2.7</v>
      </c>
      <c r="D14" s="47">
        <v>2.7</v>
      </c>
      <c r="E14" s="47">
        <v>2.7</v>
      </c>
      <c r="F14" s="101"/>
      <c r="H14"/>
    </row>
    <row r="15" spans="1:8" ht="14.25" customHeight="1" x14ac:dyDescent="0.25">
      <c r="B15" s="54" t="s">
        <v>166</v>
      </c>
      <c r="C15" s="81">
        <v>0</v>
      </c>
      <c r="D15" s="81">
        <v>0</v>
      </c>
      <c r="E15" s="81">
        <v>0</v>
      </c>
      <c r="H15"/>
    </row>
    <row r="16" spans="1:8" ht="14.25" customHeight="1" x14ac:dyDescent="0.25">
      <c r="B16" s="54" t="s">
        <v>167</v>
      </c>
      <c r="C16" s="47">
        <v>3.5</v>
      </c>
      <c r="D16" s="47">
        <v>3.5</v>
      </c>
      <c r="E16" s="47">
        <v>3.5</v>
      </c>
      <c r="H16"/>
    </row>
    <row r="17" spans="2:8" ht="14.25" customHeight="1" x14ac:dyDescent="0.25">
      <c r="B17" s="54" t="s">
        <v>168</v>
      </c>
      <c r="C17" s="146">
        <v>15</v>
      </c>
      <c r="D17" s="146">
        <v>15</v>
      </c>
      <c r="E17" s="146">
        <v>15</v>
      </c>
      <c r="H17"/>
    </row>
    <row r="18" spans="2:8" ht="3.75" customHeight="1" x14ac:dyDescent="0.25">
      <c r="B18" s="54"/>
      <c r="D18" s="132"/>
      <c r="H18"/>
    </row>
    <row r="19" spans="2:8" ht="14.25" customHeight="1" x14ac:dyDescent="0.25">
      <c r="B19" s="54" t="s">
        <v>169</v>
      </c>
      <c r="C19" s="81">
        <v>0</v>
      </c>
      <c r="D19" s="81">
        <v>0</v>
      </c>
      <c r="E19" s="81">
        <v>0</v>
      </c>
      <c r="H19"/>
    </row>
    <row r="20" spans="2:8" ht="14.25" customHeight="1" x14ac:dyDescent="0.25">
      <c r="B20" s="54" t="s">
        <v>170</v>
      </c>
      <c r="C20" s="81">
        <v>0.9</v>
      </c>
      <c r="D20" s="81">
        <v>0.9</v>
      </c>
      <c r="E20" s="81">
        <v>0.9</v>
      </c>
      <c r="H20"/>
    </row>
    <row r="21" spans="2:8" ht="14.25" customHeight="1" x14ac:dyDescent="0.25">
      <c r="B21" s="54" t="s">
        <v>171</v>
      </c>
      <c r="C21" s="130"/>
      <c r="D21" s="130"/>
      <c r="E21" s="130"/>
      <c r="H21"/>
    </row>
    <row r="22" spans="2:8" x14ac:dyDescent="0.2">
      <c r="B22" s="54" t="s">
        <v>172</v>
      </c>
      <c r="C22" s="133">
        <v>3</v>
      </c>
      <c r="D22" s="133">
        <v>3</v>
      </c>
      <c r="E22" s="133">
        <v>3</v>
      </c>
    </row>
    <row r="23" spans="2:8" ht="4.5" customHeight="1" x14ac:dyDescent="0.2"/>
    <row r="24" spans="2:8" ht="14.25" customHeight="1" x14ac:dyDescent="0.25">
      <c r="B24" s="54" t="s">
        <v>173</v>
      </c>
      <c r="C24" s="81">
        <v>1</v>
      </c>
      <c r="D24" s="81">
        <v>1</v>
      </c>
      <c r="E24" s="81">
        <v>1</v>
      </c>
      <c r="H24"/>
    </row>
    <row r="25" spans="2:8" ht="14.25" customHeight="1" x14ac:dyDescent="0.25">
      <c r="B25" s="54" t="s">
        <v>174</v>
      </c>
      <c r="C25" s="198">
        <v>9.7000000000000003E-2</v>
      </c>
      <c r="D25" s="198">
        <v>7.0000000000000007E-2</v>
      </c>
      <c r="E25" s="198">
        <v>9.0999999999999998E-2</v>
      </c>
      <c r="H25"/>
    </row>
    <row r="26" spans="2:8" ht="14.25" customHeight="1" x14ac:dyDescent="0.25">
      <c r="B26" s="54" t="s">
        <v>175</v>
      </c>
      <c r="C26" s="130">
        <v>1</v>
      </c>
      <c r="D26" s="130">
        <v>1</v>
      </c>
      <c r="E26" s="130">
        <v>1</v>
      </c>
      <c r="H26"/>
    </row>
    <row r="27" spans="2:8" ht="14.25" customHeight="1" x14ac:dyDescent="0.25">
      <c r="B27" s="54" t="s">
        <v>176</v>
      </c>
      <c r="C27" s="134">
        <v>1.5</v>
      </c>
      <c r="D27" s="134">
        <v>1.5</v>
      </c>
      <c r="E27" s="134">
        <v>1.5</v>
      </c>
      <c r="H27"/>
    </row>
    <row r="28" spans="2:8" ht="14.25" customHeight="1" x14ac:dyDescent="0.25">
      <c r="B28" s="54" t="s">
        <v>177</v>
      </c>
      <c r="C28" s="135">
        <v>1000</v>
      </c>
      <c r="D28" s="135">
        <v>1000</v>
      </c>
      <c r="E28" s="135">
        <v>1000</v>
      </c>
      <c r="F28" s="136"/>
      <c r="H28"/>
    </row>
    <row r="29" spans="2:8" ht="4.5" customHeight="1" x14ac:dyDescent="0.25">
      <c r="B29" s="54"/>
      <c r="C29" s="120"/>
      <c r="D29" s="120"/>
      <c r="E29" s="120"/>
      <c r="H29"/>
    </row>
    <row r="30" spans="2:8" ht="14.25" customHeight="1" x14ac:dyDescent="0.25">
      <c r="B30" s="54" t="s">
        <v>178</v>
      </c>
      <c r="C30" s="81">
        <v>0.02</v>
      </c>
      <c r="D30" s="81">
        <v>0.02</v>
      </c>
      <c r="E30" s="81">
        <v>0.02</v>
      </c>
      <c r="H30"/>
    </row>
    <row r="31" spans="2:8" ht="14.25" customHeight="1" x14ac:dyDescent="0.2">
      <c r="B31" s="54" t="s">
        <v>179</v>
      </c>
      <c r="C31" s="137">
        <v>5</v>
      </c>
      <c r="D31" s="137">
        <v>5</v>
      </c>
      <c r="E31" s="137">
        <v>5</v>
      </c>
    </row>
    <row r="32" spans="2:8" ht="14.25" customHeight="1" x14ac:dyDescent="0.2">
      <c r="B32" s="54" t="s">
        <v>180</v>
      </c>
      <c r="C32" s="137">
        <v>40</v>
      </c>
      <c r="D32" s="137">
        <v>40</v>
      </c>
      <c r="E32" s="137">
        <v>40</v>
      </c>
    </row>
    <row r="33" spans="1:8" ht="14.25" customHeight="1" x14ac:dyDescent="0.2">
      <c r="B33" s="54" t="s">
        <v>181</v>
      </c>
      <c r="C33" s="137">
        <v>200</v>
      </c>
      <c r="D33" s="137">
        <v>200</v>
      </c>
      <c r="E33" s="137">
        <v>200</v>
      </c>
    </row>
    <row r="34" spans="1:8" ht="14.25" customHeight="1" x14ac:dyDescent="0.2">
      <c r="B34" s="54" t="s">
        <v>182</v>
      </c>
      <c r="C34" s="137">
        <v>50</v>
      </c>
      <c r="D34" s="137">
        <v>50</v>
      </c>
      <c r="E34" s="137">
        <v>50</v>
      </c>
    </row>
    <row r="35" spans="1:8" ht="14.25" customHeight="1" x14ac:dyDescent="0.2">
      <c r="B35" s="54" t="s">
        <v>183</v>
      </c>
      <c r="C35" s="137">
        <v>150</v>
      </c>
      <c r="D35" s="137">
        <v>150</v>
      </c>
      <c r="E35" s="137">
        <v>150</v>
      </c>
    </row>
    <row r="36" spans="1:8" ht="14.25" customHeight="1" x14ac:dyDescent="0.25">
      <c r="D36" s="67"/>
      <c r="E36" s="67"/>
      <c r="H36"/>
    </row>
    <row r="37" spans="1:8" ht="14.25" customHeight="1" x14ac:dyDescent="0.25">
      <c r="B37" s="35" t="s">
        <v>185</v>
      </c>
      <c r="D37" s="67"/>
      <c r="E37" s="67"/>
      <c r="H37"/>
    </row>
    <row r="38" spans="1:8" ht="14.25" customHeight="1" x14ac:dyDescent="0.25">
      <c r="B38" s="54" t="s">
        <v>186</v>
      </c>
      <c r="C38" s="138">
        <v>2.4</v>
      </c>
      <c r="H38"/>
    </row>
    <row r="39" spans="1:8" ht="14.25" customHeight="1" x14ac:dyDescent="0.25">
      <c r="B39" s="54" t="s">
        <v>187</v>
      </c>
      <c r="C39" s="138">
        <v>2</v>
      </c>
      <c r="D39" s="171"/>
      <c r="H39"/>
    </row>
    <row r="40" spans="1:8" ht="14.25" customHeight="1" x14ac:dyDescent="0.2">
      <c r="B40" s="54" t="s">
        <v>188</v>
      </c>
      <c r="C40" s="139">
        <v>1</v>
      </c>
    </row>
    <row r="41" spans="1:8" ht="14.25" customHeight="1" x14ac:dyDescent="0.2">
      <c r="B41" s="54" t="s">
        <v>189</v>
      </c>
      <c r="C41" s="139">
        <v>0.85</v>
      </c>
    </row>
    <row r="42" spans="1:8" ht="14.25" customHeight="1" x14ac:dyDescent="0.2">
      <c r="B42" s="54" t="s">
        <v>184</v>
      </c>
      <c r="C42" s="81">
        <v>0.05</v>
      </c>
    </row>
    <row r="43" spans="1:8" ht="14.25" customHeight="1" x14ac:dyDescent="0.2">
      <c r="B43" s="54" t="s">
        <v>190</v>
      </c>
      <c r="C43" s="2">
        <v>3</v>
      </c>
    </row>
    <row r="44" spans="1:8" ht="14.25" customHeight="1" x14ac:dyDescent="0.2">
      <c r="B44" s="54" t="s">
        <v>191</v>
      </c>
      <c r="C44" s="2">
        <v>0</v>
      </c>
    </row>
    <row r="45" spans="1:8" ht="14.25" customHeight="1" x14ac:dyDescent="0.2">
      <c r="B45" s="54"/>
    </row>
    <row r="46" spans="1:8" ht="14.25" customHeight="1" x14ac:dyDescent="0.2">
      <c r="A46" s="10">
        <v>2</v>
      </c>
      <c r="B46" s="52" t="s">
        <v>192</v>
      </c>
      <c r="C46" s="10"/>
      <c r="D46" s="10"/>
      <c r="E46" s="10"/>
      <c r="F46" s="10"/>
      <c r="G46" s="10"/>
      <c r="H46" s="10"/>
    </row>
    <row r="47" spans="1:8" ht="14.25" customHeight="1" x14ac:dyDescent="0.2"/>
    <row r="48" spans="1:8" ht="14.25" customHeight="1" x14ac:dyDescent="0.2">
      <c r="B48" s="54" t="s">
        <v>193</v>
      </c>
      <c r="C48" s="143">
        <v>20</v>
      </c>
    </row>
    <row r="50" spans="1:8" ht="14.25" customHeight="1" x14ac:dyDescent="0.2">
      <c r="B50" s="35" t="s">
        <v>194</v>
      </c>
    </row>
    <row r="51" spans="1:8" ht="14.25" customHeight="1" x14ac:dyDescent="0.2">
      <c r="B51" s="54" t="s">
        <v>193</v>
      </c>
      <c r="C51" s="119">
        <v>15</v>
      </c>
    </row>
    <row r="52" spans="1:8" ht="14.25" customHeight="1" x14ac:dyDescent="0.2">
      <c r="B52" s="54" t="s">
        <v>195</v>
      </c>
      <c r="C52" s="147">
        <v>800</v>
      </c>
    </row>
    <row r="53" spans="1:8" ht="14.25" customHeight="1" x14ac:dyDescent="0.2">
      <c r="B53" s="54" t="s">
        <v>196</v>
      </c>
      <c r="C53" s="147">
        <v>8320</v>
      </c>
    </row>
    <row r="54" spans="1:8" ht="14.25" customHeight="1" x14ac:dyDescent="0.2">
      <c r="B54" s="54" t="s">
        <v>197</v>
      </c>
      <c r="C54" s="147">
        <v>2000</v>
      </c>
    </row>
    <row r="55" spans="1:8" ht="14.25" customHeight="1" x14ac:dyDescent="0.2">
      <c r="B55" s="54" t="s">
        <v>198</v>
      </c>
      <c r="C55" s="147">
        <v>80</v>
      </c>
    </row>
    <row r="56" spans="1:8" ht="14.25" customHeight="1" x14ac:dyDescent="0.2">
      <c r="B56" s="54" t="s">
        <v>199</v>
      </c>
      <c r="C56" s="147">
        <v>750</v>
      </c>
    </row>
    <row r="57" spans="1:8" ht="14.25" customHeight="1" x14ac:dyDescent="0.2">
      <c r="B57" s="54" t="s">
        <v>200</v>
      </c>
      <c r="C57" s="147">
        <v>245</v>
      </c>
    </row>
    <row r="58" spans="1:8" ht="14.25" customHeight="1" x14ac:dyDescent="0.2">
      <c r="B58" s="54"/>
      <c r="C58" s="196"/>
    </row>
    <row r="59" spans="1:8" ht="14.25" customHeight="1" x14ac:dyDescent="0.2">
      <c r="B59" s="54"/>
      <c r="C59" s="196"/>
    </row>
    <row r="60" spans="1:8" x14ac:dyDescent="0.2">
      <c r="A60" s="10">
        <v>3</v>
      </c>
      <c r="B60" s="52" t="s">
        <v>201</v>
      </c>
      <c r="C60" s="10"/>
      <c r="D60" s="10"/>
      <c r="E60" s="10"/>
      <c r="F60" s="10"/>
      <c r="G60" s="10"/>
      <c r="H60" s="10"/>
    </row>
    <row r="62" spans="1:8" x14ac:dyDescent="0.2">
      <c r="C62" s="44" t="s">
        <v>158</v>
      </c>
      <c r="D62" s="44" t="s">
        <v>159</v>
      </c>
      <c r="E62" s="44" t="s">
        <v>160</v>
      </c>
    </row>
    <row r="63" spans="1:8" x14ac:dyDescent="0.2">
      <c r="B63" s="11" t="s">
        <v>202</v>
      </c>
      <c r="C63" s="121">
        <f>SUMIF(Pipe_data[Phase],1,Pipe_data[Length])</f>
        <v>2100.6390593560004</v>
      </c>
      <c r="D63" s="121">
        <f>SUMIF(Pipe_data[Phase],2,Pipe_data[Length])+C63</f>
        <v>2100.6390593560004</v>
      </c>
      <c r="E63" s="121">
        <f>SUMIF(Pipe_data[Phase],3,Pipe_data[Length])+D63</f>
        <v>2100.6390593560004</v>
      </c>
    </row>
    <row r="64" spans="1:8" x14ac:dyDescent="0.2">
      <c r="B64" s="201" t="s">
        <v>203</v>
      </c>
      <c r="C64" s="202">
        <f>SUM(C63:C63)</f>
        <v>2100.6390593560004</v>
      </c>
      <c r="D64" s="202">
        <f>SUM(D63:D63)</f>
        <v>2100.6390593560004</v>
      </c>
      <c r="E64" s="202">
        <f>SUM(E63:E63)</f>
        <v>2100.6390593560004</v>
      </c>
    </row>
    <row r="66" spans="1:9" x14ac:dyDescent="0.2">
      <c r="A66" s="10">
        <v>4</v>
      </c>
      <c r="B66" s="52" t="s">
        <v>204</v>
      </c>
      <c r="C66" s="10"/>
      <c r="D66" s="10"/>
      <c r="E66" s="10"/>
      <c r="F66" s="10"/>
      <c r="G66" s="10"/>
      <c r="H66" s="10"/>
    </row>
    <row r="68" spans="1:9" x14ac:dyDescent="0.2">
      <c r="C68" s="44" t="s">
        <v>158</v>
      </c>
      <c r="D68" s="44" t="s">
        <v>159</v>
      </c>
      <c r="E68" s="44" t="s">
        <v>160</v>
      </c>
    </row>
    <row r="69" spans="1:9" ht="15" x14ac:dyDescent="0.25">
      <c r="B69" s="11" t="s">
        <v>205</v>
      </c>
      <c r="C69" s="275">
        <f>SUMIF(Heat_connections[Phase],1,Heat_connections[Number of residential connections])</f>
        <v>28</v>
      </c>
      <c r="D69" s="275">
        <f>SUMIF(Heat_connections[Phase],2,Heat_connections[Number of residential connections])+C69</f>
        <v>28</v>
      </c>
      <c r="E69" s="275">
        <f>SUMIF(Heat_connections[Phase],3,Heat_connections[Number of residential connections])+D69</f>
        <v>28</v>
      </c>
    </row>
    <row r="70" spans="1:9" ht="15" x14ac:dyDescent="0.25">
      <c r="B70" s="11" t="s">
        <v>206</v>
      </c>
      <c r="C70" s="275">
        <f>SUMIF(Heat_connections[Phase],1,Heat_connections[Number of commerical connections])</f>
        <v>318</v>
      </c>
      <c r="D70" s="275">
        <f>SUMIF(Heat_connections[Phase],2,Heat_connections[Number of commerical connections])+C70</f>
        <v>318</v>
      </c>
      <c r="E70" s="275">
        <f>SUMIF(Heat_connections[Phase],3,Heat_connections[Number of commerical connections])+D70</f>
        <v>318</v>
      </c>
    </row>
    <row r="71" spans="1:9" ht="15" x14ac:dyDescent="0.25">
      <c r="B71" s="11" t="s">
        <v>207</v>
      </c>
      <c r="C71" s="275">
        <f>SUMIFS('Heat connections'!$G$5:$G$242,'Heat connections'!$N$5:$N$242,Lists!$B$4,'Heat connections'!$M$5:$M$242,1,'Heat connections'!$E$5:$E$242,Lists!$B$36)</f>
        <v>313.61865399999999</v>
      </c>
      <c r="D71" s="275">
        <f>SUMIFS('Heat connections'!$G$5:$G$242,'Heat connections'!$N$5:$N$242,Lists!$B$4,'Heat connections'!$M$5:$M$242,2,'Heat connections'!$E$5:$E$242,Lists!$B$36)+C71</f>
        <v>313.61865399999999</v>
      </c>
      <c r="E71" s="275">
        <f>SUMIFS('Heat connections'!$G$5:$G$242,'Heat connections'!$N$5:$N$242,Lists!$B$4,'Heat connections'!$M$5:$M$242,3,'Heat connections'!$E$5:$E$242,Lists!$B$36)+D71</f>
        <v>313.61865399999999</v>
      </c>
      <c r="F71" s="136"/>
    </row>
    <row r="72" spans="1:9" ht="15" x14ac:dyDescent="0.25">
      <c r="B72" s="11" t="s">
        <v>208</v>
      </c>
      <c r="C72" s="275">
        <f>SUMIFS('Heat connections'!$G$5:$G$242,'Heat connections'!$N$5:$N$242,Lists!$B$4,'Heat connections'!$M$5:$M$242,1,'Heat connections'!$E$5:$E$242,"&lt;&gt;Domestic")</f>
        <v>62984.348098999988</v>
      </c>
      <c r="D72" s="275">
        <f>SUMIFS('Heat connections'!$G$5:$G$242,'Heat connections'!$N$5:$N$242,Lists!$B$4,'Heat connections'!$M$5:$M$242,2,'Heat connections'!$E$5:$E$242,"&lt;&gt;Domestic")+C72</f>
        <v>62984.348098999988</v>
      </c>
      <c r="E72" s="275">
        <f>SUMIFS('Heat connections'!$G$5:$G$242,'Heat connections'!$N$5:$N$242,Lists!$B$4,'Heat connections'!$M$5:$M$242,3,'Heat connections'!$E$5:$E$242,"&lt;&gt;Domestic")+D72</f>
        <v>62984.348098999988</v>
      </c>
    </row>
    <row r="73" spans="1:9" x14ac:dyDescent="0.2">
      <c r="C73" s="145"/>
    </row>
    <row r="74" spans="1:9" x14ac:dyDescent="0.2">
      <c r="B74" s="12"/>
      <c r="C74" s="121"/>
    </row>
    <row r="75" spans="1:9" x14ac:dyDescent="0.2">
      <c r="A75" s="10">
        <v>4</v>
      </c>
      <c r="B75" s="52" t="s">
        <v>411</v>
      </c>
      <c r="C75" s="10"/>
      <c r="D75" s="10"/>
      <c r="E75" s="10"/>
      <c r="F75" s="10"/>
      <c r="G75" s="10"/>
      <c r="H75" s="10"/>
      <c r="I75" s="10"/>
    </row>
    <row r="76" spans="1:9" x14ac:dyDescent="0.2">
      <c r="B76" s="12"/>
    </row>
    <row r="77" spans="1:9" ht="15" customHeight="1" x14ac:dyDescent="0.2">
      <c r="B77" s="549" t="s">
        <v>416</v>
      </c>
      <c r="C77" s="547" t="s">
        <v>417</v>
      </c>
      <c r="D77" s="548"/>
    </row>
    <row r="78" spans="1:9" x14ac:dyDescent="0.2">
      <c r="B78" s="550"/>
      <c r="C78" s="224" t="s">
        <v>414</v>
      </c>
      <c r="D78" s="225" t="s">
        <v>413</v>
      </c>
      <c r="F78" s="189" t="s">
        <v>431</v>
      </c>
      <c r="G78" s="64" t="s">
        <v>432</v>
      </c>
      <c r="H78" s="64" t="s">
        <v>433</v>
      </c>
      <c r="I78" s="178" t="s">
        <v>415</v>
      </c>
    </row>
    <row r="79" spans="1:9" x14ac:dyDescent="0.2">
      <c r="B79" s="226">
        <v>20</v>
      </c>
      <c r="C79" s="229">
        <v>2141.7530558265498</v>
      </c>
      <c r="D79" s="231">
        <v>618.53623339837202</v>
      </c>
      <c r="F79" s="235">
        <v>100</v>
      </c>
      <c r="G79" s="64" t="s">
        <v>421</v>
      </c>
      <c r="H79" s="64" t="s">
        <v>422</v>
      </c>
      <c r="I79" s="236">
        <v>28145</v>
      </c>
    </row>
    <row r="80" spans="1:9" x14ac:dyDescent="0.2">
      <c r="B80" s="227">
        <v>25</v>
      </c>
      <c r="C80" s="230">
        <v>2155.5749308265499</v>
      </c>
      <c r="D80" s="232">
        <v>630.69948339837197</v>
      </c>
      <c r="F80" s="66">
        <v>200</v>
      </c>
      <c r="G80" s="11" t="s">
        <v>423</v>
      </c>
      <c r="H80" s="11" t="s">
        <v>422</v>
      </c>
      <c r="I80" s="237">
        <v>33110</v>
      </c>
    </row>
    <row r="81" spans="2:9" x14ac:dyDescent="0.2">
      <c r="B81" s="227">
        <v>32</v>
      </c>
      <c r="C81" s="230">
        <v>2407.4298994833198</v>
      </c>
      <c r="D81" s="232">
        <v>714.25317587599682</v>
      </c>
      <c r="F81" s="123">
        <v>400</v>
      </c>
      <c r="G81" s="11" t="s">
        <v>424</v>
      </c>
      <c r="H81" s="11" t="s">
        <v>422</v>
      </c>
      <c r="I81" s="237">
        <v>39765</v>
      </c>
    </row>
    <row r="82" spans="2:9" x14ac:dyDescent="0.2">
      <c r="B82" s="227">
        <v>40</v>
      </c>
      <c r="C82" s="230">
        <v>2417.9351078166533</v>
      </c>
      <c r="D82" s="232">
        <v>723.49775920933007</v>
      </c>
      <c r="F82" s="66">
        <v>600</v>
      </c>
      <c r="G82" s="11" t="s">
        <v>425</v>
      </c>
      <c r="H82" s="11" t="s">
        <v>422</v>
      </c>
      <c r="I82" s="237">
        <v>46352</v>
      </c>
    </row>
    <row r="83" spans="2:9" x14ac:dyDescent="0.2">
      <c r="B83" s="227">
        <v>50</v>
      </c>
      <c r="C83" s="230">
        <v>2501.4349284118766</v>
      </c>
      <c r="D83" s="232">
        <v>777.54618281885041</v>
      </c>
      <c r="F83" s="66">
        <v>800</v>
      </c>
      <c r="G83" s="11" t="s">
        <v>426</v>
      </c>
      <c r="H83" s="11" t="s">
        <v>422</v>
      </c>
      <c r="I83" s="237">
        <v>52882</v>
      </c>
    </row>
    <row r="84" spans="2:9" x14ac:dyDescent="0.2">
      <c r="B84" s="227">
        <v>65</v>
      </c>
      <c r="C84" s="230">
        <v>2623.9041348134715</v>
      </c>
      <c r="D84" s="232">
        <v>859.24879235523315</v>
      </c>
      <c r="F84" s="66">
        <v>1000</v>
      </c>
      <c r="G84" s="11" t="s">
        <v>427</v>
      </c>
      <c r="H84" s="11" t="s">
        <v>422</v>
      </c>
      <c r="I84" s="237">
        <v>60941</v>
      </c>
    </row>
    <row r="85" spans="2:9" x14ac:dyDescent="0.2">
      <c r="B85" s="227">
        <v>80</v>
      </c>
      <c r="C85" s="230">
        <v>2733.6924645686122</v>
      </c>
      <c r="D85" s="232">
        <v>929.6073914964669</v>
      </c>
      <c r="F85" s="66">
        <v>1200</v>
      </c>
      <c r="G85" s="11" t="s">
        <v>428</v>
      </c>
      <c r="H85" s="11" t="s">
        <v>422</v>
      </c>
      <c r="I85" s="237">
        <v>66238</v>
      </c>
    </row>
    <row r="86" spans="2:9" x14ac:dyDescent="0.2">
      <c r="B86" s="227">
        <v>100</v>
      </c>
      <c r="C86" s="230">
        <v>2933.6877701592907</v>
      </c>
      <c r="D86" s="232">
        <v>1045.853398171563</v>
      </c>
      <c r="F86" s="66">
        <v>1400</v>
      </c>
      <c r="G86" s="11" t="s">
        <v>429</v>
      </c>
      <c r="H86" s="11" t="s">
        <v>422</v>
      </c>
      <c r="I86" s="237">
        <v>72438</v>
      </c>
    </row>
    <row r="87" spans="2:9" x14ac:dyDescent="0.2">
      <c r="B87" s="227">
        <v>125</v>
      </c>
      <c r="C87" s="230">
        <v>3064.1180354332805</v>
      </c>
      <c r="D87" s="232">
        <v>1127.0333285039871</v>
      </c>
      <c r="F87" s="66">
        <v>1600</v>
      </c>
      <c r="G87" s="11" t="s">
        <v>430</v>
      </c>
      <c r="H87" s="11" t="s">
        <v>422</v>
      </c>
      <c r="I87" s="237">
        <v>80247</v>
      </c>
    </row>
    <row r="88" spans="2:9" x14ac:dyDescent="0.2">
      <c r="B88" s="227">
        <v>150</v>
      </c>
      <c r="C88" s="230">
        <v>3280.1006511475075</v>
      </c>
      <c r="D88" s="232">
        <v>1276.3983562754017</v>
      </c>
      <c r="F88" s="66">
        <v>1800</v>
      </c>
      <c r="G88" s="11" t="s">
        <v>434</v>
      </c>
      <c r="H88" s="11" t="s">
        <v>422</v>
      </c>
      <c r="I88" s="237">
        <f>FORECAST(F88,I86:I87,F86:F87)</f>
        <v>88056</v>
      </c>
    </row>
    <row r="89" spans="2:9" x14ac:dyDescent="0.2">
      <c r="B89" s="227">
        <v>200</v>
      </c>
      <c r="C89" s="230">
        <v>3842.2694431060004</v>
      </c>
      <c r="D89" s="232">
        <v>1604.2735330121068</v>
      </c>
      <c r="F89" s="66">
        <v>2000</v>
      </c>
      <c r="G89" s="11" t="s">
        <v>435</v>
      </c>
      <c r="H89" s="11" t="s">
        <v>422</v>
      </c>
      <c r="I89" s="237">
        <f>FORECAST(F89,I87:I88,F87:F88)</f>
        <v>95865</v>
      </c>
    </row>
    <row r="90" spans="2:9" x14ac:dyDescent="0.2">
      <c r="B90" s="227">
        <v>250</v>
      </c>
      <c r="C90" s="230">
        <v>4478.8396223038289</v>
      </c>
      <c r="D90" s="232">
        <v>2027.8648426862521</v>
      </c>
      <c r="F90" s="66">
        <v>2200</v>
      </c>
      <c r="G90" s="11" t="s">
        <v>436</v>
      </c>
      <c r="H90" s="11" t="s">
        <v>422</v>
      </c>
      <c r="I90" s="237">
        <f t="shared" ref="I90:I94" si="1">FORECAST(F90,I88:I89,F88:F89)</f>
        <v>103674</v>
      </c>
    </row>
    <row r="91" spans="2:9" x14ac:dyDescent="0.2">
      <c r="B91" s="227">
        <v>300</v>
      </c>
      <c r="C91" s="230">
        <v>4599.745579233122</v>
      </c>
      <c r="D91" s="232">
        <v>2060.6972723492831</v>
      </c>
      <c r="F91" s="66">
        <v>2400</v>
      </c>
      <c r="G91" s="11" t="s">
        <v>437</v>
      </c>
      <c r="H91" s="11" t="s">
        <v>422</v>
      </c>
      <c r="I91" s="237">
        <f t="shared" si="1"/>
        <v>111483</v>
      </c>
    </row>
    <row r="92" spans="2:9" x14ac:dyDescent="0.2">
      <c r="B92" s="227">
        <v>350</v>
      </c>
      <c r="C92" s="230">
        <f>FORECAST(B92,C90:C91,B90:B91)</f>
        <v>4720.6515361624151</v>
      </c>
      <c r="D92" s="232">
        <f>FORECAST(B92,D90:D91,B90:B91)</f>
        <v>2093.5297020123144</v>
      </c>
      <c r="F92" s="66">
        <v>2600</v>
      </c>
      <c r="G92" s="11" t="s">
        <v>438</v>
      </c>
      <c r="H92" s="11" t="s">
        <v>422</v>
      </c>
      <c r="I92" s="237">
        <f t="shared" si="1"/>
        <v>119292</v>
      </c>
    </row>
    <row r="93" spans="2:9" x14ac:dyDescent="0.2">
      <c r="B93" s="227">
        <v>400</v>
      </c>
      <c r="C93" s="230">
        <f t="shared" ref="C93:C99" si="2">FORECAST(B93,C91:C92,B91:B92)</f>
        <v>4841.5574930917082</v>
      </c>
      <c r="D93" s="232">
        <f t="shared" ref="D93:D99" si="3">FORECAST(B93,D91:D92,B91:B92)</f>
        <v>2126.3621316753461</v>
      </c>
      <c r="F93" s="66">
        <v>2800</v>
      </c>
      <c r="G93" s="11" t="s">
        <v>439</v>
      </c>
      <c r="H93" s="11" t="s">
        <v>422</v>
      </c>
      <c r="I93" s="237">
        <f t="shared" si="1"/>
        <v>127101</v>
      </c>
    </row>
    <row r="94" spans="2:9" x14ac:dyDescent="0.2">
      <c r="B94" s="227">
        <v>450</v>
      </c>
      <c r="C94" s="230">
        <f t="shared" si="2"/>
        <v>4962.4634500210013</v>
      </c>
      <c r="D94" s="232">
        <f t="shared" si="3"/>
        <v>2159.1945613383778</v>
      </c>
      <c r="F94" s="73">
        <v>3000</v>
      </c>
      <c r="G94" s="74" t="s">
        <v>440</v>
      </c>
      <c r="H94" s="74" t="s">
        <v>422</v>
      </c>
      <c r="I94" s="238">
        <f t="shared" si="1"/>
        <v>134910</v>
      </c>
    </row>
    <row r="95" spans="2:9" x14ac:dyDescent="0.2">
      <c r="B95" s="227">
        <v>500</v>
      </c>
      <c r="C95" s="230">
        <f t="shared" si="2"/>
        <v>5083.3694069502944</v>
      </c>
      <c r="D95" s="232">
        <f t="shared" si="3"/>
        <v>2192.0269910014094</v>
      </c>
    </row>
    <row r="96" spans="2:9" x14ac:dyDescent="0.2">
      <c r="B96" s="227">
        <v>600</v>
      </c>
      <c r="C96" s="230">
        <f t="shared" si="2"/>
        <v>5325.1813208088806</v>
      </c>
      <c r="D96" s="232">
        <f t="shared" si="3"/>
        <v>2257.6918503274728</v>
      </c>
    </row>
    <row r="97" spans="1:9" x14ac:dyDescent="0.2">
      <c r="B97" s="227">
        <v>700</v>
      </c>
      <c r="C97" s="230">
        <f t="shared" si="2"/>
        <v>5566.9932346674668</v>
      </c>
      <c r="D97" s="232">
        <f t="shared" si="3"/>
        <v>2323.3567096535362</v>
      </c>
    </row>
    <row r="98" spans="1:9" x14ac:dyDescent="0.2">
      <c r="B98" s="227">
        <v>800</v>
      </c>
      <c r="C98" s="230">
        <f t="shared" si="2"/>
        <v>5808.805148526053</v>
      </c>
      <c r="D98" s="232">
        <f t="shared" si="3"/>
        <v>2389.0215689795996</v>
      </c>
    </row>
    <row r="99" spans="1:9" x14ac:dyDescent="0.2">
      <c r="B99" s="227">
        <v>900</v>
      </c>
      <c r="C99" s="230">
        <f t="shared" si="2"/>
        <v>6050.6170623846392</v>
      </c>
      <c r="D99" s="232">
        <f t="shared" si="3"/>
        <v>2454.686428305663</v>
      </c>
    </row>
    <row r="100" spans="1:9" x14ac:dyDescent="0.2">
      <c r="B100" s="228">
        <v>1000</v>
      </c>
      <c r="C100" s="233">
        <f>FORECAST(B100,C98:C99,B98:B99)</f>
        <v>6292.4289762432254</v>
      </c>
      <c r="D100" s="234">
        <f>FORECAST(B100,D98:D99,B98:B99)</f>
        <v>2520.3512876317263</v>
      </c>
    </row>
    <row r="102" spans="1:9" x14ac:dyDescent="0.2">
      <c r="A102" s="51"/>
      <c r="B102" s="33" t="s">
        <v>73</v>
      </c>
      <c r="C102" s="33"/>
      <c r="D102" s="51"/>
      <c r="E102" s="51"/>
      <c r="F102" s="51"/>
      <c r="G102" s="51"/>
      <c r="H102" s="51"/>
      <c r="I102" s="51"/>
    </row>
  </sheetData>
  <mergeCells count="2">
    <mergeCell ref="C77:D77"/>
    <mergeCell ref="B77:B78"/>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01A94-0B93-4C5E-981C-D4687DE9EEA3}">
  <sheetPr>
    <tabColor theme="7" tint="0.79998168889431442"/>
  </sheetPr>
  <dimension ref="A2:L65"/>
  <sheetViews>
    <sheetView topLeftCell="A11" workbookViewId="0">
      <selection activeCell="G40" sqref="G40"/>
    </sheetView>
  </sheetViews>
  <sheetFormatPr defaultColWidth="9.140625" defaultRowHeight="12.75" x14ac:dyDescent="0.2"/>
  <cols>
    <col min="1" max="1" width="5.28515625" style="11" customWidth="1"/>
    <col min="2" max="2" width="55.7109375" style="11" bestFit="1" customWidth="1"/>
    <col min="3" max="5" width="7.140625" style="11" hidden="1" customWidth="1"/>
    <col min="6" max="6" width="29.140625" style="11" bestFit="1" customWidth="1"/>
    <col min="7" max="8" width="29" style="11" bestFit="1" customWidth="1"/>
    <col min="9" max="13" width="19" style="11" customWidth="1"/>
    <col min="14" max="16384" width="9.140625" style="11"/>
  </cols>
  <sheetData>
    <row r="2" spans="1:12" x14ac:dyDescent="0.2">
      <c r="A2" s="10">
        <v>1</v>
      </c>
      <c r="B2" s="10" t="s">
        <v>209</v>
      </c>
      <c r="C2" s="10"/>
      <c r="D2" s="10"/>
      <c r="E2" s="10"/>
      <c r="F2" s="10"/>
      <c r="G2" s="10"/>
      <c r="H2" s="10"/>
      <c r="I2" s="10"/>
      <c r="J2" s="10"/>
    </row>
    <row r="3" spans="1:12" x14ac:dyDescent="0.2">
      <c r="F3" s="80"/>
    </row>
    <row r="4" spans="1:12" x14ac:dyDescent="0.2">
      <c r="B4" s="485" t="s">
        <v>157</v>
      </c>
      <c r="C4" s="35"/>
      <c r="D4" s="35"/>
      <c r="E4" s="35"/>
    </row>
    <row r="5" spans="1:12" ht="21.75" customHeight="1" x14ac:dyDescent="0.2">
      <c r="B5" s="468"/>
      <c r="C5" s="364" t="s">
        <v>2060</v>
      </c>
      <c r="D5" s="364" t="s">
        <v>2061</v>
      </c>
      <c r="E5" s="364" t="s">
        <v>2062</v>
      </c>
      <c r="F5" s="365" t="s">
        <v>158</v>
      </c>
      <c r="G5" s="365" t="s">
        <v>159</v>
      </c>
      <c r="H5" s="366" t="s">
        <v>160</v>
      </c>
    </row>
    <row r="6" spans="1:12" x14ac:dyDescent="0.2">
      <c r="B6" s="470"/>
      <c r="F6" s="11">
        <f>Dashboard!F29</f>
        <v>0</v>
      </c>
      <c r="G6" s="11">
        <f>Dashboard!G29</f>
        <v>0</v>
      </c>
      <c r="H6" s="68">
        <f>Dashboard!H29</f>
        <v>1</v>
      </c>
    </row>
    <row r="7" spans="1:12" x14ac:dyDescent="0.2">
      <c r="B7" s="487" t="s">
        <v>136</v>
      </c>
      <c r="C7" s="54"/>
      <c r="D7" s="54"/>
      <c r="E7" s="54"/>
      <c r="F7" s="83">
        <f>'Technical inputs'!C6+'Technical inputs'!C7</f>
        <v>124635355.70269997</v>
      </c>
      <c r="G7" s="83">
        <f>IF(SUM(G6:H6)&gt;0,'Technical inputs'!D6+'Technical inputs'!D7,F7)</f>
        <v>124635355.70269997</v>
      </c>
      <c r="H7" s="190">
        <f>IF(SUM(H6)&gt;0,'Technical inputs'!E6+'Technical inputs'!E7,G7)</f>
        <v>124635355.70269997</v>
      </c>
      <c r="J7" s="175"/>
      <c r="K7" s="175"/>
      <c r="L7" s="175"/>
    </row>
    <row r="8" spans="1:12" x14ac:dyDescent="0.2">
      <c r="B8" s="487" t="s">
        <v>137</v>
      </c>
      <c r="C8" s="54"/>
      <c r="D8" s="54"/>
      <c r="E8" s="54"/>
      <c r="F8" s="327">
        <f>MIN(F7*'Technical inputs'!C8,
SUMIF(Pipe_data[Phase],1,Pipe_data[Losses (kWh/y)]))</f>
        <v>518962.58059726638</v>
      </c>
      <c r="G8" s="327">
        <f>IF(SUM(G6:H6)&gt;0,
MIN(G7*'Technical inputs'!D8,
SUMIF(Pipe_data[Phase],"&lt;"&amp;3,Pipe_data[Losses (kWh/y)])),
F8)</f>
        <v>518962.58059726638</v>
      </c>
      <c r="H8" s="516">
        <f>IF(SUM(H6)&gt;0,
MIN(H7*'Technical inputs'!E8,
SUMIF(Pipe_data[Phase],"&lt;=3",Pipe_data[Losses (kWh/y)])),
G8)</f>
        <v>518962.58059726638</v>
      </c>
      <c r="I8" s="171"/>
    </row>
    <row r="9" spans="1:12" x14ac:dyDescent="0.2">
      <c r="B9" s="487" t="s">
        <v>2054</v>
      </c>
      <c r="C9" s="54"/>
      <c r="D9" s="54"/>
      <c r="E9" s="54"/>
      <c r="F9" s="327">
        <f>'Technical inputs'!C11</f>
        <v>41143.678389449989</v>
      </c>
      <c r="G9" s="327">
        <f>'Technical inputs'!D11</f>
        <v>41143.678389449989</v>
      </c>
      <c r="H9" s="327">
        <f>'Technical inputs'!E11</f>
        <v>41143.678389449989</v>
      </c>
      <c r="I9" s="171"/>
    </row>
    <row r="10" spans="1:12" x14ac:dyDescent="0.2">
      <c r="B10" s="488" t="s">
        <v>210</v>
      </c>
      <c r="C10" s="54"/>
      <c r="D10" s="54"/>
      <c r="E10" s="54"/>
      <c r="F10" s="83">
        <f>F7+F8</f>
        <v>125154318.28329724</v>
      </c>
      <c r="G10" s="83">
        <f t="shared" ref="G10:H10" si="0">G7+G8</f>
        <v>125154318.28329724</v>
      </c>
      <c r="H10" s="190">
        <f t="shared" si="0"/>
        <v>125154318.28329724</v>
      </c>
    </row>
    <row r="11" spans="1:12" x14ac:dyDescent="0.2">
      <c r="B11" s="369"/>
      <c r="C11" s="373"/>
      <c r="D11" s="373"/>
      <c r="E11" s="373"/>
      <c r="F11" s="371"/>
      <c r="G11" s="371"/>
      <c r="H11" s="372"/>
    </row>
    <row r="12" spans="1:12" x14ac:dyDescent="0.2">
      <c r="A12" s="11">
        <v>1</v>
      </c>
      <c r="B12" s="486" t="s">
        <v>2041</v>
      </c>
      <c r="C12" s="367">
        <f>IFERROR(SMALL(Heat_supplies[Phase 1 priority],A12),"")</f>
        <v>1</v>
      </c>
      <c r="D12" s="367">
        <f>IFERROR(SMALL(Heat_supplies[Phase 2 priority],A12),"")</f>
        <v>1</v>
      </c>
      <c r="E12" s="367">
        <f>IFERROR(SMALL(Heat_supplies[Phase 3 priority],A12),"")</f>
        <v>1</v>
      </c>
      <c r="F12" s="83" t="str">
        <f>_xlfn.XLOOKUP(C12,Heat_supplies[Phase 1 priority],Heat_supplies[EC name],"",0,1)</f>
        <v>Sheperd's Bush AqSHP (33,679m²)</v>
      </c>
      <c r="G12" s="83" t="str">
        <f>_xlfn.XLOOKUP(D12,Heat_supplies[Phase 2 priority],Heat_supplies[EC name],"",0,1)</f>
        <v>Sheperd's Bush AqSHP (33,679m²)</v>
      </c>
      <c r="H12" s="190" t="str">
        <f>_xlfn.XLOOKUP(E12,Heat_supplies[Phase 3 priority],Heat_supplies[EC name],"",0,1)</f>
        <v>Sheperd's Bush AqSHP (33,679m²)</v>
      </c>
    </row>
    <row r="13" spans="1:12" x14ac:dyDescent="0.2">
      <c r="A13" s="11">
        <v>2</v>
      </c>
      <c r="B13" s="487" t="s">
        <v>2042</v>
      </c>
      <c r="C13" s="367">
        <f>IFERROR(SMALL(Heat_supplies[Phase 1 priority],A13),"")</f>
        <v>2</v>
      </c>
      <c r="D13" s="367">
        <f>IFERROR(SMALL(Heat_supplies[Phase 2 priority],A13),"")</f>
        <v>2</v>
      </c>
      <c r="E13" s="367">
        <f>IFERROR(SMALL(Heat_supplies[Phase 3 priority],A13),"")</f>
        <v>2</v>
      </c>
      <c r="F13" s="83" t="str">
        <f>_xlfn.XLOOKUP(C13,Heat_supplies[Phase 1 priority],Heat_supplies[EC name],"",0,1)</f>
        <v>Wormholt Park AqSHP (29,679m²)</v>
      </c>
      <c r="G13" s="83" t="str">
        <f>_xlfn.XLOOKUP(D13,Heat_supplies[Phase 2 priority],Heat_supplies[EC name],"",0,1)</f>
        <v>Wormholt Park AqSHP (29,679m²)</v>
      </c>
      <c r="H13" s="190" t="str">
        <f>_xlfn.XLOOKUP(E13,Heat_supplies[Phase 3 priority],Heat_supplies[EC name],"",0,1)</f>
        <v>Wormholt Park AqSHP (29,679m²)</v>
      </c>
    </row>
    <row r="14" spans="1:12" x14ac:dyDescent="0.2">
      <c r="A14" s="11">
        <v>3</v>
      </c>
      <c r="B14" s="487" t="s">
        <v>2043</v>
      </c>
      <c r="C14" s="367">
        <f>IFERROR(SMALL(Heat_supplies[Phase 1 priority],A14),"")</f>
        <v>3</v>
      </c>
      <c r="D14" s="367">
        <f>IFERROR(SMALL(Heat_supplies[Phase 2 priority],A14),"")</f>
        <v>3</v>
      </c>
      <c r="E14" s="367">
        <f>IFERROR(SMALL(Heat_supplies[Phase 3 priority],A14),"")</f>
        <v>3</v>
      </c>
      <c r="F14" s="83" t="str">
        <f>_xlfn.XLOOKUP(C14,Heat_supplies[Phase 1 priority],Heat_supplies[EC name],"",0,1)</f>
        <v>Sheperd's Bush (TfL)</v>
      </c>
      <c r="G14" s="83" t="str">
        <f>_xlfn.XLOOKUP(D14,Heat_supplies[Phase 2 priority],Heat_supplies[EC name],"",0,1)</f>
        <v>Sheperd's Bush (TfL)</v>
      </c>
      <c r="H14" s="190" t="str">
        <f>_xlfn.XLOOKUP(E14,Heat_supplies[Phase 3 priority],Heat_supplies[EC name],"",0,1)</f>
        <v>Sheperd's Bush (TfL)</v>
      </c>
    </row>
    <row r="15" spans="1:12" x14ac:dyDescent="0.2">
      <c r="A15" s="11">
        <v>4</v>
      </c>
      <c r="B15" s="487" t="s">
        <v>2044</v>
      </c>
      <c r="C15" s="367">
        <f>IFERROR(SMALL(Heat_supplies[Phase 1 priority],A15),"")</f>
        <v>4</v>
      </c>
      <c r="D15" s="367">
        <f>IFERROR(SMALL(Heat_supplies[Phase 2 priority],A15),"")</f>
        <v>4</v>
      </c>
      <c r="E15" s="367">
        <f>IFERROR(SMALL(Heat_supplies[Phase 3 priority],A15),"")</f>
        <v>4</v>
      </c>
      <c r="F15" s="83" t="str">
        <f>_xlfn.XLOOKUP(C15,Heat_supplies[Phase 1 priority],Heat_supplies[EC name],"",0,1)</f>
        <v>White City ASHP</v>
      </c>
      <c r="G15" s="83" t="str">
        <f>_xlfn.XLOOKUP(D15,Heat_supplies[Phase 2 priority],Heat_supplies[EC name],"",0,1)</f>
        <v>White City ASHP</v>
      </c>
      <c r="H15" s="190" t="str">
        <f>_xlfn.XLOOKUP(E15,Heat_supplies[Phase 3 priority],Heat_supplies[EC name],"",0,1)</f>
        <v>White City ASHP</v>
      </c>
    </row>
    <row r="16" spans="1:12" x14ac:dyDescent="0.2">
      <c r="A16" s="11">
        <v>5</v>
      </c>
      <c r="B16" s="487" t="s">
        <v>2045</v>
      </c>
      <c r="C16" s="367">
        <f>IFERROR(SMALL(Heat_supplies[Phase 1 priority],A16),"")</f>
        <v>5</v>
      </c>
      <c r="D16" s="367">
        <f>IFERROR(SMALL(Heat_supplies[Phase 2 priority],A16),"")</f>
        <v>5</v>
      </c>
      <c r="E16" s="367">
        <f>IFERROR(SMALL(Heat_supplies[Phase 3 priority],A16),"")</f>
        <v>5</v>
      </c>
      <c r="F16" s="83" t="str">
        <f>_xlfn.XLOOKUP(C16,Heat_supplies[Phase 1 priority],Heat_supplies[EC name],"",0,1)</f>
        <v>Holland Park AqSHP (201,396m²)</v>
      </c>
      <c r="G16" s="83" t="str">
        <f>_xlfn.XLOOKUP(D16,Heat_supplies[Phase 2 priority],Heat_supplies[EC name],"",0,1)</f>
        <v>Holland Park AqSHP (201,396m²)</v>
      </c>
      <c r="H16" s="190" t="str">
        <f>_xlfn.XLOOKUP(E16,Heat_supplies[Phase 3 priority],Heat_supplies[EC name],"",0,1)</f>
        <v>Holland Park AqSHP (201,396m²)</v>
      </c>
    </row>
    <row r="17" spans="1:8" x14ac:dyDescent="0.2">
      <c r="A17" s="11">
        <v>6</v>
      </c>
      <c r="B17" s="487" t="s">
        <v>2046</v>
      </c>
      <c r="C17" s="367" t="str">
        <f>IFERROR(SMALL(Heat_supplies[Phase 1 priority],A17),"")</f>
        <v/>
      </c>
      <c r="D17" s="367" t="str">
        <f>IFERROR(SMALL(Heat_supplies[Phase 2 priority],A17),"")</f>
        <v/>
      </c>
      <c r="E17" s="367" t="str">
        <f>IFERROR(SMALL(Heat_supplies[Phase 3 priority],A17),"")</f>
        <v/>
      </c>
      <c r="F17" s="83" t="str">
        <f>_xlfn.XLOOKUP(C17,Heat_supplies[Phase 1 priority],Heat_supplies[EC name],"",0,1)</f>
        <v/>
      </c>
      <c r="G17" s="83" t="str">
        <f>_xlfn.XLOOKUP(D17,Heat_supplies[Phase 2 priority],Heat_supplies[EC name],"",0,1)</f>
        <v/>
      </c>
      <c r="H17" s="190" t="str">
        <f>_xlfn.XLOOKUP(E17,Heat_supplies[Phase 3 priority],Heat_supplies[EC name],"",0,1)</f>
        <v/>
      </c>
    </row>
    <row r="18" spans="1:8" x14ac:dyDescent="0.2">
      <c r="A18" s="11">
        <v>7</v>
      </c>
      <c r="B18" s="487" t="s">
        <v>2047</v>
      </c>
      <c r="C18" s="367" t="str">
        <f>IFERROR(SMALL(Heat_supplies[Phase 1 priority],A18),"")</f>
        <v/>
      </c>
      <c r="D18" s="367" t="str">
        <f>IFERROR(SMALL(Heat_supplies[Phase 2 priority],A18),"")</f>
        <v/>
      </c>
      <c r="E18" s="367" t="str">
        <f>IFERROR(SMALL(Heat_supplies[Phase 3 priority],A18),"")</f>
        <v/>
      </c>
      <c r="F18" s="83" t="str">
        <f>_xlfn.XLOOKUP(C18,Heat_supplies[Phase 1 priority],Heat_supplies[EC name],"",0,1)</f>
        <v/>
      </c>
      <c r="G18" s="83" t="str">
        <f>_xlfn.XLOOKUP(D18,Heat_supplies[Phase 2 priority],Heat_supplies[EC name],"",0,1)</f>
        <v/>
      </c>
      <c r="H18" s="190" t="str">
        <f>_xlfn.XLOOKUP(E18,Heat_supplies[Phase 3 priority],Heat_supplies[EC name],"",0,1)</f>
        <v/>
      </c>
    </row>
    <row r="19" spans="1:8" x14ac:dyDescent="0.2">
      <c r="A19" s="11">
        <v>8</v>
      </c>
      <c r="B19" s="487" t="s">
        <v>2048</v>
      </c>
      <c r="C19" s="367" t="str">
        <f>IFERROR(SMALL(Heat_supplies[Phase 1 priority],A19),"")</f>
        <v/>
      </c>
      <c r="D19" s="367" t="str">
        <f>IFERROR(SMALL(Heat_supplies[Phase 2 priority],A19),"")</f>
        <v/>
      </c>
      <c r="E19" s="367" t="str">
        <f>IFERROR(SMALL(Heat_supplies[Phase 3 priority],A19),"")</f>
        <v/>
      </c>
      <c r="F19" s="83" t="str">
        <f>_xlfn.XLOOKUP(C19,Heat_supplies[Phase 1 priority],Heat_supplies[EC name],"",0,1)</f>
        <v/>
      </c>
      <c r="G19" s="83" t="str">
        <f>_xlfn.XLOOKUP(D19,Heat_supplies[Phase 2 priority],Heat_supplies[EC name],"",0,1)</f>
        <v/>
      </c>
      <c r="H19" s="190" t="str">
        <f>_xlfn.XLOOKUP(E19,Heat_supplies[Phase 3 priority],Heat_supplies[EC name],"",0,1)</f>
        <v/>
      </c>
    </row>
    <row r="20" spans="1:8" x14ac:dyDescent="0.2">
      <c r="A20" s="11">
        <v>9</v>
      </c>
      <c r="B20" s="487" t="s">
        <v>2049</v>
      </c>
      <c r="C20" s="367" t="str">
        <f>IFERROR(SMALL(Heat_supplies[Phase 1 priority],A20),"")</f>
        <v/>
      </c>
      <c r="D20" s="367" t="str">
        <f>IFERROR(SMALL(Heat_supplies[Phase 2 priority],A20),"")</f>
        <v/>
      </c>
      <c r="E20" s="367" t="str">
        <f>IFERROR(SMALL(Heat_supplies[Phase 3 priority],A20),"")</f>
        <v/>
      </c>
      <c r="F20" s="83" t="str">
        <f>_xlfn.XLOOKUP(C20,Heat_supplies[Phase 1 priority],Heat_supplies[EC name],"",0,1)</f>
        <v/>
      </c>
      <c r="G20" s="83" t="str">
        <f>_xlfn.XLOOKUP(D20,Heat_supplies[Phase 2 priority],Heat_supplies[EC name],"",0,1)</f>
        <v/>
      </c>
      <c r="H20" s="190" t="str">
        <f>_xlfn.XLOOKUP(E20,Heat_supplies[Phase 3 priority],Heat_supplies[EC name],"",0,1)</f>
        <v/>
      </c>
    </row>
    <row r="21" spans="1:8" x14ac:dyDescent="0.2">
      <c r="A21" s="11">
        <v>10</v>
      </c>
      <c r="B21" s="488" t="s">
        <v>2050</v>
      </c>
      <c r="C21" s="367" t="str">
        <f>IFERROR(SMALL(Heat_supplies[Phase 1 priority],A21),"")</f>
        <v/>
      </c>
      <c r="D21" s="367" t="str">
        <f>IFERROR(SMALL(Heat_supplies[Phase 2 priority],A21),"")</f>
        <v/>
      </c>
      <c r="E21" s="367" t="str">
        <f>IFERROR(SMALL(Heat_supplies[Phase 3 priority],A21),"")</f>
        <v/>
      </c>
      <c r="F21" s="83" t="str">
        <f>_xlfn.XLOOKUP(C21,Heat_supplies[Phase 1 priority],Heat_supplies[EC name],"",0,1)</f>
        <v/>
      </c>
      <c r="G21" s="83" t="str">
        <f>_xlfn.XLOOKUP(D21,Heat_supplies[Phase 2 priority],Heat_supplies[EC name],"",0,1)</f>
        <v/>
      </c>
      <c r="H21" s="190" t="str">
        <f>_xlfn.XLOOKUP(E21,Heat_supplies[Phase 3 priority],Heat_supplies[EC name],"",0,1)</f>
        <v/>
      </c>
    </row>
    <row r="22" spans="1:8" x14ac:dyDescent="0.2">
      <c r="B22" s="369"/>
      <c r="C22" s="370"/>
      <c r="D22" s="370"/>
      <c r="E22" s="370"/>
      <c r="F22" s="371"/>
      <c r="G22" s="371"/>
      <c r="H22" s="372"/>
    </row>
    <row r="23" spans="1:8" x14ac:dyDescent="0.2">
      <c r="B23" s="486" t="s">
        <v>2123</v>
      </c>
      <c r="C23" s="367"/>
      <c r="D23" s="367"/>
      <c r="E23" s="367"/>
      <c r="F23" s="83">
        <f>IFERROR(IF(_xlfn.XLOOKUP(F12,Heat_supplies[EC name],Heat_supplies[kWh/yr output, incl losses],0,0,1)&gt;=F10, F10,
_xlfn.XLOOKUP(F12,Heat_supplies[EC name],Heat_supplies[kWh/yr output, incl losses],0,0,1)),"")</f>
        <v>17379834</v>
      </c>
      <c r="G23" s="83">
        <f>IFERROR(IF(_xlfn.XLOOKUP(G12,Heat_supplies[EC name],Heat_supplies[kWh/yr output, incl losses],0,0,1)&gt;=G10, G10,
_xlfn.XLOOKUP(G12,Heat_supplies[EC name],Heat_supplies[kWh/yr output, incl losses],0,0,1)),"")</f>
        <v>17379834</v>
      </c>
      <c r="H23" s="375">
        <f>IFERROR(IF(_xlfn.XLOOKUP(H12,Heat_supplies[EC name],Heat_supplies[kWh/yr output, incl losses],0,0,1)&gt;=H10, H10,
_xlfn.XLOOKUP(H12,Heat_supplies[EC name],Heat_supplies[kWh/yr output, incl losses],0,0,1)),"")</f>
        <v>17379834</v>
      </c>
    </row>
    <row r="24" spans="1:8" x14ac:dyDescent="0.2">
      <c r="B24" s="487" t="s">
        <v>2124</v>
      </c>
      <c r="C24" s="367"/>
      <c r="D24" s="367"/>
      <c r="E24" s="367"/>
      <c r="F24" s="83">
        <f>IFERROR(IF($F$10&gt;F23,
IF(_xlfn.XLOOKUP(F13,Heat_supplies[EC name],Heat_supplies[kWh/yr output, incl losses],0,0,1)&gt;$F$10-F23, $F$10-F23,
_xlfn.XLOOKUP(F13,Heat_supplies[EC name],Heat_supplies[kWh/yr output, incl losses],0,0,1)),0),"")</f>
        <v>15315659</v>
      </c>
      <c r="G24" s="83">
        <f>IFERROR(IF($G$10&gt;G23,
IF(_xlfn.XLOOKUP(G13,Heat_supplies[EC name],Heat_supplies[kWh/yr output, incl losses],0,0,1)&gt;$G$10-G23, $G$10-G23,
_xlfn.XLOOKUP(G13,Heat_supplies[EC name],Heat_supplies[kWh/yr output, incl losses],0,0,1)),0),"")</f>
        <v>15315659</v>
      </c>
      <c r="H24" s="190">
        <f>IFERROR(IF($H$10&gt;H23,
IF(_xlfn.XLOOKUP(H13,Heat_supplies[EC name],Heat_supplies[kWh/yr output, incl losses],0,0,1)&gt;$H$10-H23, $H$10-H23,
_xlfn.XLOOKUP(H13,Heat_supplies[EC name],Heat_supplies[kWh/yr output, incl losses],0,0,1)),0),"")</f>
        <v>15315659</v>
      </c>
    </row>
    <row r="25" spans="1:8" x14ac:dyDescent="0.2">
      <c r="B25" s="487" t="s">
        <v>2125</v>
      </c>
      <c r="C25" s="367"/>
      <c r="D25" s="367"/>
      <c r="E25" s="367"/>
      <c r="F25" s="83">
        <f>IFERROR(IF($F$10&gt;SUM($F$23:F24),
IF(_xlfn.XLOOKUP(F14,Heat_supplies[EC name],Heat_supplies[kWh/yr output, incl losses],0,0,1)&gt;$F$10-SUM($F$23:F24), $F$10-SUM($F$23:F24),
_xlfn.XLOOKUP(F14,Heat_supplies[EC name],Heat_supplies[kWh/yr output, incl losses],0,0,1)),0),"")</f>
        <v>2900000</v>
      </c>
      <c r="G25" s="83">
        <f>IFERROR(IF($G$10&gt;SUM($G$23:G24),
IF(_xlfn.XLOOKUP(G14,Heat_supplies[EC name],Heat_supplies[kWh/yr output, incl losses],0,0,1)&gt;$G$10-SUM($G$23:G24), $G$10-SUM($G$23:G24),
_xlfn.XLOOKUP(G14,Heat_supplies[EC name],Heat_supplies[kWh/yr output, incl losses],0,0,1)),0),"")</f>
        <v>2900000</v>
      </c>
      <c r="H25" s="190">
        <f>IFERROR(IF($H$10&gt;SUM($H$23:H24),
IF(_xlfn.XLOOKUP(H14,Heat_supplies[EC name],Heat_supplies[kWh/yr output, incl losses],0,0,1)&gt;$H$10-SUM($H$23:H24), $H$10-SUM($H$23:H24),
_xlfn.XLOOKUP(H14,Heat_supplies[EC name],Heat_supplies[kWh/yr output, incl losses],0,0,1)),0),"")</f>
        <v>2900000</v>
      </c>
    </row>
    <row r="26" spans="1:8" x14ac:dyDescent="0.2">
      <c r="B26" s="487" t="s">
        <v>2126</v>
      </c>
      <c r="C26" s="367"/>
      <c r="D26" s="367"/>
      <c r="E26" s="367"/>
      <c r="F26" s="83">
        <f>IFERROR(IF($F$10&gt;SUM($F$23:F25),
IF(_xlfn.XLOOKUP(F15,Heat_supplies[EC name],Heat_supplies[kWh/yr output, incl losses],0,0,1)&gt;$F$10-SUM($F$23:F25), $F$10-SUM($F$23:F25),
_xlfn.XLOOKUP(F15,Heat_supplies[EC name],Heat_supplies[kWh/yr output, incl losses],0,0,1)),0),"")</f>
        <v>89558825.283297241</v>
      </c>
      <c r="G26" s="83">
        <f>IFERROR(IF($G$10&gt;SUM($G$23:G25),
IF(_xlfn.XLOOKUP(G15,Heat_supplies[EC name],Heat_supplies[kWh/yr output, incl losses],0,0,1)&gt;$G$10-SUM($G$23:G25), $G$10-SUM($G$23:G25),
_xlfn.XLOOKUP(G15,Heat_supplies[EC name],Heat_supplies[kWh/yr output, incl losses],0,0,1)),0),"")</f>
        <v>89558825.283297241</v>
      </c>
      <c r="H26" s="190">
        <f>IFERROR(IF($H$10&gt;SUM($H$23:H25),
IF(_xlfn.XLOOKUP(H15,Heat_supplies[EC name],Heat_supplies[kWh/yr output, incl losses],0,0,1)&gt;$H$10-SUM($H$23:H25), $H$10-SUM($H$23:H25),
_xlfn.XLOOKUP(H15,Heat_supplies[EC name],Heat_supplies[kWh/yr output, incl losses],0,0,1)),0),"")</f>
        <v>89558825.283297241</v>
      </c>
    </row>
    <row r="27" spans="1:8" x14ac:dyDescent="0.2">
      <c r="B27" s="487" t="s">
        <v>2127</v>
      </c>
      <c r="C27" s="54"/>
      <c r="D27" s="54"/>
      <c r="E27" s="54"/>
      <c r="F27" s="83">
        <f>IFERROR(IF($F$10&gt;SUM($F$23:F26),
IF(_xlfn.XLOOKUP(F16,Heat_supplies[EC name],Heat_supplies[kWh/yr output, incl losses],0,0,1)&gt;$F$10-SUM($F$23:F26), $F$10-SUM($F$23:F26),
_xlfn.XLOOKUP(F16,Heat_supplies[EC name],Heat_supplies[kWh/yr output, incl losses],0,0,1)),0),"")</f>
        <v>0</v>
      </c>
      <c r="G27" s="83">
        <f>IFERROR(IF($G$10&gt;SUM($G$23:G26),
IF(_xlfn.XLOOKUP(G16,Heat_supplies[EC name],Heat_supplies[kWh/yr output, incl losses],0,0,1)&gt;$G$10-SUM($G$23:G26), $G$10-SUM($G$23:G26),
_xlfn.XLOOKUP(G16,Heat_supplies[EC name],Heat_supplies[kWh/yr output, incl losses],0,0,1)),0),"")</f>
        <v>0</v>
      </c>
      <c r="H27" s="190">
        <f>IFERROR(IF($H$10&gt;SUM($H$23:H26),
IF(_xlfn.XLOOKUP(H16,Heat_supplies[EC name],Heat_supplies[kWh/yr output, incl losses],0,0,1)&gt;$H$10-SUM($H$23:H26), $H$10-SUM($H$23:H26),
_xlfn.XLOOKUP(H16,Heat_supplies[EC name],Heat_supplies[kWh/yr output, incl losses],0,0,1)),0),"")</f>
        <v>0</v>
      </c>
    </row>
    <row r="28" spans="1:8" x14ac:dyDescent="0.2">
      <c r="B28" s="487" t="s">
        <v>2128</v>
      </c>
      <c r="C28" s="54"/>
      <c r="D28" s="54"/>
      <c r="E28" s="54"/>
      <c r="F28" s="83">
        <f>IFERROR(IF($F$10&gt;SUM($F$23:F27),
IF(_xlfn.XLOOKUP(F17,Heat_supplies[EC name],Heat_supplies[kWh/yr output, incl losses],0,0,1)&gt;$F$10-SUM($F$23:F27), $F$10-SUM($F$23:F27),
_xlfn.XLOOKUP(F17,Heat_supplies[EC name],Heat_supplies[kWh/yr output, incl losses],0,0,1)),0),"")</f>
        <v>0</v>
      </c>
      <c r="G28" s="83">
        <f>IFERROR(IF($G$10&gt;SUM($G$23:G27),
IF(_xlfn.XLOOKUP(G17,Heat_supplies[EC name],Heat_supplies[kWh/yr output, incl losses],0,0,1)&gt;$G$10-SUM($G$23:G27), $G$10-SUM($G$23:G27),
_xlfn.XLOOKUP(G17,Heat_supplies[EC name],Heat_supplies[kWh/yr output, incl losses],0,0,1)),0),"")</f>
        <v>0</v>
      </c>
      <c r="H28" s="190">
        <f>IFERROR(IF($H$10&gt;SUM($H$23:H27),
IF(_xlfn.XLOOKUP(H17,Heat_supplies[EC name],Heat_supplies[kWh/yr output, incl losses],0,0,1)&gt;$H$10-SUM($H$23:H27), $H$10-SUM($H$23:H27),
_xlfn.XLOOKUP(H17,Heat_supplies[EC name],Heat_supplies[kWh/yr output, incl losses],0,0,1)),0),"")</f>
        <v>0</v>
      </c>
    </row>
    <row r="29" spans="1:8" x14ac:dyDescent="0.2">
      <c r="B29" s="487" t="s">
        <v>2129</v>
      </c>
      <c r="C29" s="54"/>
      <c r="D29" s="54"/>
      <c r="E29" s="54"/>
      <c r="F29" s="83">
        <f>IFERROR(IF($F$10&gt;SUM($F$23:F28),
IF(_xlfn.XLOOKUP(F18,Heat_supplies[EC name],Heat_supplies[kWh/yr output, incl losses],0,0,1)&gt;$F$10-SUM($F$23:F28), $F$10-SUM($F$23:F28),
_xlfn.XLOOKUP(F18,Heat_supplies[EC name],Heat_supplies[kWh/yr output, incl losses],0,0,1)),0),"")</f>
        <v>0</v>
      </c>
      <c r="G29" s="83">
        <f>IFERROR(IF($G$10&gt;SUM($G$23:G28),
IF(_xlfn.XLOOKUP(G18,Heat_supplies[EC name],Heat_supplies[kWh/yr output, incl losses],0,0,1)&gt;$G$10-SUM($G$23:G28), $G$10-SUM($G$23:G28),
_xlfn.XLOOKUP(G18,Heat_supplies[EC name],Heat_supplies[kWh/yr output, incl losses],0,0,1)),0),"")</f>
        <v>0</v>
      </c>
      <c r="H29" s="190">
        <f>IFERROR(IF($H$10&gt;SUM($H$23:H28),
IF(_xlfn.XLOOKUP(H18,Heat_supplies[EC name],Heat_supplies[kWh/yr output, incl losses],0,0,1)&gt;$H$10-SUM($H$23:H28), $H$10-SUM($H$23:H28),
_xlfn.XLOOKUP(H18,Heat_supplies[EC name],Heat_supplies[kWh/yr output, incl losses],0,0,1)),0),"")</f>
        <v>0</v>
      </c>
    </row>
    <row r="30" spans="1:8" x14ac:dyDescent="0.2">
      <c r="B30" s="487" t="s">
        <v>2130</v>
      </c>
      <c r="C30" s="54"/>
      <c r="D30" s="54"/>
      <c r="E30" s="54"/>
      <c r="F30" s="83">
        <f>IFERROR(IF($F$10&gt;SUM($F$23:F29),
IF(_xlfn.XLOOKUP(F19,Heat_supplies[EC name],Heat_supplies[kWh/yr output, incl losses],0,0,1)&gt;$F$10-SUM($F$23:F29), $F$10-SUM($F$23:F29),
_xlfn.XLOOKUP(F19,Heat_supplies[EC name],Heat_supplies[kWh/yr output, incl losses],0,0,1)),0),"")</f>
        <v>0</v>
      </c>
      <c r="G30" s="83">
        <f>IFERROR(IF($G$10&gt;SUM($G$23:G29),
IF(_xlfn.XLOOKUP(G19,Heat_supplies[EC name],Heat_supplies[kWh/yr output, incl losses],0,0,1)&gt;$G$10-SUM($G$23:G29), $G$10-SUM($G$23:G29),
_xlfn.XLOOKUP(G19,Heat_supplies[EC name],Heat_supplies[kWh/yr output, incl losses],0,0,1)),0),"")</f>
        <v>0</v>
      </c>
      <c r="H30" s="190">
        <f>IFERROR(IF($H$10&gt;SUM($H$23:H29),
IF(_xlfn.XLOOKUP(H19,Heat_supplies[EC name],Heat_supplies[kWh/yr output, incl losses],0,0,1)&gt;$H$10-SUM($H$23:H29), $H$10-SUM($H$23:H29),
_xlfn.XLOOKUP(H19,Heat_supplies[EC name],Heat_supplies[kWh/yr output, incl losses],0,0,1)),0),"")</f>
        <v>0</v>
      </c>
    </row>
    <row r="31" spans="1:8" x14ac:dyDescent="0.2">
      <c r="B31" s="487" t="s">
        <v>2131</v>
      </c>
      <c r="C31" s="54"/>
      <c r="D31" s="54"/>
      <c r="E31" s="54"/>
      <c r="F31" s="83">
        <f>IFERROR(IF($F$10&gt;SUM($F$23:F30),
IF(_xlfn.XLOOKUP(F20,Heat_supplies[EC name],Heat_supplies[kWh/yr output, incl losses],0,0,1)&gt;$F$10-SUM($F$23:F30), $F$10-SUM($F$23:F30),
_xlfn.XLOOKUP(F20,Heat_supplies[EC name],Heat_supplies[kWh/yr output, incl losses],0,0,1)),0),"")</f>
        <v>0</v>
      </c>
      <c r="G31" s="83">
        <f>IFERROR(IF($G$10&gt;SUM($G$23:G30),
IF(_xlfn.XLOOKUP(G20,Heat_supplies[EC name],Heat_supplies[kWh/yr output, incl losses],0,0,1)&gt;$G$10-SUM($G$23:G30), $G$10-SUM($G$23:G30),
_xlfn.XLOOKUP(G20,Heat_supplies[EC name],Heat_supplies[kWh/yr output, incl losses],0,0,1)),0),"")</f>
        <v>0</v>
      </c>
      <c r="H31" s="190">
        <f>IFERROR(IF($H$10&gt;SUM($H$23:H30),
IF(_xlfn.XLOOKUP(H20,Heat_supplies[EC name],Heat_supplies[kWh/yr output, incl losses],0,0,1)&gt;$H$10-SUM($H$23:H30), $H$10-SUM($H$23:H30),
_xlfn.XLOOKUP(H20,Heat_supplies[EC name],Heat_supplies[kWh/yr output, incl losses],0,0,1)),0),"")</f>
        <v>0</v>
      </c>
    </row>
    <row r="32" spans="1:8" x14ac:dyDescent="0.2">
      <c r="B32" s="488" t="s">
        <v>2132</v>
      </c>
      <c r="C32" s="54"/>
      <c r="D32" s="54"/>
      <c r="E32" s="54"/>
      <c r="F32" s="83">
        <f>IFERROR(IF($F$10&gt;SUM($F$23:F31),
IF(_xlfn.XLOOKUP(F21,Heat_supplies[EC name],Heat_supplies[kWh/yr output, incl losses],0,0,1)&gt;$F$10-SUM($F$23:F31), $F$10-SUM($F$23:F31),
_xlfn.XLOOKUP(F21,Heat_supplies[EC name],Heat_supplies[kWh/yr output, incl losses],0,0,1)),0),"")</f>
        <v>0</v>
      </c>
      <c r="G32" s="83">
        <f>IFERROR(IF($G$10&gt;SUM($G$23:G31),
IF(_xlfn.XLOOKUP(G21,Heat_supplies[EC name],Heat_supplies[kWh/yr output, incl losses],0,0,1)&gt;$G$10-SUM($G$23:G31), $G$10-SUM($G$23:G31),
_xlfn.XLOOKUP(G21,Heat_supplies[EC name],Heat_supplies[kWh/yr output, incl losses],0,0,1)),0),"")</f>
        <v>0</v>
      </c>
      <c r="H32" s="190">
        <f>IFERROR(IF($H$10&gt;SUM($H$23:H31),
IF(_xlfn.XLOOKUP(H21,Heat_supplies[EC name],Heat_supplies[kWh/yr output, incl losses],0,0,1)&gt;$H$10-SUM($H$23:H31), $H$10-SUM($H$23:H31),
_xlfn.XLOOKUP(H21,Heat_supplies[EC name],Heat_supplies[kWh/yr output, incl losses],0,0,1)),0),"")</f>
        <v>0</v>
      </c>
    </row>
    <row r="33" spans="2:10" x14ac:dyDescent="0.2">
      <c r="B33" s="524"/>
      <c r="C33" s="492"/>
      <c r="D33" s="492"/>
      <c r="E33" s="492"/>
      <c r="F33" s="525"/>
      <c r="G33" s="525"/>
      <c r="H33" s="375"/>
    </row>
    <row r="34" spans="2:10" x14ac:dyDescent="0.2">
      <c r="B34" s="524" t="s">
        <v>2134</v>
      </c>
      <c r="C34" s="492"/>
      <c r="D34" s="492"/>
      <c r="E34" s="492"/>
      <c r="F34" s="526">
        <f>IFERROR(F23/(_xlfn.XLOOKUP(F12,Heat_supplies[EC name],Heat_supplies[CoP],"",0)),0)</f>
        <v>6353248.5347139705</v>
      </c>
      <c r="G34" s="525">
        <f>IFERROR(G23/(_xlfn.XLOOKUP(G12,Heat_supplies[EC name],Heat_supplies[CoP],"",0)),0)</f>
        <v>6353248.5347139705</v>
      </c>
      <c r="H34" s="375">
        <f>IFERROR(H23/(_xlfn.XLOOKUP(H12,Heat_supplies[EC name],Heat_supplies[CoP],"",0)),0)</f>
        <v>6353248.5347139705</v>
      </c>
    </row>
    <row r="35" spans="2:10" x14ac:dyDescent="0.2">
      <c r="B35" s="179" t="s">
        <v>2135</v>
      </c>
      <c r="C35" s="54"/>
      <c r="D35" s="54"/>
      <c r="E35" s="54"/>
      <c r="F35" s="527">
        <f>IFERROR(F24/(_xlfn.XLOOKUP(F13,Heat_supplies[EC name],Heat_supplies[CoP],"",0)),0)</f>
        <v>5598683.3993885582</v>
      </c>
      <c r="G35" s="83">
        <f>IFERROR(G24/(_xlfn.XLOOKUP(G13,Heat_supplies[EC name],Heat_supplies[CoP],"",0)),0)</f>
        <v>5598683.3993885582</v>
      </c>
      <c r="H35" s="190">
        <f>IFERROR(H24/(_xlfn.XLOOKUP(H13,Heat_supplies[EC name],Heat_supplies[CoP],"",0)),0)</f>
        <v>5598683.3993885582</v>
      </c>
      <c r="J35" s="529"/>
    </row>
    <row r="36" spans="2:10" x14ac:dyDescent="0.2">
      <c r="B36" s="179" t="s">
        <v>2136</v>
      </c>
      <c r="C36" s="54"/>
      <c r="D36" s="54"/>
      <c r="E36" s="54"/>
      <c r="F36" s="527">
        <f>IFERROR(F25/(_xlfn.XLOOKUP(F14,Heat_supplies[EC name],Heat_supplies[CoP],"",0)),0)</f>
        <v>1120589.6995675105</v>
      </c>
      <c r="G36" s="83">
        <f>IFERROR(G25/(_xlfn.XLOOKUP(G14,Heat_supplies[EC name],Heat_supplies[CoP],"",0)),0)</f>
        <v>1120589.6995675105</v>
      </c>
      <c r="H36" s="190">
        <f>IFERROR(H25/(_xlfn.XLOOKUP(H14,Heat_supplies[EC name],Heat_supplies[CoP],"",0)),0)</f>
        <v>1120589.6995675105</v>
      </c>
      <c r="J36" s="175"/>
    </row>
    <row r="37" spans="2:10" x14ac:dyDescent="0.2">
      <c r="B37" s="179" t="s">
        <v>2137</v>
      </c>
      <c r="C37" s="54"/>
      <c r="D37" s="54"/>
      <c r="E37" s="54"/>
      <c r="F37" s="527">
        <f>IFERROR(F26/(_xlfn.XLOOKUP(F15,Heat_supplies[EC name],Heat_supplies[CoP],"",0)),0)</f>
        <v>36741262.654573679</v>
      </c>
      <c r="G37" s="83">
        <f>IFERROR(G26/(_xlfn.XLOOKUP(G15,Heat_supplies[EC name],Heat_supplies[CoP],"",0)),0)</f>
        <v>36741262.654573679</v>
      </c>
      <c r="H37" s="190">
        <f>IFERROR(H26/(_xlfn.XLOOKUP(H15,Heat_supplies[EC name],Heat_supplies[CoP],"",0)),0)</f>
        <v>36741262.654573679</v>
      </c>
    </row>
    <row r="38" spans="2:10" x14ac:dyDescent="0.2">
      <c r="B38" s="179" t="s">
        <v>2138</v>
      </c>
      <c r="C38" s="54"/>
      <c r="D38" s="54"/>
      <c r="E38" s="54"/>
      <c r="F38" s="527">
        <f>IFERROR(F27/(_xlfn.XLOOKUP(F16,Heat_supplies[EC name],Heat_supplies[CoP],"",0)),0)</f>
        <v>0</v>
      </c>
      <c r="G38" s="83">
        <f>IFERROR(G27/(_xlfn.XLOOKUP(G16,Heat_supplies[EC name],Heat_supplies[CoP],"",0)),0)</f>
        <v>0</v>
      </c>
      <c r="H38" s="190">
        <f>IFERROR(H27/(_xlfn.XLOOKUP(H16,Heat_supplies[EC name],Heat_supplies[CoP],"",0)),0)</f>
        <v>0</v>
      </c>
    </row>
    <row r="39" spans="2:10" x14ac:dyDescent="0.2">
      <c r="B39" s="179" t="s">
        <v>2139</v>
      </c>
      <c r="C39" s="54"/>
      <c r="D39" s="54"/>
      <c r="E39" s="54"/>
      <c r="F39" s="527">
        <f>IFERROR(F28/(_xlfn.XLOOKUP(F17,Heat_supplies[EC name],Heat_supplies[CoP],"",0)),0)</f>
        <v>0</v>
      </c>
      <c r="G39" s="83">
        <f>IFERROR(G28/(_xlfn.XLOOKUP(G17,Heat_supplies[EC name],Heat_supplies[CoP],"",0)),0)</f>
        <v>0</v>
      </c>
      <c r="H39" s="190">
        <f>IFERROR(H28/(_xlfn.XLOOKUP(H17,Heat_supplies[EC name],Heat_supplies[CoP],"",0)),0)</f>
        <v>0</v>
      </c>
    </row>
    <row r="40" spans="2:10" x14ac:dyDescent="0.2">
      <c r="B40" s="179" t="s">
        <v>2140</v>
      </c>
      <c r="C40" s="54"/>
      <c r="D40" s="54"/>
      <c r="E40" s="54"/>
      <c r="F40" s="527">
        <f>IFERROR(F29/(_xlfn.XLOOKUP(F18,Heat_supplies[EC name],Heat_supplies[CoP],"",0)),0)</f>
        <v>0</v>
      </c>
      <c r="G40" s="83">
        <f>IFERROR(G29/(_xlfn.XLOOKUP(G18,Heat_supplies[EC name],Heat_supplies[CoP],"",0)),0)</f>
        <v>0</v>
      </c>
      <c r="H40" s="190">
        <f>IFERROR(H29/(_xlfn.XLOOKUP(H18,Heat_supplies[EC name],Heat_supplies[CoP],"",0)),0)</f>
        <v>0</v>
      </c>
    </row>
    <row r="41" spans="2:10" x14ac:dyDescent="0.2">
      <c r="B41" s="179" t="s">
        <v>2141</v>
      </c>
      <c r="C41" s="54"/>
      <c r="D41" s="54"/>
      <c r="E41" s="54"/>
      <c r="F41" s="527">
        <f>IFERROR(F30/(_xlfn.XLOOKUP(F19,Heat_supplies[EC name],Heat_supplies[CoP],"",0)),0)</f>
        <v>0</v>
      </c>
      <c r="G41" s="83">
        <f>IFERROR(G30/(_xlfn.XLOOKUP(G19,Heat_supplies[EC name],Heat_supplies[CoP],"",0)),0)</f>
        <v>0</v>
      </c>
      <c r="H41" s="190">
        <f>IFERROR(H30/(_xlfn.XLOOKUP(H19,Heat_supplies[EC name],Heat_supplies[CoP],"",0)),0)</f>
        <v>0</v>
      </c>
    </row>
    <row r="42" spans="2:10" x14ac:dyDescent="0.2">
      <c r="B42" s="179" t="s">
        <v>2142</v>
      </c>
      <c r="C42" s="54"/>
      <c r="D42" s="54"/>
      <c r="E42" s="54"/>
      <c r="F42" s="527">
        <f>IFERROR(F31/(_xlfn.XLOOKUP(F20,Heat_supplies[EC name],Heat_supplies[CoP],"",0)),0)</f>
        <v>0</v>
      </c>
      <c r="G42" s="83">
        <f>IFERROR(G31/(_xlfn.XLOOKUP(G20,Heat_supplies[EC name],Heat_supplies[CoP],"",0)),0)</f>
        <v>0</v>
      </c>
      <c r="H42" s="190">
        <f>IFERROR(H31/(_xlfn.XLOOKUP(H20,Heat_supplies[EC name],Heat_supplies[CoP],"",0)),0)</f>
        <v>0</v>
      </c>
    </row>
    <row r="43" spans="2:10" x14ac:dyDescent="0.2">
      <c r="B43" s="186" t="s">
        <v>2143</v>
      </c>
      <c r="C43" s="368"/>
      <c r="D43" s="368"/>
      <c r="E43" s="368"/>
      <c r="F43" s="528">
        <f>IFERROR(F32/(_xlfn.XLOOKUP(F21,Heat_supplies[EC name],Heat_supplies[CoP],"",0)),0)</f>
        <v>0</v>
      </c>
      <c r="G43" s="187">
        <f>IFERROR(G32/(_xlfn.XLOOKUP(G21,Heat_supplies[EC name],Heat_supplies[CoP],"",0)),0)</f>
        <v>0</v>
      </c>
      <c r="H43" s="188">
        <f>IFERROR(H32/(_xlfn.XLOOKUP(H21,Heat_supplies[EC name],Heat_supplies[CoP],"",0)),0)</f>
        <v>0</v>
      </c>
    </row>
    <row r="44" spans="2:10" x14ac:dyDescent="0.2">
      <c r="B44" s="179"/>
      <c r="C44" s="54"/>
      <c r="D44" s="54"/>
      <c r="E44" s="54"/>
      <c r="F44" s="83"/>
      <c r="G44" s="83"/>
      <c r="H44" s="190"/>
    </row>
    <row r="45" spans="2:10" x14ac:dyDescent="0.2">
      <c r="B45" s="486" t="s">
        <v>2063</v>
      </c>
      <c r="C45" s="367"/>
      <c r="D45" s="367"/>
      <c r="E45" s="367"/>
      <c r="F45" s="526">
        <f>IFERROR(IF(_xlfn.XLOOKUP(F12,Heat_supplies[EC name],Heat_supplies[Technology capacity, kW],0,0,1)&gt;=F9, F9,
_xlfn.XLOOKUP(F12,Heat_supplies[EC name],Heat_supplies[Technology capacity, kW],0,0,1)),"")</f>
        <v>5511.10888671875</v>
      </c>
      <c r="G45" s="525">
        <f>IFERROR(IF(_xlfn.XLOOKUP(G12,Heat_supplies[EC name],Heat_supplies[Technology capacity, kW],0,0,1)&gt;=G9, G9,
_xlfn.XLOOKUP(G12,Heat_supplies[EC name],Heat_supplies[Technology capacity, kW],0,0,1)),"")</f>
        <v>5511.10888671875</v>
      </c>
      <c r="H45" s="375">
        <f>IFERROR(IF(_xlfn.XLOOKUP(H12,Heat_supplies[EC name],Heat_supplies[Technology capacity, kW],0,0,1)&gt;=H9, H9,
_xlfn.XLOOKUP(H12,Heat_supplies[EC name],Heat_supplies[Technology capacity, kW],0,0,1)),"")</f>
        <v>5511.10888671875</v>
      </c>
    </row>
    <row r="46" spans="2:10" x14ac:dyDescent="0.2">
      <c r="B46" s="487" t="s">
        <v>2064</v>
      </c>
      <c r="C46" s="367"/>
      <c r="D46" s="367"/>
      <c r="E46" s="367"/>
      <c r="F46" s="527">
        <f>IFERROR(IF($F$9&gt;F45,
IF(_xlfn.XLOOKUP(F13,Heat_supplies[EC name],Heat_supplies[Technology capacity, kW],0,0,1)&gt;$F$9-F45, $F$9-F45,
_xlfn.XLOOKUP(F13,Heat_supplies[EC name],Heat_supplies[Technology capacity, kW],0,0,1)),0),"")</f>
        <v>4856.5634765625</v>
      </c>
      <c r="G46" s="83">
        <f>IFERROR(IF($G$9&gt;G45,
IF(_xlfn.XLOOKUP(G13,Heat_supplies[EC name],Heat_supplies[Technology capacity, kW],0,0,1)&gt;$G$9-G45, $G$9-G45,
_xlfn.XLOOKUP(G13,Heat_supplies[EC name],Heat_supplies[Technology capacity, kW],0,0,1)),0),"")</f>
        <v>4856.5634765625</v>
      </c>
      <c r="H46" s="190">
        <f>IFERROR(IF($H$9&gt;H45,
IF(_xlfn.XLOOKUP(H13,Heat_supplies[EC name],Heat_supplies[Technology capacity, kW],0,0,1)&gt;$H$9-H45, $H$9-H45,
_xlfn.XLOOKUP(H13,Heat_supplies[EC name],Heat_supplies[Technology capacity, kW],0,0,1)),0),"")</f>
        <v>4856.5634765625</v>
      </c>
    </row>
    <row r="47" spans="2:10" x14ac:dyDescent="0.2">
      <c r="B47" s="487" t="s">
        <v>2065</v>
      </c>
      <c r="C47" s="367"/>
      <c r="D47" s="367"/>
      <c r="E47" s="367"/>
      <c r="F47" s="527">
        <f>IFERROR(IF($F$9&gt;SUM($F$45:F46),
IF(_xlfn.XLOOKUP(F14,Heat_supplies[EC name],Heat_supplies[Technology capacity, kW],0,0,1)&gt;$F$9-SUM($F$45:F46), $F$9-SUM($F$45:F46),
_xlfn.XLOOKUP(F14,Heat_supplies[EC name],Heat_supplies[Technology capacity, kW],0,0,1)),0),"")</f>
        <v>919.583984375</v>
      </c>
      <c r="G47" s="83">
        <f>IFERROR(IF($G$9&gt;SUM($G$45:G46),
IF(_xlfn.XLOOKUP(G14,Heat_supplies[EC name],Heat_supplies[Technology capacity, kW],0,0,1)&gt;$G$9-SUM($G$45:G46), $G$9-SUM($G$45:G46),
_xlfn.XLOOKUP(G14,Heat_supplies[EC name],Heat_supplies[Technology capacity, kW],0,0,1)),0),"")</f>
        <v>919.583984375</v>
      </c>
      <c r="H47" s="190">
        <f>IFERROR(IF($H$9&gt;SUM($H$45:H46),
IF(_xlfn.XLOOKUP(H14,Heat_supplies[EC name],Heat_supplies[Technology capacity, kW],0,0,1)&gt;$H$9-SUM($H$45:H46), $H$9-SUM($H$45:H46),
_xlfn.XLOOKUP(H14,Heat_supplies[EC name],Heat_supplies[Technology capacity, kW],0,0,1)),0),"")</f>
        <v>919.583984375</v>
      </c>
    </row>
    <row r="48" spans="2:10" x14ac:dyDescent="0.2">
      <c r="B48" s="487" t="s">
        <v>2066</v>
      </c>
      <c r="C48" s="367"/>
      <c r="D48" s="367"/>
      <c r="E48" s="367"/>
      <c r="F48" s="527">
        <f>IFERROR(IF($F$9&gt;SUM($F$45:F47),
IF(_xlfn.XLOOKUP(F15,Heat_supplies[EC name],Heat_supplies[Technology capacity, kW],0,0,1)&gt;$F$9-SUM($F$45:F47), $F$9-SUM($F$45:F47),
_xlfn.XLOOKUP(F15,Heat_supplies[EC name],Heat_supplies[Technology capacity, kW],0,0,1)),0),"")</f>
        <v>29856.422041793739</v>
      </c>
      <c r="G48" s="83">
        <f>IFERROR(IF($G$9&gt;SUM($G$45:G47),
IF(_xlfn.XLOOKUP(G15,Heat_supplies[EC name],Heat_supplies[Technology capacity, kW],0,0,1)&gt;$G$9-SUM($G$45:G47), $G$9-SUM($G$45:G47),
_xlfn.XLOOKUP(G15,Heat_supplies[EC name],Heat_supplies[Technology capacity, kW],0,0,1)),0),"")</f>
        <v>29856.422041793739</v>
      </c>
      <c r="H48" s="190">
        <f>IFERROR(IF($H$9&gt;SUM($H$45:H47),
IF(_xlfn.XLOOKUP(H15,Heat_supplies[EC name],Heat_supplies[Technology capacity, kW],0,0,1)&gt;$H$9-SUM($H$45:H47), $H$9-SUM($H$45:H47),
_xlfn.XLOOKUP(H15,Heat_supplies[EC name],Heat_supplies[Technology capacity, kW],0,0,1)),0),"")</f>
        <v>29856.422041793739</v>
      </c>
    </row>
    <row r="49" spans="2:9" x14ac:dyDescent="0.2">
      <c r="B49" s="487" t="s">
        <v>2067</v>
      </c>
      <c r="C49" s="54"/>
      <c r="D49" s="54"/>
      <c r="E49" s="54"/>
      <c r="F49" s="527">
        <f>IFERROR(IF($F$9&gt;SUM($F$45:F48),
IF(_xlfn.XLOOKUP(F16,Heat_supplies[EC name],Heat_supplies[Technology capacity, kW],0,0,1)&gt;$F$9-SUM($F$45:F48), $F$9-SUM($F$45:F48),
_xlfn.XLOOKUP(F16,Heat_supplies[EC name],Heat_supplies[Technology capacity, kW],0,0,1)),0),"")</f>
        <v>0</v>
      </c>
      <c r="G49" s="83">
        <f>IFERROR(IF($G$9&gt;SUM($G$45:G48),
IF(_xlfn.XLOOKUP(G16,Heat_supplies[EC name],Heat_supplies[Technology capacity, kW],0,0,1)&gt;$G$9-SUM($G$45:G48), $G$9-SUM($G$45:G48),
_xlfn.XLOOKUP(G16,Heat_supplies[EC name],Heat_supplies[Technology capacity, kW],0,0,1)),0),"")</f>
        <v>0</v>
      </c>
      <c r="H49" s="190">
        <f>IFERROR(IF($H$9&gt;SUM($H$45:H48),
IF(_xlfn.XLOOKUP(H16,Heat_supplies[EC name],Heat_supplies[Technology capacity, kW],0,0,1)&gt;$H$9-SUM($H$45:H48), $H$9-SUM($H$45:H48),
_xlfn.XLOOKUP(H16,Heat_supplies[EC name],Heat_supplies[Technology capacity, kW],0,0,1)),0),"")</f>
        <v>0</v>
      </c>
    </row>
    <row r="50" spans="2:9" x14ac:dyDescent="0.2">
      <c r="B50" s="487" t="s">
        <v>2068</v>
      </c>
      <c r="C50" s="54"/>
      <c r="D50" s="54"/>
      <c r="E50" s="54"/>
      <c r="F50" s="527">
        <f>IFERROR(IF($F$9&gt;SUM($F$45:F49),
IF(_xlfn.XLOOKUP(F17,Heat_supplies[EC name],Heat_supplies[Technology capacity, kW],0,0,1)&gt;$F$9-SUM($F$45:F49), $F$9-SUM($F$45:F49),
_xlfn.XLOOKUP(F17,Heat_supplies[EC name],Heat_supplies[Technology capacity, kW],0,0,1)),0),"")</f>
        <v>0</v>
      </c>
      <c r="G50" s="83">
        <f>IFERROR(IF($G$9&gt;SUM($G$45:G49),
IF(_xlfn.XLOOKUP(G17,Heat_supplies[EC name],Heat_supplies[Technology capacity, kW],0,0,1)&gt;$G$9-SUM($G$45:G49), $G$9-SUM($G$45:G49),
_xlfn.XLOOKUP(G17,Heat_supplies[EC name],Heat_supplies[Technology capacity, kW],0,0,1)),0),"")</f>
        <v>0</v>
      </c>
      <c r="H50" s="190">
        <f>IFERROR(IF($H$9&gt;SUM($H$45:H49),
IF(_xlfn.XLOOKUP(H17,Heat_supplies[EC name],Heat_supplies[Technology capacity, kW],0,0,1)&gt;$H$9-SUM($H$45:H49), $H$9-SUM($H$45:H49),
_xlfn.XLOOKUP(H17,Heat_supplies[EC name],Heat_supplies[Technology capacity, kW],0,0,1)),0),"")</f>
        <v>0</v>
      </c>
    </row>
    <row r="51" spans="2:9" x14ac:dyDescent="0.2">
      <c r="B51" s="487" t="s">
        <v>2069</v>
      </c>
      <c r="C51" s="54"/>
      <c r="D51" s="54"/>
      <c r="E51" s="54"/>
      <c r="F51" s="527">
        <f>IFERROR(IF($F$9&gt;SUM($F$45:F50),
IF(_xlfn.XLOOKUP(F18,Heat_supplies[EC name],Heat_supplies[Technology capacity, kW],0,0,1)&gt;$F$9-SUM($F$45:F50), $F$9-SUM($F$45:F50),
_xlfn.XLOOKUP(F18,Heat_supplies[EC name],Heat_supplies[Technology capacity, kW],0,0,1)),0),"")</f>
        <v>0</v>
      </c>
      <c r="G51" s="83">
        <f>IFERROR(IF($G$9&gt;SUM($G$45:G50),
IF(_xlfn.XLOOKUP(G18,Heat_supplies[EC name],Heat_supplies[Technology capacity, kW],0,0,1)&gt;$G$9-SUM($G$45:G50), $G$9-SUM($G$45:G50),
_xlfn.XLOOKUP(G18,Heat_supplies[EC name],Heat_supplies[Technology capacity, kW],0,0,1)),0),"")</f>
        <v>0</v>
      </c>
      <c r="H51" s="190">
        <f>IFERROR(IF($H$9&gt;SUM($H$45:H50),
IF(_xlfn.XLOOKUP(H18,Heat_supplies[EC name],Heat_supplies[Technology capacity, kW],0,0,1)&gt;$H$9-SUM($H$45:H50), $H$9-SUM($H$45:H50),
_xlfn.XLOOKUP(H18,Heat_supplies[EC name],Heat_supplies[Technology capacity, kW],0,0,1)),0),"")</f>
        <v>0</v>
      </c>
      <c r="I51" s="136"/>
    </row>
    <row r="52" spans="2:9" x14ac:dyDescent="0.2">
      <c r="B52" s="487" t="s">
        <v>2070</v>
      </c>
      <c r="C52" s="54"/>
      <c r="D52" s="54"/>
      <c r="E52" s="54"/>
      <c r="F52" s="527">
        <f>IFERROR(IF($F$9&gt;SUM($F$45:F51),
IF(_xlfn.XLOOKUP(F19,Heat_supplies[EC name],Heat_supplies[Technology capacity, kW],0,0,1)&gt;$F$9-SUM($F$45:F51), $F$9-SUM($F$45:F51),
_xlfn.XLOOKUP(F19,Heat_supplies[EC name],Heat_supplies[Technology capacity, kW],0,0,1)),0),"")</f>
        <v>0</v>
      </c>
      <c r="G52" s="83">
        <f>IFERROR(IF($G$9&gt;SUM($G$45:G51),
IF(_xlfn.XLOOKUP(G19,Heat_supplies[EC name],Heat_supplies[Technology capacity, kW],0,0,1)&gt;$G$9-SUM($G$45:G51), $G$9-SUM($G$45:G51),
_xlfn.XLOOKUP(G19,Heat_supplies[EC name],Heat_supplies[Technology capacity, kW],0,0,1)),0),"")</f>
        <v>0</v>
      </c>
      <c r="H52" s="190">
        <f>IFERROR(IF($H$9&gt;SUM($H$45:H51),
IF(_xlfn.XLOOKUP(H19,Heat_supplies[EC name],Heat_supplies[Technology capacity, kW],0,0,1)&gt;$H$9-SUM($H$45:H51), $H$9-SUM($H$45:H51),
_xlfn.XLOOKUP(H19,Heat_supplies[EC name],Heat_supplies[Technology capacity, kW],0,0,1)),0),"")</f>
        <v>0</v>
      </c>
    </row>
    <row r="53" spans="2:9" x14ac:dyDescent="0.2">
      <c r="B53" s="487" t="s">
        <v>2071</v>
      </c>
      <c r="C53" s="54"/>
      <c r="D53" s="54"/>
      <c r="E53" s="54"/>
      <c r="F53" s="527">
        <f>IFERROR(IF($F$9&gt;SUM($F$45:F52),
IF(_xlfn.XLOOKUP(F20,Heat_supplies[EC name],Heat_supplies[Technology capacity, kW],0,0,1)&gt;$F$9-SUM($F$45:F52), $F$9-SUM($F$45:F52),
_xlfn.XLOOKUP(F20,Heat_supplies[EC name],Heat_supplies[Technology capacity, kW],0,0,1)),0),"")</f>
        <v>0</v>
      </c>
      <c r="G53" s="83">
        <f>IFERROR(IF($G$9&gt;SUM($G$45:G52),
IF(_xlfn.XLOOKUP(G20,Heat_supplies[EC name],Heat_supplies[Technology capacity, kW],0,0,1)&gt;$G$9-SUM($G$45:G52), $G$9-SUM($G$45:G52),
_xlfn.XLOOKUP(G20,Heat_supplies[EC name],Heat_supplies[Technology capacity, kW],0,0,1)),0),"")</f>
        <v>0</v>
      </c>
      <c r="H53" s="190">
        <f>IFERROR(IF($H$9&gt;SUM($H$45:H52),
IF(_xlfn.XLOOKUP(H20,Heat_supplies[EC name],Heat_supplies[Technology capacity, kW],0,0,1)&gt;$H$9-SUM($H$45:H52), $H$9-SUM($H$45:H52),
_xlfn.XLOOKUP(H20,Heat_supplies[EC name],Heat_supplies[Technology capacity, kW],0,0,1)),0),"")</f>
        <v>0</v>
      </c>
    </row>
    <row r="54" spans="2:9" x14ac:dyDescent="0.2">
      <c r="B54" s="488" t="s">
        <v>2072</v>
      </c>
      <c r="C54" s="368"/>
      <c r="D54" s="368"/>
      <c r="E54" s="368"/>
      <c r="F54" s="528">
        <f>IFERROR(IF($F$9&gt;SUM($F$45:F53),
IF(_xlfn.XLOOKUP(F21,Heat_supplies[EC name],Heat_supplies[Technology capacity, kW],0,0,1)&gt;$F$9-SUM($F$45:F53), $F$9-SUM($F$45:F53),
_xlfn.XLOOKUP(F21,Heat_supplies[EC name],Heat_supplies[Technology capacity, kW],0,0,1)),0),"")</f>
        <v>0</v>
      </c>
      <c r="G54" s="187">
        <f>IFERROR(IF($G$9&gt;SUM($G$45:G53),
IF(_xlfn.XLOOKUP(G21,Heat_supplies[EC name],Heat_supplies[Technology capacity, kW],0,0,1)&gt;$G$9-SUM($G$45:G53), $G$9-SUM($G$45:G53),
_xlfn.XLOOKUP(G21,Heat_supplies[EC name],Heat_supplies[Technology capacity, kW],0,0,1)),0),"")</f>
        <v>0</v>
      </c>
      <c r="H54" s="188">
        <f>IFERROR(IF($H$9&gt;SUM($H$45:H53),
IF(_xlfn.XLOOKUP(H21,Heat_supplies[EC name],Heat_supplies[Technology capacity, kW],0,0,1)&gt;$H$9-SUM($H$45:H53), $H$9-SUM($H$45:H53),
_xlfn.XLOOKUP(H21,Heat_supplies[EC name],Heat_supplies[Technology capacity, kW],0,0,1)),0),"")</f>
        <v>0</v>
      </c>
    </row>
    <row r="55" spans="2:9" x14ac:dyDescent="0.2">
      <c r="B55" s="54"/>
      <c r="C55" s="54"/>
      <c r="D55" s="54"/>
      <c r="E55" s="54"/>
      <c r="F55" s="62"/>
      <c r="G55" s="62"/>
      <c r="H55" s="83"/>
    </row>
    <row r="56" spans="2:9" x14ac:dyDescent="0.2">
      <c r="B56" s="54"/>
      <c r="C56" s="54"/>
      <c r="D56" s="54"/>
      <c r="E56" s="54"/>
      <c r="F56" s="62"/>
      <c r="G56" s="62"/>
      <c r="H56" s="62"/>
    </row>
    <row r="57" spans="2:9" x14ac:dyDescent="0.2">
      <c r="B57" s="486" t="s">
        <v>211</v>
      </c>
      <c r="C57" s="492"/>
      <c r="D57" s="492"/>
      <c r="E57" s="492"/>
      <c r="F57" s="517">
        <f>IF(Dashboard!$C$18=Lists!$B$23,0,'Technical inputs'!C19*'Technical inputs'!C11)</f>
        <v>0</v>
      </c>
      <c r="G57" s="518">
        <f>IF(Dashboard!$C$18=Lists!$B$23,0,'Technical inputs'!D19*'Technical inputs'!C11)</f>
        <v>0</v>
      </c>
      <c r="H57" s="519">
        <f>IF(Dashboard!$C$18=Lists!$B$23,0,'Technical inputs'!E19*'Technical inputs'!C11)</f>
        <v>0</v>
      </c>
    </row>
    <row r="58" spans="2:9" x14ac:dyDescent="0.2">
      <c r="B58" s="487" t="s">
        <v>212</v>
      </c>
      <c r="C58" s="54"/>
      <c r="D58" s="54"/>
      <c r="E58" s="54"/>
      <c r="F58" s="396">
        <f>IF(Dashboard!$C$18=Lists!$B$22,0,'Technical inputs'!C24*'Technical inputs'!C11)</f>
        <v>41143.678389449989</v>
      </c>
      <c r="G58" s="80">
        <f>IF(Dashboard!$C$18=Lists!$B$22,0,'Technical inputs'!D24*'Technical inputs'!D11)</f>
        <v>41143.678389449989</v>
      </c>
      <c r="H58" s="395">
        <f>IF(Dashboard!$C$18=Lists!$B$22,0,'Technical inputs'!E24*'Technical inputs'!E11)</f>
        <v>41143.678389449989</v>
      </c>
    </row>
    <row r="59" spans="2:9" x14ac:dyDescent="0.2">
      <c r="B59" s="487"/>
      <c r="C59" s="54"/>
      <c r="D59" s="54"/>
      <c r="E59" s="54"/>
      <c r="F59" s="507"/>
      <c r="G59" s="121"/>
      <c r="H59" s="493"/>
    </row>
    <row r="60" spans="2:9" x14ac:dyDescent="0.2">
      <c r="B60" s="487" t="s">
        <v>2133</v>
      </c>
      <c r="C60" s="54"/>
      <c r="D60" s="54"/>
      <c r="E60" s="54"/>
      <c r="F60" s="396">
        <f>SUM(F23:F32)</f>
        <v>125154318.28329724</v>
      </c>
      <c r="G60" s="80">
        <f t="shared" ref="G60:H60" si="1">SUM(G23:G32)</f>
        <v>125154318.28329724</v>
      </c>
      <c r="H60" s="395">
        <f t="shared" si="1"/>
        <v>125154318.28329724</v>
      </c>
    </row>
    <row r="61" spans="2:9" x14ac:dyDescent="0.2">
      <c r="B61" s="470"/>
      <c r="F61" s="66"/>
      <c r="H61" s="68"/>
    </row>
    <row r="62" spans="2:9" x14ac:dyDescent="0.2">
      <c r="B62" s="487" t="s">
        <v>2144</v>
      </c>
      <c r="C62" s="54"/>
      <c r="D62" s="54"/>
      <c r="E62" s="54"/>
      <c r="F62" s="396">
        <f>SUM(F34:F43)</f>
        <v>49813784.288243718</v>
      </c>
      <c r="G62" s="80">
        <f t="shared" ref="G62:H62" si="2">SUM(G34:G43)</f>
        <v>49813784.288243718</v>
      </c>
      <c r="H62" s="395">
        <f t="shared" si="2"/>
        <v>49813784.288243718</v>
      </c>
    </row>
    <row r="63" spans="2:9" x14ac:dyDescent="0.2">
      <c r="B63" s="488" t="s">
        <v>213</v>
      </c>
      <c r="C63" s="368"/>
      <c r="D63" s="368"/>
      <c r="E63" s="368"/>
      <c r="F63" s="446">
        <f>F7*'Technical inputs'!C30</f>
        <v>2492707.1140539995</v>
      </c>
      <c r="G63" s="82">
        <f>G7*'Technical inputs'!D30</f>
        <v>2492707.1140539995</v>
      </c>
      <c r="H63" s="467">
        <f>H7*'Technical inputs'!E30</f>
        <v>2492707.1140539995</v>
      </c>
    </row>
    <row r="65" spans="1:12" x14ac:dyDescent="0.2">
      <c r="A65" s="51"/>
      <c r="B65" s="33" t="s">
        <v>73</v>
      </c>
      <c r="C65" s="33"/>
      <c r="D65" s="33"/>
      <c r="E65" s="33"/>
      <c r="F65" s="33"/>
      <c r="G65" s="51"/>
      <c r="H65" s="51"/>
      <c r="I65" s="51"/>
      <c r="J65" s="51"/>
      <c r="K65" s="51"/>
      <c r="L65" s="51"/>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49BDF-32FD-4D83-BD6E-F818BE2D9B0D}">
  <sheetPr>
    <tabColor theme="7" tint="0.79998168889431442"/>
  </sheetPr>
  <dimension ref="A2:H41"/>
  <sheetViews>
    <sheetView workbookViewId="0"/>
  </sheetViews>
  <sheetFormatPr defaultColWidth="9.140625" defaultRowHeight="12.75" x14ac:dyDescent="0.2"/>
  <cols>
    <col min="1" max="1" width="3" style="11" bestFit="1" customWidth="1"/>
    <col min="2" max="2" width="75.5703125" style="11" customWidth="1"/>
    <col min="3" max="5" width="30.5703125" style="11" bestFit="1" customWidth="1"/>
    <col min="6" max="10" width="19" style="11" customWidth="1"/>
    <col min="11" max="20" width="14" style="11" customWidth="1"/>
    <col min="21" max="16384" width="9.140625" style="11"/>
  </cols>
  <sheetData>
    <row r="2" spans="1:8" x14ac:dyDescent="0.2">
      <c r="A2" s="10">
        <v>1</v>
      </c>
      <c r="B2" s="10" t="s">
        <v>214</v>
      </c>
      <c r="C2" s="10"/>
      <c r="D2" s="10"/>
      <c r="E2" s="10"/>
      <c r="F2" s="10"/>
    </row>
    <row r="4" spans="1:8" ht="32.25" customHeight="1" x14ac:dyDescent="0.2">
      <c r="B4" s="159"/>
      <c r="C4" s="389" t="s">
        <v>158</v>
      </c>
      <c r="D4" s="389" t="s">
        <v>159</v>
      </c>
      <c r="E4" s="390" t="s">
        <v>160</v>
      </c>
    </row>
    <row r="5" spans="1:8" x14ac:dyDescent="0.2">
      <c r="B5" s="391" t="s">
        <v>2093</v>
      </c>
      <c r="C5" s="74">
        <f>Dashboard!F29</f>
        <v>0</v>
      </c>
      <c r="D5" s="74">
        <f>Dashboard!G29</f>
        <v>0</v>
      </c>
      <c r="E5" s="75">
        <f>Dashboard!H29</f>
        <v>1</v>
      </c>
    </row>
    <row r="6" spans="1:8" x14ac:dyDescent="0.2">
      <c r="B6" s="476" t="s">
        <v>2073</v>
      </c>
      <c r="C6" s="381">
        <f>_xlfn.XLOOKUP('Operating model'!F12,Heat_supplies[EC name],Heat_supplies[Opex, per kWh],0,0,1)*'Operating model'!F23</f>
        <v>825922.30951281614</v>
      </c>
      <c r="D6" s="382">
        <f>_xlfn.XLOOKUP('Operating model'!G12,Heat_supplies[EC name],Heat_supplies[Opex, per kWh],0,0,1)*'Operating model'!G23</f>
        <v>825922.30951281614</v>
      </c>
      <c r="E6" s="383">
        <f>_xlfn.XLOOKUP('Operating model'!H12,Heat_supplies[EC name],Heat_supplies[Opex, per kWh],0,0,1)*'Operating model'!H23</f>
        <v>825922.30951281614</v>
      </c>
      <c r="F6" s="83"/>
      <c r="G6" s="83"/>
      <c r="H6" s="83"/>
    </row>
    <row r="7" spans="1:8" x14ac:dyDescent="0.2">
      <c r="B7" s="477" t="s">
        <v>2084</v>
      </c>
      <c r="C7" s="384">
        <f>_xlfn.XLOOKUP('Operating model'!F13,Heat_supplies[EC name],Heat_supplies[Opex, per kWh],0,0,1)*'Operating model'!F24</f>
        <v>727828.8419205125</v>
      </c>
      <c r="D7" s="379">
        <f>_xlfn.XLOOKUP('Operating model'!G13,Heat_supplies[EC name],Heat_supplies[Opex, per kWh],0,0,1)*'Operating model'!G24</f>
        <v>727828.8419205125</v>
      </c>
      <c r="E7" s="385">
        <f>_xlfn.XLOOKUP('Operating model'!H13,Heat_supplies[EC name],Heat_supplies[Opex, per kWh],0,0,1)*'Operating model'!H24</f>
        <v>727828.8419205125</v>
      </c>
      <c r="F7" s="83"/>
      <c r="G7" s="83"/>
      <c r="H7" s="83"/>
    </row>
    <row r="8" spans="1:8" x14ac:dyDescent="0.2">
      <c r="B8" s="477" t="s">
        <v>2085</v>
      </c>
      <c r="C8" s="384">
        <f>_xlfn.XLOOKUP('Operating model'!F14,Heat_supplies[EC name],Heat_supplies[Opex, per kWh],0,0,1)*'Operating model'!F25</f>
        <v>145676.66094377637</v>
      </c>
      <c r="D8" s="379">
        <f>_xlfn.XLOOKUP('Operating model'!G14,Heat_supplies[EC name],Heat_supplies[Opex, per kWh],0,0,1)*'Operating model'!G25</f>
        <v>145676.66094377637</v>
      </c>
      <c r="E8" s="385">
        <f>_xlfn.XLOOKUP('Operating model'!H14,Heat_supplies[EC name],Heat_supplies[Opex, per kWh],0,0,1)*'Operating model'!H25</f>
        <v>145676.66094377637</v>
      </c>
      <c r="F8" s="83"/>
      <c r="G8" s="83"/>
      <c r="H8" s="83"/>
    </row>
    <row r="9" spans="1:8" x14ac:dyDescent="0.2">
      <c r="B9" s="477" t="s">
        <v>2086</v>
      </c>
      <c r="C9" s="384">
        <f>_xlfn.XLOOKUP('Operating model'!F15,Heat_supplies[EC name],Heat_supplies[Opex, per kWh],0,0,1)*'Operating model'!F26</f>
        <v>4776364.1450945782</v>
      </c>
      <c r="D9" s="379">
        <f>_xlfn.XLOOKUP('Operating model'!G15,Heat_supplies[EC name],Heat_supplies[Opex, per kWh],0,0,1)*'Operating model'!G26</f>
        <v>4776364.1450945782</v>
      </c>
      <c r="E9" s="385">
        <f>_xlfn.XLOOKUP('Operating model'!H15,Heat_supplies[EC name],Heat_supplies[Opex, per kWh],0,0,1)*'Operating model'!H26</f>
        <v>4776364.1450945782</v>
      </c>
      <c r="F9" s="378"/>
      <c r="G9" s="83"/>
      <c r="H9" s="83"/>
    </row>
    <row r="10" spans="1:8" x14ac:dyDescent="0.2">
      <c r="B10" s="477" t="s">
        <v>2087</v>
      </c>
      <c r="C10" s="384">
        <f>_xlfn.XLOOKUP('Operating model'!F16,Heat_supplies[EC name],Heat_supplies[Opex, per kWh],0,0,1)*'Operating model'!F27</f>
        <v>0</v>
      </c>
      <c r="D10" s="379">
        <f>_xlfn.XLOOKUP('Operating model'!G16,Heat_supplies[EC name],Heat_supplies[Opex, per kWh],0,0,1)*'Operating model'!G27</f>
        <v>0</v>
      </c>
      <c r="E10" s="385">
        <f>_xlfn.XLOOKUP('Operating model'!H16,Heat_supplies[EC name],Heat_supplies[Opex, per kWh],0,0,1)*'Operating model'!H27</f>
        <v>0</v>
      </c>
      <c r="F10" s="83"/>
      <c r="G10" s="83"/>
      <c r="H10" s="83"/>
    </row>
    <row r="11" spans="1:8" x14ac:dyDescent="0.2">
      <c r="B11" s="477" t="s">
        <v>2088</v>
      </c>
      <c r="C11" s="384">
        <f>_xlfn.XLOOKUP('Operating model'!F17,Heat_supplies[EC name],Heat_supplies[Opex, per kWh],0,0,1)*'Operating model'!F28</f>
        <v>0</v>
      </c>
      <c r="D11" s="379">
        <f>_xlfn.XLOOKUP('Operating model'!G17,Heat_supplies[EC name],Heat_supplies[Opex, per kWh],0,0,1)*'Operating model'!G28</f>
        <v>0</v>
      </c>
      <c r="E11" s="385">
        <f>_xlfn.XLOOKUP('Operating model'!H17,Heat_supplies[EC name],Heat_supplies[Opex, per kWh],0,0,1)*'Operating model'!H28</f>
        <v>0</v>
      </c>
      <c r="F11" s="83"/>
      <c r="G11" s="83"/>
      <c r="H11" s="83"/>
    </row>
    <row r="12" spans="1:8" x14ac:dyDescent="0.2">
      <c r="B12" s="477" t="s">
        <v>2089</v>
      </c>
      <c r="C12" s="384">
        <f>_xlfn.XLOOKUP('Operating model'!F18,Heat_supplies[EC name],Heat_supplies[Opex, per kWh],0,0,1)*'Operating model'!F29</f>
        <v>0</v>
      </c>
      <c r="D12" s="379">
        <f>_xlfn.XLOOKUP('Operating model'!G18,Heat_supplies[EC name],Heat_supplies[Opex, per kWh],0,0,1)*'Operating model'!G29</f>
        <v>0</v>
      </c>
      <c r="E12" s="385">
        <f>_xlfn.XLOOKUP('Operating model'!H18,Heat_supplies[EC name],Heat_supplies[Opex, per kWh],0,0,1)*'Operating model'!H29</f>
        <v>0</v>
      </c>
      <c r="F12" s="83"/>
      <c r="G12" s="83"/>
      <c r="H12" s="83"/>
    </row>
    <row r="13" spans="1:8" x14ac:dyDescent="0.2">
      <c r="B13" s="477" t="s">
        <v>2090</v>
      </c>
      <c r="C13" s="384">
        <f>_xlfn.XLOOKUP('Operating model'!F19,Heat_supplies[EC name],Heat_supplies[Opex, per kWh],0,0,1)*'Operating model'!F30</f>
        <v>0</v>
      </c>
      <c r="D13" s="379">
        <f>_xlfn.XLOOKUP('Operating model'!G19,Heat_supplies[EC name],Heat_supplies[Opex, per kWh],0,0,1)*'Operating model'!G30</f>
        <v>0</v>
      </c>
      <c r="E13" s="385">
        <f>_xlfn.XLOOKUP('Operating model'!H19,Heat_supplies[EC name],Heat_supplies[Opex, per kWh],0,0,1)*'Operating model'!H30</f>
        <v>0</v>
      </c>
      <c r="F13" s="83"/>
      <c r="G13" s="83"/>
      <c r="H13" s="83"/>
    </row>
    <row r="14" spans="1:8" x14ac:dyDescent="0.2">
      <c r="B14" s="477" t="s">
        <v>2091</v>
      </c>
      <c r="C14" s="384">
        <f>_xlfn.XLOOKUP('Operating model'!F20,Heat_supplies[EC name],Heat_supplies[Opex, per kWh],0,0,1)*'Operating model'!F31</f>
        <v>0</v>
      </c>
      <c r="D14" s="379">
        <f>_xlfn.XLOOKUP('Operating model'!G20,Heat_supplies[EC name],Heat_supplies[Opex, per kWh],0,0,1)*'Operating model'!G31</f>
        <v>0</v>
      </c>
      <c r="E14" s="385">
        <f>_xlfn.XLOOKUP('Operating model'!H20,Heat_supplies[EC name],Heat_supplies[Opex, per kWh],0,0,1)*'Operating model'!H31</f>
        <v>0</v>
      </c>
      <c r="F14" s="83"/>
      <c r="G14" s="83"/>
      <c r="H14" s="83"/>
    </row>
    <row r="15" spans="1:8" x14ac:dyDescent="0.2">
      <c r="B15" s="478" t="s">
        <v>2092</v>
      </c>
      <c r="C15" s="384">
        <f>_xlfn.XLOOKUP('Operating model'!F21,Heat_supplies[EC name],Heat_supplies[Opex, per kWh],0,0,1)*'Operating model'!F32</f>
        <v>0</v>
      </c>
      <c r="D15" s="379">
        <f>_xlfn.XLOOKUP('Operating model'!G21,Heat_supplies[EC name],Heat_supplies[Opex, per kWh],0,0,1)*'Operating model'!G32</f>
        <v>0</v>
      </c>
      <c r="E15" s="385">
        <f>_xlfn.XLOOKUP('Operating model'!H21,Heat_supplies[EC name],Heat_supplies[Opex, per kWh],0,0,1)*'Operating model'!H32</f>
        <v>0</v>
      </c>
      <c r="F15" s="83"/>
      <c r="G15" s="83"/>
      <c r="H15" s="83"/>
    </row>
    <row r="16" spans="1:8" x14ac:dyDescent="0.2">
      <c r="B16" s="391" t="s">
        <v>2094</v>
      </c>
      <c r="C16" s="392"/>
      <c r="D16" s="393"/>
      <c r="E16" s="394"/>
      <c r="F16" s="83"/>
      <c r="G16" s="83"/>
      <c r="H16" s="83"/>
    </row>
    <row r="17" spans="2:8" x14ac:dyDescent="0.2">
      <c r="B17" s="476" t="s">
        <v>2074</v>
      </c>
      <c r="C17" s="380">
        <f>IF('Operating model'!F23&gt;0,
_xlfn.XLOOKUP('Operating model'!F12,Heat_supplies[EC name],Heat_supplies[Opex, per kWp],0,0,1)*'Operating model'!F45,0)</f>
        <v>278586.55422363279</v>
      </c>
      <c r="D17" s="379">
        <f>IF('Operating model'!G23&gt;0,
_xlfn.XLOOKUP('Operating model'!G12,Heat_supplies[EC name],Heat_supplies[Opex, per kWp],0,0,1)*'Operating model'!G45, 0)</f>
        <v>278586.55422363279</v>
      </c>
      <c r="E17" s="385">
        <f>IF('Operating model'!H23&gt;0,
_xlfn.XLOOKUP('Operating model'!H12,Heat_supplies[EC name],Heat_supplies[Opex, per kWp],0,0,1)*'Operating model'!H45, 0)</f>
        <v>278586.55422363279</v>
      </c>
      <c r="F17" s="83"/>
      <c r="G17" s="83"/>
      <c r="H17" s="83"/>
    </row>
    <row r="18" spans="2:8" x14ac:dyDescent="0.2">
      <c r="B18" s="477" t="s">
        <v>2075</v>
      </c>
      <c r="C18" s="380">
        <f>IF('Operating model'!F24&gt;0,
_xlfn.XLOOKUP('Operating model'!F13,Heat_supplies[EC name],Heat_supplies[Opex, per kWp],0,0,1)*'Operating model'!F46,0)</f>
        <v>245499.28374023436</v>
      </c>
      <c r="D18" s="379">
        <f>IF('Operating model'!G24&gt;0,
_xlfn.XLOOKUP('Operating model'!G13,Heat_supplies[EC name],Heat_supplies[Opex, per kWp],0,0,1)*'Operating model'!G46, 0)</f>
        <v>245499.28374023436</v>
      </c>
      <c r="E18" s="385">
        <f>IF('Operating model'!H24&gt;0,
_xlfn.XLOOKUP('Operating model'!H13,Heat_supplies[EC name],Heat_supplies[Opex, per kWp],0,0,1)*'Operating model'!H46, 0)</f>
        <v>245499.28374023436</v>
      </c>
    </row>
    <row r="19" spans="2:8" x14ac:dyDescent="0.2">
      <c r="B19" s="477" t="s">
        <v>2076</v>
      </c>
      <c r="C19" s="380">
        <f>IF('Operating model'!F25&gt;0,
_xlfn.XLOOKUP('Operating model'!F14,Heat_supplies[EC name],Heat_supplies[Opex, per kWp],0,0,1)*'Operating model'!F47,0)</f>
        <v>46484.970410156246</v>
      </c>
      <c r="D19" s="379">
        <f>IF('Operating model'!G25&gt;0,
_xlfn.XLOOKUP('Operating model'!G14,Heat_supplies[EC name],Heat_supplies[Opex, per kWp],0,0,1)*'Operating model'!G47, 0)</f>
        <v>46484.970410156246</v>
      </c>
      <c r="E19" s="385">
        <f>IF('Operating model'!H25&gt;0,
_xlfn.XLOOKUP('Operating model'!H14,Heat_supplies[EC name],Heat_supplies[Opex, per kWp],0,0,1)*'Operating model'!H47, 0)</f>
        <v>46484.970410156246</v>
      </c>
    </row>
    <row r="20" spans="2:8" ht="14.25" x14ac:dyDescent="0.2">
      <c r="B20" s="477" t="s">
        <v>2077</v>
      </c>
      <c r="C20" s="380">
        <f>IF('Operating model'!F26&gt;0,
_xlfn.XLOOKUP('Operating model'!F15,Heat_supplies[EC name],Heat_supplies[Opex, per kWp],0,0,1)*'Operating model'!F48,0)</f>
        <v>1509242.1342126734</v>
      </c>
      <c r="D20" s="379">
        <f>IF('Operating model'!G26&gt;0,
_xlfn.XLOOKUP('Operating model'!G15,Heat_supplies[EC name],Heat_supplies[Opex, per kWp],0,0,1)*'Operating model'!G48, 0)</f>
        <v>1509242.1342126734</v>
      </c>
      <c r="E20" s="385">
        <f>IF('Operating model'!H26&gt;0,
_xlfn.XLOOKUP('Operating model'!H15,Heat_supplies[EC name],Heat_supplies[Opex, per kWp],0,0,1)*'Operating model'!H48, 0)</f>
        <v>1509242.1342126734</v>
      </c>
      <c r="F20" s="250"/>
    </row>
    <row r="21" spans="2:8" ht="15" x14ac:dyDescent="0.25">
      <c r="B21" s="477" t="s">
        <v>2078</v>
      </c>
      <c r="C21" s="380">
        <f>IF('Operating model'!F27&gt;0,
_xlfn.XLOOKUP('Operating model'!F16,Heat_supplies[EC name],Heat_supplies[Opex, per kWp],0,0,1)*'Operating model'!F49,0)</f>
        <v>0</v>
      </c>
      <c r="D21" s="379">
        <f>IF('Operating model'!G27&gt;0,
_xlfn.XLOOKUP('Operating model'!G16,Heat_supplies[EC name],Heat_supplies[Opex, per kWp],0,0,1)*'Operating model'!G49, 0)</f>
        <v>0</v>
      </c>
      <c r="E21" s="385">
        <f>IF('Operating model'!H27&gt;0,
_xlfn.XLOOKUP('Operating model'!H16,Heat_supplies[EC name],Heat_supplies[Opex, per kWp],0,0,1)*'Operating model'!H49, 0)</f>
        <v>0</v>
      </c>
      <c r="F21"/>
    </row>
    <row r="22" spans="2:8" x14ac:dyDescent="0.2">
      <c r="B22" s="477" t="s">
        <v>2079</v>
      </c>
      <c r="C22" s="380">
        <f>IF('Operating model'!F28&gt;0,
_xlfn.XLOOKUP('Operating model'!F17,Heat_supplies[EC name],Heat_supplies[Opex, per kWp],0,0,1)*'Operating model'!F50,0)</f>
        <v>0</v>
      </c>
      <c r="D22" s="379">
        <f>IF('Operating model'!G28&gt;0,
_xlfn.XLOOKUP('Operating model'!G17,Heat_supplies[EC name],Heat_supplies[Opex, per kWp],0,0,1)*'Operating model'!G50, 0)</f>
        <v>0</v>
      </c>
      <c r="E22" s="385">
        <f>IF('Operating model'!H28&gt;0,
_xlfn.XLOOKUP('Operating model'!H17,Heat_supplies[EC name],Heat_supplies[Opex, per kWp],0,0,1)*'Operating model'!H50, 0)</f>
        <v>0</v>
      </c>
    </row>
    <row r="23" spans="2:8" x14ac:dyDescent="0.2">
      <c r="B23" s="477" t="s">
        <v>2080</v>
      </c>
      <c r="C23" s="380">
        <f>IF('Operating model'!F29&gt;0,
_xlfn.XLOOKUP('Operating model'!F18,Heat_supplies[EC name],Heat_supplies[Opex, per kWp],0,0,1)*'Operating model'!F51,0)</f>
        <v>0</v>
      </c>
      <c r="D23" s="379">
        <f>IF('Operating model'!G29&gt;0,
_xlfn.XLOOKUP('Operating model'!G18,Heat_supplies[EC name],Heat_supplies[Opex, per kWp],0,0,1)*'Operating model'!G51, 0)</f>
        <v>0</v>
      </c>
      <c r="E23" s="385">
        <f>IF('Operating model'!H29&gt;0,
_xlfn.XLOOKUP('Operating model'!H18,Heat_supplies[EC name],Heat_supplies[Opex, per kWp],0,0,1)*'Operating model'!H51, 0)</f>
        <v>0</v>
      </c>
    </row>
    <row r="24" spans="2:8" x14ac:dyDescent="0.2">
      <c r="B24" s="477" t="s">
        <v>2081</v>
      </c>
      <c r="C24" s="380">
        <f>IF('Operating model'!F30&gt;0,
_xlfn.XLOOKUP('Operating model'!F19,Heat_supplies[EC name],Heat_supplies[Opex, per kWp],0,0,1)*'Operating model'!F52,0)</f>
        <v>0</v>
      </c>
      <c r="D24" s="379">
        <f>IF('Operating model'!G30&gt;0,
_xlfn.XLOOKUP('Operating model'!G19,Heat_supplies[EC name],Heat_supplies[Opex, per kWp],0,0,1)*'Operating model'!G52, 0)</f>
        <v>0</v>
      </c>
      <c r="E24" s="385">
        <f>IF('Operating model'!H30&gt;0,
_xlfn.XLOOKUP('Operating model'!H19,Heat_supplies[EC name],Heat_supplies[Opex, per kWp],0,0,1)*'Operating model'!H52, 0)</f>
        <v>0</v>
      </c>
    </row>
    <row r="25" spans="2:8" x14ac:dyDescent="0.2">
      <c r="B25" s="477" t="s">
        <v>2082</v>
      </c>
      <c r="C25" s="380">
        <f>IF('Operating model'!F31&gt;0,
_xlfn.XLOOKUP('Operating model'!F20,Heat_supplies[EC name],Heat_supplies[Opex, per kWp],0,0,1)*'Operating model'!F53,0)</f>
        <v>0</v>
      </c>
      <c r="D25" s="379">
        <f>IF('Operating model'!G31&gt;0,
_xlfn.XLOOKUP('Operating model'!G20,Heat_supplies[EC name],Heat_supplies[Opex, per kWp],0,0,1)*'Operating model'!G53, 0)</f>
        <v>0</v>
      </c>
      <c r="E25" s="385">
        <f>IF('Operating model'!H31&gt;0,
_xlfn.XLOOKUP('Operating model'!H20,Heat_supplies[EC name],Heat_supplies[Opex, per kWp],0,0,1)*'Operating model'!H53, 0)</f>
        <v>0</v>
      </c>
    </row>
    <row r="26" spans="2:8" x14ac:dyDescent="0.2">
      <c r="B26" s="478" t="s">
        <v>2083</v>
      </c>
      <c r="C26" s="386">
        <f>IF('Operating model'!F32&gt;0,
_xlfn.XLOOKUP('Operating model'!F21,Heat_supplies[EC name],Heat_supplies[Opex, per kWp],0,0,1)*'Operating model'!F54,0)</f>
        <v>0</v>
      </c>
      <c r="D26" s="387">
        <f>IF('Operating model'!G32&gt;0,
_xlfn.XLOOKUP('Operating model'!G21,Heat_supplies[EC name],Heat_supplies[Opex, per kWp],0,0,1)*'Operating model'!G54, 0)</f>
        <v>0</v>
      </c>
      <c r="E26" s="388">
        <f>IF('Operating model'!H32&gt;0,
_xlfn.XLOOKUP('Operating model'!H21,Heat_supplies[EC name],Heat_supplies[Opex, per kWp],0,0,1)*'Operating model'!H54, 0)</f>
        <v>0</v>
      </c>
    </row>
    <row r="27" spans="2:8" x14ac:dyDescent="0.2">
      <c r="B27" s="376"/>
      <c r="C27" s="377"/>
      <c r="D27" s="377"/>
      <c r="E27" s="377"/>
    </row>
    <row r="29" spans="2:8" x14ac:dyDescent="0.2">
      <c r="B29" s="485" t="s">
        <v>157</v>
      </c>
    </row>
    <row r="30" spans="2:8" ht="15" x14ac:dyDescent="0.25">
      <c r="B30" s="486" t="s">
        <v>2039</v>
      </c>
      <c r="C30" s="479">
        <f>SUM(C6:C15)</f>
        <v>6475791.9574716836</v>
      </c>
      <c r="D30" s="479">
        <f>SUM(D6:D15)</f>
        <v>6475791.9574716836</v>
      </c>
      <c r="E30" s="480">
        <f>SUM(E6:E15)</f>
        <v>6475791.9574716836</v>
      </c>
    </row>
    <row r="31" spans="2:8" ht="15" x14ac:dyDescent="0.25">
      <c r="B31" s="487" t="s">
        <v>2019</v>
      </c>
      <c r="C31" s="481">
        <f>SUM(C17:C26)</f>
        <v>2079812.9425866967</v>
      </c>
      <c r="D31" s="481">
        <f t="shared" ref="D31:E31" si="0">SUM(D17:D26)</f>
        <v>2079812.9425866967</v>
      </c>
      <c r="E31" s="482">
        <f t="shared" si="0"/>
        <v>2079812.9425866967</v>
      </c>
    </row>
    <row r="32" spans="2:8" ht="15" x14ac:dyDescent="0.25">
      <c r="B32" s="487" t="s">
        <v>2040</v>
      </c>
      <c r="C32" s="481">
        <f>IF(SUM(C5:$E$5)&gt;0,
('Technical inputs'!$C$31*'Technical inputs'!C64)
+('Technical inputs'!C69*('Technical inputs'!C32+'Technical inputs'!C34))
+('Technical inputs'!C70*('Technical inputs'!C33+'Technical inputs'!C35)),0)</f>
        <v>124323.19529678</v>
      </c>
      <c r="D32" s="481">
        <f>IF(SUM(D5:$E$5)&gt;0,
('Technical inputs'!D31*'Technical inputs'!D64)
+('Technical inputs'!D69*('Technical inputs'!D32+'Technical inputs'!D34))
+('Technical inputs'!D70*('Technical inputs'!D33+'Technical inputs'!D35)),0)</f>
        <v>124323.19529678</v>
      </c>
      <c r="E32" s="482">
        <f>IF(SUM(E5:$E$5)&gt;0,
('Technical inputs'!E31*'Technical inputs'!E64)
+('Technical inputs'!E69*('Technical inputs'!E32+'Technical inputs'!E34))
+('Technical inputs'!E70*('Technical inputs'!E33+'Technical inputs'!E35)),0)</f>
        <v>124323.19529678</v>
      </c>
    </row>
    <row r="33" spans="1:6" ht="15" x14ac:dyDescent="0.25">
      <c r="B33" s="487" t="s">
        <v>441</v>
      </c>
      <c r="C33" s="481">
        <f>10*SUMIF('Heat connections'!$M$5:$M$242, "1",'Heat connections'!$G$5:$G$242)</f>
        <v>632979.66752999986</v>
      </c>
      <c r="D33" s="481">
        <f>10*SUMIF('Heat connections'!$M$5:$M$242, "2",'Heat connections'!$G$5:$G$242)+C33</f>
        <v>632979.66752999986</v>
      </c>
      <c r="E33" s="482">
        <f>10*SUMIF('Heat connections'!$M$5:$M$242, "3",'Heat connections'!$G$5:$G$242)+D33</f>
        <v>632979.66752999986</v>
      </c>
    </row>
    <row r="34" spans="1:6" ht="15" x14ac:dyDescent="0.25">
      <c r="B34" s="488" t="s">
        <v>445</v>
      </c>
      <c r="C34" s="483">
        <f>0.01*CAPEX!O29</f>
        <v>652106.22489293781</v>
      </c>
      <c r="D34" s="483">
        <f>0.01*CAPEX!P29</f>
        <v>652106.22489293781</v>
      </c>
      <c r="E34" s="484">
        <f>0.01*CAPEX!Q29</f>
        <v>652106.22489293781</v>
      </c>
    </row>
    <row r="35" spans="1:6" ht="15" x14ac:dyDescent="0.25">
      <c r="C35" s="339"/>
      <c r="D35" s="339"/>
      <c r="E35" s="339"/>
    </row>
    <row r="36" spans="1:6" ht="15" x14ac:dyDescent="0.25">
      <c r="B36" s="485" t="s">
        <v>185</v>
      </c>
      <c r="C36" s="339"/>
      <c r="D36" s="339"/>
      <c r="E36" s="339"/>
    </row>
    <row r="37" spans="1:6" ht="15" x14ac:dyDescent="0.25">
      <c r="B37" s="486" t="s">
        <v>215</v>
      </c>
      <c r="C37" s="479">
        <f>IF(Dashboard!$C$34=Lists!$B$18,SUM(CAPEX!E36:E36)*'Technical inputs'!$C$42,0)</f>
        <v>3149217.4049499994</v>
      </c>
      <c r="D37" s="479">
        <f>IF(Dashboard!$C$34=Lists!$B$18,SUM(CAPEX!F36:F36)*'Technical inputs'!$C$42,0)</f>
        <v>3149217.4049499994</v>
      </c>
      <c r="E37" s="480">
        <f>IF(Dashboard!$C$34=Lists!$B$18,SUM(CAPEX!G36:G36)*'Technical inputs'!$C$42,0)</f>
        <v>3149217.4049499994</v>
      </c>
    </row>
    <row r="38" spans="1:6" ht="15" x14ac:dyDescent="0.25">
      <c r="B38" s="487" t="s">
        <v>218</v>
      </c>
      <c r="C38" s="338">
        <f>IF(Dashboard!$C$34=Lists!$B$17,'Technical inputs'!$C$43*SUM('Technical inputs'!C71:C72),0)</f>
        <v>0</v>
      </c>
      <c r="D38" s="338">
        <f>IF(Dashboard!$C$34=Lists!$B$17,'Technical inputs'!$C$43*SUM('Technical inputs'!C71:D72),0)</f>
        <v>0</v>
      </c>
      <c r="E38" s="489">
        <f>IF(Dashboard!$C$34=Lists!$B$17,'Technical inputs'!$C$43*SUM('Technical inputs'!C71:E72),0)</f>
        <v>0</v>
      </c>
    </row>
    <row r="39" spans="1:6" ht="15" x14ac:dyDescent="0.25">
      <c r="B39" s="488" t="s">
        <v>219</v>
      </c>
      <c r="C39" s="490">
        <f>IF(Dashboard!$C$34=Lists!$B$19,'Technical inputs'!$C$44*SUM('Technical inputs'!C71:C72),0)</f>
        <v>0</v>
      </c>
      <c r="D39" s="490">
        <f>IF(Dashboard!$C$34=Lists!$B$19,'Technical inputs'!$C$44*SUM('Technical inputs'!C71:D72),0)</f>
        <v>0</v>
      </c>
      <c r="E39" s="491">
        <f>IF(Dashboard!$C$34=Lists!$B$19,'Technical inputs'!$C$44*SUM('Technical inputs'!C71:E72),0)</f>
        <v>0</v>
      </c>
    </row>
    <row r="41" spans="1:6" x14ac:dyDescent="0.2">
      <c r="A41" s="51"/>
      <c r="B41" s="33" t="s">
        <v>73</v>
      </c>
      <c r="C41" s="33"/>
      <c r="D41" s="51"/>
      <c r="E41" s="51"/>
      <c r="F41" s="51"/>
    </row>
  </sheetData>
  <phoneticPr fontId="2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17690-E320-4FC3-9336-F540F384D9C8}">
  <sheetPr>
    <tabColor theme="7" tint="0.79998168889431442"/>
  </sheetPr>
  <dimension ref="A2:R76"/>
  <sheetViews>
    <sheetView workbookViewId="0"/>
  </sheetViews>
  <sheetFormatPr defaultColWidth="9.140625" defaultRowHeight="12.75" x14ac:dyDescent="0.2"/>
  <cols>
    <col min="1" max="1" width="3.85546875" style="11" customWidth="1"/>
    <col min="2" max="2" width="38.5703125" style="11" customWidth="1"/>
    <col min="3" max="3" width="31.140625" style="11" customWidth="1"/>
    <col min="4" max="4" width="11" style="11" bestFit="1" customWidth="1"/>
    <col min="5" max="7" width="13.5703125" style="11" bestFit="1" customWidth="1"/>
    <col min="8" max="11" width="16.85546875" style="11" customWidth="1"/>
    <col min="12" max="14" width="16.7109375" style="11" customWidth="1"/>
    <col min="15" max="16" width="16.85546875" style="11" customWidth="1"/>
    <col min="17" max="17" width="14.140625" style="11" customWidth="1"/>
    <col min="18" max="16384" width="9.140625" style="11"/>
  </cols>
  <sheetData>
    <row r="2" spans="1:18" x14ac:dyDescent="0.2">
      <c r="A2" s="10">
        <v>1</v>
      </c>
      <c r="B2" s="10" t="s">
        <v>220</v>
      </c>
      <c r="C2" s="10"/>
      <c r="D2" s="10"/>
      <c r="E2" s="10"/>
      <c r="F2" s="10"/>
      <c r="G2" s="10"/>
      <c r="H2" s="10"/>
      <c r="I2" s="10"/>
      <c r="J2" s="10"/>
      <c r="K2" s="10"/>
      <c r="L2" s="10"/>
      <c r="M2" s="10"/>
      <c r="N2" s="10"/>
      <c r="O2" s="10"/>
      <c r="P2" s="10"/>
      <c r="Q2" s="10"/>
      <c r="R2" s="10"/>
    </row>
    <row r="4" spans="1:18" x14ac:dyDescent="0.2">
      <c r="B4" s="35" t="s">
        <v>221</v>
      </c>
    </row>
    <row r="5" spans="1:18" x14ac:dyDescent="0.2">
      <c r="E5" s="175"/>
    </row>
    <row r="6" spans="1:18" ht="36" customHeight="1" x14ac:dyDescent="0.2">
      <c r="B6" s="197"/>
      <c r="C6" s="426" t="s">
        <v>2097</v>
      </c>
      <c r="D6" s="65" t="s">
        <v>2096</v>
      </c>
      <c r="E6" s="551" t="s">
        <v>2095</v>
      </c>
      <c r="F6" s="552"/>
      <c r="G6" s="553"/>
      <c r="H6" s="63" t="s">
        <v>2098</v>
      </c>
      <c r="I6" s="63" t="s">
        <v>223</v>
      </c>
      <c r="J6" s="63" t="s">
        <v>158</v>
      </c>
      <c r="K6" s="63" t="s">
        <v>159</v>
      </c>
      <c r="L6" s="63" t="s">
        <v>160</v>
      </c>
      <c r="M6" s="64"/>
      <c r="N6" s="63" t="s">
        <v>224</v>
      </c>
      <c r="O6" s="63" t="s">
        <v>225</v>
      </c>
      <c r="P6" s="63" t="s">
        <v>226</v>
      </c>
      <c r="Q6" s="65" t="s">
        <v>227</v>
      </c>
      <c r="R6" s="61"/>
    </row>
    <row r="7" spans="1:18" x14ac:dyDescent="0.2">
      <c r="B7" s="417" t="s">
        <v>2038</v>
      </c>
      <c r="C7" s="66"/>
      <c r="D7" s="68"/>
      <c r="E7" s="448" t="s">
        <v>235</v>
      </c>
      <c r="F7" s="449" t="s">
        <v>236</v>
      </c>
      <c r="G7" s="450" t="s">
        <v>87</v>
      </c>
      <c r="N7" s="67"/>
      <c r="Q7" s="68"/>
    </row>
    <row r="8" spans="1:18" x14ac:dyDescent="0.2">
      <c r="B8" s="66" t="s">
        <v>2028</v>
      </c>
      <c r="C8" s="465" t="str">
        <f>'Operating model'!H12</f>
        <v>Sheperd's Bush AqSHP (33,679m²)</v>
      </c>
      <c r="D8" s="395">
        <f>'Heat supplies'!I6</f>
        <v>1500000</v>
      </c>
      <c r="E8" s="396">
        <f>_xlfn.XLOOKUP(C8,'Operating model'!$F$12:$F$21,'Operating model'!$F$45:$F$54, 0,0,1)</f>
        <v>5511.10888671875</v>
      </c>
      <c r="F8" s="80">
        <f>_xlfn.XLOOKUP(C8,'Operating model'!$G$12:$G$21,'Operating model'!$G$45:$G$54, 0,0,1)</f>
        <v>5511.10888671875</v>
      </c>
      <c r="G8" s="397">
        <f>_xlfn.XLOOKUP(C8,'Operating model'!$H$12:$H$21,'Operating model'!$H$45:$H$54, 0,0,1)</f>
        <v>5511.10888671875</v>
      </c>
      <c r="H8" s="131">
        <f>'Heat supplies'!J6</f>
        <v>1200</v>
      </c>
      <c r="I8" s="11" t="s">
        <v>228</v>
      </c>
      <c r="J8" s="69">
        <f>IFERROR(D8+(E8*H8)*'Heat supplies'!T6, 0)</f>
        <v>8113330.6640625</v>
      </c>
      <c r="K8" s="69">
        <f>J8+
(D8+(F8*H8))*'Heat supplies'!U6</f>
        <v>8113330.6640625</v>
      </c>
      <c r="L8" s="69">
        <f>K8+
(D8+(G8*H8))*'Heat supplies'!V6</f>
        <v>8113330.6640625</v>
      </c>
      <c r="N8" s="348">
        <v>0.15</v>
      </c>
      <c r="O8" s="70">
        <f>J8*(1+N8)</f>
        <v>9330330.263671875</v>
      </c>
      <c r="P8" s="70">
        <f t="shared" ref="P8:P17" si="0">K8*(1+N8)</f>
        <v>9330330.263671875</v>
      </c>
      <c r="Q8" s="71">
        <f t="shared" ref="Q8:Q17" si="1">L8*(1+N8)</f>
        <v>9330330.263671875</v>
      </c>
    </row>
    <row r="9" spans="1:18" x14ac:dyDescent="0.2">
      <c r="B9" s="66" t="s">
        <v>2029</v>
      </c>
      <c r="C9" s="465" t="str">
        <f>'Heat supplies'!E7</f>
        <v>White City ASHP</v>
      </c>
      <c r="D9" s="395">
        <f>'Heat supplies'!I7</f>
        <v>1000000</v>
      </c>
      <c r="E9" s="396">
        <f>_xlfn.XLOOKUP(C9,'Operating model'!$F$12:$F$21,'Operating model'!$F$45:$F$54, 0,0,1)</f>
        <v>29856.422041793739</v>
      </c>
      <c r="F9" s="80">
        <f>_xlfn.XLOOKUP(C9,'Operating model'!$G$12:$G$21,'Operating model'!$G$45:$G$54, 0,0,1)</f>
        <v>29856.422041793739</v>
      </c>
      <c r="G9" s="397">
        <f>_xlfn.XLOOKUP(C9,'Operating model'!$H$12:$H$21,'Operating model'!$H$45:$H$54, 0,0,1)</f>
        <v>29856.422041793739</v>
      </c>
      <c r="H9" s="131">
        <f>'Heat supplies'!J7</f>
        <v>800</v>
      </c>
      <c r="I9" s="11" t="s">
        <v>228</v>
      </c>
      <c r="J9" s="69">
        <f>IFERROR(D9+(E9*H9)*'Heat supplies'!T7, 0)</f>
        <v>24885137.633434992</v>
      </c>
      <c r="K9" s="69">
        <f>J9+
(D9+(F9*H9))*'Heat supplies'!U7</f>
        <v>24885137.633434992</v>
      </c>
      <c r="L9" s="69">
        <f>K9+
(D9+(G9*H9))*'Heat supplies'!V7</f>
        <v>24885137.633434992</v>
      </c>
      <c r="N9" s="348">
        <v>0.15</v>
      </c>
      <c r="O9" s="70">
        <f t="shared" ref="O9:O17" si="2">J9*(1+N9)</f>
        <v>28617908.278450239</v>
      </c>
      <c r="P9" s="70">
        <f t="shared" si="0"/>
        <v>28617908.278450239</v>
      </c>
      <c r="Q9" s="71">
        <f t="shared" si="1"/>
        <v>28617908.278450239</v>
      </c>
    </row>
    <row r="10" spans="1:18" x14ac:dyDescent="0.2">
      <c r="B10" s="66" t="s">
        <v>2030</v>
      </c>
      <c r="C10" s="465" t="str">
        <f>'Heat supplies'!E8</f>
        <v>Wormholt Park AqSHP (29,679m²)</v>
      </c>
      <c r="D10" s="395">
        <f>'Heat supplies'!I8</f>
        <v>1500000</v>
      </c>
      <c r="E10" s="396">
        <f>_xlfn.XLOOKUP(C10,'Operating model'!$F$12:$F$21,'Operating model'!$F$45:$F$54, 0,0,1)</f>
        <v>4856.5634765625</v>
      </c>
      <c r="F10" s="80">
        <f>_xlfn.XLOOKUP(C10,'Operating model'!$G$12:$G$21,'Operating model'!$G$45:$G$54, 0,0,1)</f>
        <v>4856.5634765625</v>
      </c>
      <c r="G10" s="397">
        <f>_xlfn.XLOOKUP(C10,'Operating model'!$H$12:$H$21,'Operating model'!$H$45:$H$54, 0,0,1)</f>
        <v>4856.5634765625</v>
      </c>
      <c r="H10" s="131">
        <f>'Heat supplies'!J8</f>
        <v>1200</v>
      </c>
      <c r="I10" s="11" t="s">
        <v>228</v>
      </c>
      <c r="J10" s="69">
        <f>IFERROR(D10+(E10*H10)*'Heat supplies'!T8, 0)</f>
        <v>7327876.171875</v>
      </c>
      <c r="K10" s="69">
        <f>J10+
(D10+(F10*H10))*'Heat supplies'!U8</f>
        <v>7327876.171875</v>
      </c>
      <c r="L10" s="69">
        <f>K10+
(D10+(G10*H10))*'Heat supplies'!V8</f>
        <v>7327876.171875</v>
      </c>
      <c r="N10" s="348">
        <v>0.15</v>
      </c>
      <c r="O10" s="70">
        <f t="shared" si="2"/>
        <v>8427057.59765625</v>
      </c>
      <c r="P10" s="70">
        <f t="shared" si="0"/>
        <v>8427057.59765625</v>
      </c>
      <c r="Q10" s="71">
        <f t="shared" si="1"/>
        <v>8427057.59765625</v>
      </c>
    </row>
    <row r="11" spans="1:18" x14ac:dyDescent="0.2">
      <c r="B11" s="66" t="s">
        <v>2031</v>
      </c>
      <c r="C11" s="465" t="str">
        <f>'Heat supplies'!E9</f>
        <v>Sheperd's Bush (TfL)</v>
      </c>
      <c r="D11" s="395">
        <f>'Heat supplies'!I9</f>
        <v>2000000</v>
      </c>
      <c r="E11" s="396">
        <f>_xlfn.XLOOKUP(C11,'Operating model'!$F$12:$F$21,'Operating model'!$F$45:$F$54, 0,0,1)</f>
        <v>919.583984375</v>
      </c>
      <c r="F11" s="80">
        <f>_xlfn.XLOOKUP(C11,'Operating model'!$G$12:$G$21,'Operating model'!$G$45:$G$54, 0,0,1)</f>
        <v>919.583984375</v>
      </c>
      <c r="G11" s="397">
        <f>_xlfn.XLOOKUP(C11,'Operating model'!$H$12:$H$21,'Operating model'!$H$45:$H$54, 0,0,1)</f>
        <v>919.583984375</v>
      </c>
      <c r="H11" s="131">
        <f>'Heat supplies'!J9</f>
        <v>1000</v>
      </c>
      <c r="I11" s="11" t="s">
        <v>228</v>
      </c>
      <c r="J11" s="69">
        <f>IFERROR(D11+(E11*H11)*'Heat supplies'!T9, 0)</f>
        <v>2919583.984375</v>
      </c>
      <c r="K11" s="69">
        <f>J11+
(D11+(F11*H11))*'Heat supplies'!U9</f>
        <v>2919583.984375</v>
      </c>
      <c r="L11" s="69">
        <f>K11+
(D11+(G11*H11))*'Heat supplies'!V9</f>
        <v>2919583.984375</v>
      </c>
      <c r="N11" s="348">
        <v>0.15</v>
      </c>
      <c r="O11" s="70">
        <f t="shared" si="2"/>
        <v>3357521.5820312495</v>
      </c>
      <c r="P11" s="70">
        <f t="shared" si="0"/>
        <v>3357521.5820312495</v>
      </c>
      <c r="Q11" s="71">
        <f t="shared" si="1"/>
        <v>3357521.5820312495</v>
      </c>
    </row>
    <row r="12" spans="1:18" x14ac:dyDescent="0.2">
      <c r="B12" s="66" t="s">
        <v>2032</v>
      </c>
      <c r="C12" s="465" t="str">
        <f>'Heat supplies'!E10</f>
        <v>Holland Park AqSHP (201,396m²)</v>
      </c>
      <c r="D12" s="395">
        <f>'Heat supplies'!I10</f>
        <v>1500000</v>
      </c>
      <c r="E12" s="396">
        <f>_xlfn.XLOOKUP(C12,'Operating model'!$F$12:$F$21,'Operating model'!$F$45:$F$54, 0,0,1)</f>
        <v>0</v>
      </c>
      <c r="F12" s="80">
        <f>_xlfn.XLOOKUP(C12,'Operating model'!$G$12:$G$21,'Operating model'!$G$45:$G$54, 0,0,1)</f>
        <v>0</v>
      </c>
      <c r="G12" s="397">
        <f>_xlfn.XLOOKUP(C12,'Operating model'!$H$12:$H$21,'Operating model'!$H$45:$H$54, 0,0,1)</f>
        <v>0</v>
      </c>
      <c r="H12" s="131">
        <f>'Heat supplies'!J10</f>
        <v>1200</v>
      </c>
      <c r="I12" s="11" t="s">
        <v>228</v>
      </c>
      <c r="J12" s="69">
        <f>IFERROR(D12+(E12*H12)*'Heat supplies'!T10, 0)</f>
        <v>1500000</v>
      </c>
      <c r="K12" s="69">
        <f>J12+
(D12+(F12*H12))*'Heat supplies'!U10</f>
        <v>1500000</v>
      </c>
      <c r="L12" s="69">
        <f>K12+
(D12+(G12*H12))*'Heat supplies'!V10</f>
        <v>1500000</v>
      </c>
      <c r="N12" s="348">
        <v>0.15</v>
      </c>
      <c r="O12" s="70">
        <f t="shared" si="2"/>
        <v>1724999.9999999998</v>
      </c>
      <c r="P12" s="70">
        <f t="shared" si="0"/>
        <v>1724999.9999999998</v>
      </c>
      <c r="Q12" s="71">
        <f t="shared" si="1"/>
        <v>1724999.9999999998</v>
      </c>
    </row>
    <row r="13" spans="1:18" x14ac:dyDescent="0.2">
      <c r="B13" s="66" t="s">
        <v>2033</v>
      </c>
      <c r="C13" s="465">
        <f>'Heat supplies'!E11</f>
        <v>0</v>
      </c>
      <c r="D13" s="395">
        <f>'Heat supplies'!I11</f>
        <v>0</v>
      </c>
      <c r="E13" s="396">
        <f>_xlfn.XLOOKUP(C13,'Operating model'!$F$12:$F$21,'Operating model'!$F$45:$F$54, 0,0,1)</f>
        <v>0</v>
      </c>
      <c r="F13" s="80">
        <f>_xlfn.XLOOKUP(C13,'Operating model'!$G$12:$G$21,'Operating model'!$G$45:$G$54, 0,0,1)</f>
        <v>0</v>
      </c>
      <c r="G13" s="397">
        <f>_xlfn.XLOOKUP(C13,'Operating model'!$H$12:$H$21,'Operating model'!$H$45:$H$54, 0,0,1)</f>
        <v>0</v>
      </c>
      <c r="H13" s="131">
        <f>'Heat supplies'!J11</f>
        <v>0</v>
      </c>
      <c r="I13" s="11" t="s">
        <v>228</v>
      </c>
      <c r="J13" s="69">
        <f>IFERROR(D13+(E13*H13)*'Heat supplies'!T11, 0)</f>
        <v>0</v>
      </c>
      <c r="K13" s="69">
        <f>J13+
(D13+(F13*H13))*'Heat supplies'!U11</f>
        <v>0</v>
      </c>
      <c r="L13" s="69">
        <f>K13+
(D13+(G13*H13))*'Heat supplies'!V11</f>
        <v>0</v>
      </c>
      <c r="N13" s="348">
        <v>0.15</v>
      </c>
      <c r="O13" s="70">
        <f t="shared" si="2"/>
        <v>0</v>
      </c>
      <c r="P13" s="70">
        <f t="shared" si="0"/>
        <v>0</v>
      </c>
      <c r="Q13" s="71">
        <f t="shared" si="1"/>
        <v>0</v>
      </c>
    </row>
    <row r="14" spans="1:18" x14ac:dyDescent="0.2">
      <c r="B14" s="66" t="s">
        <v>2034</v>
      </c>
      <c r="C14" s="465">
        <f>'Heat supplies'!E12</f>
        <v>0</v>
      </c>
      <c r="D14" s="395">
        <f>'Heat supplies'!I12</f>
        <v>0</v>
      </c>
      <c r="E14" s="396">
        <f>_xlfn.XLOOKUP(C14,'Operating model'!$F$12:$F$21,'Operating model'!$F$45:$F$54, 0,0,1)</f>
        <v>0</v>
      </c>
      <c r="F14" s="80">
        <f>_xlfn.XLOOKUP(C14,'Operating model'!$G$12:$G$21,'Operating model'!$G$45:$G$54, 0,0,1)</f>
        <v>0</v>
      </c>
      <c r="G14" s="397">
        <f>_xlfn.XLOOKUP(C14,'Operating model'!$H$12:$H$21,'Operating model'!$H$45:$H$54, 0,0,1)</f>
        <v>0</v>
      </c>
      <c r="H14" s="131">
        <f>'Heat supplies'!J12</f>
        <v>0</v>
      </c>
      <c r="I14" s="11" t="s">
        <v>228</v>
      </c>
      <c r="J14" s="69">
        <f>IFERROR(D14+(E14*H14)*'Heat supplies'!T12, 0)</f>
        <v>0</v>
      </c>
      <c r="K14" s="69">
        <f>J14+
(D14+(F14*H14))*'Heat supplies'!U12</f>
        <v>0</v>
      </c>
      <c r="L14" s="69">
        <f>K14+
(D14+(G14*H14))*'Heat supplies'!V12</f>
        <v>0</v>
      </c>
      <c r="N14" s="348">
        <v>0.15</v>
      </c>
      <c r="O14" s="70">
        <f t="shared" si="2"/>
        <v>0</v>
      </c>
      <c r="P14" s="70">
        <f t="shared" si="0"/>
        <v>0</v>
      </c>
      <c r="Q14" s="71">
        <f t="shared" si="1"/>
        <v>0</v>
      </c>
    </row>
    <row r="15" spans="1:18" x14ac:dyDescent="0.2">
      <c r="B15" s="66" t="s">
        <v>2035</v>
      </c>
      <c r="C15" s="465">
        <f>'Heat supplies'!E13</f>
        <v>0</v>
      </c>
      <c r="D15" s="395">
        <f>'Heat supplies'!I13</f>
        <v>0</v>
      </c>
      <c r="E15" s="396">
        <f>_xlfn.XLOOKUP(C15,'Operating model'!$F$12:$F$21,'Operating model'!$F$45:$F$54, 0,0,1)</f>
        <v>0</v>
      </c>
      <c r="F15" s="80">
        <f>_xlfn.XLOOKUP(C15,'Operating model'!$G$12:$G$21,'Operating model'!$G$45:$G$54, 0,0,1)</f>
        <v>0</v>
      </c>
      <c r="G15" s="397">
        <f>_xlfn.XLOOKUP(C15,'Operating model'!$H$12:$H$21,'Operating model'!$H$45:$H$54, 0,0,1)</f>
        <v>0</v>
      </c>
      <c r="H15" s="131">
        <f>'Heat supplies'!J13</f>
        <v>0</v>
      </c>
      <c r="I15" s="11" t="s">
        <v>228</v>
      </c>
      <c r="J15" s="69">
        <f>IFERROR(D15+(E15*H15)*'Heat supplies'!T13, 0)</f>
        <v>0</v>
      </c>
      <c r="K15" s="69">
        <f>J15+
(D15+(F15*H15))*'Heat supplies'!U13</f>
        <v>0</v>
      </c>
      <c r="L15" s="69">
        <f>K15+
(D15+(G15*H15))*'Heat supplies'!V13</f>
        <v>0</v>
      </c>
      <c r="N15" s="348">
        <v>0.15</v>
      </c>
      <c r="O15" s="70">
        <f t="shared" si="2"/>
        <v>0</v>
      </c>
      <c r="P15" s="70">
        <f t="shared" si="0"/>
        <v>0</v>
      </c>
      <c r="Q15" s="71">
        <f t="shared" si="1"/>
        <v>0</v>
      </c>
    </row>
    <row r="16" spans="1:18" x14ac:dyDescent="0.2">
      <c r="B16" s="66" t="s">
        <v>2036</v>
      </c>
      <c r="C16" s="465">
        <f>'Heat supplies'!E14</f>
        <v>0</v>
      </c>
      <c r="D16" s="395">
        <f>'Heat supplies'!I14</f>
        <v>0</v>
      </c>
      <c r="E16" s="396">
        <f>_xlfn.XLOOKUP(C16,'Operating model'!$F$12:$F$21,'Operating model'!$F$45:$F$54, 0,0,1)</f>
        <v>0</v>
      </c>
      <c r="F16" s="80">
        <f>_xlfn.XLOOKUP(C16,'Operating model'!$G$12:$G$21,'Operating model'!$G$45:$G$54, 0,0,1)</f>
        <v>0</v>
      </c>
      <c r="G16" s="397">
        <f>_xlfn.XLOOKUP(C16,'Operating model'!$H$12:$H$21,'Operating model'!$H$45:$H$54, 0,0,1)</f>
        <v>0</v>
      </c>
      <c r="H16" s="131">
        <f>'Heat supplies'!J14</f>
        <v>0</v>
      </c>
      <c r="I16" s="11" t="s">
        <v>228</v>
      </c>
      <c r="J16" s="69">
        <f>IFERROR(D16+(E16*H16)*'Heat supplies'!T14, 0)</f>
        <v>0</v>
      </c>
      <c r="K16" s="69">
        <f>J16+
(D16+(F16*H16))*'Heat supplies'!U14</f>
        <v>0</v>
      </c>
      <c r="L16" s="69">
        <f>K16+
(D16+(G16*H16))*'Heat supplies'!V14</f>
        <v>0</v>
      </c>
      <c r="N16" s="348">
        <v>0.15</v>
      </c>
      <c r="O16" s="70">
        <f t="shared" si="2"/>
        <v>0</v>
      </c>
      <c r="P16" s="70">
        <f t="shared" si="0"/>
        <v>0</v>
      </c>
      <c r="Q16" s="71">
        <f t="shared" si="1"/>
        <v>0</v>
      </c>
    </row>
    <row r="17" spans="2:17" x14ac:dyDescent="0.2">
      <c r="B17" s="73" t="s">
        <v>2037</v>
      </c>
      <c r="C17" s="466">
        <f>'Heat supplies'!E15</f>
        <v>0</v>
      </c>
      <c r="D17" s="467">
        <f>'Heat supplies'!I15</f>
        <v>0</v>
      </c>
      <c r="E17" s="446">
        <f>_xlfn.XLOOKUP(C17,'Operating model'!$F$12:$F$21,'Operating model'!$F$45:$F$54, 0,0,1)</f>
        <v>0</v>
      </c>
      <c r="F17" s="82">
        <f>_xlfn.XLOOKUP(C17,'Operating model'!$G$12:$G$21,'Operating model'!$G$45:$G$54, 0,0,1)</f>
        <v>0</v>
      </c>
      <c r="G17" s="447">
        <f>_xlfn.XLOOKUP(C17,'Operating model'!$H$12:$H$21,'Operating model'!$H$45:$H$54, 0,0,1)</f>
        <v>0</v>
      </c>
      <c r="H17" s="441">
        <f>'Heat supplies'!J15</f>
        <v>0</v>
      </c>
      <c r="I17" s="74" t="s">
        <v>228</v>
      </c>
      <c r="J17" s="442">
        <f>IFERROR(D17+(E17*H17)*'Heat supplies'!T15, 0)</f>
        <v>0</v>
      </c>
      <c r="K17" s="442">
        <f>J17+
(D17+(F17*H17))*'Heat supplies'!U15</f>
        <v>0</v>
      </c>
      <c r="L17" s="442">
        <f>K17+
(D17+(G17*H17))*'Heat supplies'!V15</f>
        <v>0</v>
      </c>
      <c r="M17" s="74"/>
      <c r="N17" s="443">
        <v>0.15</v>
      </c>
      <c r="O17" s="444">
        <f t="shared" si="2"/>
        <v>0</v>
      </c>
      <c r="P17" s="444">
        <f t="shared" si="0"/>
        <v>0</v>
      </c>
      <c r="Q17" s="445">
        <f t="shared" si="1"/>
        <v>0</v>
      </c>
    </row>
    <row r="18" spans="2:17" x14ac:dyDescent="0.2">
      <c r="B18" s="66"/>
      <c r="E18" s="440"/>
      <c r="F18" s="80"/>
      <c r="G18" s="80"/>
      <c r="H18" s="121"/>
      <c r="J18" s="69"/>
      <c r="K18" s="69"/>
      <c r="L18" s="69"/>
      <c r="N18" s="349"/>
      <c r="O18" s="70"/>
      <c r="P18" s="70"/>
      <c r="Q18" s="71"/>
    </row>
    <row r="19" spans="2:17" x14ac:dyDescent="0.2">
      <c r="B19" s="66" t="s">
        <v>143</v>
      </c>
      <c r="J19" s="70">
        <f>MIN(
MAX(CAPEX!$C$69*SUM(E8:E17)^CAPEX!$C$68,CAPEX!$C$71),
CAPEX!C70)*SUM(E8:E17)</f>
        <v>2063535.4748238709</v>
      </c>
      <c r="K19" s="70">
        <f>MIN(
MAX(CAPEX!$C$69*SUM(F8:F17)^CAPEX!$C$68,CAPEX!$C$71),
CAPEX!D70)*SUM(F8:F17)</f>
        <v>2063535.4748238709</v>
      </c>
      <c r="L19" s="70">
        <f>MIN(
MAX(CAPEX!$C$69*SUM(G8:G17)^CAPEX!$C$68,CAPEX!$C$71),
CAPEX!E70)*SUM(G8:G17)</f>
        <v>2063535.4748238709</v>
      </c>
      <c r="N19" s="348">
        <v>0.15</v>
      </c>
      <c r="O19" s="70">
        <f>J19*(1+$N$19)</f>
        <v>2373065.7960474514</v>
      </c>
      <c r="P19" s="70">
        <f t="shared" ref="P19:Q19" si="3">K19*(1+$N$19)</f>
        <v>2373065.7960474514</v>
      </c>
      <c r="Q19" s="71">
        <f t="shared" si="3"/>
        <v>2373065.7960474514</v>
      </c>
    </row>
    <row r="20" spans="2:17" x14ac:dyDescent="0.2">
      <c r="B20" s="66" t="s">
        <v>144</v>
      </c>
      <c r="J20" s="141">
        <f>SUMIFS(Heat_connections[2nd side improvement cost, £],Heat_connections[Phase 1 flag],"=1",Heat_connections[Connected to network],"=Yes")</f>
        <v>3136434.5176483085</v>
      </c>
      <c r="K20" s="141">
        <f>SUMIFS(Heat_connections[2nd side improvement cost, £],Heat_connections[Phase 2 flag],"=1",Heat_connections[Connected to network],"=Yes")+J20</f>
        <v>3136434.5176483085</v>
      </c>
      <c r="L20" s="141">
        <f>SUMIFS(Heat_connections[2nd side improvement cost, £],Heat_connections[Phase 3 flag],"=1",Heat_connections[Connected to network],"=Yes")+K20</f>
        <v>3136434.5176483085</v>
      </c>
      <c r="N20" s="348">
        <v>0.15</v>
      </c>
      <c r="O20" s="70">
        <f>J20*(1+$N$20)</f>
        <v>3606899.6952955546</v>
      </c>
      <c r="P20" s="70">
        <f t="shared" ref="P20:Q20" si="4">K20*(1+$N$20)</f>
        <v>3606899.6952955546</v>
      </c>
      <c r="Q20" s="71">
        <f t="shared" si="4"/>
        <v>3606899.6952955546</v>
      </c>
    </row>
    <row r="21" spans="2:17" x14ac:dyDescent="0.2">
      <c r="B21" s="79" t="s">
        <v>229</v>
      </c>
      <c r="J21" s="76">
        <f>SUM(J8:J20)</f>
        <v>49945898.446219675</v>
      </c>
      <c r="K21" s="76">
        <f>SUM(K8:K20)</f>
        <v>49945898.446219675</v>
      </c>
      <c r="L21" s="76">
        <f>SUM(L8:L20)</f>
        <v>49945898.446219675</v>
      </c>
      <c r="M21" s="35"/>
      <c r="N21" s="122"/>
      <c r="O21" s="77">
        <f>SUM(O8:O20)</f>
        <v>57437783.213152617</v>
      </c>
      <c r="P21" s="77">
        <f>SUM(P8:P20)</f>
        <v>57437783.213152617</v>
      </c>
      <c r="Q21" s="78">
        <f>SUM(Q8:Q20)</f>
        <v>57437783.213152617</v>
      </c>
    </row>
    <row r="22" spans="2:17" x14ac:dyDescent="0.2">
      <c r="B22" s="66"/>
      <c r="J22" s="69"/>
      <c r="K22" s="69"/>
      <c r="L22" s="69"/>
      <c r="N22" s="72"/>
      <c r="O22" s="70"/>
      <c r="P22" s="70"/>
      <c r="Q22" s="71"/>
    </row>
    <row r="23" spans="2:17" x14ac:dyDescent="0.2">
      <c r="B23" s="464" t="s">
        <v>230</v>
      </c>
      <c r="C23" s="64"/>
      <c r="D23" s="64"/>
      <c r="E23" s="64"/>
      <c r="F23" s="64"/>
      <c r="G23" s="64"/>
      <c r="H23" s="64" t="s">
        <v>443</v>
      </c>
      <c r="I23" s="64"/>
      <c r="J23" s="458"/>
      <c r="K23" s="458"/>
      <c r="L23" s="458"/>
      <c r="M23" s="64"/>
      <c r="N23" s="459"/>
      <c r="O23" s="460"/>
      <c r="P23" s="460"/>
      <c r="Q23" s="461"/>
    </row>
    <row r="24" spans="2:17" x14ac:dyDescent="0.2">
      <c r="B24" s="73" t="s">
        <v>231</v>
      </c>
      <c r="C24" s="74"/>
      <c r="D24" s="74"/>
      <c r="E24" s="74"/>
      <c r="F24" s="74"/>
      <c r="G24" s="462"/>
      <c r="H24" s="441">
        <f>SUM(Pipe_data[Length])</f>
        <v>2100.6390593560004</v>
      </c>
      <c r="I24" s="74"/>
      <c r="J24" s="463">
        <f>SUMIF(Pipe_data[Phase], 1,Pipe_data[Network cost, £])</f>
        <v>6477366.0634509744</v>
      </c>
      <c r="K24" s="463">
        <f>SUMIF(Pipe_data[Phase], 2,Pipe_data[Network cost, £])+J24</f>
        <v>6477366.0634509744</v>
      </c>
      <c r="L24" s="463">
        <f>SUMIF(Pipe_data[Phase], 3,Pipe_data[Network cost, £])+K24</f>
        <v>6477366.0634509744</v>
      </c>
      <c r="M24" s="74"/>
      <c r="N24" s="443">
        <v>0.2</v>
      </c>
      <c r="O24" s="444">
        <f t="shared" ref="O24" si="5">J24*(1+N24)</f>
        <v>7772839.2761411685</v>
      </c>
      <c r="P24" s="444">
        <f t="shared" ref="P24" si="6">K24*(1+N24)</f>
        <v>7772839.2761411685</v>
      </c>
      <c r="Q24" s="445">
        <f t="shared" ref="Q24" si="7">L24*(1+N24)</f>
        <v>7772839.2761411685</v>
      </c>
    </row>
    <row r="25" spans="2:17" x14ac:dyDescent="0.2">
      <c r="B25" s="470"/>
      <c r="J25" s="69"/>
      <c r="K25" s="69"/>
      <c r="L25" s="69"/>
      <c r="N25" s="67"/>
      <c r="O25" s="70"/>
      <c r="P25" s="70"/>
      <c r="Q25" s="71"/>
    </row>
    <row r="26" spans="2:17" x14ac:dyDescent="0.2">
      <c r="B26" s="469" t="s">
        <v>125</v>
      </c>
      <c r="C26" s="35"/>
      <c r="D26" s="35"/>
      <c r="E26" s="35"/>
      <c r="F26" s="35"/>
      <c r="G26" s="35"/>
      <c r="H26" s="35"/>
      <c r="I26" s="35"/>
      <c r="J26" s="76">
        <f>J21+J24</f>
        <v>56423264.509670652</v>
      </c>
      <c r="K26" s="76">
        <f>K21+K24</f>
        <v>56423264.509670652</v>
      </c>
      <c r="L26" s="76">
        <f>L21+L24</f>
        <v>56423264.509670652</v>
      </c>
      <c r="M26" s="35"/>
      <c r="N26" s="35"/>
      <c r="O26" s="77">
        <f>O21+O24</f>
        <v>65210622.489293784</v>
      </c>
      <c r="P26" s="77">
        <f>P21+P24</f>
        <v>65210622.489293784</v>
      </c>
      <c r="Q26" s="78">
        <f>Q21+Q24</f>
        <v>65210622.489293784</v>
      </c>
    </row>
    <row r="27" spans="2:17" x14ac:dyDescent="0.2">
      <c r="B27" s="469" t="s">
        <v>232</v>
      </c>
      <c r="J27" s="69">
        <f>Dashboard!$C$23*J26</f>
        <v>0</v>
      </c>
      <c r="K27" s="69">
        <f>(K26-J26)*Dashboard!$C$24</f>
        <v>0</v>
      </c>
      <c r="L27" s="69">
        <f>(L26-K26)*Dashboard!$C$24</f>
        <v>0</v>
      </c>
      <c r="N27" s="67"/>
      <c r="O27" s="70">
        <f>J27</f>
        <v>0</v>
      </c>
      <c r="P27" s="70">
        <f t="shared" ref="P27:Q27" si="8">K27</f>
        <v>0</v>
      </c>
      <c r="Q27" s="71">
        <f t="shared" si="8"/>
        <v>0</v>
      </c>
    </row>
    <row r="28" spans="2:17" x14ac:dyDescent="0.2">
      <c r="B28" s="469" t="s">
        <v>233</v>
      </c>
      <c r="J28" s="436">
        <f>IF(Dashboard!C20="Yes", SUMIF(Heat_connections[Phase 1 flag],1,Heat_connections[Connection charge/avoided cost, £]), 0)</f>
        <v>0</v>
      </c>
      <c r="K28" s="141">
        <f>IF(Dashboard!C20="Yes", SUMIF(Heat_connections[Phase 2 flag],1,Heat_connections[Connection charge/avoided cost, £])+J28, 0)</f>
        <v>0</v>
      </c>
      <c r="L28" s="141">
        <f>IF(Dashboard!C20="Yes", SUMIF(Heat_connections[Phase 3 flag],1,Heat_connections[Connection charge/avoided cost, £])+K28, 0)</f>
        <v>0</v>
      </c>
      <c r="Q28" s="68"/>
    </row>
    <row r="29" spans="2:17" x14ac:dyDescent="0.2">
      <c r="B29" s="469" t="s">
        <v>234</v>
      </c>
      <c r="J29" s="128">
        <f>J26-J28</f>
        <v>56423264.509670652</v>
      </c>
      <c r="K29" s="128">
        <f t="shared" ref="K29" si="9">K26-K28</f>
        <v>56423264.509670652</v>
      </c>
      <c r="L29" s="128">
        <f>L26-L28</f>
        <v>56423264.509670652</v>
      </c>
      <c r="O29" s="141">
        <f>O26-O28</f>
        <v>65210622.489293784</v>
      </c>
      <c r="P29" s="141">
        <f t="shared" ref="P29:Q29" si="10">P26-P28</f>
        <v>65210622.489293784</v>
      </c>
      <c r="Q29" s="144">
        <f t="shared" si="10"/>
        <v>65210622.489293784</v>
      </c>
    </row>
    <row r="30" spans="2:17" x14ac:dyDescent="0.2">
      <c r="B30" s="471"/>
      <c r="C30" s="74"/>
      <c r="D30" s="74"/>
      <c r="E30" s="74"/>
      <c r="F30" s="74"/>
      <c r="G30" s="82"/>
      <c r="H30" s="74"/>
      <c r="I30" s="74"/>
      <c r="J30" s="74"/>
      <c r="K30" s="74"/>
      <c r="L30" s="74"/>
      <c r="M30" s="74"/>
      <c r="N30" s="74"/>
      <c r="O30" s="74"/>
      <c r="P30" s="74"/>
      <c r="Q30" s="75"/>
    </row>
    <row r="31" spans="2:17" ht="10.5" customHeight="1" x14ac:dyDescent="0.2"/>
    <row r="33" spans="1:17" x14ac:dyDescent="0.2">
      <c r="B33" s="420" t="s">
        <v>185</v>
      </c>
      <c r="C33" s="421"/>
      <c r="D33" s="421"/>
      <c r="E33" s="421"/>
      <c r="F33" s="421"/>
      <c r="G33" s="422"/>
    </row>
    <row r="34" spans="1:17" x14ac:dyDescent="0.2">
      <c r="B34" s="468"/>
      <c r="E34" s="11" t="s">
        <v>235</v>
      </c>
      <c r="F34" s="11" t="s">
        <v>236</v>
      </c>
      <c r="G34" s="68" t="s">
        <v>87</v>
      </c>
    </row>
    <row r="35" spans="1:17" x14ac:dyDescent="0.2">
      <c r="B35" s="470"/>
      <c r="C35" s="423" t="s">
        <v>222</v>
      </c>
      <c r="D35" s="11" t="s">
        <v>223</v>
      </c>
      <c r="G35" s="68"/>
    </row>
    <row r="36" spans="1:17" x14ac:dyDescent="0.2">
      <c r="B36" s="472" t="s">
        <v>2107</v>
      </c>
      <c r="C36" s="424">
        <v>1000</v>
      </c>
      <c r="D36" s="11" t="s">
        <v>228</v>
      </c>
      <c r="E36" s="69">
        <f>'Technical inputs'!C72*$C$36</f>
        <v>62984348.098999985</v>
      </c>
      <c r="F36" s="69">
        <f>'Technical inputs'!D72*$C$36</f>
        <v>62984348.098999985</v>
      </c>
      <c r="G36" s="418">
        <f>'Technical inputs'!E72*$C$36</f>
        <v>62984348.098999985</v>
      </c>
      <c r="H36" s="12"/>
      <c r="I36" s="136"/>
    </row>
    <row r="37" spans="1:17" x14ac:dyDescent="0.2">
      <c r="B37" s="472"/>
      <c r="C37" s="424"/>
      <c r="E37" s="69"/>
      <c r="F37" s="69"/>
      <c r="G37" s="418"/>
    </row>
    <row r="38" spans="1:17" x14ac:dyDescent="0.2">
      <c r="B38" s="472" t="s">
        <v>2108</v>
      </c>
      <c r="C38" s="425">
        <f>'Technical inputs'!C55</f>
        <v>80</v>
      </c>
      <c r="D38" s="11" t="s">
        <v>228</v>
      </c>
      <c r="E38" s="69">
        <f>'Technical inputs'!C72*$C$38</f>
        <v>5038747.8479199987</v>
      </c>
      <c r="F38" s="69">
        <f>'Technical inputs'!D72*$C$38</f>
        <v>5038747.8479199987</v>
      </c>
      <c r="G38" s="418">
        <f>'Technical inputs'!E72*$C$38</f>
        <v>5038747.8479199987</v>
      </c>
    </row>
    <row r="39" spans="1:17" x14ac:dyDescent="0.2">
      <c r="B39" s="472"/>
      <c r="C39" s="425"/>
      <c r="G39" s="68"/>
    </row>
    <row r="40" spans="1:17" x14ac:dyDescent="0.2">
      <c r="B40" s="472" t="s">
        <v>2109</v>
      </c>
      <c r="C40" s="425">
        <f>'Technical inputs'!C57</f>
        <v>245</v>
      </c>
      <c r="D40" s="11" t="s">
        <v>228</v>
      </c>
      <c r="E40" s="70">
        <f>'Technical inputs'!C72*$C$40</f>
        <v>15431165.284254998</v>
      </c>
      <c r="F40" s="70">
        <f>'Technical inputs'!D72*$C$40</f>
        <v>15431165.284254998</v>
      </c>
      <c r="G40" s="71">
        <f>'Technical inputs'!E72*$C$40</f>
        <v>15431165.284254998</v>
      </c>
    </row>
    <row r="41" spans="1:17" x14ac:dyDescent="0.2">
      <c r="B41" s="470"/>
      <c r="G41" s="68"/>
    </row>
    <row r="42" spans="1:17" x14ac:dyDescent="0.2">
      <c r="B42" s="471"/>
      <c r="C42" s="74"/>
      <c r="D42" s="419" t="s">
        <v>125</v>
      </c>
      <c r="E42" s="456">
        <f>IF(Dashboard!$C$34=Lists!$B$17,SUM(E38:E38),IF(Dashboard!$C$34=Lists!$B$18,SUM(E36:E36),SUM(E40:E40)))</f>
        <v>62984348.098999985</v>
      </c>
      <c r="F42" s="456">
        <f>IF(Dashboard!$C$34=Lists!$B$17,SUM(F38:F38),IF(Dashboard!$C$34=Lists!$B$18,SUM(F36:F36),SUM(F40:F40)))</f>
        <v>62984348.098999985</v>
      </c>
      <c r="G42" s="457">
        <f>IF(Dashboard!$C$34=Lists!$B$17,SUM(G38:G38),IF(Dashboard!$C$34=Lists!$B$18,SUM(G36:G36),SUM(G40:G40)))</f>
        <v>62984348.098999985</v>
      </c>
      <c r="H42" s="136"/>
    </row>
    <row r="44" spans="1:17" x14ac:dyDescent="0.2">
      <c r="A44" s="10">
        <v>2</v>
      </c>
      <c r="B44" s="10" t="s">
        <v>237</v>
      </c>
      <c r="C44" s="10"/>
      <c r="D44" s="10"/>
      <c r="E44" s="10"/>
      <c r="F44" s="10"/>
      <c r="G44" s="10"/>
      <c r="H44" s="10"/>
      <c r="I44" s="10"/>
      <c r="J44" s="10"/>
      <c r="K44" s="10"/>
      <c r="L44" s="10"/>
      <c r="M44" s="10"/>
      <c r="N44" s="10"/>
      <c r="O44" s="10"/>
      <c r="P44" s="10"/>
      <c r="Q44" s="10"/>
    </row>
    <row r="47" spans="1:17" x14ac:dyDescent="0.2">
      <c r="B47" s="451" t="s">
        <v>157</v>
      </c>
      <c r="C47" s="421" t="s">
        <v>235</v>
      </c>
      <c r="D47" s="421" t="s">
        <v>236</v>
      </c>
      <c r="E47" s="422" t="s">
        <v>87</v>
      </c>
    </row>
    <row r="48" spans="1:17" ht="31.5" customHeight="1" x14ac:dyDescent="0.2">
      <c r="B48" s="473" t="s">
        <v>238</v>
      </c>
      <c r="C48" s="452">
        <f>IF(Dashboard!$C$19=Lists!$B$4,O26,J26)/'Technical inputs'!$C$48</f>
        <v>3260531.1244646893</v>
      </c>
      <c r="D48" s="452">
        <f>IF(Dashboard!$C$19=Lists!$B$4,P26,K26)/'Technical inputs'!$C$48</f>
        <v>3260531.1244646893</v>
      </c>
      <c r="E48" s="453">
        <f>IF(Dashboard!$C$19=Lists!$B$4,Q26,L26)/'Technical inputs'!$C$48</f>
        <v>3260531.1244646893</v>
      </c>
    </row>
    <row r="49" spans="1:17" x14ac:dyDescent="0.2">
      <c r="B49" s="420" t="s">
        <v>185</v>
      </c>
      <c r="C49" s="421"/>
      <c r="D49" s="421"/>
      <c r="E49" s="422"/>
    </row>
    <row r="50" spans="1:17" ht="30" customHeight="1" x14ac:dyDescent="0.2">
      <c r="B50" s="473" t="s">
        <v>238</v>
      </c>
      <c r="C50" s="454">
        <f>E42/'Technical inputs'!$C$51</f>
        <v>4198956.5399333322</v>
      </c>
      <c r="D50" s="454">
        <f>F42/'Technical inputs'!$C$51</f>
        <v>4198956.5399333322</v>
      </c>
      <c r="E50" s="455">
        <f>G42/'Technical inputs'!$C$51</f>
        <v>4198956.5399333322</v>
      </c>
    </row>
    <row r="52" spans="1:17" x14ac:dyDescent="0.2">
      <c r="A52" s="10">
        <v>3</v>
      </c>
      <c r="B52" s="10" t="s">
        <v>2099</v>
      </c>
      <c r="C52" s="10"/>
      <c r="D52" s="10"/>
      <c r="E52" s="10"/>
      <c r="F52" s="10"/>
      <c r="G52" s="10"/>
      <c r="H52" s="10"/>
      <c r="I52" s="10"/>
      <c r="J52" s="10"/>
      <c r="K52" s="10"/>
      <c r="L52" s="10"/>
      <c r="M52" s="10"/>
      <c r="N52" s="10"/>
      <c r="O52" s="10"/>
      <c r="P52" s="10"/>
      <c r="Q52" s="10"/>
    </row>
    <row r="55" spans="1:17" ht="15" x14ac:dyDescent="0.25">
      <c r="B55" s="413" t="s">
        <v>431</v>
      </c>
      <c r="C55" s="414" t="s">
        <v>432</v>
      </c>
      <c r="D55" s="414" t="s">
        <v>433</v>
      </c>
      <c r="E55" s="414" t="s">
        <v>415</v>
      </c>
      <c r="F55" s="415" t="s">
        <v>2100</v>
      </c>
    </row>
    <row r="56" spans="1:17" ht="15" x14ac:dyDescent="0.25">
      <c r="B56" s="409">
        <v>100</v>
      </c>
      <c r="C56" s="402" t="s">
        <v>421</v>
      </c>
      <c r="D56" s="404" t="s">
        <v>422</v>
      </c>
      <c r="E56" s="403">
        <v>28145</v>
      </c>
      <c r="F56" s="407">
        <f t="shared" ref="F56:F64" si="11">E56/B56</f>
        <v>281.45</v>
      </c>
    </row>
    <row r="57" spans="1:17" ht="15" x14ac:dyDescent="0.25">
      <c r="B57" s="409">
        <v>200</v>
      </c>
      <c r="C57" s="402" t="s">
        <v>423</v>
      </c>
      <c r="D57" s="404" t="s">
        <v>422</v>
      </c>
      <c r="E57" s="403">
        <v>33110</v>
      </c>
      <c r="F57" s="407">
        <f t="shared" si="11"/>
        <v>165.55</v>
      </c>
      <c r="G57" s="401"/>
      <c r="H57" s="61"/>
      <c r="I57" s="61"/>
      <c r="J57" s="61"/>
      <c r="K57" s="61"/>
      <c r="L57" s="61"/>
      <c r="N57" s="61"/>
    </row>
    <row r="58" spans="1:17" ht="15" x14ac:dyDescent="0.25">
      <c r="B58" s="409">
        <v>400</v>
      </c>
      <c r="C58" s="402" t="s">
        <v>424</v>
      </c>
      <c r="D58" s="404" t="s">
        <v>422</v>
      </c>
      <c r="E58" s="403">
        <v>39765</v>
      </c>
      <c r="F58" s="407">
        <f t="shared" si="11"/>
        <v>99.412499999999994</v>
      </c>
      <c r="G58" s="46"/>
      <c r="N58" s="120"/>
    </row>
    <row r="59" spans="1:17" ht="15" x14ac:dyDescent="0.25">
      <c r="B59" s="409">
        <v>600</v>
      </c>
      <c r="C59" s="402" t="s">
        <v>425</v>
      </c>
      <c r="D59" s="404" t="s">
        <v>422</v>
      </c>
      <c r="E59" s="403">
        <v>46352</v>
      </c>
      <c r="F59" s="407">
        <f t="shared" si="11"/>
        <v>77.25333333333333</v>
      </c>
      <c r="G59" s="80"/>
      <c r="H59" s="121"/>
      <c r="J59" s="129"/>
      <c r="K59" s="129"/>
      <c r="L59" s="129"/>
      <c r="N59" s="349"/>
    </row>
    <row r="60" spans="1:17" ht="15" x14ac:dyDescent="0.25">
      <c r="B60" s="409">
        <v>800</v>
      </c>
      <c r="C60" s="402" t="s">
        <v>426</v>
      </c>
      <c r="D60" s="404" t="s">
        <v>422</v>
      </c>
      <c r="E60" s="403">
        <v>52882</v>
      </c>
      <c r="F60" s="407">
        <f t="shared" si="11"/>
        <v>66.102500000000006</v>
      </c>
      <c r="G60" s="398"/>
      <c r="H60" s="121"/>
      <c r="J60" s="129"/>
      <c r="K60" s="129"/>
      <c r="L60" s="129"/>
      <c r="N60" s="349"/>
    </row>
    <row r="61" spans="1:17" ht="15" x14ac:dyDescent="0.25">
      <c r="B61" s="409">
        <v>1000</v>
      </c>
      <c r="C61" s="402" t="s">
        <v>427</v>
      </c>
      <c r="D61" s="404" t="s">
        <v>422</v>
      </c>
      <c r="E61" s="403">
        <v>60941</v>
      </c>
      <c r="F61" s="407">
        <f t="shared" si="11"/>
        <v>60.941000000000003</v>
      </c>
      <c r="G61" s="398"/>
      <c r="H61" s="121"/>
      <c r="J61" s="129"/>
      <c r="K61" s="129"/>
      <c r="L61" s="129"/>
      <c r="N61" s="349"/>
    </row>
    <row r="62" spans="1:17" ht="15" x14ac:dyDescent="0.25">
      <c r="B62" s="409">
        <v>1200</v>
      </c>
      <c r="C62" s="402" t="s">
        <v>428</v>
      </c>
      <c r="D62" s="404" t="s">
        <v>422</v>
      </c>
      <c r="E62" s="403">
        <v>66238</v>
      </c>
      <c r="F62" s="407">
        <f t="shared" si="11"/>
        <v>55.198333333333331</v>
      </c>
      <c r="G62" s="398"/>
      <c r="H62" s="121"/>
      <c r="J62" s="129"/>
      <c r="K62" s="129"/>
      <c r="L62" s="129"/>
      <c r="N62" s="349"/>
    </row>
    <row r="63" spans="1:17" ht="15" x14ac:dyDescent="0.25">
      <c r="B63" s="409">
        <v>1400</v>
      </c>
      <c r="C63" s="402" t="s">
        <v>429</v>
      </c>
      <c r="D63" s="404" t="s">
        <v>422</v>
      </c>
      <c r="E63" s="403">
        <v>72438</v>
      </c>
      <c r="F63" s="407">
        <f t="shared" si="11"/>
        <v>51.741428571428571</v>
      </c>
      <c r="G63" s="398"/>
      <c r="H63" s="121"/>
      <c r="J63" s="129"/>
      <c r="K63" s="129"/>
      <c r="L63" s="129"/>
      <c r="N63" s="349"/>
    </row>
    <row r="64" spans="1:17" ht="15" x14ac:dyDescent="0.25">
      <c r="B64" s="410">
        <v>1600</v>
      </c>
      <c r="C64" s="411" t="s">
        <v>430</v>
      </c>
      <c r="D64" s="416" t="s">
        <v>422</v>
      </c>
      <c r="E64" s="412">
        <v>80247</v>
      </c>
      <c r="F64" s="408">
        <f t="shared" si="11"/>
        <v>50.154375000000002</v>
      </c>
      <c r="G64" s="398"/>
      <c r="H64" s="121"/>
      <c r="J64" s="129"/>
      <c r="K64" s="129"/>
      <c r="L64" s="129"/>
      <c r="N64" s="349"/>
    </row>
    <row r="65" spans="1:17" x14ac:dyDescent="0.2">
      <c r="C65" s="175"/>
      <c r="D65" s="80"/>
      <c r="E65" s="80"/>
      <c r="F65" s="80"/>
      <c r="G65" s="398"/>
      <c r="H65" s="121"/>
      <c r="J65" s="129"/>
      <c r="K65" s="129"/>
      <c r="L65" s="129"/>
      <c r="N65" s="349"/>
    </row>
    <row r="66" spans="1:17" x14ac:dyDescent="0.2">
      <c r="C66" s="175"/>
      <c r="D66" s="80"/>
      <c r="E66" s="80"/>
      <c r="F66" s="80"/>
      <c r="G66" s="398"/>
      <c r="H66" s="121"/>
      <c r="J66" s="129"/>
      <c r="K66" s="129"/>
      <c r="L66" s="129"/>
      <c r="N66" s="349"/>
    </row>
    <row r="67" spans="1:17" x14ac:dyDescent="0.2">
      <c r="B67" s="405"/>
      <c r="C67" s="406" t="s">
        <v>2103</v>
      </c>
      <c r="D67" s="80"/>
      <c r="E67" s="80"/>
      <c r="F67" s="80"/>
      <c r="G67" s="398"/>
      <c r="H67" s="121"/>
      <c r="J67" s="129"/>
      <c r="K67" s="129"/>
      <c r="L67" s="129"/>
      <c r="N67" s="349"/>
    </row>
    <row r="68" spans="1:17" x14ac:dyDescent="0.2">
      <c r="B68" s="474" t="s">
        <v>2104</v>
      </c>
      <c r="C68" s="178">
        <v>-0.624</v>
      </c>
      <c r="D68" s="80"/>
      <c r="E68" s="80"/>
      <c r="F68" s="80"/>
      <c r="G68" s="398"/>
      <c r="H68" s="121"/>
      <c r="J68" s="129"/>
      <c r="K68" s="129"/>
      <c r="L68" s="129"/>
      <c r="N68" s="349"/>
    </row>
    <row r="69" spans="1:17" x14ac:dyDescent="0.2">
      <c r="B69" s="475" t="s">
        <v>2105</v>
      </c>
      <c r="C69" s="75">
        <v>4547</v>
      </c>
      <c r="D69" s="80"/>
      <c r="E69" s="80"/>
      <c r="F69" s="80"/>
      <c r="G69" s="398"/>
      <c r="H69" s="121"/>
      <c r="J69" s="129"/>
      <c r="K69" s="129"/>
      <c r="L69" s="129"/>
      <c r="N69" s="349"/>
    </row>
    <row r="70" spans="1:17" x14ac:dyDescent="0.2">
      <c r="B70" s="470" t="s">
        <v>2101</v>
      </c>
      <c r="C70" s="407">
        <f>F56</f>
        <v>281.45</v>
      </c>
      <c r="J70" s="129"/>
      <c r="K70" s="129"/>
      <c r="L70" s="129"/>
      <c r="N70" s="349"/>
    </row>
    <row r="71" spans="1:17" x14ac:dyDescent="0.2">
      <c r="B71" s="471" t="s">
        <v>2102</v>
      </c>
      <c r="C71" s="408">
        <f>F64</f>
        <v>50.154375000000002</v>
      </c>
      <c r="J71" s="129"/>
      <c r="K71" s="129"/>
      <c r="L71" s="129"/>
      <c r="N71" s="349"/>
    </row>
    <row r="72" spans="1:17" x14ac:dyDescent="0.2">
      <c r="J72" s="129"/>
      <c r="K72" s="129"/>
      <c r="L72" s="129"/>
      <c r="N72" s="349"/>
    </row>
    <row r="73" spans="1:17" x14ac:dyDescent="0.2">
      <c r="B73" s="34"/>
      <c r="J73" s="399"/>
      <c r="K73" s="399"/>
      <c r="L73" s="399"/>
      <c r="M73" s="35"/>
      <c r="N73" s="400"/>
    </row>
    <row r="76" spans="1:17" x14ac:dyDescent="0.2">
      <c r="A76" s="51"/>
      <c r="B76" s="33" t="s">
        <v>239</v>
      </c>
      <c r="C76" s="51"/>
      <c r="D76" s="51"/>
      <c r="E76" s="51"/>
      <c r="F76" s="51"/>
      <c r="G76" s="51"/>
      <c r="H76" s="51"/>
      <c r="I76" s="51"/>
      <c r="J76" s="51"/>
      <c r="K76" s="51"/>
      <c r="L76" s="51"/>
      <c r="M76" s="51"/>
      <c r="N76" s="51"/>
      <c r="O76" s="51"/>
      <c r="P76" s="51"/>
      <c r="Q76" s="51"/>
    </row>
  </sheetData>
  <mergeCells count="1">
    <mergeCell ref="E6:G6"/>
  </mergeCells>
  <phoneticPr fontId="20" type="noConversion"/>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AAA4-8089-4CA9-920A-EBCE4ABB2C3A}">
  <sheetPr>
    <tabColor theme="7" tint="0.79998168889431442"/>
  </sheetPr>
  <dimension ref="A2:I12"/>
  <sheetViews>
    <sheetView workbookViewId="0"/>
  </sheetViews>
  <sheetFormatPr defaultColWidth="9.140625" defaultRowHeight="12.75" x14ac:dyDescent="0.2"/>
  <cols>
    <col min="1" max="1" width="4.42578125" style="11" customWidth="1"/>
    <col min="2" max="2" width="56.140625" style="11" customWidth="1"/>
    <col min="3" max="9" width="18.28515625" style="11" customWidth="1"/>
    <col min="10" max="10" width="10.42578125" style="11" customWidth="1"/>
    <col min="11" max="16384" width="9.140625" style="11"/>
  </cols>
  <sheetData>
    <row r="2" spans="1:9" x14ac:dyDescent="0.2">
      <c r="A2" s="10">
        <v>1</v>
      </c>
      <c r="B2" s="52" t="s">
        <v>240</v>
      </c>
      <c r="C2" s="10"/>
      <c r="D2" s="10"/>
      <c r="E2" s="10"/>
      <c r="F2" s="10"/>
      <c r="G2" s="10"/>
      <c r="H2" s="10"/>
      <c r="I2" s="10"/>
    </row>
    <row r="4" spans="1:9" x14ac:dyDescent="0.2">
      <c r="C4" s="11" t="s">
        <v>158</v>
      </c>
      <c r="D4" s="11" t="s">
        <v>159</v>
      </c>
      <c r="E4" s="11" t="s">
        <v>160</v>
      </c>
    </row>
    <row r="5" spans="1:9" x14ac:dyDescent="0.2">
      <c r="B5" s="11" t="s">
        <v>128</v>
      </c>
      <c r="C5" s="11">
        <f>Dashboard!F29</f>
        <v>0</v>
      </c>
      <c r="D5" s="11">
        <f>Dashboard!G29</f>
        <v>0</v>
      </c>
      <c r="E5" s="11">
        <f>Dashboard!H29</f>
        <v>1</v>
      </c>
    </row>
    <row r="7" spans="1:9" ht="15" x14ac:dyDescent="0.25">
      <c r="B7" s="11" t="s">
        <v>241</v>
      </c>
      <c r="C7" s="272">
        <f>SUMPRODUCT('Heat connections'!$F$5:$F$242,'Heat connections'!$S$5:$S$242,'Heat connections'!$Y$5:$Y$242,'Heat connections'!$AA$5:$AA$242)/100</f>
        <v>7528372.2215199992</v>
      </c>
      <c r="D7" s="272">
        <f>C7+SUMPRODUCT('Heat connections'!$F$5:$F$242,'Heat connections'!$S$5:$S$242,'Heat connections'!$Y$5:$Y$242,'Heat connections'!$AB$5:$AB$242)/100</f>
        <v>7528372.2215199992</v>
      </c>
      <c r="E7" s="272">
        <f>D7+SUMPRODUCT('Heat connections'!$F$5:$F$242,'Heat connections'!$S$5:$S$242,'Heat connections'!$Y$5:$Y$242,'Heat connections'!$AC$5:$AC$242)/100</f>
        <v>7528372.2215199992</v>
      </c>
      <c r="F7" s="205"/>
    </row>
    <row r="8" spans="1:9" ht="15" x14ac:dyDescent="0.25">
      <c r="B8" s="11" t="s">
        <v>242</v>
      </c>
      <c r="C8" s="272">
        <f>SUMPRODUCT('Heat connections'!$F$5:$F$242,'Heat connections'!$S$5:$S$242,'Heat connections'!$W$5:$W$242,'Heat connections'!$AA$5:$AA$242)/100</f>
        <v>18869.015039999998</v>
      </c>
      <c r="D8" s="272">
        <f>C8+SUMPRODUCT('Heat connections'!$F$5:$F$242,'Heat connections'!$S$5:$S$242,'Heat connections'!$W$5:$W$242,'Heat connections'!$AB$5:$AB$242)/100</f>
        <v>18869.015039999998</v>
      </c>
      <c r="E8" s="272">
        <f>D8+SUMPRODUCT('Heat connections'!$F$5:$F$242,'Heat connections'!$S$5:$S$242,'Heat connections'!$W$5:$W$242,'Heat connections'!$AC$5:$AC$242)/100</f>
        <v>18869.015039999998</v>
      </c>
    </row>
    <row r="9" spans="1:9" ht="15" x14ac:dyDescent="0.25">
      <c r="B9" s="11" t="s">
        <v>243</v>
      </c>
      <c r="C9" s="272">
        <f>SUMPRODUCT('Heat connections'!$F$5:$F$242,'Heat connections'!$S$5:$S$242,'Heat connections'!$X$5:$X$242,'Heat connections'!$AA$5:$AA$242)/100</f>
        <v>9951959.4411759991</v>
      </c>
      <c r="D9" s="272">
        <f>C9+SUMPRODUCT('Heat connections'!$F$5:$F$242,'Heat connections'!$S$5:$S$242,'Heat connections'!$X$5:$X$242,'Heat connections'!$AB$5:$AB$242)/100</f>
        <v>9951959.4411759991</v>
      </c>
      <c r="E9" s="272">
        <f>D9+SUMPRODUCT('Heat connections'!$F$5:$F$242,'Heat connections'!$S$5:$S$242,'Heat connections'!$X$5:$X$242,'Heat connections'!$AC$5:$AC$242)/100</f>
        <v>9951959.4411759991</v>
      </c>
    </row>
    <row r="10" spans="1:9" ht="15" x14ac:dyDescent="0.25">
      <c r="B10" s="11" t="s">
        <v>2022</v>
      </c>
      <c r="C10" s="272">
        <f>SUMIFS('Heat connections'!$T$5:$T$242,'Heat connections'!$N$5:$N$242, "Yes",'Heat connections'!$M$5:$M$242, "1")</f>
        <v>1265959.3350600004</v>
      </c>
      <c r="D10" s="272">
        <f>SUMIFS('Heat connections'!$T$5:$T$242,'Heat connections'!$N$5:$N$242, "Yes",'Heat connections'!$M$5:$M$242, "2")+C10</f>
        <v>1265959.3350600004</v>
      </c>
      <c r="E10" s="272">
        <f>SUMIFS('Heat connections'!$T$5:$T$242,'Heat connections'!$N$5:$N$242, "Yes",'Heat connections'!$M$5:$M$242, "3")+D10</f>
        <v>1265959.3350600004</v>
      </c>
    </row>
    <row r="12" spans="1:9" x14ac:dyDescent="0.2">
      <c r="A12" s="51"/>
      <c r="B12" s="33" t="s">
        <v>73</v>
      </c>
      <c r="C12" s="33"/>
      <c r="D12" s="51"/>
      <c r="E12" s="51"/>
      <c r="F12" s="51"/>
      <c r="G12" s="51"/>
      <c r="H12" s="51"/>
      <c r="I12" s="5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BF738-3B31-4E0F-845E-1B69928F5FB9}">
  <sheetPr>
    <tabColor theme="7" tint="0.79998168889431442"/>
  </sheetPr>
  <dimension ref="A2:BL186"/>
  <sheetViews>
    <sheetView workbookViewId="0">
      <selection activeCell="E22" sqref="E22"/>
    </sheetView>
  </sheetViews>
  <sheetFormatPr defaultColWidth="9.140625" defaultRowHeight="12.75" x14ac:dyDescent="0.2"/>
  <cols>
    <col min="1" max="1" width="3.28515625" style="11" customWidth="1"/>
    <col min="2" max="2" width="66.28515625" style="11" customWidth="1"/>
    <col min="3" max="3" width="18" style="11" customWidth="1"/>
    <col min="4" max="4" width="15" style="11" customWidth="1"/>
    <col min="5" max="5" width="14.7109375" style="11" customWidth="1"/>
    <col min="6" max="64" width="15" style="11" customWidth="1"/>
    <col min="65" max="16384" width="9.140625" style="11"/>
  </cols>
  <sheetData>
    <row r="2" spans="1:64" s="10" customFormat="1" x14ac:dyDescent="0.2">
      <c r="A2" s="10">
        <v>1</v>
      </c>
      <c r="B2" s="10" t="s">
        <v>244</v>
      </c>
    </row>
    <row r="3" spans="1:64" x14ac:dyDescent="0.2">
      <c r="C3" s="35" t="s">
        <v>245</v>
      </c>
      <c r="D3" s="35">
        <v>0</v>
      </c>
      <c r="E3" s="35">
        <v>1</v>
      </c>
      <c r="F3" s="35">
        <v>2</v>
      </c>
      <c r="G3" s="35">
        <v>3</v>
      </c>
      <c r="H3" s="35">
        <v>4</v>
      </c>
      <c r="I3" s="35">
        <v>5</v>
      </c>
      <c r="J3" s="35">
        <v>6</v>
      </c>
      <c r="K3" s="35">
        <v>7</v>
      </c>
      <c r="L3" s="35">
        <v>8</v>
      </c>
      <c r="M3" s="35">
        <v>9</v>
      </c>
      <c r="N3" s="35">
        <v>10</v>
      </c>
      <c r="O3" s="35">
        <v>11</v>
      </c>
      <c r="P3" s="35">
        <v>12</v>
      </c>
      <c r="Q3" s="35">
        <v>13</v>
      </c>
      <c r="R3" s="35">
        <v>14</v>
      </c>
      <c r="S3" s="35">
        <v>15</v>
      </c>
      <c r="T3" s="35">
        <v>16</v>
      </c>
      <c r="U3" s="35">
        <v>17</v>
      </c>
      <c r="V3" s="35">
        <v>18</v>
      </c>
      <c r="W3" s="35">
        <v>19</v>
      </c>
      <c r="X3" s="35">
        <v>20</v>
      </c>
      <c r="Y3" s="35">
        <v>21</v>
      </c>
      <c r="Z3" s="35">
        <v>22</v>
      </c>
      <c r="AA3" s="35">
        <v>23</v>
      </c>
      <c r="AB3" s="35">
        <v>24</v>
      </c>
      <c r="AC3" s="35">
        <v>25</v>
      </c>
      <c r="AD3" s="35">
        <v>26</v>
      </c>
      <c r="AE3" s="35">
        <v>27</v>
      </c>
      <c r="AF3" s="35">
        <v>28</v>
      </c>
      <c r="AG3" s="35">
        <v>29</v>
      </c>
      <c r="AH3" s="35">
        <v>30</v>
      </c>
      <c r="AI3" s="35">
        <v>31</v>
      </c>
      <c r="AJ3" s="35">
        <v>32</v>
      </c>
      <c r="AK3" s="35">
        <v>33</v>
      </c>
      <c r="AL3" s="35">
        <v>34</v>
      </c>
      <c r="AM3" s="35">
        <v>35</v>
      </c>
      <c r="AN3" s="35">
        <v>36</v>
      </c>
      <c r="AO3" s="35">
        <v>37</v>
      </c>
      <c r="AP3" s="35">
        <v>38</v>
      </c>
      <c r="AQ3" s="35">
        <v>39</v>
      </c>
      <c r="AR3" s="35">
        <v>40</v>
      </c>
      <c r="AS3" s="35">
        <v>41</v>
      </c>
      <c r="AT3" s="35">
        <v>42</v>
      </c>
      <c r="AU3" s="35">
        <v>43</v>
      </c>
      <c r="AV3" s="35">
        <v>44</v>
      </c>
      <c r="AW3" s="35">
        <v>45</v>
      </c>
      <c r="AX3" s="35">
        <v>46</v>
      </c>
      <c r="AY3" s="35">
        <v>47</v>
      </c>
      <c r="AZ3" s="35">
        <v>48</v>
      </c>
      <c r="BA3" s="35">
        <v>49</v>
      </c>
      <c r="BB3" s="35">
        <v>50</v>
      </c>
      <c r="BC3" s="35">
        <v>51</v>
      </c>
      <c r="BD3" s="35">
        <v>52</v>
      </c>
      <c r="BE3" s="35">
        <v>53</v>
      </c>
      <c r="BF3" s="35">
        <v>54</v>
      </c>
      <c r="BG3" s="35">
        <v>55</v>
      </c>
      <c r="BH3" s="35">
        <v>56</v>
      </c>
      <c r="BI3" s="35">
        <v>57</v>
      </c>
      <c r="BJ3" s="35">
        <v>58</v>
      </c>
      <c r="BK3" s="35">
        <v>59</v>
      </c>
      <c r="BL3" s="35">
        <v>60</v>
      </c>
    </row>
    <row r="4" spans="1:64" x14ac:dyDescent="0.2">
      <c r="C4" s="35" t="s">
        <v>147</v>
      </c>
      <c r="D4" s="35"/>
      <c r="E4" s="35">
        <f>SUM(E6:E8)</f>
        <v>1</v>
      </c>
      <c r="F4" s="35">
        <f t="shared" ref="F4:BL4" si="0">SUM(F6:F8)</f>
        <v>1</v>
      </c>
      <c r="G4" s="35">
        <f t="shared" si="0"/>
        <v>1</v>
      </c>
      <c r="H4" s="35">
        <f t="shared" si="0"/>
        <v>1</v>
      </c>
      <c r="I4" s="35">
        <f t="shared" si="0"/>
        <v>1</v>
      </c>
      <c r="J4" s="35">
        <f t="shared" si="0"/>
        <v>2</v>
      </c>
      <c r="K4" s="35">
        <f t="shared" si="0"/>
        <v>2</v>
      </c>
      <c r="L4" s="35">
        <f t="shared" si="0"/>
        <v>2</v>
      </c>
      <c r="M4" s="35">
        <f t="shared" si="0"/>
        <v>2</v>
      </c>
      <c r="N4" s="35">
        <f t="shared" si="0"/>
        <v>2</v>
      </c>
      <c r="O4" s="35">
        <f t="shared" si="0"/>
        <v>3</v>
      </c>
      <c r="P4" s="35">
        <f t="shared" si="0"/>
        <v>3</v>
      </c>
      <c r="Q4" s="35">
        <f t="shared" si="0"/>
        <v>3</v>
      </c>
      <c r="R4" s="35">
        <f t="shared" si="0"/>
        <v>3</v>
      </c>
      <c r="S4" s="35">
        <f t="shared" si="0"/>
        <v>3</v>
      </c>
      <c r="T4" s="35">
        <f t="shared" si="0"/>
        <v>3</v>
      </c>
      <c r="U4" s="35">
        <f t="shared" si="0"/>
        <v>3</v>
      </c>
      <c r="V4" s="35">
        <f t="shared" si="0"/>
        <v>3</v>
      </c>
      <c r="W4" s="35">
        <f t="shared" si="0"/>
        <v>3</v>
      </c>
      <c r="X4" s="35">
        <f t="shared" si="0"/>
        <v>3</v>
      </c>
      <c r="Y4" s="35">
        <f t="shared" si="0"/>
        <v>3</v>
      </c>
      <c r="Z4" s="35">
        <f t="shared" si="0"/>
        <v>3</v>
      </c>
      <c r="AA4" s="35">
        <f t="shared" si="0"/>
        <v>3</v>
      </c>
      <c r="AB4" s="35">
        <f t="shared" si="0"/>
        <v>3</v>
      </c>
      <c r="AC4" s="35">
        <f t="shared" si="0"/>
        <v>3</v>
      </c>
      <c r="AD4" s="35">
        <f t="shared" si="0"/>
        <v>3</v>
      </c>
      <c r="AE4" s="35">
        <f t="shared" si="0"/>
        <v>3</v>
      </c>
      <c r="AF4" s="35">
        <f t="shared" si="0"/>
        <v>3</v>
      </c>
      <c r="AG4" s="35">
        <f t="shared" si="0"/>
        <v>3</v>
      </c>
      <c r="AH4" s="35">
        <f t="shared" si="0"/>
        <v>3</v>
      </c>
      <c r="AI4" s="35">
        <f t="shared" si="0"/>
        <v>3</v>
      </c>
      <c r="AJ4" s="35">
        <f t="shared" si="0"/>
        <v>3</v>
      </c>
      <c r="AK4" s="35">
        <f t="shared" si="0"/>
        <v>3</v>
      </c>
      <c r="AL4" s="35">
        <f t="shared" si="0"/>
        <v>3</v>
      </c>
      <c r="AM4" s="35">
        <f t="shared" si="0"/>
        <v>3</v>
      </c>
      <c r="AN4" s="35">
        <f t="shared" si="0"/>
        <v>3</v>
      </c>
      <c r="AO4" s="35">
        <f t="shared" si="0"/>
        <v>3</v>
      </c>
      <c r="AP4" s="35">
        <f t="shared" si="0"/>
        <v>3</v>
      </c>
      <c r="AQ4" s="35">
        <f t="shared" si="0"/>
        <v>3</v>
      </c>
      <c r="AR4" s="35">
        <f t="shared" si="0"/>
        <v>3</v>
      </c>
      <c r="AS4" s="35">
        <f t="shared" si="0"/>
        <v>3</v>
      </c>
      <c r="AT4" s="35">
        <f t="shared" si="0"/>
        <v>3</v>
      </c>
      <c r="AU4" s="35">
        <f t="shared" si="0"/>
        <v>3</v>
      </c>
      <c r="AV4" s="35">
        <f t="shared" si="0"/>
        <v>3</v>
      </c>
      <c r="AW4" s="35">
        <f t="shared" si="0"/>
        <v>3</v>
      </c>
      <c r="AX4" s="35">
        <f t="shared" si="0"/>
        <v>3</v>
      </c>
      <c r="AY4" s="35">
        <f t="shared" si="0"/>
        <v>3</v>
      </c>
      <c r="AZ4" s="35">
        <f t="shared" si="0"/>
        <v>3</v>
      </c>
      <c r="BA4" s="35">
        <f t="shared" si="0"/>
        <v>3</v>
      </c>
      <c r="BB4" s="35">
        <f t="shared" si="0"/>
        <v>3</v>
      </c>
      <c r="BC4" s="35">
        <f t="shared" si="0"/>
        <v>3</v>
      </c>
      <c r="BD4" s="35">
        <f t="shared" si="0"/>
        <v>3</v>
      </c>
      <c r="BE4" s="35">
        <f t="shared" si="0"/>
        <v>3</v>
      </c>
      <c r="BF4" s="35">
        <f t="shared" si="0"/>
        <v>3</v>
      </c>
      <c r="BG4" s="35">
        <f t="shared" si="0"/>
        <v>3</v>
      </c>
      <c r="BH4" s="35">
        <f t="shared" si="0"/>
        <v>3</v>
      </c>
      <c r="BI4" s="35">
        <f t="shared" si="0"/>
        <v>3</v>
      </c>
      <c r="BJ4" s="35">
        <f t="shared" si="0"/>
        <v>3</v>
      </c>
      <c r="BK4" s="35">
        <f t="shared" si="0"/>
        <v>3</v>
      </c>
      <c r="BL4" s="35">
        <f t="shared" si="0"/>
        <v>3</v>
      </c>
    </row>
    <row r="5" spans="1:64" x14ac:dyDescent="0.2">
      <c r="C5" s="35" t="s">
        <v>246</v>
      </c>
      <c r="D5" s="124">
        <f>DATE(YEAR(E5)-1,12,31)</f>
        <v>46387</v>
      </c>
      <c r="E5" s="124">
        <f>DATE(Dashboard!$C$26,12,31)</f>
        <v>46752</v>
      </c>
      <c r="F5" s="124">
        <f>DATE(YEAR(E5)+1,12,31)</f>
        <v>47118</v>
      </c>
      <c r="G5" s="124">
        <f t="shared" ref="G5:BL5" si="1">DATE(YEAR(F5)+1,12,31)</f>
        <v>47483</v>
      </c>
      <c r="H5" s="124">
        <f t="shared" si="1"/>
        <v>47848</v>
      </c>
      <c r="I5" s="124">
        <f t="shared" si="1"/>
        <v>48213</v>
      </c>
      <c r="J5" s="124">
        <f t="shared" si="1"/>
        <v>48579</v>
      </c>
      <c r="K5" s="124">
        <f t="shared" si="1"/>
        <v>48944</v>
      </c>
      <c r="L5" s="124">
        <f t="shared" si="1"/>
        <v>49309</v>
      </c>
      <c r="M5" s="124">
        <f t="shared" si="1"/>
        <v>49674</v>
      </c>
      <c r="N5" s="124">
        <f t="shared" si="1"/>
        <v>50040</v>
      </c>
      <c r="O5" s="124">
        <f t="shared" si="1"/>
        <v>50405</v>
      </c>
      <c r="P5" s="124">
        <f t="shared" si="1"/>
        <v>50770</v>
      </c>
      <c r="Q5" s="124">
        <f t="shared" si="1"/>
        <v>51135</v>
      </c>
      <c r="R5" s="124">
        <f t="shared" si="1"/>
        <v>51501</v>
      </c>
      <c r="S5" s="124">
        <f t="shared" si="1"/>
        <v>51866</v>
      </c>
      <c r="T5" s="124">
        <f t="shared" si="1"/>
        <v>52231</v>
      </c>
      <c r="U5" s="124">
        <f t="shared" si="1"/>
        <v>52596</v>
      </c>
      <c r="V5" s="124">
        <f t="shared" si="1"/>
        <v>52962</v>
      </c>
      <c r="W5" s="124">
        <f t="shared" si="1"/>
        <v>53327</v>
      </c>
      <c r="X5" s="124">
        <f t="shared" si="1"/>
        <v>53692</v>
      </c>
      <c r="Y5" s="124">
        <f t="shared" si="1"/>
        <v>54057</v>
      </c>
      <c r="Z5" s="124">
        <f t="shared" si="1"/>
        <v>54423</v>
      </c>
      <c r="AA5" s="124">
        <f t="shared" si="1"/>
        <v>54788</v>
      </c>
      <c r="AB5" s="124">
        <f t="shared" si="1"/>
        <v>55153</v>
      </c>
      <c r="AC5" s="124">
        <f t="shared" si="1"/>
        <v>55518</v>
      </c>
      <c r="AD5" s="124">
        <f t="shared" si="1"/>
        <v>55884</v>
      </c>
      <c r="AE5" s="124">
        <f t="shared" si="1"/>
        <v>56249</v>
      </c>
      <c r="AF5" s="124">
        <f t="shared" si="1"/>
        <v>56614</v>
      </c>
      <c r="AG5" s="124">
        <f t="shared" si="1"/>
        <v>56979</v>
      </c>
      <c r="AH5" s="124">
        <f t="shared" si="1"/>
        <v>57345</v>
      </c>
      <c r="AI5" s="124">
        <f t="shared" si="1"/>
        <v>57710</v>
      </c>
      <c r="AJ5" s="124">
        <f t="shared" si="1"/>
        <v>58075</v>
      </c>
      <c r="AK5" s="124">
        <f t="shared" si="1"/>
        <v>58440</v>
      </c>
      <c r="AL5" s="124">
        <f t="shared" si="1"/>
        <v>58806</v>
      </c>
      <c r="AM5" s="124">
        <f t="shared" si="1"/>
        <v>59171</v>
      </c>
      <c r="AN5" s="124">
        <f t="shared" si="1"/>
        <v>59536</v>
      </c>
      <c r="AO5" s="124">
        <f t="shared" si="1"/>
        <v>59901</v>
      </c>
      <c r="AP5" s="124">
        <f t="shared" si="1"/>
        <v>60267</v>
      </c>
      <c r="AQ5" s="124">
        <f t="shared" si="1"/>
        <v>60632</v>
      </c>
      <c r="AR5" s="124">
        <f t="shared" si="1"/>
        <v>60997</v>
      </c>
      <c r="AS5" s="124">
        <f t="shared" si="1"/>
        <v>61362</v>
      </c>
      <c r="AT5" s="124">
        <f t="shared" si="1"/>
        <v>61728</v>
      </c>
      <c r="AU5" s="124">
        <f t="shared" si="1"/>
        <v>62093</v>
      </c>
      <c r="AV5" s="124">
        <f t="shared" si="1"/>
        <v>62458</v>
      </c>
      <c r="AW5" s="124">
        <f t="shared" si="1"/>
        <v>62823</v>
      </c>
      <c r="AX5" s="124">
        <f t="shared" si="1"/>
        <v>63189</v>
      </c>
      <c r="AY5" s="124">
        <f t="shared" si="1"/>
        <v>63554</v>
      </c>
      <c r="AZ5" s="124">
        <f t="shared" si="1"/>
        <v>63919</v>
      </c>
      <c r="BA5" s="124">
        <f t="shared" si="1"/>
        <v>64284</v>
      </c>
      <c r="BB5" s="124">
        <f t="shared" si="1"/>
        <v>64650</v>
      </c>
      <c r="BC5" s="124">
        <f t="shared" si="1"/>
        <v>65015</v>
      </c>
      <c r="BD5" s="124">
        <f t="shared" si="1"/>
        <v>65380</v>
      </c>
      <c r="BE5" s="124">
        <f t="shared" si="1"/>
        <v>65745</v>
      </c>
      <c r="BF5" s="124">
        <f t="shared" si="1"/>
        <v>66111</v>
      </c>
      <c r="BG5" s="124">
        <f t="shared" si="1"/>
        <v>66476</v>
      </c>
      <c r="BH5" s="124">
        <f t="shared" si="1"/>
        <v>66841</v>
      </c>
      <c r="BI5" s="124">
        <f t="shared" si="1"/>
        <v>67206</v>
      </c>
      <c r="BJ5" s="124">
        <f t="shared" si="1"/>
        <v>67572</v>
      </c>
      <c r="BK5" s="124">
        <f t="shared" si="1"/>
        <v>67937</v>
      </c>
      <c r="BL5" s="124">
        <f t="shared" si="1"/>
        <v>68302</v>
      </c>
    </row>
    <row r="6" spans="1:64" x14ac:dyDescent="0.2">
      <c r="B6" s="11" t="s">
        <v>247</v>
      </c>
      <c r="C6" s="35"/>
      <c r="D6" s="35"/>
      <c r="E6" s="35">
        <f>IF(Dashboard!$C$26&lt;=YEAR(E$5),1,0)</f>
        <v>1</v>
      </c>
      <c r="F6" s="35">
        <f>IF(Dashboard!$C$26&lt;=YEAR(F$5),1,0)</f>
        <v>1</v>
      </c>
      <c r="G6" s="35">
        <f>IF(Dashboard!$C$26&lt;=YEAR(G$5),1,0)</f>
        <v>1</v>
      </c>
      <c r="H6" s="35">
        <f>IF(Dashboard!$C$26&lt;=YEAR(H$5),1,0)</f>
        <v>1</v>
      </c>
      <c r="I6" s="35">
        <f>IF(Dashboard!$C$26&lt;=YEAR(I$5),1,0)</f>
        <v>1</v>
      </c>
      <c r="J6" s="35">
        <f>IF(Dashboard!$C$26&lt;=YEAR(J$5),1,0)</f>
        <v>1</v>
      </c>
      <c r="K6" s="35">
        <f>IF(Dashboard!$C$26&lt;=YEAR(K$5),1,0)</f>
        <v>1</v>
      </c>
      <c r="L6" s="35">
        <f>IF(Dashboard!$C$26&lt;=YEAR(L$5),1,0)</f>
        <v>1</v>
      </c>
      <c r="M6" s="35">
        <f>IF(Dashboard!$C$26&lt;=YEAR(M$5),1,0)</f>
        <v>1</v>
      </c>
      <c r="N6" s="35">
        <f>IF(Dashboard!$C$26&lt;=YEAR(N$5),1,0)</f>
        <v>1</v>
      </c>
      <c r="O6" s="35">
        <f>IF(Dashboard!$C$26&lt;=YEAR(O$5),1,0)</f>
        <v>1</v>
      </c>
      <c r="P6" s="35">
        <f>IF(Dashboard!$C$26&lt;=YEAR(P$5),1,0)</f>
        <v>1</v>
      </c>
      <c r="Q6" s="35">
        <f>IF(Dashboard!$C$26&lt;=YEAR(Q$5),1,0)</f>
        <v>1</v>
      </c>
      <c r="R6" s="35">
        <f>IF(Dashboard!$C$26&lt;=YEAR(R$5),1,0)</f>
        <v>1</v>
      </c>
      <c r="S6" s="35">
        <f>IF(Dashboard!$C$26&lt;=YEAR(S$5),1,0)</f>
        <v>1</v>
      </c>
      <c r="T6" s="35">
        <f>IF(Dashboard!$C$26&lt;=YEAR(T$5),1,0)</f>
        <v>1</v>
      </c>
      <c r="U6" s="35">
        <f>IF(Dashboard!$C$26&lt;=YEAR(U$5),1,0)</f>
        <v>1</v>
      </c>
      <c r="V6" s="35">
        <f>IF(Dashboard!$C$26&lt;=YEAR(V$5),1,0)</f>
        <v>1</v>
      </c>
      <c r="W6" s="35">
        <f>IF(Dashboard!$C$26&lt;=YEAR(W$5),1,0)</f>
        <v>1</v>
      </c>
      <c r="X6" s="35">
        <f>IF(Dashboard!$C$26&lt;=YEAR(X$5),1,0)</f>
        <v>1</v>
      </c>
      <c r="Y6" s="35">
        <f>IF(Dashboard!$C$26&lt;=YEAR(Y$5),1,0)</f>
        <v>1</v>
      </c>
      <c r="Z6" s="35">
        <f>IF(Dashboard!$C$26&lt;=YEAR(Z$5),1,0)</f>
        <v>1</v>
      </c>
      <c r="AA6" s="35">
        <f>IF(Dashboard!$C$26&lt;=YEAR(AA$5),1,0)</f>
        <v>1</v>
      </c>
      <c r="AB6" s="35">
        <f>IF(Dashboard!$C$26&lt;=YEAR(AB$5),1,0)</f>
        <v>1</v>
      </c>
      <c r="AC6" s="35">
        <f>IF(Dashboard!$C$26&lt;=YEAR(AC$5),1,0)</f>
        <v>1</v>
      </c>
      <c r="AD6" s="35">
        <f>IF(Dashboard!$C$26&lt;=YEAR(AD$5),1,0)</f>
        <v>1</v>
      </c>
      <c r="AE6" s="35">
        <f>IF(Dashboard!$C$26&lt;=YEAR(AE$5),1,0)</f>
        <v>1</v>
      </c>
      <c r="AF6" s="35">
        <f>IF(Dashboard!$C$26&lt;=YEAR(AF$5),1,0)</f>
        <v>1</v>
      </c>
      <c r="AG6" s="35">
        <f>IF(Dashboard!$C$26&lt;=YEAR(AG$5),1,0)</f>
        <v>1</v>
      </c>
      <c r="AH6" s="35">
        <f>IF(Dashboard!$C$26&lt;=YEAR(AH$5),1,0)</f>
        <v>1</v>
      </c>
      <c r="AI6" s="35">
        <f>IF(Dashboard!$C$26&lt;=YEAR(AI$5),1,0)</f>
        <v>1</v>
      </c>
      <c r="AJ6" s="35">
        <f>IF(Dashboard!$C$26&lt;=YEAR(AJ$5),1,0)</f>
        <v>1</v>
      </c>
      <c r="AK6" s="35">
        <f>IF(Dashboard!$C$26&lt;=YEAR(AK$5),1,0)</f>
        <v>1</v>
      </c>
      <c r="AL6" s="35">
        <f>IF(Dashboard!$C$26&lt;=YEAR(AL$5),1,0)</f>
        <v>1</v>
      </c>
      <c r="AM6" s="35">
        <f>IF(Dashboard!$C$26&lt;=YEAR(AM$5),1,0)</f>
        <v>1</v>
      </c>
      <c r="AN6" s="35">
        <f>IF(Dashboard!$C$26&lt;=YEAR(AN$5),1,0)</f>
        <v>1</v>
      </c>
      <c r="AO6" s="35">
        <f>IF(Dashboard!$C$26&lt;=YEAR(AO$5),1,0)</f>
        <v>1</v>
      </c>
      <c r="AP6" s="35">
        <f>IF(Dashboard!$C$26&lt;=YEAR(AP$5),1,0)</f>
        <v>1</v>
      </c>
      <c r="AQ6" s="35">
        <f>IF(Dashboard!$C$26&lt;=YEAR(AQ$5),1,0)</f>
        <v>1</v>
      </c>
      <c r="AR6" s="35">
        <f>IF(Dashboard!$C$26&lt;=YEAR(AR$5),1,0)</f>
        <v>1</v>
      </c>
      <c r="AS6" s="35">
        <f>IF(Dashboard!$C$26&lt;=YEAR(AS$5),1,0)</f>
        <v>1</v>
      </c>
      <c r="AT6" s="35">
        <f>IF(Dashboard!$C$26&lt;=YEAR(AT$5),1,0)</f>
        <v>1</v>
      </c>
      <c r="AU6" s="35">
        <f>IF(Dashboard!$C$26&lt;=YEAR(AU$5),1,0)</f>
        <v>1</v>
      </c>
      <c r="AV6" s="35">
        <f>IF(Dashboard!$C$26&lt;=YEAR(AV$5),1,0)</f>
        <v>1</v>
      </c>
      <c r="AW6" s="35">
        <f>IF(Dashboard!$C$26&lt;=YEAR(AW$5),1,0)</f>
        <v>1</v>
      </c>
      <c r="AX6" s="35">
        <f>IF(Dashboard!$C$26&lt;=YEAR(AX$5),1,0)</f>
        <v>1</v>
      </c>
      <c r="AY6" s="35">
        <f>IF(Dashboard!$C$26&lt;=YEAR(AY$5),1,0)</f>
        <v>1</v>
      </c>
      <c r="AZ6" s="35">
        <f>IF(Dashboard!$C$26&lt;=YEAR(AZ$5),1,0)</f>
        <v>1</v>
      </c>
      <c r="BA6" s="35">
        <f>IF(Dashboard!$C$26&lt;=YEAR(BA$5),1,0)</f>
        <v>1</v>
      </c>
      <c r="BB6" s="35">
        <f>IF(Dashboard!$C$26&lt;=YEAR(BB$5),1,0)</f>
        <v>1</v>
      </c>
      <c r="BC6" s="35">
        <f>IF(Dashboard!$C$26&lt;=YEAR(BC$5),1,0)</f>
        <v>1</v>
      </c>
      <c r="BD6" s="35">
        <f>IF(Dashboard!$C$26&lt;=YEAR(BD$5),1,0)</f>
        <v>1</v>
      </c>
      <c r="BE6" s="35">
        <f>IF(Dashboard!$C$26&lt;=YEAR(BE$5),1,0)</f>
        <v>1</v>
      </c>
      <c r="BF6" s="35">
        <f>IF(Dashboard!$C$26&lt;=YEAR(BF$5),1,0)</f>
        <v>1</v>
      </c>
      <c r="BG6" s="35">
        <f>IF(Dashboard!$C$26&lt;=YEAR(BG$5),1,0)</f>
        <v>1</v>
      </c>
      <c r="BH6" s="35">
        <f>IF(Dashboard!$C$26&lt;=YEAR(BH$5),1,0)</f>
        <v>1</v>
      </c>
      <c r="BI6" s="35">
        <f>IF(Dashboard!$C$26&lt;=YEAR(BI$5),1,0)</f>
        <v>1</v>
      </c>
      <c r="BJ6" s="35">
        <f>IF(Dashboard!$C$26&lt;=YEAR(BJ$5),1,0)</f>
        <v>1</v>
      </c>
      <c r="BK6" s="35">
        <f>IF(Dashboard!$C$26&lt;=YEAR(BK$5),1,0)</f>
        <v>1</v>
      </c>
      <c r="BL6" s="35">
        <f>IF(Dashboard!$C$26&lt;=YEAR(BL$5),1,0)</f>
        <v>1</v>
      </c>
    </row>
    <row r="7" spans="1:64" x14ac:dyDescent="0.2">
      <c r="B7" s="11" t="s">
        <v>248</v>
      </c>
      <c r="C7" s="35"/>
      <c r="D7" s="35"/>
      <c r="E7" s="35">
        <f>IF(Dashboard!$C$27&lt;=YEAR(E$5),1*(Dashboard!$G$29+Dashboard!$H$29),0)</f>
        <v>0</v>
      </c>
      <c r="F7" s="35">
        <f>IF(Dashboard!$C$27&lt;=YEAR(F$5),1*(Dashboard!$G$29+Dashboard!$H$29),0)</f>
        <v>0</v>
      </c>
      <c r="G7" s="35">
        <f>IF(Dashboard!$C$27&lt;=YEAR(G$5),1*(Dashboard!$G$29+Dashboard!$H$29),0)</f>
        <v>0</v>
      </c>
      <c r="H7" s="35">
        <f>IF(Dashboard!$C$27&lt;=YEAR(H$5),1*(Dashboard!$G$29+Dashboard!$H$29),0)</f>
        <v>0</v>
      </c>
      <c r="I7" s="35">
        <f>IF(Dashboard!$C$27&lt;=YEAR(I$5),1*(Dashboard!$G$29+Dashboard!$H$29),0)</f>
        <v>0</v>
      </c>
      <c r="J7" s="35">
        <f>IF(Dashboard!$C$27&lt;=YEAR(J$5),1*(Dashboard!$G$29+Dashboard!$H$29),0)</f>
        <v>1</v>
      </c>
      <c r="K7" s="35">
        <f>IF(Dashboard!$C$27&lt;=YEAR(K$5),1*(Dashboard!$G$29+Dashboard!$H$29),0)</f>
        <v>1</v>
      </c>
      <c r="L7" s="35">
        <f>IF(Dashboard!$C$27&lt;=YEAR(L$5),1*(Dashboard!$G$29+Dashboard!$H$29),0)</f>
        <v>1</v>
      </c>
      <c r="M7" s="35">
        <f>IF(Dashboard!$C$27&lt;=YEAR(M$5),1*(Dashboard!$G$29+Dashboard!$H$29),0)</f>
        <v>1</v>
      </c>
      <c r="N7" s="35">
        <f>IF(Dashboard!$C$27&lt;=YEAR(N$5),1*(Dashboard!$G$29+Dashboard!$H$29),0)</f>
        <v>1</v>
      </c>
      <c r="O7" s="35">
        <f>IF(Dashboard!$C$27&lt;=YEAR(O$5),1*(Dashboard!$G$29+Dashboard!$H$29),0)</f>
        <v>1</v>
      </c>
      <c r="P7" s="35">
        <f>IF(Dashboard!$C$27&lt;=YEAR(P$5),1*(Dashboard!$G$29+Dashboard!$H$29),0)</f>
        <v>1</v>
      </c>
      <c r="Q7" s="35">
        <f>IF(Dashboard!$C$27&lt;=YEAR(Q$5),1*(Dashboard!$G$29+Dashboard!$H$29),0)</f>
        <v>1</v>
      </c>
      <c r="R7" s="35">
        <f>IF(Dashboard!$C$27&lt;=YEAR(R$5),1*(Dashboard!$G$29+Dashboard!$H$29),0)</f>
        <v>1</v>
      </c>
      <c r="S7" s="35">
        <f>IF(Dashboard!$C$27&lt;=YEAR(S$5),1*(Dashboard!$G$29+Dashboard!$H$29),0)</f>
        <v>1</v>
      </c>
      <c r="T7" s="35">
        <f>IF(Dashboard!$C$27&lt;=YEAR(T$5),1*(Dashboard!$G$29+Dashboard!$H$29),0)</f>
        <v>1</v>
      </c>
      <c r="U7" s="35">
        <f>IF(Dashboard!$C$27&lt;=YEAR(U$5),1*(Dashboard!$G$29+Dashboard!$H$29),0)</f>
        <v>1</v>
      </c>
      <c r="V7" s="35">
        <f>IF(Dashboard!$C$27&lt;=YEAR(V$5),1*(Dashboard!$G$29+Dashboard!$H$29),0)</f>
        <v>1</v>
      </c>
      <c r="W7" s="35">
        <f>IF(Dashboard!$C$27&lt;=YEAR(W$5),1*(Dashboard!$G$29+Dashboard!$H$29),0)</f>
        <v>1</v>
      </c>
      <c r="X7" s="35">
        <f>IF(Dashboard!$C$27&lt;=YEAR(X$5),1*(Dashboard!$G$29+Dashboard!$H$29),0)</f>
        <v>1</v>
      </c>
      <c r="Y7" s="35">
        <f>IF(Dashboard!$C$27&lt;=YEAR(Y$5),1*(Dashboard!$G$29+Dashboard!$H$29),0)</f>
        <v>1</v>
      </c>
      <c r="Z7" s="35">
        <f>IF(Dashboard!$C$27&lt;=YEAR(Z$5),1*(Dashboard!$G$29+Dashboard!$H$29),0)</f>
        <v>1</v>
      </c>
      <c r="AA7" s="35">
        <f>IF(Dashboard!$C$27&lt;=YEAR(AA$5),1*(Dashboard!$G$29+Dashboard!$H$29),0)</f>
        <v>1</v>
      </c>
      <c r="AB7" s="35">
        <f>IF(Dashboard!$C$27&lt;=YEAR(AB$5),1*(Dashboard!$G$29+Dashboard!$H$29),0)</f>
        <v>1</v>
      </c>
      <c r="AC7" s="35">
        <f>IF(Dashboard!$C$27&lt;=YEAR(AC$5),1*(Dashboard!$G$29+Dashboard!$H$29),0)</f>
        <v>1</v>
      </c>
      <c r="AD7" s="35">
        <f>IF(Dashboard!$C$27&lt;=YEAR(AD$5),1*(Dashboard!$G$29+Dashboard!$H$29),0)</f>
        <v>1</v>
      </c>
      <c r="AE7" s="35">
        <f>IF(Dashboard!$C$27&lt;=YEAR(AE$5),1*(Dashboard!$G$29+Dashboard!$H$29),0)</f>
        <v>1</v>
      </c>
      <c r="AF7" s="35">
        <f>IF(Dashboard!$C$27&lt;=YEAR(AF$5),1*(Dashboard!$G$29+Dashboard!$H$29),0)</f>
        <v>1</v>
      </c>
      <c r="AG7" s="35">
        <f>IF(Dashboard!$C$27&lt;=YEAR(AG$5),1*(Dashboard!$G$29+Dashboard!$H$29),0)</f>
        <v>1</v>
      </c>
      <c r="AH7" s="35">
        <f>IF(Dashboard!$C$27&lt;=YEAR(AH$5),1*(Dashboard!$G$29+Dashboard!$H$29),0)</f>
        <v>1</v>
      </c>
      <c r="AI7" s="35">
        <f>IF(Dashboard!$C$27&lt;=YEAR(AI$5),1*(Dashboard!$G$29+Dashboard!$H$29),0)</f>
        <v>1</v>
      </c>
      <c r="AJ7" s="35">
        <f>IF(Dashboard!$C$27&lt;=YEAR(AJ$5),1*(Dashboard!$G$29+Dashboard!$H$29),0)</f>
        <v>1</v>
      </c>
      <c r="AK7" s="35">
        <f>IF(Dashboard!$C$27&lt;=YEAR(AK$5),1*(Dashboard!$G$29+Dashboard!$H$29),0)</f>
        <v>1</v>
      </c>
      <c r="AL7" s="35">
        <f>IF(Dashboard!$C$27&lt;=YEAR(AL$5),1*(Dashboard!$G$29+Dashboard!$H$29),0)</f>
        <v>1</v>
      </c>
      <c r="AM7" s="35">
        <f>IF(Dashboard!$C$27&lt;=YEAR(AM$5),1*(Dashboard!$G$29+Dashboard!$H$29),0)</f>
        <v>1</v>
      </c>
      <c r="AN7" s="35">
        <f>IF(Dashboard!$C$27&lt;=YEAR(AN$5),1*(Dashboard!$G$29+Dashboard!$H$29),0)</f>
        <v>1</v>
      </c>
      <c r="AO7" s="35">
        <f>IF(Dashboard!$C$27&lt;=YEAR(AO$5),1*(Dashboard!$G$29+Dashboard!$H$29),0)</f>
        <v>1</v>
      </c>
      <c r="AP7" s="35">
        <f>IF(Dashboard!$C$27&lt;=YEAR(AP$5),1*(Dashboard!$G$29+Dashboard!$H$29),0)</f>
        <v>1</v>
      </c>
      <c r="AQ7" s="35">
        <f>IF(Dashboard!$C$27&lt;=YEAR(AQ$5),1*(Dashboard!$G$29+Dashboard!$H$29),0)</f>
        <v>1</v>
      </c>
      <c r="AR7" s="35">
        <f>IF(Dashboard!$C$27&lt;=YEAR(AR$5),1*(Dashboard!$G$29+Dashboard!$H$29),0)</f>
        <v>1</v>
      </c>
      <c r="AS7" s="35">
        <f>IF(Dashboard!$C$27&lt;=YEAR(AS$5),1*(Dashboard!$G$29+Dashboard!$H$29),0)</f>
        <v>1</v>
      </c>
      <c r="AT7" s="35">
        <f>IF(Dashboard!$C$27&lt;=YEAR(AT$5),1*(Dashboard!$G$29+Dashboard!$H$29),0)</f>
        <v>1</v>
      </c>
      <c r="AU7" s="35">
        <f>IF(Dashboard!$C$27&lt;=YEAR(AU$5),1*(Dashboard!$G$29+Dashboard!$H$29),0)</f>
        <v>1</v>
      </c>
      <c r="AV7" s="35">
        <f>IF(Dashboard!$C$27&lt;=YEAR(AV$5),1*(Dashboard!$G$29+Dashboard!$H$29),0)</f>
        <v>1</v>
      </c>
      <c r="AW7" s="35">
        <f>IF(Dashboard!$C$27&lt;=YEAR(AW$5),1*(Dashboard!$G$29+Dashboard!$H$29),0)</f>
        <v>1</v>
      </c>
      <c r="AX7" s="35">
        <f>IF(Dashboard!$C$27&lt;=YEAR(AX$5),1*(Dashboard!$G$29+Dashboard!$H$29),0)</f>
        <v>1</v>
      </c>
      <c r="AY7" s="35">
        <f>IF(Dashboard!$C$27&lt;=YEAR(AY$5),1*(Dashboard!$G$29+Dashboard!$H$29),0)</f>
        <v>1</v>
      </c>
      <c r="AZ7" s="35">
        <f>IF(Dashboard!$C$27&lt;=YEAR(AZ$5),1*(Dashboard!$G$29+Dashboard!$H$29),0)</f>
        <v>1</v>
      </c>
      <c r="BA7" s="35">
        <f>IF(Dashboard!$C$27&lt;=YEAR(BA$5),1*(Dashboard!$G$29+Dashboard!$H$29),0)</f>
        <v>1</v>
      </c>
      <c r="BB7" s="35">
        <f>IF(Dashboard!$C$27&lt;=YEAR(BB$5),1*(Dashboard!$G$29+Dashboard!$H$29),0)</f>
        <v>1</v>
      </c>
      <c r="BC7" s="35">
        <f>IF(Dashboard!$C$27&lt;=YEAR(BC$5),1*(Dashboard!$G$29+Dashboard!$H$29),0)</f>
        <v>1</v>
      </c>
      <c r="BD7" s="35">
        <f>IF(Dashboard!$C$27&lt;=YEAR(BD$5),1*(Dashboard!$G$29+Dashboard!$H$29),0)</f>
        <v>1</v>
      </c>
      <c r="BE7" s="35">
        <f>IF(Dashboard!$C$27&lt;=YEAR(BE$5),1*(Dashboard!$G$29+Dashboard!$H$29),0)</f>
        <v>1</v>
      </c>
      <c r="BF7" s="35">
        <f>IF(Dashboard!$C$27&lt;=YEAR(BF$5),1*(Dashboard!$G$29+Dashboard!$H$29),0)</f>
        <v>1</v>
      </c>
      <c r="BG7" s="35">
        <f>IF(Dashboard!$C$27&lt;=YEAR(BG$5),1*(Dashboard!$G$29+Dashboard!$H$29),0)</f>
        <v>1</v>
      </c>
      <c r="BH7" s="35">
        <f>IF(Dashboard!$C$27&lt;=YEAR(BH$5),1*(Dashboard!$G$29+Dashboard!$H$29),0)</f>
        <v>1</v>
      </c>
      <c r="BI7" s="35">
        <f>IF(Dashboard!$C$27&lt;=YEAR(BI$5),1*(Dashboard!$G$29+Dashboard!$H$29),0)</f>
        <v>1</v>
      </c>
      <c r="BJ7" s="35">
        <f>IF(Dashboard!$C$27&lt;=YEAR(BJ$5),1*(Dashboard!$G$29+Dashboard!$H$29),0)</f>
        <v>1</v>
      </c>
      <c r="BK7" s="35">
        <f>IF(Dashboard!$C$27&lt;=YEAR(BK$5),1*(Dashboard!$G$29+Dashboard!$H$29),0)</f>
        <v>1</v>
      </c>
      <c r="BL7" s="35">
        <f>IF(Dashboard!$C$27&lt;=YEAR(BL$5),1*(Dashboard!$G$29+Dashboard!$H$29),0)</f>
        <v>1</v>
      </c>
    </row>
    <row r="8" spans="1:64" x14ac:dyDescent="0.2">
      <c r="B8" s="11" t="s">
        <v>249</v>
      </c>
      <c r="C8" s="35"/>
      <c r="D8" s="35"/>
      <c r="E8" s="35">
        <f>IF(Dashboard!$C$28&lt;=YEAR(E$5),1*(Dashboard!$H$29),0)</f>
        <v>0</v>
      </c>
      <c r="F8" s="35">
        <f>IF(Dashboard!$C$28&lt;=YEAR(F$5),1*(Dashboard!$H$29),0)</f>
        <v>0</v>
      </c>
      <c r="G8" s="35">
        <f>IF(Dashboard!$C$28&lt;=YEAR(G$5),1*(Dashboard!$H$29),0)</f>
        <v>0</v>
      </c>
      <c r="H8" s="35">
        <f>IF(Dashboard!$C$28&lt;=YEAR(H$5),1*(Dashboard!$H$29),0)</f>
        <v>0</v>
      </c>
      <c r="I8" s="35">
        <f>IF(Dashboard!$C$28&lt;=YEAR(I$5),1*(Dashboard!$H$29),0)</f>
        <v>0</v>
      </c>
      <c r="J8" s="35">
        <f>IF(Dashboard!$C$28&lt;=YEAR(J$5),1*(Dashboard!$H$29),0)</f>
        <v>0</v>
      </c>
      <c r="K8" s="35">
        <f>IF(Dashboard!$C$28&lt;=YEAR(K$5),1*(Dashboard!$H$29),0)</f>
        <v>0</v>
      </c>
      <c r="L8" s="35">
        <f>IF(Dashboard!$C$28&lt;=YEAR(L$5),1*(Dashboard!$H$29),0)</f>
        <v>0</v>
      </c>
      <c r="M8" s="35">
        <f>IF(Dashboard!$C$28&lt;=YEAR(M$5),1*(Dashboard!$H$29),0)</f>
        <v>0</v>
      </c>
      <c r="N8" s="35">
        <f>IF(Dashboard!$C$28&lt;=YEAR(N$5),1*(Dashboard!$H$29),0)</f>
        <v>0</v>
      </c>
      <c r="O8" s="35">
        <f>IF(Dashboard!$C$28&lt;=YEAR(O$5),1*(Dashboard!$H$29),0)</f>
        <v>1</v>
      </c>
      <c r="P8" s="35">
        <f>IF(Dashboard!$C$28&lt;=YEAR(P$5),1*(Dashboard!$H$29),0)</f>
        <v>1</v>
      </c>
      <c r="Q8" s="35">
        <f>IF(Dashboard!$C$28&lt;=YEAR(Q$5),1*(Dashboard!$H$29),0)</f>
        <v>1</v>
      </c>
      <c r="R8" s="35">
        <f>IF(Dashboard!$C$28&lt;=YEAR(R$5),1*(Dashboard!$H$29),0)</f>
        <v>1</v>
      </c>
      <c r="S8" s="35">
        <f>IF(Dashboard!$C$28&lt;=YEAR(S$5),1*(Dashboard!$H$29),0)</f>
        <v>1</v>
      </c>
      <c r="T8" s="35">
        <f>IF(Dashboard!$C$28&lt;=YEAR(T$5),1*(Dashboard!$H$29),0)</f>
        <v>1</v>
      </c>
      <c r="U8" s="35">
        <f>IF(Dashboard!$C$28&lt;=YEAR(U$5),1*(Dashboard!$H$29),0)</f>
        <v>1</v>
      </c>
      <c r="V8" s="35">
        <f>IF(Dashboard!$C$28&lt;=YEAR(V$5),1*(Dashboard!$H$29),0)</f>
        <v>1</v>
      </c>
      <c r="W8" s="35">
        <f>IF(Dashboard!$C$28&lt;=YEAR(W$5),1*(Dashboard!$H$29),0)</f>
        <v>1</v>
      </c>
      <c r="X8" s="35">
        <f>IF(Dashboard!$C$28&lt;=YEAR(X$5),1*(Dashboard!$H$29),0)</f>
        <v>1</v>
      </c>
      <c r="Y8" s="35">
        <f>IF(Dashboard!$C$28&lt;=YEAR(Y$5),1*(Dashboard!$H$29),0)</f>
        <v>1</v>
      </c>
      <c r="Z8" s="35">
        <f>IF(Dashboard!$C$28&lt;=YEAR(Z$5),1*(Dashboard!$H$29),0)</f>
        <v>1</v>
      </c>
      <c r="AA8" s="35">
        <f>IF(Dashboard!$C$28&lt;=YEAR(AA$5),1*(Dashboard!$H$29),0)</f>
        <v>1</v>
      </c>
      <c r="AB8" s="35">
        <f>IF(Dashboard!$C$28&lt;=YEAR(AB$5),1*(Dashboard!$H$29),0)</f>
        <v>1</v>
      </c>
      <c r="AC8" s="35">
        <f>IF(Dashboard!$C$28&lt;=YEAR(AC$5),1*(Dashboard!$H$29),0)</f>
        <v>1</v>
      </c>
      <c r="AD8" s="35">
        <f>IF(Dashboard!$C$28&lt;=YEAR(AD$5),1*(Dashboard!$H$29),0)</f>
        <v>1</v>
      </c>
      <c r="AE8" s="35">
        <f>IF(Dashboard!$C$28&lt;=YEAR(AE$5),1*(Dashboard!$H$29),0)</f>
        <v>1</v>
      </c>
      <c r="AF8" s="35">
        <f>IF(Dashboard!$C$28&lt;=YEAR(AF$5),1*(Dashboard!$H$29),0)</f>
        <v>1</v>
      </c>
      <c r="AG8" s="35">
        <f>IF(Dashboard!$C$28&lt;=YEAR(AG$5),1*(Dashboard!$H$29),0)</f>
        <v>1</v>
      </c>
      <c r="AH8" s="35">
        <f>IF(Dashboard!$C$28&lt;=YEAR(AH$5),1*(Dashboard!$H$29),0)</f>
        <v>1</v>
      </c>
      <c r="AI8" s="35">
        <f>IF(Dashboard!$C$28&lt;=YEAR(AI$5),1*(Dashboard!$H$29),0)</f>
        <v>1</v>
      </c>
      <c r="AJ8" s="35">
        <f>IF(Dashboard!$C$28&lt;=YEAR(AJ$5),1*(Dashboard!$H$29),0)</f>
        <v>1</v>
      </c>
      <c r="AK8" s="35">
        <f>IF(Dashboard!$C$28&lt;=YEAR(AK$5),1*(Dashboard!$H$29),0)</f>
        <v>1</v>
      </c>
      <c r="AL8" s="35">
        <f>IF(Dashboard!$C$28&lt;=YEAR(AL$5),1*(Dashboard!$H$29),0)</f>
        <v>1</v>
      </c>
      <c r="AM8" s="35">
        <f>IF(Dashboard!$C$28&lt;=YEAR(AM$5),1*(Dashboard!$H$29),0)</f>
        <v>1</v>
      </c>
      <c r="AN8" s="35">
        <f>IF(Dashboard!$C$28&lt;=YEAR(AN$5),1*(Dashboard!$H$29),0)</f>
        <v>1</v>
      </c>
      <c r="AO8" s="35">
        <f>IF(Dashboard!$C$28&lt;=YEAR(AO$5),1*(Dashboard!$H$29),0)</f>
        <v>1</v>
      </c>
      <c r="AP8" s="35">
        <f>IF(Dashboard!$C$28&lt;=YEAR(AP$5),1*(Dashboard!$H$29),0)</f>
        <v>1</v>
      </c>
      <c r="AQ8" s="35">
        <f>IF(Dashboard!$C$28&lt;=YEAR(AQ$5),1*(Dashboard!$H$29),0)</f>
        <v>1</v>
      </c>
      <c r="AR8" s="35">
        <f>IF(Dashboard!$C$28&lt;=YEAR(AR$5),1*(Dashboard!$H$29),0)</f>
        <v>1</v>
      </c>
      <c r="AS8" s="35">
        <f>IF(Dashboard!$C$28&lt;=YEAR(AS$5),1*(Dashboard!$H$29),0)</f>
        <v>1</v>
      </c>
      <c r="AT8" s="35">
        <f>IF(Dashboard!$C$28&lt;=YEAR(AT$5),1*(Dashboard!$H$29),0)</f>
        <v>1</v>
      </c>
      <c r="AU8" s="35">
        <f>IF(Dashboard!$C$28&lt;=YEAR(AU$5),1*(Dashboard!$H$29),0)</f>
        <v>1</v>
      </c>
      <c r="AV8" s="35">
        <f>IF(Dashboard!$C$28&lt;=YEAR(AV$5),1*(Dashboard!$H$29),0)</f>
        <v>1</v>
      </c>
      <c r="AW8" s="35">
        <f>IF(Dashboard!$C$28&lt;=YEAR(AW$5),1*(Dashboard!$H$29),0)</f>
        <v>1</v>
      </c>
      <c r="AX8" s="35">
        <f>IF(Dashboard!$C$28&lt;=YEAR(AX$5),1*(Dashboard!$H$29),0)</f>
        <v>1</v>
      </c>
      <c r="AY8" s="35">
        <f>IF(Dashboard!$C$28&lt;=YEAR(AY$5),1*(Dashboard!$H$29),0)</f>
        <v>1</v>
      </c>
      <c r="AZ8" s="35">
        <f>IF(Dashboard!$C$28&lt;=YEAR(AZ$5),1*(Dashboard!$H$29),0)</f>
        <v>1</v>
      </c>
      <c r="BA8" s="35">
        <f>IF(Dashboard!$C$28&lt;=YEAR(BA$5),1*(Dashboard!$H$29),0)</f>
        <v>1</v>
      </c>
      <c r="BB8" s="35">
        <f>IF(Dashboard!$C$28&lt;=YEAR(BB$5),1*(Dashboard!$H$29),0)</f>
        <v>1</v>
      </c>
      <c r="BC8" s="35">
        <f>IF(Dashboard!$C$28&lt;=YEAR(BC$5),1*(Dashboard!$H$29),0)</f>
        <v>1</v>
      </c>
      <c r="BD8" s="35">
        <f>IF(Dashboard!$C$28&lt;=YEAR(BD$5),1*(Dashboard!$H$29),0)</f>
        <v>1</v>
      </c>
      <c r="BE8" s="35">
        <f>IF(Dashboard!$C$28&lt;=YEAR(BE$5),1*(Dashboard!$H$29),0)</f>
        <v>1</v>
      </c>
      <c r="BF8" s="35">
        <f>IF(Dashboard!$C$28&lt;=YEAR(BF$5),1*(Dashboard!$H$29),0)</f>
        <v>1</v>
      </c>
      <c r="BG8" s="35">
        <f>IF(Dashboard!$C$28&lt;=YEAR(BG$5),1*(Dashboard!$H$29),0)</f>
        <v>1</v>
      </c>
      <c r="BH8" s="35">
        <f>IF(Dashboard!$C$28&lt;=YEAR(BH$5),1*(Dashboard!$H$29),0)</f>
        <v>1</v>
      </c>
      <c r="BI8" s="35">
        <f>IF(Dashboard!$C$28&lt;=YEAR(BI$5),1*(Dashboard!$H$29),0)</f>
        <v>1</v>
      </c>
      <c r="BJ8" s="35">
        <f>IF(Dashboard!$C$28&lt;=YEAR(BJ$5),1*(Dashboard!$H$29),0)</f>
        <v>1</v>
      </c>
      <c r="BK8" s="35">
        <f>IF(Dashboard!$C$28&lt;=YEAR(BK$5),1*(Dashboard!$H$29),0)</f>
        <v>1</v>
      </c>
      <c r="BL8" s="35">
        <f>IF(Dashboard!$C$28&lt;=YEAR(BL$5),1*(Dashboard!$H$29),0)</f>
        <v>1</v>
      </c>
    </row>
    <row r="9" spans="1:64" x14ac:dyDescent="0.2">
      <c r="B9" s="11" t="s">
        <v>250</v>
      </c>
      <c r="C9" s="35"/>
      <c r="D9" s="35">
        <f>IF(AND(E6=1,D6=0),1,0)</f>
        <v>1</v>
      </c>
      <c r="E9" s="35">
        <f t="shared" ref="E9:BL9" si="2">IF(AND(F6=1,E6=0),1,0)</f>
        <v>0</v>
      </c>
      <c r="F9" s="35">
        <f t="shared" si="2"/>
        <v>0</v>
      </c>
      <c r="G9" s="35">
        <f t="shared" si="2"/>
        <v>0</v>
      </c>
      <c r="H9" s="35">
        <f t="shared" si="2"/>
        <v>0</v>
      </c>
      <c r="I9" s="35">
        <f t="shared" si="2"/>
        <v>0</v>
      </c>
      <c r="J9" s="35">
        <f t="shared" si="2"/>
        <v>0</v>
      </c>
      <c r="K9" s="35">
        <f t="shared" si="2"/>
        <v>0</v>
      </c>
      <c r="L9" s="35">
        <f t="shared" si="2"/>
        <v>0</v>
      </c>
      <c r="M9" s="35">
        <f t="shared" si="2"/>
        <v>0</v>
      </c>
      <c r="N9" s="35">
        <f t="shared" si="2"/>
        <v>0</v>
      </c>
      <c r="O9" s="35">
        <f t="shared" si="2"/>
        <v>0</v>
      </c>
      <c r="P9" s="35">
        <f t="shared" si="2"/>
        <v>0</v>
      </c>
      <c r="Q9" s="35">
        <f t="shared" si="2"/>
        <v>0</v>
      </c>
      <c r="R9" s="35">
        <f t="shared" si="2"/>
        <v>0</v>
      </c>
      <c r="S9" s="35">
        <f t="shared" si="2"/>
        <v>0</v>
      </c>
      <c r="T9" s="35">
        <f t="shared" si="2"/>
        <v>0</v>
      </c>
      <c r="U9" s="35">
        <f t="shared" si="2"/>
        <v>0</v>
      </c>
      <c r="V9" s="35">
        <f t="shared" si="2"/>
        <v>0</v>
      </c>
      <c r="W9" s="35">
        <f t="shared" si="2"/>
        <v>0</v>
      </c>
      <c r="X9" s="35">
        <f t="shared" si="2"/>
        <v>0</v>
      </c>
      <c r="Y9" s="35">
        <f t="shared" si="2"/>
        <v>0</v>
      </c>
      <c r="Z9" s="35">
        <f t="shared" si="2"/>
        <v>0</v>
      </c>
      <c r="AA9" s="35">
        <f t="shared" si="2"/>
        <v>0</v>
      </c>
      <c r="AB9" s="35">
        <f t="shared" si="2"/>
        <v>0</v>
      </c>
      <c r="AC9" s="35">
        <f t="shared" si="2"/>
        <v>0</v>
      </c>
      <c r="AD9" s="35">
        <f t="shared" si="2"/>
        <v>0</v>
      </c>
      <c r="AE9" s="35">
        <f t="shared" si="2"/>
        <v>0</v>
      </c>
      <c r="AF9" s="35">
        <f t="shared" si="2"/>
        <v>0</v>
      </c>
      <c r="AG9" s="35">
        <f t="shared" si="2"/>
        <v>0</v>
      </c>
      <c r="AH9" s="35">
        <f t="shared" si="2"/>
        <v>0</v>
      </c>
      <c r="AI9" s="35">
        <f t="shared" si="2"/>
        <v>0</v>
      </c>
      <c r="AJ9" s="35">
        <f t="shared" si="2"/>
        <v>0</v>
      </c>
      <c r="AK9" s="35">
        <f t="shared" si="2"/>
        <v>0</v>
      </c>
      <c r="AL9" s="35">
        <f t="shared" si="2"/>
        <v>0</v>
      </c>
      <c r="AM9" s="35">
        <f t="shared" si="2"/>
        <v>0</v>
      </c>
      <c r="AN9" s="35">
        <f t="shared" si="2"/>
        <v>0</v>
      </c>
      <c r="AO9" s="35">
        <f t="shared" si="2"/>
        <v>0</v>
      </c>
      <c r="AP9" s="35">
        <f t="shared" si="2"/>
        <v>0</v>
      </c>
      <c r="AQ9" s="35">
        <f t="shared" si="2"/>
        <v>0</v>
      </c>
      <c r="AR9" s="35">
        <f t="shared" si="2"/>
        <v>0</v>
      </c>
      <c r="AS9" s="35">
        <f t="shared" si="2"/>
        <v>0</v>
      </c>
      <c r="AT9" s="35">
        <f t="shared" si="2"/>
        <v>0</v>
      </c>
      <c r="AU9" s="35">
        <f t="shared" si="2"/>
        <v>0</v>
      </c>
      <c r="AV9" s="35">
        <f t="shared" si="2"/>
        <v>0</v>
      </c>
      <c r="AW9" s="35">
        <f t="shared" si="2"/>
        <v>0</v>
      </c>
      <c r="AX9" s="35">
        <f t="shared" si="2"/>
        <v>0</v>
      </c>
      <c r="AY9" s="35">
        <f t="shared" si="2"/>
        <v>0</v>
      </c>
      <c r="AZ9" s="35">
        <f t="shared" si="2"/>
        <v>0</v>
      </c>
      <c r="BA9" s="35">
        <f t="shared" si="2"/>
        <v>0</v>
      </c>
      <c r="BB9" s="35">
        <f t="shared" si="2"/>
        <v>0</v>
      </c>
      <c r="BC9" s="35">
        <f t="shared" si="2"/>
        <v>0</v>
      </c>
      <c r="BD9" s="35">
        <f t="shared" si="2"/>
        <v>0</v>
      </c>
      <c r="BE9" s="35">
        <f t="shared" si="2"/>
        <v>0</v>
      </c>
      <c r="BF9" s="35">
        <f t="shared" si="2"/>
        <v>0</v>
      </c>
      <c r="BG9" s="35">
        <f t="shared" si="2"/>
        <v>0</v>
      </c>
      <c r="BH9" s="35">
        <f t="shared" si="2"/>
        <v>0</v>
      </c>
      <c r="BI9" s="35">
        <f t="shared" si="2"/>
        <v>0</v>
      </c>
      <c r="BJ9" s="35">
        <f t="shared" si="2"/>
        <v>0</v>
      </c>
      <c r="BK9" s="35">
        <f t="shared" si="2"/>
        <v>0</v>
      </c>
      <c r="BL9" s="35">
        <f t="shared" si="2"/>
        <v>0</v>
      </c>
    </row>
    <row r="10" spans="1:64" x14ac:dyDescent="0.2">
      <c r="B10" s="11" t="s">
        <v>251</v>
      </c>
      <c r="D10" s="35">
        <f>IF(AND(E7=1,D7=0),1,0)</f>
        <v>0</v>
      </c>
      <c r="E10" s="35">
        <f t="shared" ref="E10:BL10" si="3">IF(AND(F7=1,E7=0),1,0)</f>
        <v>0</v>
      </c>
      <c r="F10" s="35">
        <f t="shared" si="3"/>
        <v>0</v>
      </c>
      <c r="G10" s="35">
        <f t="shared" si="3"/>
        <v>0</v>
      </c>
      <c r="H10" s="35">
        <f t="shared" si="3"/>
        <v>0</v>
      </c>
      <c r="I10" s="35">
        <f t="shared" si="3"/>
        <v>1</v>
      </c>
      <c r="J10" s="35">
        <f t="shared" si="3"/>
        <v>0</v>
      </c>
      <c r="K10" s="35">
        <f t="shared" si="3"/>
        <v>0</v>
      </c>
      <c r="L10" s="35">
        <f t="shared" si="3"/>
        <v>0</v>
      </c>
      <c r="M10" s="35">
        <f t="shared" si="3"/>
        <v>0</v>
      </c>
      <c r="N10" s="35">
        <f t="shared" si="3"/>
        <v>0</v>
      </c>
      <c r="O10" s="35">
        <f t="shared" si="3"/>
        <v>0</v>
      </c>
      <c r="P10" s="35">
        <f t="shared" si="3"/>
        <v>0</v>
      </c>
      <c r="Q10" s="35">
        <f t="shared" si="3"/>
        <v>0</v>
      </c>
      <c r="R10" s="35">
        <f t="shared" si="3"/>
        <v>0</v>
      </c>
      <c r="S10" s="35">
        <f t="shared" si="3"/>
        <v>0</v>
      </c>
      <c r="T10" s="35">
        <f t="shared" si="3"/>
        <v>0</v>
      </c>
      <c r="U10" s="35">
        <f t="shared" si="3"/>
        <v>0</v>
      </c>
      <c r="V10" s="35">
        <f t="shared" si="3"/>
        <v>0</v>
      </c>
      <c r="W10" s="35">
        <f t="shared" si="3"/>
        <v>0</v>
      </c>
      <c r="X10" s="35">
        <f t="shared" si="3"/>
        <v>0</v>
      </c>
      <c r="Y10" s="35">
        <f t="shared" si="3"/>
        <v>0</v>
      </c>
      <c r="Z10" s="35">
        <f t="shared" si="3"/>
        <v>0</v>
      </c>
      <c r="AA10" s="35">
        <f t="shared" si="3"/>
        <v>0</v>
      </c>
      <c r="AB10" s="35">
        <f t="shared" si="3"/>
        <v>0</v>
      </c>
      <c r="AC10" s="35">
        <f t="shared" si="3"/>
        <v>0</v>
      </c>
      <c r="AD10" s="35">
        <f t="shared" si="3"/>
        <v>0</v>
      </c>
      <c r="AE10" s="35">
        <f t="shared" si="3"/>
        <v>0</v>
      </c>
      <c r="AF10" s="35">
        <f t="shared" si="3"/>
        <v>0</v>
      </c>
      <c r="AG10" s="35">
        <f t="shared" si="3"/>
        <v>0</v>
      </c>
      <c r="AH10" s="35">
        <f t="shared" si="3"/>
        <v>0</v>
      </c>
      <c r="AI10" s="35">
        <f t="shared" si="3"/>
        <v>0</v>
      </c>
      <c r="AJ10" s="35">
        <f t="shared" si="3"/>
        <v>0</v>
      </c>
      <c r="AK10" s="35">
        <f t="shared" si="3"/>
        <v>0</v>
      </c>
      <c r="AL10" s="35">
        <f t="shared" si="3"/>
        <v>0</v>
      </c>
      <c r="AM10" s="35">
        <f t="shared" si="3"/>
        <v>0</v>
      </c>
      <c r="AN10" s="35">
        <f t="shared" si="3"/>
        <v>0</v>
      </c>
      <c r="AO10" s="35">
        <f t="shared" si="3"/>
        <v>0</v>
      </c>
      <c r="AP10" s="35">
        <f t="shared" si="3"/>
        <v>0</v>
      </c>
      <c r="AQ10" s="35">
        <f t="shared" si="3"/>
        <v>0</v>
      </c>
      <c r="AR10" s="35">
        <f t="shared" si="3"/>
        <v>0</v>
      </c>
      <c r="AS10" s="35">
        <f t="shared" si="3"/>
        <v>0</v>
      </c>
      <c r="AT10" s="35">
        <f t="shared" si="3"/>
        <v>0</v>
      </c>
      <c r="AU10" s="35">
        <f t="shared" si="3"/>
        <v>0</v>
      </c>
      <c r="AV10" s="35">
        <f t="shared" si="3"/>
        <v>0</v>
      </c>
      <c r="AW10" s="35">
        <f t="shared" si="3"/>
        <v>0</v>
      </c>
      <c r="AX10" s="35">
        <f t="shared" si="3"/>
        <v>0</v>
      </c>
      <c r="AY10" s="35">
        <f t="shared" si="3"/>
        <v>0</v>
      </c>
      <c r="AZ10" s="35">
        <f t="shared" si="3"/>
        <v>0</v>
      </c>
      <c r="BA10" s="35">
        <f t="shared" si="3"/>
        <v>0</v>
      </c>
      <c r="BB10" s="35">
        <f t="shared" si="3"/>
        <v>0</v>
      </c>
      <c r="BC10" s="35">
        <f t="shared" si="3"/>
        <v>0</v>
      </c>
      <c r="BD10" s="35">
        <f t="shared" si="3"/>
        <v>0</v>
      </c>
      <c r="BE10" s="35">
        <f t="shared" si="3"/>
        <v>0</v>
      </c>
      <c r="BF10" s="35">
        <f t="shared" si="3"/>
        <v>0</v>
      </c>
      <c r="BG10" s="35">
        <f t="shared" si="3"/>
        <v>0</v>
      </c>
      <c r="BH10" s="35">
        <f t="shared" si="3"/>
        <v>0</v>
      </c>
      <c r="BI10" s="35">
        <f t="shared" si="3"/>
        <v>0</v>
      </c>
      <c r="BJ10" s="35">
        <f t="shared" si="3"/>
        <v>0</v>
      </c>
      <c r="BK10" s="35">
        <f t="shared" si="3"/>
        <v>0</v>
      </c>
      <c r="BL10" s="35">
        <f t="shared" si="3"/>
        <v>0</v>
      </c>
    </row>
    <row r="11" spans="1:64" x14ac:dyDescent="0.2">
      <c r="B11" s="11" t="s">
        <v>252</v>
      </c>
      <c r="D11" s="35">
        <f>IF(AND(E8=1,D8=0),1,0)</f>
        <v>0</v>
      </c>
      <c r="E11" s="35">
        <f t="shared" ref="E11:BL11" si="4">IF(AND(F8=1,E8=0),1,0)</f>
        <v>0</v>
      </c>
      <c r="F11" s="35">
        <f t="shared" si="4"/>
        <v>0</v>
      </c>
      <c r="G11" s="35">
        <f t="shared" si="4"/>
        <v>0</v>
      </c>
      <c r="H11" s="35">
        <f t="shared" si="4"/>
        <v>0</v>
      </c>
      <c r="I11" s="35">
        <f t="shared" si="4"/>
        <v>0</v>
      </c>
      <c r="J11" s="35">
        <f t="shared" si="4"/>
        <v>0</v>
      </c>
      <c r="K11" s="35">
        <f t="shared" si="4"/>
        <v>0</v>
      </c>
      <c r="L11" s="35">
        <f t="shared" si="4"/>
        <v>0</v>
      </c>
      <c r="M11" s="35">
        <f t="shared" si="4"/>
        <v>0</v>
      </c>
      <c r="N11" s="35">
        <f t="shared" si="4"/>
        <v>1</v>
      </c>
      <c r="O11" s="35">
        <f t="shared" si="4"/>
        <v>0</v>
      </c>
      <c r="P11" s="35">
        <f t="shared" si="4"/>
        <v>0</v>
      </c>
      <c r="Q11" s="35">
        <f t="shared" si="4"/>
        <v>0</v>
      </c>
      <c r="R11" s="35">
        <f t="shared" si="4"/>
        <v>0</v>
      </c>
      <c r="S11" s="35">
        <f t="shared" si="4"/>
        <v>0</v>
      </c>
      <c r="T11" s="35">
        <f t="shared" si="4"/>
        <v>0</v>
      </c>
      <c r="U11" s="35">
        <f t="shared" si="4"/>
        <v>0</v>
      </c>
      <c r="V11" s="35">
        <f t="shared" si="4"/>
        <v>0</v>
      </c>
      <c r="W11" s="35">
        <f t="shared" si="4"/>
        <v>0</v>
      </c>
      <c r="X11" s="35">
        <f t="shared" si="4"/>
        <v>0</v>
      </c>
      <c r="Y11" s="35">
        <f t="shared" si="4"/>
        <v>0</v>
      </c>
      <c r="Z11" s="35">
        <f t="shared" si="4"/>
        <v>0</v>
      </c>
      <c r="AA11" s="35">
        <f t="shared" si="4"/>
        <v>0</v>
      </c>
      <c r="AB11" s="35">
        <f t="shared" si="4"/>
        <v>0</v>
      </c>
      <c r="AC11" s="35">
        <f t="shared" si="4"/>
        <v>0</v>
      </c>
      <c r="AD11" s="35">
        <f t="shared" si="4"/>
        <v>0</v>
      </c>
      <c r="AE11" s="35">
        <f t="shared" si="4"/>
        <v>0</v>
      </c>
      <c r="AF11" s="35">
        <f t="shared" si="4"/>
        <v>0</v>
      </c>
      <c r="AG11" s="35">
        <f t="shared" si="4"/>
        <v>0</v>
      </c>
      <c r="AH11" s="35">
        <f t="shared" si="4"/>
        <v>0</v>
      </c>
      <c r="AI11" s="35">
        <f t="shared" si="4"/>
        <v>0</v>
      </c>
      <c r="AJ11" s="35">
        <f t="shared" si="4"/>
        <v>0</v>
      </c>
      <c r="AK11" s="35">
        <f t="shared" si="4"/>
        <v>0</v>
      </c>
      <c r="AL11" s="35">
        <f t="shared" si="4"/>
        <v>0</v>
      </c>
      <c r="AM11" s="35">
        <f t="shared" si="4"/>
        <v>0</v>
      </c>
      <c r="AN11" s="35">
        <f t="shared" si="4"/>
        <v>0</v>
      </c>
      <c r="AO11" s="35">
        <f t="shared" si="4"/>
        <v>0</v>
      </c>
      <c r="AP11" s="35">
        <f t="shared" si="4"/>
        <v>0</v>
      </c>
      <c r="AQ11" s="35">
        <f t="shared" si="4"/>
        <v>0</v>
      </c>
      <c r="AR11" s="35">
        <f t="shared" si="4"/>
        <v>0</v>
      </c>
      <c r="AS11" s="35">
        <f t="shared" si="4"/>
        <v>0</v>
      </c>
      <c r="AT11" s="35">
        <f t="shared" si="4"/>
        <v>0</v>
      </c>
      <c r="AU11" s="35">
        <f t="shared" si="4"/>
        <v>0</v>
      </c>
      <c r="AV11" s="35">
        <f t="shared" si="4"/>
        <v>0</v>
      </c>
      <c r="AW11" s="35">
        <f t="shared" si="4"/>
        <v>0</v>
      </c>
      <c r="AX11" s="35">
        <f t="shared" si="4"/>
        <v>0</v>
      </c>
      <c r="AY11" s="35">
        <f t="shared" si="4"/>
        <v>0</v>
      </c>
      <c r="AZ11" s="35">
        <f t="shared" si="4"/>
        <v>0</v>
      </c>
      <c r="BA11" s="35">
        <f t="shared" si="4"/>
        <v>0</v>
      </c>
      <c r="BB11" s="35">
        <f t="shared" si="4"/>
        <v>0</v>
      </c>
      <c r="BC11" s="35">
        <f t="shared" si="4"/>
        <v>0</v>
      </c>
      <c r="BD11" s="35">
        <f t="shared" si="4"/>
        <v>0</v>
      </c>
      <c r="BE11" s="35">
        <f t="shared" si="4"/>
        <v>0</v>
      </c>
      <c r="BF11" s="35">
        <f t="shared" si="4"/>
        <v>0</v>
      </c>
      <c r="BG11" s="35">
        <f t="shared" si="4"/>
        <v>0</v>
      </c>
      <c r="BH11" s="35">
        <f t="shared" si="4"/>
        <v>0</v>
      </c>
      <c r="BI11" s="35">
        <f t="shared" si="4"/>
        <v>0</v>
      </c>
      <c r="BJ11" s="35">
        <f t="shared" si="4"/>
        <v>0</v>
      </c>
      <c r="BK11" s="35">
        <f t="shared" si="4"/>
        <v>0</v>
      </c>
      <c r="BL11" s="35">
        <f t="shared" si="4"/>
        <v>0</v>
      </c>
    </row>
    <row r="13" spans="1:64" x14ac:dyDescent="0.2">
      <c r="B13" s="35" t="s">
        <v>253</v>
      </c>
    </row>
    <row r="14" spans="1:64" x14ac:dyDescent="0.2">
      <c r="B14" s="53" t="s">
        <v>254</v>
      </c>
    </row>
    <row r="15" spans="1:64" x14ac:dyDescent="0.2">
      <c r="B15" s="54" t="s">
        <v>255</v>
      </c>
      <c r="E15" s="62">
        <f>'Technical inputs'!$C$6*(E6-E7)+'Technical inputs'!$D$6*(E7-E8)+'Technical inputs'!$E$6*E8</f>
        <v>124399493.01469998</v>
      </c>
      <c r="F15" s="62">
        <f>'Technical inputs'!$C$6*(F6-F7)+'Technical inputs'!$D$6*(F7-F8)+'Technical inputs'!$E$6*F8</f>
        <v>124399493.01469998</v>
      </c>
      <c r="G15" s="62">
        <f>'Technical inputs'!$C$6*(G6-G7)+'Technical inputs'!$D$6*(G7-G8)+'Technical inputs'!$E$6*G8</f>
        <v>124399493.01469998</v>
      </c>
      <c r="H15" s="62">
        <f>'Technical inputs'!$C$6*(H6-H7)+'Technical inputs'!$D$6*(H7-H8)+'Technical inputs'!$E$6*H8</f>
        <v>124399493.01469998</v>
      </c>
      <c r="I15" s="62">
        <f>'Technical inputs'!$C$6*(I6-I7)+'Technical inputs'!$D$6*(I7-I8)+'Technical inputs'!$E$6*I8</f>
        <v>124399493.01469998</v>
      </c>
      <c r="J15" s="62">
        <f>'Technical inputs'!$C$6*(J6-J7)+'Technical inputs'!$D$6*(J7-J8)+'Technical inputs'!$E$6*J8</f>
        <v>124399493.01469998</v>
      </c>
      <c r="K15" s="62">
        <f>'Technical inputs'!$C$6*(K6-K7)+'Technical inputs'!$D$6*(K7-K8)+'Technical inputs'!$E$6*K8</f>
        <v>124399493.01469998</v>
      </c>
      <c r="L15" s="62">
        <f>'Technical inputs'!$C$6*(L6-L7)+'Technical inputs'!$D$6*(L7-L8)+'Technical inputs'!$E$6*L8</f>
        <v>124399493.01469998</v>
      </c>
      <c r="M15" s="62">
        <f>'Technical inputs'!$C$6*(M6-M7)+'Technical inputs'!$D$6*(M7-M8)+'Technical inputs'!$E$6*M8</f>
        <v>124399493.01469998</v>
      </c>
      <c r="N15" s="62">
        <f>'Technical inputs'!$C$6*(N6-N7)+'Technical inputs'!$D$6*(N7-N8)+'Technical inputs'!$E$6*N8</f>
        <v>124399493.01469998</v>
      </c>
      <c r="O15" s="62">
        <f>'Technical inputs'!$C$6*(O6-O7)+'Technical inputs'!$D$6*(O7-O8)+'Technical inputs'!$E$6*O8</f>
        <v>124399493.01469998</v>
      </c>
      <c r="P15" s="62">
        <f>'Technical inputs'!$C$6*(P6-P7)+'Technical inputs'!$D$6*(P7-P8)+'Technical inputs'!$E$6*P8</f>
        <v>124399493.01469998</v>
      </c>
      <c r="Q15" s="62">
        <f>'Technical inputs'!$C$6*(Q6-Q7)+'Technical inputs'!$D$6*(Q7-Q8)+'Technical inputs'!$E$6*Q8</f>
        <v>124399493.01469998</v>
      </c>
      <c r="R15" s="62">
        <f>'Technical inputs'!$C$6*(R6-R7)+'Technical inputs'!$D$6*(R7-R8)+'Technical inputs'!$E$6*R8</f>
        <v>124399493.01469998</v>
      </c>
      <c r="S15" s="62">
        <f>'Technical inputs'!$C$6*(S6-S7)+'Technical inputs'!$D$6*(S7-S8)+'Technical inputs'!$E$6*S8</f>
        <v>124399493.01469998</v>
      </c>
      <c r="T15" s="62">
        <f>'Technical inputs'!$C$6*(T6-T7)+'Technical inputs'!$D$6*(T7-T8)+'Technical inputs'!$E$6*T8</f>
        <v>124399493.01469998</v>
      </c>
      <c r="U15" s="62">
        <f>'Technical inputs'!$C$6*(U6-U7)+'Technical inputs'!$D$6*(U7-U8)+'Technical inputs'!$E$6*U8</f>
        <v>124399493.01469998</v>
      </c>
      <c r="V15" s="62">
        <f>'Technical inputs'!$C$6*(V6-V7)+'Technical inputs'!$D$6*(V7-V8)+'Technical inputs'!$E$6*V8</f>
        <v>124399493.01469998</v>
      </c>
      <c r="W15" s="62">
        <f>'Technical inputs'!$C$6*(W6-W7)+'Technical inputs'!$D$6*(W7-W8)+'Technical inputs'!$E$6*W8</f>
        <v>124399493.01469998</v>
      </c>
      <c r="X15" s="62">
        <f>'Technical inputs'!$C$6*(X6-X7)+'Technical inputs'!$D$6*(X7-X8)+'Technical inputs'!$E$6*X8</f>
        <v>124399493.01469998</v>
      </c>
      <c r="Y15" s="62">
        <f>'Technical inputs'!$C$6*(Y6-Y7)+'Technical inputs'!$D$6*(Y7-Y8)+'Technical inputs'!$E$6*Y8</f>
        <v>124399493.01469998</v>
      </c>
      <c r="Z15" s="62">
        <f>'Technical inputs'!$C$6*(Z6-Z7)+'Technical inputs'!$D$6*(Z7-Z8)+'Technical inputs'!$E$6*Z8</f>
        <v>124399493.01469998</v>
      </c>
      <c r="AA15" s="62">
        <f>'Technical inputs'!$C$6*(AA6-AA7)+'Technical inputs'!$D$6*(AA7-AA8)+'Technical inputs'!$E$6*AA8</f>
        <v>124399493.01469998</v>
      </c>
      <c r="AB15" s="62">
        <f>'Technical inputs'!$C$6*(AB6-AB7)+'Technical inputs'!$D$6*(AB7-AB8)+'Technical inputs'!$E$6*AB8</f>
        <v>124399493.01469998</v>
      </c>
      <c r="AC15" s="62">
        <f>'Technical inputs'!$C$6*(AC6-AC7)+'Technical inputs'!$D$6*(AC7-AC8)+'Technical inputs'!$E$6*AC8</f>
        <v>124399493.01469998</v>
      </c>
      <c r="AD15" s="62">
        <f>'Technical inputs'!$C$6*(AD6-AD7)+'Technical inputs'!$D$6*(AD7-AD8)+'Technical inputs'!$E$6*AD8</f>
        <v>124399493.01469998</v>
      </c>
      <c r="AE15" s="62">
        <f>'Technical inputs'!$C$6*(AE6-AE7)+'Technical inputs'!$D$6*(AE7-AE8)+'Technical inputs'!$E$6*AE8</f>
        <v>124399493.01469998</v>
      </c>
      <c r="AF15" s="62">
        <f>'Technical inputs'!$C$6*(AF6-AF7)+'Technical inputs'!$D$6*(AF7-AF8)+'Technical inputs'!$E$6*AF8</f>
        <v>124399493.01469998</v>
      </c>
      <c r="AG15" s="62">
        <f>'Technical inputs'!$C$6*(AG6-AG7)+'Technical inputs'!$D$6*(AG7-AG8)+'Technical inputs'!$E$6*AG8</f>
        <v>124399493.01469998</v>
      </c>
      <c r="AH15" s="62">
        <f>'Technical inputs'!$C$6*(AH6-AH7)+'Technical inputs'!$D$6*(AH7-AH8)+'Technical inputs'!$E$6*AH8</f>
        <v>124399493.01469998</v>
      </c>
      <c r="AI15" s="62">
        <f>'Technical inputs'!$C$6*(AI6-AI7)+'Technical inputs'!$D$6*(AI7-AI8)+'Technical inputs'!$E$6*AI8</f>
        <v>124399493.01469998</v>
      </c>
      <c r="AJ15" s="62">
        <f>'Technical inputs'!$C$6*(AJ6-AJ7)+'Technical inputs'!$D$6*(AJ7-AJ8)+'Technical inputs'!$E$6*AJ8</f>
        <v>124399493.01469998</v>
      </c>
      <c r="AK15" s="62">
        <f>'Technical inputs'!$C$6*(AK6-AK7)+'Technical inputs'!$D$6*(AK7-AK8)+'Technical inputs'!$E$6*AK8</f>
        <v>124399493.01469998</v>
      </c>
      <c r="AL15" s="62">
        <f>'Technical inputs'!$C$6*(AL6-AL7)+'Technical inputs'!$D$6*(AL7-AL8)+'Technical inputs'!$E$6*AL8</f>
        <v>124399493.01469998</v>
      </c>
      <c r="AM15" s="62">
        <f>'Technical inputs'!$C$6*(AM6-AM7)+'Technical inputs'!$D$6*(AM7-AM8)+'Technical inputs'!$E$6*AM8</f>
        <v>124399493.01469998</v>
      </c>
      <c r="AN15" s="62">
        <f>'Technical inputs'!$C$6*(AN6-AN7)+'Technical inputs'!$D$6*(AN7-AN8)+'Technical inputs'!$E$6*AN8</f>
        <v>124399493.01469998</v>
      </c>
      <c r="AO15" s="62">
        <f>'Technical inputs'!$C$6*(AO6-AO7)+'Technical inputs'!$D$6*(AO7-AO8)+'Technical inputs'!$E$6*AO8</f>
        <v>124399493.01469998</v>
      </c>
      <c r="AP15" s="62">
        <f>'Technical inputs'!$C$6*(AP6-AP7)+'Technical inputs'!$D$6*(AP7-AP8)+'Technical inputs'!$E$6*AP8</f>
        <v>124399493.01469998</v>
      </c>
      <c r="AQ15" s="62">
        <f>'Technical inputs'!$C$6*(AQ6-AQ7)+'Technical inputs'!$D$6*(AQ7-AQ8)+'Technical inputs'!$E$6*AQ8</f>
        <v>124399493.01469998</v>
      </c>
      <c r="AR15" s="62">
        <f>'Technical inputs'!$C$6*(AR6-AR7)+'Technical inputs'!$D$6*(AR7-AR8)+'Technical inputs'!$E$6*AR8</f>
        <v>124399493.01469998</v>
      </c>
      <c r="AS15" s="62">
        <f>'Technical inputs'!$C$6*(AS6-AS7)+'Technical inputs'!$D$6*(AS7-AS8)+'Technical inputs'!$E$6*AS8</f>
        <v>124399493.01469998</v>
      </c>
      <c r="AT15" s="62">
        <f>'Technical inputs'!$C$6*(AT6-AT7)+'Technical inputs'!$D$6*(AT7-AT8)+'Technical inputs'!$E$6*AT8</f>
        <v>124399493.01469998</v>
      </c>
      <c r="AU15" s="62">
        <f>'Technical inputs'!$C$6*(AU6-AU7)+'Technical inputs'!$D$6*(AU7-AU8)+'Technical inputs'!$E$6*AU8</f>
        <v>124399493.01469998</v>
      </c>
      <c r="AV15" s="62">
        <f>'Technical inputs'!$C$6*(AV6-AV7)+'Technical inputs'!$D$6*(AV7-AV8)+'Technical inputs'!$E$6*AV8</f>
        <v>124399493.01469998</v>
      </c>
      <c r="AW15" s="62">
        <f>'Technical inputs'!$C$6*(AW6-AW7)+'Technical inputs'!$D$6*(AW7-AW8)+'Technical inputs'!$E$6*AW8</f>
        <v>124399493.01469998</v>
      </c>
      <c r="AX15" s="62">
        <f>'Technical inputs'!$C$6*(AX6-AX7)+'Technical inputs'!$D$6*(AX7-AX8)+'Technical inputs'!$E$6*AX8</f>
        <v>124399493.01469998</v>
      </c>
      <c r="AY15" s="62">
        <f>'Technical inputs'!$C$6*(AY6-AY7)+'Technical inputs'!$D$6*(AY7-AY8)+'Technical inputs'!$E$6*AY8</f>
        <v>124399493.01469998</v>
      </c>
      <c r="AZ15" s="62">
        <f>'Technical inputs'!$C$6*(AZ6-AZ7)+'Technical inputs'!$D$6*(AZ7-AZ8)+'Technical inputs'!$E$6*AZ8</f>
        <v>124399493.01469998</v>
      </c>
      <c r="BA15" s="62">
        <f>'Technical inputs'!$C$6*(BA6-BA7)+'Technical inputs'!$D$6*(BA7-BA8)+'Technical inputs'!$E$6*BA8</f>
        <v>124399493.01469998</v>
      </c>
      <c r="BB15" s="62">
        <f>'Technical inputs'!$C$6*(BB6-BB7)+'Technical inputs'!$D$6*(BB7-BB8)+'Technical inputs'!$E$6*BB8</f>
        <v>124399493.01469998</v>
      </c>
      <c r="BC15" s="62">
        <f>'Technical inputs'!$C$6*(BC6-BC7)+'Technical inputs'!$D$6*(BC7-BC8)+'Technical inputs'!$E$6*BC8</f>
        <v>124399493.01469998</v>
      </c>
      <c r="BD15" s="62">
        <f>'Technical inputs'!$C$6*(BD6-BD7)+'Technical inputs'!$D$6*(BD7-BD8)+'Technical inputs'!$E$6*BD8</f>
        <v>124399493.01469998</v>
      </c>
      <c r="BE15" s="62">
        <f>'Technical inputs'!$C$6*(BE6-BE7)+'Technical inputs'!$D$6*(BE7-BE8)+'Technical inputs'!$E$6*BE8</f>
        <v>124399493.01469998</v>
      </c>
      <c r="BF15" s="62">
        <f>'Technical inputs'!$C$6*(BF6-BF7)+'Technical inputs'!$D$6*(BF7-BF8)+'Technical inputs'!$E$6*BF8</f>
        <v>124399493.01469998</v>
      </c>
      <c r="BG15" s="62">
        <f>'Technical inputs'!$C$6*(BG6-BG7)+'Technical inputs'!$D$6*(BG7-BG8)+'Technical inputs'!$E$6*BG8</f>
        <v>124399493.01469998</v>
      </c>
      <c r="BH15" s="62">
        <f>'Technical inputs'!$C$6*(BH6-BH7)+'Technical inputs'!$D$6*(BH7-BH8)+'Technical inputs'!$E$6*BH8</f>
        <v>124399493.01469998</v>
      </c>
      <c r="BI15" s="62">
        <f>'Technical inputs'!$C$6*(BI6-BI7)+'Technical inputs'!$D$6*(BI7-BI8)+'Technical inputs'!$E$6*BI8</f>
        <v>124399493.01469998</v>
      </c>
      <c r="BJ15" s="62">
        <f>'Technical inputs'!$C$6*(BJ6-BJ7)+'Technical inputs'!$D$6*(BJ7-BJ8)+'Technical inputs'!$E$6*BJ8</f>
        <v>124399493.01469998</v>
      </c>
      <c r="BK15" s="62">
        <f>'Technical inputs'!$C$6*(BK6-BK7)+'Technical inputs'!$D$6*(BK7-BK8)+'Technical inputs'!$E$6*BK8</f>
        <v>124399493.01469998</v>
      </c>
      <c r="BL15" s="62">
        <f>'Technical inputs'!$C$6*(BL6-BL7)+'Technical inputs'!$D$6*(BL7-BL8)+'Technical inputs'!$E$6*BL8</f>
        <v>124399493.01469998</v>
      </c>
    </row>
    <row r="16" spans="1:64" x14ac:dyDescent="0.2">
      <c r="B16" s="54" t="s">
        <v>256</v>
      </c>
      <c r="E16" s="62">
        <f>'Technical inputs'!$C$7*(E6-E7)+'Technical inputs'!$D$7*(E7-E8)+'Technical inputs'!$E$7*E8</f>
        <v>235862.68799999997</v>
      </c>
      <c r="F16" s="62">
        <f>'Technical inputs'!$C$7*(F6-F7)+'Technical inputs'!$D$7*(F7-F8)+'Technical inputs'!$E$7*F8</f>
        <v>235862.68799999997</v>
      </c>
      <c r="G16" s="62">
        <f>'Technical inputs'!$C$7*(G6-G7)+'Technical inputs'!$D$7*(G7-G8)+'Technical inputs'!$E$7*G8</f>
        <v>235862.68799999997</v>
      </c>
      <c r="H16" s="62">
        <f>'Technical inputs'!$C$7*(H6-H7)+'Technical inputs'!$D$7*(H7-H8)+'Technical inputs'!$E$7*H8</f>
        <v>235862.68799999997</v>
      </c>
      <c r="I16" s="62">
        <f>'Technical inputs'!$C$7*(I6-I7)+'Technical inputs'!$D$7*(I7-I8)+'Technical inputs'!$E$7*I8</f>
        <v>235862.68799999997</v>
      </c>
      <c r="J16" s="62">
        <f>'Technical inputs'!$C$7*(J6-J7)+'Technical inputs'!$D$7*(J7-J8)+'Technical inputs'!$E$7*J8</f>
        <v>235862.68799999997</v>
      </c>
      <c r="K16" s="62">
        <f>'Technical inputs'!$C$7*(K6-K7)+'Technical inputs'!$D$7*(K7-K8)+'Technical inputs'!$E$7*K8</f>
        <v>235862.68799999997</v>
      </c>
      <c r="L16" s="62">
        <f>'Technical inputs'!$C$7*(L6-L7)+'Technical inputs'!$D$7*(L7-L8)+'Technical inputs'!$E$7*L8</f>
        <v>235862.68799999997</v>
      </c>
      <c r="M16" s="62">
        <f>'Technical inputs'!$C$7*(M6-M7)+'Technical inputs'!$D$7*(M7-M8)+'Technical inputs'!$E$7*M8</f>
        <v>235862.68799999997</v>
      </c>
      <c r="N16" s="62">
        <f>'Technical inputs'!$C$7*(N6-N7)+'Technical inputs'!$D$7*(N7-N8)+'Technical inputs'!$E$7*N8</f>
        <v>235862.68799999997</v>
      </c>
      <c r="O16" s="62">
        <f>'Technical inputs'!$C$7*(O6-O7)+'Technical inputs'!$D$7*(O7-O8)+'Technical inputs'!$E$7*O8</f>
        <v>235862.68799999997</v>
      </c>
      <c r="P16" s="62">
        <f>'Technical inputs'!$C$7*(P6-P7)+'Technical inputs'!$D$7*(P7-P8)+'Technical inputs'!$E$7*P8</f>
        <v>235862.68799999997</v>
      </c>
      <c r="Q16" s="62">
        <f>'Technical inputs'!$C$7*(Q6-Q7)+'Technical inputs'!$D$7*(Q7-Q8)+'Technical inputs'!$E$7*Q8</f>
        <v>235862.68799999997</v>
      </c>
      <c r="R16" s="62">
        <f>'Technical inputs'!$C$7*(R6-R7)+'Technical inputs'!$D$7*(R7-R8)+'Technical inputs'!$E$7*R8</f>
        <v>235862.68799999997</v>
      </c>
      <c r="S16" s="62">
        <f>'Technical inputs'!$C$7*(S6-S7)+'Technical inputs'!$D$7*(S7-S8)+'Technical inputs'!$E$7*S8</f>
        <v>235862.68799999997</v>
      </c>
      <c r="T16" s="62">
        <f>'Technical inputs'!$C$7*(T6-T7)+'Technical inputs'!$D$7*(T7-T8)+'Technical inputs'!$E$7*T8</f>
        <v>235862.68799999997</v>
      </c>
      <c r="U16" s="62">
        <f>'Technical inputs'!$C$7*(U6-U7)+'Technical inputs'!$D$7*(U7-U8)+'Technical inputs'!$E$7*U8</f>
        <v>235862.68799999997</v>
      </c>
      <c r="V16" s="62">
        <f>'Technical inputs'!$C$7*(V6-V7)+'Technical inputs'!$D$7*(V7-V8)+'Technical inputs'!$E$7*V8</f>
        <v>235862.68799999997</v>
      </c>
      <c r="W16" s="62">
        <f>'Technical inputs'!$C$7*(W6-W7)+'Technical inputs'!$D$7*(W7-W8)+'Technical inputs'!$E$7*W8</f>
        <v>235862.68799999997</v>
      </c>
      <c r="X16" s="62">
        <f>'Technical inputs'!$C$7*(X6-X7)+'Technical inputs'!$D$7*(X7-X8)+'Technical inputs'!$E$7*X8</f>
        <v>235862.68799999997</v>
      </c>
      <c r="Y16" s="62">
        <f>'Technical inputs'!$C$7*(Y6-Y7)+'Technical inputs'!$D$7*(Y7-Y8)+'Technical inputs'!$E$7*Y8</f>
        <v>235862.68799999997</v>
      </c>
      <c r="Z16" s="62">
        <f>'Technical inputs'!$C$7*(Z6-Z7)+'Technical inputs'!$D$7*(Z7-Z8)+'Technical inputs'!$E$7*Z8</f>
        <v>235862.68799999997</v>
      </c>
      <c r="AA16" s="62">
        <f>'Technical inputs'!$C$7*(AA6-AA7)+'Technical inputs'!$D$7*(AA7-AA8)+'Technical inputs'!$E$7*AA8</f>
        <v>235862.68799999997</v>
      </c>
      <c r="AB16" s="62">
        <f>'Technical inputs'!$C$7*(AB6-AB7)+'Technical inputs'!$D$7*(AB7-AB8)+'Technical inputs'!$E$7*AB8</f>
        <v>235862.68799999997</v>
      </c>
      <c r="AC16" s="62">
        <f>'Technical inputs'!$C$7*(AC6-AC7)+'Technical inputs'!$D$7*(AC7-AC8)+'Technical inputs'!$E$7*AC8</f>
        <v>235862.68799999997</v>
      </c>
      <c r="AD16" s="62">
        <f>'Technical inputs'!$C$7*(AD6-AD7)+'Technical inputs'!$D$7*(AD7-AD8)+'Technical inputs'!$E$7*AD8</f>
        <v>235862.68799999997</v>
      </c>
      <c r="AE16" s="62">
        <f>'Technical inputs'!$C$7*(AE6-AE7)+'Technical inputs'!$D$7*(AE7-AE8)+'Technical inputs'!$E$7*AE8</f>
        <v>235862.68799999997</v>
      </c>
      <c r="AF16" s="62">
        <f>'Technical inputs'!$C$7*(AF6-AF7)+'Technical inputs'!$D$7*(AF7-AF8)+'Technical inputs'!$E$7*AF8</f>
        <v>235862.68799999997</v>
      </c>
      <c r="AG16" s="62">
        <f>'Technical inputs'!$C$7*(AG6-AG7)+'Technical inputs'!$D$7*(AG7-AG8)+'Technical inputs'!$E$7*AG8</f>
        <v>235862.68799999997</v>
      </c>
      <c r="AH16" s="62">
        <f>'Technical inputs'!$C$7*(AH6-AH7)+'Technical inputs'!$D$7*(AH7-AH8)+'Technical inputs'!$E$7*AH8</f>
        <v>235862.68799999997</v>
      </c>
      <c r="AI16" s="62">
        <f>'Technical inputs'!$C$7*(AI6-AI7)+'Technical inputs'!$D$7*(AI7-AI8)+'Technical inputs'!$E$7*AI8</f>
        <v>235862.68799999997</v>
      </c>
      <c r="AJ16" s="62">
        <f>'Technical inputs'!$C$7*(AJ6-AJ7)+'Technical inputs'!$D$7*(AJ7-AJ8)+'Technical inputs'!$E$7*AJ8</f>
        <v>235862.68799999997</v>
      </c>
      <c r="AK16" s="62">
        <f>'Technical inputs'!$C$7*(AK6-AK7)+'Technical inputs'!$D$7*(AK7-AK8)+'Technical inputs'!$E$7*AK8</f>
        <v>235862.68799999997</v>
      </c>
      <c r="AL16" s="62">
        <f>'Technical inputs'!$C$7*(AL6-AL7)+'Technical inputs'!$D$7*(AL7-AL8)+'Technical inputs'!$E$7*AL8</f>
        <v>235862.68799999997</v>
      </c>
      <c r="AM16" s="62">
        <f>'Technical inputs'!$C$7*(AM6-AM7)+'Technical inputs'!$D$7*(AM7-AM8)+'Technical inputs'!$E$7*AM8</f>
        <v>235862.68799999997</v>
      </c>
      <c r="AN16" s="62">
        <f>'Technical inputs'!$C$7*(AN6-AN7)+'Technical inputs'!$D$7*(AN7-AN8)+'Technical inputs'!$E$7*AN8</f>
        <v>235862.68799999997</v>
      </c>
      <c r="AO16" s="62">
        <f>'Technical inputs'!$C$7*(AO6-AO7)+'Technical inputs'!$D$7*(AO7-AO8)+'Technical inputs'!$E$7*AO8</f>
        <v>235862.68799999997</v>
      </c>
      <c r="AP16" s="62">
        <f>'Technical inputs'!$C$7*(AP6-AP7)+'Technical inputs'!$D$7*(AP7-AP8)+'Technical inputs'!$E$7*AP8</f>
        <v>235862.68799999997</v>
      </c>
      <c r="AQ16" s="62">
        <f>'Technical inputs'!$C$7*(AQ6-AQ7)+'Technical inputs'!$D$7*(AQ7-AQ8)+'Technical inputs'!$E$7*AQ8</f>
        <v>235862.68799999997</v>
      </c>
      <c r="AR16" s="62">
        <f>'Technical inputs'!$C$7*(AR6-AR7)+'Technical inputs'!$D$7*(AR7-AR8)+'Technical inputs'!$E$7*AR8</f>
        <v>235862.68799999997</v>
      </c>
      <c r="AS16" s="62">
        <f>'Technical inputs'!$C$7*(AS6-AS7)+'Technical inputs'!$D$7*(AS7-AS8)+'Technical inputs'!$E$7*AS8</f>
        <v>235862.68799999997</v>
      </c>
      <c r="AT16" s="62">
        <f>'Technical inputs'!$C$7*(AT6-AT7)+'Technical inputs'!$D$7*(AT7-AT8)+'Technical inputs'!$E$7*AT8</f>
        <v>235862.68799999997</v>
      </c>
      <c r="AU16" s="62">
        <f>'Technical inputs'!$C$7*(AU6-AU7)+'Technical inputs'!$D$7*(AU7-AU8)+'Technical inputs'!$E$7*AU8</f>
        <v>235862.68799999997</v>
      </c>
      <c r="AV16" s="62">
        <f>'Technical inputs'!$C$7*(AV6-AV7)+'Technical inputs'!$D$7*(AV7-AV8)+'Technical inputs'!$E$7*AV8</f>
        <v>235862.68799999997</v>
      </c>
      <c r="AW16" s="62">
        <f>'Technical inputs'!$C$7*(AW6-AW7)+'Technical inputs'!$D$7*(AW7-AW8)+'Technical inputs'!$E$7*AW8</f>
        <v>235862.68799999997</v>
      </c>
      <c r="AX16" s="62">
        <f>'Technical inputs'!$C$7*(AX6-AX7)+'Technical inputs'!$D$7*(AX7-AX8)+'Technical inputs'!$E$7*AX8</f>
        <v>235862.68799999997</v>
      </c>
      <c r="AY16" s="62">
        <f>'Technical inputs'!$C$7*(AY6-AY7)+'Technical inputs'!$D$7*(AY7-AY8)+'Technical inputs'!$E$7*AY8</f>
        <v>235862.68799999997</v>
      </c>
      <c r="AZ16" s="62">
        <f>'Technical inputs'!$C$7*(AZ6-AZ7)+'Technical inputs'!$D$7*(AZ7-AZ8)+'Technical inputs'!$E$7*AZ8</f>
        <v>235862.68799999997</v>
      </c>
      <c r="BA16" s="62">
        <f>'Technical inputs'!$C$7*(BA6-BA7)+'Technical inputs'!$D$7*(BA7-BA8)+'Technical inputs'!$E$7*BA8</f>
        <v>235862.68799999997</v>
      </c>
      <c r="BB16" s="62">
        <f>'Technical inputs'!$C$7*(BB6-BB7)+'Technical inputs'!$D$7*(BB7-BB8)+'Technical inputs'!$E$7*BB8</f>
        <v>235862.68799999997</v>
      </c>
      <c r="BC16" s="62">
        <f>'Technical inputs'!$C$7*(BC6-BC7)+'Technical inputs'!$D$7*(BC7-BC8)+'Technical inputs'!$E$7*BC8</f>
        <v>235862.68799999997</v>
      </c>
      <c r="BD16" s="62">
        <f>'Technical inputs'!$C$7*(BD6-BD7)+'Technical inputs'!$D$7*(BD7-BD8)+'Technical inputs'!$E$7*BD8</f>
        <v>235862.68799999997</v>
      </c>
      <c r="BE16" s="62">
        <f>'Technical inputs'!$C$7*(BE6-BE7)+'Technical inputs'!$D$7*(BE7-BE8)+'Technical inputs'!$E$7*BE8</f>
        <v>235862.68799999997</v>
      </c>
      <c r="BF16" s="62">
        <f>'Technical inputs'!$C$7*(BF6-BF7)+'Technical inputs'!$D$7*(BF7-BF8)+'Technical inputs'!$E$7*BF8</f>
        <v>235862.68799999997</v>
      </c>
      <c r="BG16" s="62">
        <f>'Technical inputs'!$C$7*(BG6-BG7)+'Technical inputs'!$D$7*(BG7-BG8)+'Technical inputs'!$E$7*BG8</f>
        <v>235862.68799999997</v>
      </c>
      <c r="BH16" s="62">
        <f>'Technical inputs'!$C$7*(BH6-BH7)+'Technical inputs'!$D$7*(BH7-BH8)+'Technical inputs'!$E$7*BH8</f>
        <v>235862.68799999997</v>
      </c>
      <c r="BI16" s="62">
        <f>'Technical inputs'!$C$7*(BI6-BI7)+'Technical inputs'!$D$7*(BI7-BI8)+'Technical inputs'!$E$7*BI8</f>
        <v>235862.68799999997</v>
      </c>
      <c r="BJ16" s="62">
        <f>'Technical inputs'!$C$7*(BJ6-BJ7)+'Technical inputs'!$D$7*(BJ7-BJ8)+'Technical inputs'!$E$7*BJ8</f>
        <v>235862.68799999997</v>
      </c>
      <c r="BK16" s="62">
        <f>'Technical inputs'!$C$7*(BK6-BK7)+'Technical inputs'!$D$7*(BK7-BK8)+'Technical inputs'!$E$7*BK8</f>
        <v>235862.68799999997</v>
      </c>
      <c r="BL16" s="62">
        <f>'Technical inputs'!$C$7*(BL6-BL7)+'Technical inputs'!$D$7*(BL7-BL8)+'Technical inputs'!$E$7*BL8</f>
        <v>235862.68799999997</v>
      </c>
    </row>
    <row r="17" spans="2:64" x14ac:dyDescent="0.2">
      <c r="B17" s="54" t="s">
        <v>257</v>
      </c>
      <c r="E17" s="80">
        <f>E15+E16</f>
        <v>124635355.70269997</v>
      </c>
      <c r="F17" s="80">
        <f t="shared" ref="F17:BL17" si="5">F15+F16</f>
        <v>124635355.70269997</v>
      </c>
      <c r="G17" s="80">
        <f t="shared" si="5"/>
        <v>124635355.70269997</v>
      </c>
      <c r="H17" s="80">
        <f t="shared" si="5"/>
        <v>124635355.70269997</v>
      </c>
      <c r="I17" s="80">
        <f t="shared" si="5"/>
        <v>124635355.70269997</v>
      </c>
      <c r="J17" s="80">
        <f t="shared" si="5"/>
        <v>124635355.70269997</v>
      </c>
      <c r="K17" s="80">
        <f t="shared" si="5"/>
        <v>124635355.70269997</v>
      </c>
      <c r="L17" s="80">
        <f t="shared" si="5"/>
        <v>124635355.70269997</v>
      </c>
      <c r="M17" s="80">
        <f t="shared" si="5"/>
        <v>124635355.70269997</v>
      </c>
      <c r="N17" s="80">
        <f t="shared" si="5"/>
        <v>124635355.70269997</v>
      </c>
      <c r="O17" s="80">
        <f t="shared" si="5"/>
        <v>124635355.70269997</v>
      </c>
      <c r="P17" s="80">
        <f t="shared" si="5"/>
        <v>124635355.70269997</v>
      </c>
      <c r="Q17" s="80">
        <f t="shared" si="5"/>
        <v>124635355.70269997</v>
      </c>
      <c r="R17" s="80">
        <f t="shared" si="5"/>
        <v>124635355.70269997</v>
      </c>
      <c r="S17" s="80">
        <f t="shared" si="5"/>
        <v>124635355.70269997</v>
      </c>
      <c r="T17" s="80">
        <f t="shared" si="5"/>
        <v>124635355.70269997</v>
      </c>
      <c r="U17" s="80">
        <f t="shared" si="5"/>
        <v>124635355.70269997</v>
      </c>
      <c r="V17" s="80">
        <f t="shared" si="5"/>
        <v>124635355.70269997</v>
      </c>
      <c r="W17" s="80">
        <f t="shared" si="5"/>
        <v>124635355.70269997</v>
      </c>
      <c r="X17" s="80">
        <f t="shared" si="5"/>
        <v>124635355.70269997</v>
      </c>
      <c r="Y17" s="80">
        <f t="shared" si="5"/>
        <v>124635355.70269997</v>
      </c>
      <c r="Z17" s="80">
        <f t="shared" si="5"/>
        <v>124635355.70269997</v>
      </c>
      <c r="AA17" s="80">
        <f t="shared" si="5"/>
        <v>124635355.70269997</v>
      </c>
      <c r="AB17" s="80">
        <f t="shared" si="5"/>
        <v>124635355.70269997</v>
      </c>
      <c r="AC17" s="80">
        <f t="shared" si="5"/>
        <v>124635355.70269997</v>
      </c>
      <c r="AD17" s="80">
        <f t="shared" si="5"/>
        <v>124635355.70269997</v>
      </c>
      <c r="AE17" s="80">
        <f t="shared" si="5"/>
        <v>124635355.70269997</v>
      </c>
      <c r="AF17" s="80">
        <f t="shared" si="5"/>
        <v>124635355.70269997</v>
      </c>
      <c r="AG17" s="80">
        <f t="shared" si="5"/>
        <v>124635355.70269997</v>
      </c>
      <c r="AH17" s="80">
        <f t="shared" si="5"/>
        <v>124635355.70269997</v>
      </c>
      <c r="AI17" s="80">
        <f t="shared" si="5"/>
        <v>124635355.70269997</v>
      </c>
      <c r="AJ17" s="80">
        <f t="shared" si="5"/>
        <v>124635355.70269997</v>
      </c>
      <c r="AK17" s="80">
        <f t="shared" si="5"/>
        <v>124635355.70269997</v>
      </c>
      <c r="AL17" s="80">
        <f t="shared" si="5"/>
        <v>124635355.70269997</v>
      </c>
      <c r="AM17" s="80">
        <f t="shared" si="5"/>
        <v>124635355.70269997</v>
      </c>
      <c r="AN17" s="80">
        <f t="shared" si="5"/>
        <v>124635355.70269997</v>
      </c>
      <c r="AO17" s="80">
        <f t="shared" si="5"/>
        <v>124635355.70269997</v>
      </c>
      <c r="AP17" s="80">
        <f t="shared" si="5"/>
        <v>124635355.70269997</v>
      </c>
      <c r="AQ17" s="80">
        <f t="shared" si="5"/>
        <v>124635355.70269997</v>
      </c>
      <c r="AR17" s="80">
        <f t="shared" si="5"/>
        <v>124635355.70269997</v>
      </c>
      <c r="AS17" s="80">
        <f t="shared" si="5"/>
        <v>124635355.70269997</v>
      </c>
      <c r="AT17" s="80">
        <f t="shared" si="5"/>
        <v>124635355.70269997</v>
      </c>
      <c r="AU17" s="80">
        <f t="shared" si="5"/>
        <v>124635355.70269997</v>
      </c>
      <c r="AV17" s="80">
        <f t="shared" si="5"/>
        <v>124635355.70269997</v>
      </c>
      <c r="AW17" s="80">
        <f t="shared" si="5"/>
        <v>124635355.70269997</v>
      </c>
      <c r="AX17" s="80">
        <f t="shared" si="5"/>
        <v>124635355.70269997</v>
      </c>
      <c r="AY17" s="80">
        <f t="shared" si="5"/>
        <v>124635355.70269997</v>
      </c>
      <c r="AZ17" s="80">
        <f t="shared" si="5"/>
        <v>124635355.70269997</v>
      </c>
      <c r="BA17" s="80">
        <f t="shared" si="5"/>
        <v>124635355.70269997</v>
      </c>
      <c r="BB17" s="80">
        <f t="shared" si="5"/>
        <v>124635355.70269997</v>
      </c>
      <c r="BC17" s="80">
        <f t="shared" si="5"/>
        <v>124635355.70269997</v>
      </c>
      <c r="BD17" s="80">
        <f t="shared" si="5"/>
        <v>124635355.70269997</v>
      </c>
      <c r="BE17" s="80">
        <f t="shared" si="5"/>
        <v>124635355.70269997</v>
      </c>
      <c r="BF17" s="80">
        <f t="shared" si="5"/>
        <v>124635355.70269997</v>
      </c>
      <c r="BG17" s="80">
        <f t="shared" si="5"/>
        <v>124635355.70269997</v>
      </c>
      <c r="BH17" s="80">
        <f t="shared" si="5"/>
        <v>124635355.70269997</v>
      </c>
      <c r="BI17" s="80">
        <f t="shared" si="5"/>
        <v>124635355.70269997</v>
      </c>
      <c r="BJ17" s="80">
        <f t="shared" si="5"/>
        <v>124635355.70269997</v>
      </c>
      <c r="BK17" s="80">
        <f t="shared" si="5"/>
        <v>124635355.70269997</v>
      </c>
      <c r="BL17" s="80">
        <f t="shared" si="5"/>
        <v>124635355.70269997</v>
      </c>
    </row>
    <row r="18" spans="2:64" ht="4.5" customHeight="1" x14ac:dyDescent="0.2">
      <c r="B18" s="54"/>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row>
    <row r="19" spans="2:64" x14ac:dyDescent="0.2">
      <c r="B19" s="54" t="s">
        <v>137</v>
      </c>
      <c r="E19" s="62">
        <f>'Operating model'!$F$8*(E6-E7)+'Operating model'!$G$8*(E7-E8)+'Operating model'!$H$8*E8</f>
        <v>518962.58059726638</v>
      </c>
      <c r="F19" s="62">
        <f>'Operating model'!$F$8*(F6-F7)+'Operating model'!$G$8*(F7-F8)+'Operating model'!$H$8*F8</f>
        <v>518962.58059726638</v>
      </c>
      <c r="G19" s="62">
        <f>'Operating model'!$F$8*(G6-G7)+'Operating model'!$G$8*(G7-G8)+'Operating model'!$H$8*G8</f>
        <v>518962.58059726638</v>
      </c>
      <c r="H19" s="62">
        <f>'Operating model'!$F$8*(H6-H7)+'Operating model'!$G$8*(H7-H8)+'Operating model'!$H$8*H8</f>
        <v>518962.58059726638</v>
      </c>
      <c r="I19" s="62">
        <f>'Operating model'!$F$8*(I6-I7)+'Operating model'!$G$8*(I7-I8)+'Operating model'!$H$8*I8</f>
        <v>518962.58059726638</v>
      </c>
      <c r="J19" s="62">
        <f>'Operating model'!$F$8*(J6-J7)+'Operating model'!$G$8*(J7-J8)+'Operating model'!$H$8*J8</f>
        <v>518962.58059726638</v>
      </c>
      <c r="K19" s="62">
        <f>'Operating model'!$F$8*(K6-K7)+'Operating model'!$G$8*(K7-K8)+'Operating model'!$H$8*K8</f>
        <v>518962.58059726638</v>
      </c>
      <c r="L19" s="62">
        <f>'Operating model'!$F$8*(L6-L7)+'Operating model'!$G$8*(L7-L8)+'Operating model'!$H$8*L8</f>
        <v>518962.58059726638</v>
      </c>
      <c r="M19" s="62">
        <f>'Operating model'!$F$8*(M6-M7)+'Operating model'!$G$8*(M7-M8)+'Operating model'!$H$8*M8</f>
        <v>518962.58059726638</v>
      </c>
      <c r="N19" s="62">
        <f>'Operating model'!$F$8*(N6-N7)+'Operating model'!$G$8*(N7-N8)+'Operating model'!$H$8*N8</f>
        <v>518962.58059726638</v>
      </c>
      <c r="O19" s="62">
        <f>'Operating model'!$F$8*(O6-O7)+'Operating model'!$G$8*(O7-O8)+'Operating model'!$H$8*O8</f>
        <v>518962.58059726638</v>
      </c>
      <c r="P19" s="62">
        <f>'Operating model'!$F$8*(P6-P7)+'Operating model'!$G$8*(P7-P8)+'Operating model'!$H$8*P8</f>
        <v>518962.58059726638</v>
      </c>
      <c r="Q19" s="62">
        <f>'Operating model'!$F$8*(Q6-Q7)+'Operating model'!$G$8*(Q7-Q8)+'Operating model'!$H$8*Q8</f>
        <v>518962.58059726638</v>
      </c>
      <c r="R19" s="62">
        <f>'Operating model'!$F$8*(R6-R7)+'Operating model'!$G$8*(R7-R8)+'Operating model'!$H$8*R8</f>
        <v>518962.58059726638</v>
      </c>
      <c r="S19" s="62">
        <f>'Operating model'!$F$8*(S6-S7)+'Operating model'!$G$8*(S7-S8)+'Operating model'!$H$8*S8</f>
        <v>518962.58059726638</v>
      </c>
      <c r="T19" s="62">
        <f>'Operating model'!$F$8*(T6-T7)+'Operating model'!$G$8*(T7-T8)+'Operating model'!$H$8*T8</f>
        <v>518962.58059726638</v>
      </c>
      <c r="U19" s="62">
        <f>'Operating model'!$F$8*(U6-U7)+'Operating model'!$G$8*(U7-U8)+'Operating model'!$H$8*U8</f>
        <v>518962.58059726638</v>
      </c>
      <c r="V19" s="62">
        <f>'Operating model'!$F$8*(V6-V7)+'Operating model'!$G$8*(V7-V8)+'Operating model'!$H$8*V8</f>
        <v>518962.58059726638</v>
      </c>
      <c r="W19" s="62">
        <f>'Operating model'!$F$8*(W6-W7)+'Operating model'!$G$8*(W7-W8)+'Operating model'!$H$8*W8</f>
        <v>518962.58059726638</v>
      </c>
      <c r="X19" s="62">
        <f>'Operating model'!$F$8*(X6-X7)+'Operating model'!$G$8*(X7-X8)+'Operating model'!$H$8*X8</f>
        <v>518962.58059726638</v>
      </c>
      <c r="Y19" s="62">
        <f>'Operating model'!$F$8*(Y6-Y7)+'Operating model'!$G$8*(Y7-Y8)+'Operating model'!$H$8*Y8</f>
        <v>518962.58059726638</v>
      </c>
      <c r="Z19" s="62">
        <f>'Operating model'!$F$8*(Z6-Z7)+'Operating model'!$G$8*(Z7-Z8)+'Operating model'!$H$8*Z8</f>
        <v>518962.58059726638</v>
      </c>
      <c r="AA19" s="62">
        <f>'Operating model'!$F$8*(AA6-AA7)+'Operating model'!$G$8*(AA7-AA8)+'Operating model'!$H$8*AA8</f>
        <v>518962.58059726638</v>
      </c>
      <c r="AB19" s="62">
        <f>'Operating model'!$F$8*(AB6-AB7)+'Operating model'!$G$8*(AB7-AB8)+'Operating model'!$H$8*AB8</f>
        <v>518962.58059726638</v>
      </c>
      <c r="AC19" s="62">
        <f>'Operating model'!$F$8*(AC6-AC7)+'Operating model'!$G$8*(AC7-AC8)+'Operating model'!$H$8*AC8</f>
        <v>518962.58059726638</v>
      </c>
      <c r="AD19" s="62">
        <f>'Operating model'!$F$8*(AD6-AD7)+'Operating model'!$G$8*(AD7-AD8)+'Operating model'!$H$8*AD8</f>
        <v>518962.58059726638</v>
      </c>
      <c r="AE19" s="62">
        <f>'Operating model'!$F$8*(AE6-AE7)+'Operating model'!$G$8*(AE7-AE8)+'Operating model'!$H$8*AE8</f>
        <v>518962.58059726638</v>
      </c>
      <c r="AF19" s="62">
        <f>'Operating model'!$F$8*(AF6-AF7)+'Operating model'!$G$8*(AF7-AF8)+'Operating model'!$H$8*AF8</f>
        <v>518962.58059726638</v>
      </c>
      <c r="AG19" s="62">
        <f>'Operating model'!$F$8*(AG6-AG7)+'Operating model'!$G$8*(AG7-AG8)+'Operating model'!$H$8*AG8</f>
        <v>518962.58059726638</v>
      </c>
      <c r="AH19" s="62">
        <f>'Operating model'!$F$8*(AH6-AH7)+'Operating model'!$G$8*(AH7-AH8)+'Operating model'!$H$8*AH8</f>
        <v>518962.58059726638</v>
      </c>
      <c r="AI19" s="62">
        <f>'Operating model'!$F$8*(AI6-AI7)+'Operating model'!$G$8*(AI7-AI8)+'Operating model'!$H$8*AI8</f>
        <v>518962.58059726638</v>
      </c>
      <c r="AJ19" s="62">
        <f>'Operating model'!$F$8*(AJ6-AJ7)+'Operating model'!$G$8*(AJ7-AJ8)+'Operating model'!$H$8*AJ8</f>
        <v>518962.58059726638</v>
      </c>
      <c r="AK19" s="62">
        <f>'Operating model'!$F$8*(AK6-AK7)+'Operating model'!$G$8*(AK7-AK8)+'Operating model'!$H$8*AK8</f>
        <v>518962.58059726638</v>
      </c>
      <c r="AL19" s="62">
        <f>'Operating model'!$F$8*(AL6-AL7)+'Operating model'!$G$8*(AL7-AL8)+'Operating model'!$H$8*AL8</f>
        <v>518962.58059726638</v>
      </c>
      <c r="AM19" s="62">
        <f>'Operating model'!$F$8*(AM6-AM7)+'Operating model'!$G$8*(AM7-AM8)+'Operating model'!$H$8*AM8</f>
        <v>518962.58059726638</v>
      </c>
      <c r="AN19" s="62">
        <f>'Operating model'!$F$8*(AN6-AN7)+'Operating model'!$G$8*(AN7-AN8)+'Operating model'!$H$8*AN8</f>
        <v>518962.58059726638</v>
      </c>
      <c r="AO19" s="62">
        <f>'Operating model'!$F$8*(AO6-AO7)+'Operating model'!$G$8*(AO7-AO8)+'Operating model'!$H$8*AO8</f>
        <v>518962.58059726638</v>
      </c>
      <c r="AP19" s="62">
        <f>'Operating model'!$F$8*(AP6-AP7)+'Operating model'!$G$8*(AP7-AP8)+'Operating model'!$H$8*AP8</f>
        <v>518962.58059726638</v>
      </c>
      <c r="AQ19" s="62">
        <f>'Operating model'!$F$8*(AQ6-AQ7)+'Operating model'!$G$8*(AQ7-AQ8)+'Operating model'!$H$8*AQ8</f>
        <v>518962.58059726638</v>
      </c>
      <c r="AR19" s="62">
        <f>'Operating model'!$F$8*(AR6-AR7)+'Operating model'!$G$8*(AR7-AR8)+'Operating model'!$H$8*AR8</f>
        <v>518962.58059726638</v>
      </c>
      <c r="AS19" s="62">
        <f>'Operating model'!$F$8*(AS6-AS7)+'Operating model'!$G$8*(AS7-AS8)+'Operating model'!$H$8*AS8</f>
        <v>518962.58059726638</v>
      </c>
      <c r="AT19" s="62">
        <f>'Operating model'!$F$8*(AT6-AT7)+'Operating model'!$G$8*(AT7-AT8)+'Operating model'!$H$8*AT8</f>
        <v>518962.58059726638</v>
      </c>
      <c r="AU19" s="62">
        <f>'Operating model'!$F$8*(AU6-AU7)+'Operating model'!$G$8*(AU7-AU8)+'Operating model'!$H$8*AU8</f>
        <v>518962.58059726638</v>
      </c>
      <c r="AV19" s="62">
        <f>'Operating model'!$F$8*(AV6-AV7)+'Operating model'!$G$8*(AV7-AV8)+'Operating model'!$H$8*AV8</f>
        <v>518962.58059726638</v>
      </c>
      <c r="AW19" s="62">
        <f>'Operating model'!$F$8*(AW6-AW7)+'Operating model'!$G$8*(AW7-AW8)+'Operating model'!$H$8*AW8</f>
        <v>518962.58059726638</v>
      </c>
      <c r="AX19" s="62">
        <f>'Operating model'!$F$8*(AX6-AX7)+'Operating model'!$G$8*(AX7-AX8)+'Operating model'!$H$8*AX8</f>
        <v>518962.58059726638</v>
      </c>
      <c r="AY19" s="62">
        <f>'Operating model'!$F$8*(AY6-AY7)+'Operating model'!$G$8*(AY7-AY8)+'Operating model'!$H$8*AY8</f>
        <v>518962.58059726638</v>
      </c>
      <c r="AZ19" s="62">
        <f>'Operating model'!$F$8*(AZ6-AZ7)+'Operating model'!$G$8*(AZ7-AZ8)+'Operating model'!$H$8*AZ8</f>
        <v>518962.58059726638</v>
      </c>
      <c r="BA19" s="62">
        <f>'Operating model'!$F$8*(BA6-BA7)+'Operating model'!$G$8*(BA7-BA8)+'Operating model'!$H$8*BA8</f>
        <v>518962.58059726638</v>
      </c>
      <c r="BB19" s="62">
        <f>'Operating model'!$F$8*(BB6-BB7)+'Operating model'!$G$8*(BB7-BB8)+'Operating model'!$H$8*BB8</f>
        <v>518962.58059726638</v>
      </c>
      <c r="BC19" s="62">
        <f>'Operating model'!$F$8*(BC6-BC7)+'Operating model'!$G$8*(BC7-BC8)+'Operating model'!$H$8*BC8</f>
        <v>518962.58059726638</v>
      </c>
      <c r="BD19" s="62">
        <f>'Operating model'!$F$8*(BD6-BD7)+'Operating model'!$G$8*(BD7-BD8)+'Operating model'!$H$8*BD8</f>
        <v>518962.58059726638</v>
      </c>
      <c r="BE19" s="62">
        <f>'Operating model'!$F$8*(BE6-BE7)+'Operating model'!$G$8*(BE7-BE8)+'Operating model'!$H$8*BE8</f>
        <v>518962.58059726638</v>
      </c>
      <c r="BF19" s="62">
        <f>'Operating model'!$F$8*(BF6-BF7)+'Operating model'!$G$8*(BF7-BF8)+'Operating model'!$H$8*BF8</f>
        <v>518962.58059726638</v>
      </c>
      <c r="BG19" s="62">
        <f>'Operating model'!$F$8*(BG6-BG7)+'Operating model'!$G$8*(BG7-BG8)+'Operating model'!$H$8*BG8</f>
        <v>518962.58059726638</v>
      </c>
      <c r="BH19" s="62">
        <f>'Operating model'!$F$8*(BH6-BH7)+'Operating model'!$G$8*(BH7-BH8)+'Operating model'!$H$8*BH8</f>
        <v>518962.58059726638</v>
      </c>
      <c r="BI19" s="62">
        <f>'Operating model'!$F$8*(BI6-BI7)+'Operating model'!$G$8*(BI7-BI8)+'Operating model'!$H$8*BI8</f>
        <v>518962.58059726638</v>
      </c>
      <c r="BJ19" s="62">
        <f>'Operating model'!$F$8*(BJ6-BJ7)+'Operating model'!$G$8*(BJ7-BJ8)+'Operating model'!$H$8*BJ8</f>
        <v>518962.58059726638</v>
      </c>
      <c r="BK19" s="62">
        <f>'Operating model'!$F$8*(BK6-BK7)+'Operating model'!$G$8*(BK7-BK8)+'Operating model'!$H$8*BK8</f>
        <v>518962.58059726638</v>
      </c>
      <c r="BL19" s="62">
        <f>'Operating model'!$F$8*(BL6-BL7)+'Operating model'!$G$8*(BL7-BL8)+'Operating model'!$H$8*BL8</f>
        <v>518962.58059726638</v>
      </c>
    </row>
    <row r="20" spans="2:64" x14ac:dyDescent="0.2">
      <c r="B20" s="54" t="s">
        <v>136</v>
      </c>
      <c r="E20" s="80">
        <f>E17+E19</f>
        <v>125154318.28329724</v>
      </c>
      <c r="F20" s="80">
        <f t="shared" ref="F20:BL20" si="6">F17+F19</f>
        <v>125154318.28329724</v>
      </c>
      <c r="G20" s="80">
        <f t="shared" si="6"/>
        <v>125154318.28329724</v>
      </c>
      <c r="H20" s="80">
        <f t="shared" si="6"/>
        <v>125154318.28329724</v>
      </c>
      <c r="I20" s="80">
        <f t="shared" si="6"/>
        <v>125154318.28329724</v>
      </c>
      <c r="J20" s="80">
        <f t="shared" si="6"/>
        <v>125154318.28329724</v>
      </c>
      <c r="K20" s="80">
        <f t="shared" si="6"/>
        <v>125154318.28329724</v>
      </c>
      <c r="L20" s="80">
        <f t="shared" si="6"/>
        <v>125154318.28329724</v>
      </c>
      <c r="M20" s="80">
        <f t="shared" si="6"/>
        <v>125154318.28329724</v>
      </c>
      <c r="N20" s="80">
        <f t="shared" si="6"/>
        <v>125154318.28329724</v>
      </c>
      <c r="O20" s="80">
        <f t="shared" si="6"/>
        <v>125154318.28329724</v>
      </c>
      <c r="P20" s="80">
        <f t="shared" si="6"/>
        <v>125154318.28329724</v>
      </c>
      <c r="Q20" s="80">
        <f t="shared" si="6"/>
        <v>125154318.28329724</v>
      </c>
      <c r="R20" s="80">
        <f t="shared" si="6"/>
        <v>125154318.28329724</v>
      </c>
      <c r="S20" s="80">
        <f t="shared" si="6"/>
        <v>125154318.28329724</v>
      </c>
      <c r="T20" s="80">
        <f t="shared" si="6"/>
        <v>125154318.28329724</v>
      </c>
      <c r="U20" s="80">
        <f t="shared" si="6"/>
        <v>125154318.28329724</v>
      </c>
      <c r="V20" s="80">
        <f t="shared" si="6"/>
        <v>125154318.28329724</v>
      </c>
      <c r="W20" s="80">
        <f t="shared" si="6"/>
        <v>125154318.28329724</v>
      </c>
      <c r="X20" s="80">
        <f t="shared" si="6"/>
        <v>125154318.28329724</v>
      </c>
      <c r="Y20" s="80">
        <f t="shared" si="6"/>
        <v>125154318.28329724</v>
      </c>
      <c r="Z20" s="80">
        <f t="shared" si="6"/>
        <v>125154318.28329724</v>
      </c>
      <c r="AA20" s="80">
        <f t="shared" si="6"/>
        <v>125154318.28329724</v>
      </c>
      <c r="AB20" s="80">
        <f t="shared" si="6"/>
        <v>125154318.28329724</v>
      </c>
      <c r="AC20" s="80">
        <f t="shared" si="6"/>
        <v>125154318.28329724</v>
      </c>
      <c r="AD20" s="80">
        <f t="shared" si="6"/>
        <v>125154318.28329724</v>
      </c>
      <c r="AE20" s="80">
        <f t="shared" si="6"/>
        <v>125154318.28329724</v>
      </c>
      <c r="AF20" s="80">
        <f t="shared" si="6"/>
        <v>125154318.28329724</v>
      </c>
      <c r="AG20" s="80">
        <f t="shared" si="6"/>
        <v>125154318.28329724</v>
      </c>
      <c r="AH20" s="80">
        <f t="shared" si="6"/>
        <v>125154318.28329724</v>
      </c>
      <c r="AI20" s="80">
        <f t="shared" si="6"/>
        <v>125154318.28329724</v>
      </c>
      <c r="AJ20" s="80">
        <f t="shared" si="6"/>
        <v>125154318.28329724</v>
      </c>
      <c r="AK20" s="80">
        <f t="shared" si="6"/>
        <v>125154318.28329724</v>
      </c>
      <c r="AL20" s="80">
        <f t="shared" si="6"/>
        <v>125154318.28329724</v>
      </c>
      <c r="AM20" s="80">
        <f t="shared" si="6"/>
        <v>125154318.28329724</v>
      </c>
      <c r="AN20" s="80">
        <f t="shared" si="6"/>
        <v>125154318.28329724</v>
      </c>
      <c r="AO20" s="80">
        <f t="shared" si="6"/>
        <v>125154318.28329724</v>
      </c>
      <c r="AP20" s="80">
        <f t="shared" si="6"/>
        <v>125154318.28329724</v>
      </c>
      <c r="AQ20" s="80">
        <f t="shared" si="6"/>
        <v>125154318.28329724</v>
      </c>
      <c r="AR20" s="80">
        <f t="shared" si="6"/>
        <v>125154318.28329724</v>
      </c>
      <c r="AS20" s="80">
        <f t="shared" si="6"/>
        <v>125154318.28329724</v>
      </c>
      <c r="AT20" s="80">
        <f t="shared" si="6"/>
        <v>125154318.28329724</v>
      </c>
      <c r="AU20" s="80">
        <f t="shared" si="6"/>
        <v>125154318.28329724</v>
      </c>
      <c r="AV20" s="80">
        <f t="shared" si="6"/>
        <v>125154318.28329724</v>
      </c>
      <c r="AW20" s="80">
        <f t="shared" si="6"/>
        <v>125154318.28329724</v>
      </c>
      <c r="AX20" s="80">
        <f t="shared" si="6"/>
        <v>125154318.28329724</v>
      </c>
      <c r="AY20" s="80">
        <f t="shared" si="6"/>
        <v>125154318.28329724</v>
      </c>
      <c r="AZ20" s="80">
        <f t="shared" si="6"/>
        <v>125154318.28329724</v>
      </c>
      <c r="BA20" s="80">
        <f t="shared" si="6"/>
        <v>125154318.28329724</v>
      </c>
      <c r="BB20" s="80">
        <f t="shared" si="6"/>
        <v>125154318.28329724</v>
      </c>
      <c r="BC20" s="80">
        <f t="shared" si="6"/>
        <v>125154318.28329724</v>
      </c>
      <c r="BD20" s="80">
        <f t="shared" si="6"/>
        <v>125154318.28329724</v>
      </c>
      <c r="BE20" s="80">
        <f t="shared" si="6"/>
        <v>125154318.28329724</v>
      </c>
      <c r="BF20" s="80">
        <f t="shared" si="6"/>
        <v>125154318.28329724</v>
      </c>
      <c r="BG20" s="80">
        <f t="shared" si="6"/>
        <v>125154318.28329724</v>
      </c>
      <c r="BH20" s="80">
        <f t="shared" si="6"/>
        <v>125154318.28329724</v>
      </c>
      <c r="BI20" s="80">
        <f t="shared" si="6"/>
        <v>125154318.28329724</v>
      </c>
      <c r="BJ20" s="80">
        <f t="shared" si="6"/>
        <v>125154318.28329724</v>
      </c>
      <c r="BK20" s="80">
        <f t="shared" si="6"/>
        <v>125154318.28329724</v>
      </c>
      <c r="BL20" s="80">
        <f t="shared" si="6"/>
        <v>125154318.28329724</v>
      </c>
    </row>
    <row r="21" spans="2:64" ht="5.25" customHeight="1" x14ac:dyDescent="0.2">
      <c r="B21" s="54"/>
      <c r="E21" s="62"/>
      <c r="F21" s="62"/>
      <c r="G21" s="62"/>
      <c r="H21" s="62"/>
      <c r="I21" s="62"/>
      <c r="J21" s="62"/>
      <c r="K21" s="62"/>
      <c r="L21" s="62"/>
      <c r="M21" s="62"/>
      <c r="N21" s="62"/>
      <c r="O21" s="62"/>
      <c r="P21" s="62"/>
      <c r="Q21" s="62"/>
      <c r="R21" s="62"/>
      <c r="S21" s="62"/>
      <c r="T21" s="62"/>
      <c r="U21" s="62"/>
      <c r="V21" s="62"/>
      <c r="W21" s="62"/>
      <c r="X21" s="62"/>
      <c r="Y21" s="62"/>
      <c r="Z21" s="62"/>
      <c r="AA21" s="62"/>
      <c r="AB21" s="62"/>
      <c r="AC21" s="62"/>
      <c r="AD21" s="62"/>
      <c r="AE21" s="62"/>
      <c r="AF21" s="62"/>
      <c r="AG21" s="62"/>
      <c r="AH21" s="62"/>
      <c r="AI21" s="62"/>
      <c r="AJ21" s="62"/>
      <c r="AK21" s="62"/>
      <c r="AL21" s="62"/>
      <c r="AM21" s="62"/>
      <c r="AN21" s="62"/>
      <c r="AO21" s="62"/>
      <c r="AP21" s="62"/>
      <c r="AQ21" s="62"/>
      <c r="AR21" s="62"/>
      <c r="AS21" s="62"/>
      <c r="AT21" s="62"/>
      <c r="AU21" s="62"/>
      <c r="AV21" s="62"/>
      <c r="AW21" s="62"/>
      <c r="AX21" s="62"/>
      <c r="AY21" s="62"/>
      <c r="AZ21" s="62"/>
      <c r="BA21" s="62"/>
      <c r="BB21" s="62"/>
      <c r="BC21" s="62"/>
      <c r="BD21" s="62"/>
      <c r="BE21" s="62"/>
      <c r="BF21" s="62"/>
      <c r="BG21" s="62"/>
      <c r="BH21" s="62"/>
      <c r="BI21" s="62"/>
      <c r="BJ21" s="62"/>
      <c r="BK21" s="62"/>
      <c r="BL21" s="62"/>
    </row>
    <row r="22" spans="2:64" x14ac:dyDescent="0.2">
      <c r="B22" s="54" t="s">
        <v>2121</v>
      </c>
      <c r="E22" s="62">
        <f>'Operating model'!$F$62*(E6-E7)+'Operating model'!$G$62*(E7-E8)+'Operating model'!$H$62*(E8)</f>
        <v>49813784.288243718</v>
      </c>
      <c r="F22" s="62">
        <f>'Operating model'!$F$62*(F6-F7)+'Operating model'!$G$62*(F7-F8)+'Operating model'!$H$62*(F8)</f>
        <v>49813784.288243718</v>
      </c>
      <c r="G22" s="62">
        <f>'Operating model'!$F$62*(G6-G7)+'Operating model'!$G$62*(G7-G8)+'Operating model'!$H$62*(G8)</f>
        <v>49813784.288243718</v>
      </c>
      <c r="H22" s="62">
        <f>'Operating model'!$F$62*(H6-H7)+'Operating model'!$G$62*(H7-H8)+'Operating model'!$H$62*(H8)</f>
        <v>49813784.288243718</v>
      </c>
      <c r="I22" s="62">
        <f>'Operating model'!$F$62*(I6-I7)+'Operating model'!$G$62*(I7-I8)+'Operating model'!$H$62*(I8)</f>
        <v>49813784.288243718</v>
      </c>
      <c r="J22" s="62">
        <f>'Operating model'!$F$62*(J6-J7)+'Operating model'!$G$62*(J7-J8)+'Operating model'!$H$62*(J8)</f>
        <v>49813784.288243718</v>
      </c>
      <c r="K22" s="62">
        <f>'Operating model'!$F$62*(K6-K7)+'Operating model'!$G$62*(K7-K8)+'Operating model'!$H$62*(K8)</f>
        <v>49813784.288243718</v>
      </c>
      <c r="L22" s="62">
        <f>'Operating model'!$F$62*(L6-L7)+'Operating model'!$G$62*(L7-L8)+'Operating model'!$H$62*(L8)</f>
        <v>49813784.288243718</v>
      </c>
      <c r="M22" s="62">
        <f>'Operating model'!$F$62*(M6-M7)+'Operating model'!$G$62*(M7-M8)+'Operating model'!$H$62*(M8)</f>
        <v>49813784.288243718</v>
      </c>
      <c r="N22" s="62">
        <f>'Operating model'!$F$62*(N6-N7)+'Operating model'!$G$62*(N7-N8)+'Operating model'!$H$62*(N8)</f>
        <v>49813784.288243718</v>
      </c>
      <c r="O22" s="62">
        <f>'Operating model'!$F$62*(O6-O7)+'Operating model'!$G$62*(O7-O8)+'Operating model'!$H$62*(O8)</f>
        <v>49813784.288243718</v>
      </c>
      <c r="P22" s="62">
        <f>'Operating model'!$F$62*(P6-P7)+'Operating model'!$G$62*(P7-P8)+'Operating model'!$H$62*(P8)</f>
        <v>49813784.288243718</v>
      </c>
      <c r="Q22" s="62">
        <f>'Operating model'!$F$62*(Q6-Q7)+'Operating model'!$G$62*(Q7-Q8)+'Operating model'!$H$62*(Q8)</f>
        <v>49813784.288243718</v>
      </c>
      <c r="R22" s="62">
        <f>'Operating model'!$F$62*(R6-R7)+'Operating model'!$G$62*(R7-R8)+'Operating model'!$H$62*(R8)</f>
        <v>49813784.288243718</v>
      </c>
      <c r="S22" s="62">
        <f>'Operating model'!$F$62*(S6-S7)+'Operating model'!$G$62*(S7-S8)+'Operating model'!$H$62*(S8)</f>
        <v>49813784.288243718</v>
      </c>
      <c r="T22" s="62">
        <f>'Operating model'!$F$62*(T6-T7)+'Operating model'!$G$62*(T7-T8)+'Operating model'!$H$62*(T8)</f>
        <v>49813784.288243718</v>
      </c>
      <c r="U22" s="62">
        <f>'Operating model'!$F$62*(U6-U7)+'Operating model'!$G$62*(U7-U8)+'Operating model'!$H$62*(U8)</f>
        <v>49813784.288243718</v>
      </c>
      <c r="V22" s="62">
        <f>'Operating model'!$F$62*(V6-V7)+'Operating model'!$G$62*(V7-V8)+'Operating model'!$H$62*(V8)</f>
        <v>49813784.288243718</v>
      </c>
      <c r="W22" s="62">
        <f>'Operating model'!$F$62*(W6-W7)+'Operating model'!$G$62*(W7-W8)+'Operating model'!$H$62*(W8)</f>
        <v>49813784.288243718</v>
      </c>
      <c r="X22" s="62">
        <f>'Operating model'!$F$62*(X6-X7)+'Operating model'!$G$62*(X7-X8)+'Operating model'!$H$62*(X8)</f>
        <v>49813784.288243718</v>
      </c>
      <c r="Y22" s="62">
        <f>'Operating model'!$F$62*(Y6-Y7)+'Operating model'!$G$62*(Y7-Y8)+'Operating model'!$H$62*(Y8)</f>
        <v>49813784.288243718</v>
      </c>
      <c r="Z22" s="62">
        <f>'Operating model'!$F$62*(Z6-Z7)+'Operating model'!$G$62*(Z7-Z8)+'Operating model'!$H$62*(Z8)</f>
        <v>49813784.288243718</v>
      </c>
      <c r="AA22" s="62">
        <f>'Operating model'!$F$62*(AA6-AA7)+'Operating model'!$G$62*(AA7-AA8)+'Operating model'!$H$62*(AA8)</f>
        <v>49813784.288243718</v>
      </c>
      <c r="AB22" s="62">
        <f>'Operating model'!$F$62*(AB6-AB7)+'Operating model'!$G$62*(AB7-AB8)+'Operating model'!$H$62*(AB8)</f>
        <v>49813784.288243718</v>
      </c>
      <c r="AC22" s="62">
        <f>'Operating model'!$F$62*(AC6-AC7)+'Operating model'!$G$62*(AC7-AC8)+'Operating model'!$H$62*(AC8)</f>
        <v>49813784.288243718</v>
      </c>
      <c r="AD22" s="62">
        <f>'Operating model'!$F$62*(AD6-AD7)+'Operating model'!$G$62*(AD7-AD8)+'Operating model'!$H$62*(AD8)</f>
        <v>49813784.288243718</v>
      </c>
      <c r="AE22" s="62">
        <f>'Operating model'!$F$62*(AE6-AE7)+'Operating model'!$G$62*(AE7-AE8)+'Operating model'!$H$62*(AE8)</f>
        <v>49813784.288243718</v>
      </c>
      <c r="AF22" s="62">
        <f>'Operating model'!$F$62*(AF6-AF7)+'Operating model'!$G$62*(AF7-AF8)+'Operating model'!$H$62*(AF8)</f>
        <v>49813784.288243718</v>
      </c>
      <c r="AG22" s="62">
        <f>'Operating model'!$F$62*(AG6-AG7)+'Operating model'!$G$62*(AG7-AG8)+'Operating model'!$H$62*(AG8)</f>
        <v>49813784.288243718</v>
      </c>
      <c r="AH22" s="62">
        <f>'Operating model'!$F$62*(AH6-AH7)+'Operating model'!$G$62*(AH7-AH8)+'Operating model'!$H$62*(AH8)</f>
        <v>49813784.288243718</v>
      </c>
      <c r="AI22" s="62">
        <f>'Operating model'!$F$62*(AI6-AI7)+'Operating model'!$G$62*(AI7-AI8)+'Operating model'!$H$62*(AI8)</f>
        <v>49813784.288243718</v>
      </c>
      <c r="AJ22" s="62">
        <f>'Operating model'!$F$62*(AJ6-AJ7)+'Operating model'!$G$62*(AJ7-AJ8)+'Operating model'!$H$62*(AJ8)</f>
        <v>49813784.288243718</v>
      </c>
      <c r="AK22" s="62">
        <f>'Operating model'!$F$62*(AK6-AK7)+'Operating model'!$G$62*(AK7-AK8)+'Operating model'!$H$62*(AK8)</f>
        <v>49813784.288243718</v>
      </c>
      <c r="AL22" s="62">
        <f>'Operating model'!$F$62*(AL6-AL7)+'Operating model'!$G$62*(AL7-AL8)+'Operating model'!$H$62*(AL8)</f>
        <v>49813784.288243718</v>
      </c>
      <c r="AM22" s="62">
        <f>'Operating model'!$F$62*(AM6-AM7)+'Operating model'!$G$62*(AM7-AM8)+'Operating model'!$H$62*(AM8)</f>
        <v>49813784.288243718</v>
      </c>
      <c r="AN22" s="62">
        <f>'Operating model'!$F$62*(AN6-AN7)+'Operating model'!$G$62*(AN7-AN8)+'Operating model'!$H$62*(AN8)</f>
        <v>49813784.288243718</v>
      </c>
      <c r="AO22" s="62">
        <f>'Operating model'!$F$62*(AO6-AO7)+'Operating model'!$G$62*(AO7-AO8)+'Operating model'!$H$62*(AO8)</f>
        <v>49813784.288243718</v>
      </c>
      <c r="AP22" s="62">
        <f>'Operating model'!$F$62*(AP6-AP7)+'Operating model'!$G$62*(AP7-AP8)+'Operating model'!$H$62*(AP8)</f>
        <v>49813784.288243718</v>
      </c>
      <c r="AQ22" s="62">
        <f>'Operating model'!$F$62*(AQ6-AQ7)+'Operating model'!$G$62*(AQ7-AQ8)+'Operating model'!$H$62*(AQ8)</f>
        <v>49813784.288243718</v>
      </c>
      <c r="AR22" s="62">
        <f>'Operating model'!$F$62*(AR6-AR7)+'Operating model'!$G$62*(AR7-AR8)+'Operating model'!$H$62*(AR8)</f>
        <v>49813784.288243718</v>
      </c>
      <c r="AS22" s="62">
        <f>'Operating model'!$F$62*(AS6-AS7)+'Operating model'!$G$62*(AS7-AS8)+'Operating model'!$H$62*(AS8)</f>
        <v>49813784.288243718</v>
      </c>
      <c r="AT22" s="62">
        <f>'Operating model'!$F$62*(AT6-AT7)+'Operating model'!$G$62*(AT7-AT8)+'Operating model'!$H$62*(AT8)</f>
        <v>49813784.288243718</v>
      </c>
      <c r="AU22" s="62">
        <f>'Operating model'!$F$62*(AU6-AU7)+'Operating model'!$G$62*(AU7-AU8)+'Operating model'!$H$62*(AU8)</f>
        <v>49813784.288243718</v>
      </c>
      <c r="AV22" s="62">
        <f>'Operating model'!$F$62*(AV6-AV7)+'Operating model'!$G$62*(AV7-AV8)+'Operating model'!$H$62*(AV8)</f>
        <v>49813784.288243718</v>
      </c>
      <c r="AW22" s="62">
        <f>'Operating model'!$F$62*(AW6-AW7)+'Operating model'!$G$62*(AW7-AW8)+'Operating model'!$H$62*(AW8)</f>
        <v>49813784.288243718</v>
      </c>
      <c r="AX22" s="62">
        <f>'Operating model'!$F$62*(AX6-AX7)+'Operating model'!$G$62*(AX7-AX8)+'Operating model'!$H$62*(AX8)</f>
        <v>49813784.288243718</v>
      </c>
      <c r="AY22" s="62">
        <f>'Operating model'!$F$62*(AY6-AY7)+'Operating model'!$G$62*(AY7-AY8)+'Operating model'!$H$62*(AY8)</f>
        <v>49813784.288243718</v>
      </c>
      <c r="AZ22" s="62">
        <f>'Operating model'!$F$62*(AZ6-AZ7)+'Operating model'!$G$62*(AZ7-AZ8)+'Operating model'!$H$62*(AZ8)</f>
        <v>49813784.288243718</v>
      </c>
      <c r="BA22" s="62">
        <f>'Operating model'!$F$62*(BA6-BA7)+'Operating model'!$G$62*(BA7-BA8)+'Operating model'!$H$62*(BA8)</f>
        <v>49813784.288243718</v>
      </c>
      <c r="BB22" s="62">
        <f>'Operating model'!$F$62*(BB6-BB7)+'Operating model'!$G$62*(BB7-BB8)+'Operating model'!$H$62*(BB8)</f>
        <v>49813784.288243718</v>
      </c>
      <c r="BC22" s="62">
        <f>'Operating model'!$F$62*(BC6-BC7)+'Operating model'!$G$62*(BC7-BC8)+'Operating model'!$H$62*(BC8)</f>
        <v>49813784.288243718</v>
      </c>
      <c r="BD22" s="62">
        <f>'Operating model'!$F$62*(BD6-BD7)+'Operating model'!$G$62*(BD7-BD8)+'Operating model'!$H$62*(BD8)</f>
        <v>49813784.288243718</v>
      </c>
      <c r="BE22" s="62">
        <f>'Operating model'!$F$62*(BE6-BE7)+'Operating model'!$G$62*(BE7-BE8)+'Operating model'!$H$62*(BE8)</f>
        <v>49813784.288243718</v>
      </c>
      <c r="BF22" s="62">
        <f>'Operating model'!$F$62*(BF6-BF7)+'Operating model'!$G$62*(BF7-BF8)+'Operating model'!$H$62*(BF8)</f>
        <v>49813784.288243718</v>
      </c>
      <c r="BG22" s="62">
        <f>'Operating model'!$F$62*(BG6-BG7)+'Operating model'!$G$62*(BG7-BG8)+'Operating model'!$H$62*(BG8)</f>
        <v>49813784.288243718</v>
      </c>
      <c r="BH22" s="62">
        <f>'Operating model'!$F$62*(BH6-BH7)+'Operating model'!$G$62*(BH7-BH8)+'Operating model'!$H$62*(BH8)</f>
        <v>49813784.288243718</v>
      </c>
      <c r="BI22" s="62">
        <f>'Operating model'!$F$62*(BI6-BI7)+'Operating model'!$G$62*(BI7-BI8)+'Operating model'!$H$62*(BI8)</f>
        <v>49813784.288243718</v>
      </c>
      <c r="BJ22" s="62">
        <f>'Operating model'!$F$62*(BJ6-BJ7)+'Operating model'!$G$62*(BJ7-BJ8)+'Operating model'!$H$62*(BJ8)</f>
        <v>49813784.288243718</v>
      </c>
      <c r="BK22" s="62">
        <f>'Operating model'!$F$62*(BK6-BK7)+'Operating model'!$G$62*(BK7-BK8)+'Operating model'!$H$62*(BK8)</f>
        <v>49813784.288243718</v>
      </c>
      <c r="BL22" s="62">
        <f>'Operating model'!$F$62*(BL6-BL7)+'Operating model'!$G$62*(BL7-BL8)+'Operating model'!$H$62*(BL8)</f>
        <v>49813784.288243718</v>
      </c>
    </row>
    <row r="23" spans="2:64" x14ac:dyDescent="0.2">
      <c r="B23" s="54" t="s">
        <v>258</v>
      </c>
      <c r="E23" s="62">
        <f>'Operating model'!$F$63*(E6-E7)+'Operating model'!$G$63*(E7-E8)+'Operating model'!$H$63*E8</f>
        <v>2492707.1140539995</v>
      </c>
      <c r="F23" s="62">
        <f>'Operating model'!$F$63*(F6-F7)+'Operating model'!$G$63*(F7-F8)+'Operating model'!$H$63*F8</f>
        <v>2492707.1140539995</v>
      </c>
      <c r="G23" s="62">
        <f>'Operating model'!$F$63*(G6-G7)+'Operating model'!$G$63*(G7-G8)+'Operating model'!$H$63*G8</f>
        <v>2492707.1140539995</v>
      </c>
      <c r="H23" s="62">
        <f>'Operating model'!$F$63*(H6-H7)+'Operating model'!$G$63*(H7-H8)+'Operating model'!$H$63*H8</f>
        <v>2492707.1140539995</v>
      </c>
      <c r="I23" s="62">
        <f>'Operating model'!$F$63*(I6-I7)+'Operating model'!$G$63*(I7-I8)+'Operating model'!$H$63*I8</f>
        <v>2492707.1140539995</v>
      </c>
      <c r="J23" s="62">
        <f>'Operating model'!$F$63*(J6-J7)+'Operating model'!$G$63*(J7-J8)+'Operating model'!$H$63*J8</f>
        <v>2492707.1140539995</v>
      </c>
      <c r="K23" s="62">
        <f>'Operating model'!$F$63*(K6-K7)+'Operating model'!$G$63*(K7-K8)+'Operating model'!$H$63*K8</f>
        <v>2492707.1140539995</v>
      </c>
      <c r="L23" s="62">
        <f>'Operating model'!$F$63*(L6-L7)+'Operating model'!$G$63*(L7-L8)+'Operating model'!$H$63*L8</f>
        <v>2492707.1140539995</v>
      </c>
      <c r="M23" s="62">
        <f>'Operating model'!$F$63*(M6-M7)+'Operating model'!$G$63*(M7-M8)+'Operating model'!$H$63*M8</f>
        <v>2492707.1140539995</v>
      </c>
      <c r="N23" s="62">
        <f>'Operating model'!$F$63*(N6-N7)+'Operating model'!$G$63*(N7-N8)+'Operating model'!$H$63*N8</f>
        <v>2492707.1140539995</v>
      </c>
      <c r="O23" s="62">
        <f>'Operating model'!$F$63*(O6-O7)+'Operating model'!$G$63*(O7-O8)+'Operating model'!$H$63*O8</f>
        <v>2492707.1140539995</v>
      </c>
      <c r="P23" s="62">
        <f>'Operating model'!$F$63*(P6-P7)+'Operating model'!$G$63*(P7-P8)+'Operating model'!$H$63*P8</f>
        <v>2492707.1140539995</v>
      </c>
      <c r="Q23" s="62">
        <f>'Operating model'!$F$63*(Q6-Q7)+'Operating model'!$G$63*(Q7-Q8)+'Operating model'!$H$63*Q8</f>
        <v>2492707.1140539995</v>
      </c>
      <c r="R23" s="62">
        <f>'Operating model'!$F$63*(R6-R7)+'Operating model'!$G$63*(R7-R8)+'Operating model'!$H$63*R8</f>
        <v>2492707.1140539995</v>
      </c>
      <c r="S23" s="62">
        <f>'Operating model'!$F$63*(S6-S7)+'Operating model'!$G$63*(S7-S8)+'Operating model'!$H$63*S8</f>
        <v>2492707.1140539995</v>
      </c>
      <c r="T23" s="62">
        <f>'Operating model'!$F$63*(T6-T7)+'Operating model'!$G$63*(T7-T8)+'Operating model'!$H$63*T8</f>
        <v>2492707.1140539995</v>
      </c>
      <c r="U23" s="62">
        <f>'Operating model'!$F$63*(U6-U7)+'Operating model'!$G$63*(U7-U8)+'Operating model'!$H$63*U8</f>
        <v>2492707.1140539995</v>
      </c>
      <c r="V23" s="62">
        <f>'Operating model'!$F$63*(V6-V7)+'Operating model'!$G$63*(V7-V8)+'Operating model'!$H$63*V8</f>
        <v>2492707.1140539995</v>
      </c>
      <c r="W23" s="62">
        <f>'Operating model'!$F$63*(W6-W7)+'Operating model'!$G$63*(W7-W8)+'Operating model'!$H$63*W8</f>
        <v>2492707.1140539995</v>
      </c>
      <c r="X23" s="62">
        <f>'Operating model'!$F$63*(X6-X7)+'Operating model'!$G$63*(X7-X8)+'Operating model'!$H$63*X8</f>
        <v>2492707.1140539995</v>
      </c>
      <c r="Y23" s="62">
        <f>'Operating model'!$F$63*(Y6-Y7)+'Operating model'!$G$63*(Y7-Y8)+'Operating model'!$H$63*Y8</f>
        <v>2492707.1140539995</v>
      </c>
      <c r="Z23" s="62">
        <f>'Operating model'!$F$63*(Z6-Z7)+'Operating model'!$G$63*(Z7-Z8)+'Operating model'!$H$63*Z8</f>
        <v>2492707.1140539995</v>
      </c>
      <c r="AA23" s="62">
        <f>'Operating model'!$F$63*(AA6-AA7)+'Operating model'!$G$63*(AA7-AA8)+'Operating model'!$H$63*AA8</f>
        <v>2492707.1140539995</v>
      </c>
      <c r="AB23" s="62">
        <f>'Operating model'!$F$63*(AB6-AB7)+'Operating model'!$G$63*(AB7-AB8)+'Operating model'!$H$63*AB8</f>
        <v>2492707.1140539995</v>
      </c>
      <c r="AC23" s="62">
        <f>'Operating model'!$F$63*(AC6-AC7)+'Operating model'!$G$63*(AC7-AC8)+'Operating model'!$H$63*AC8</f>
        <v>2492707.1140539995</v>
      </c>
      <c r="AD23" s="62">
        <f>'Operating model'!$F$63*(AD6-AD7)+'Operating model'!$G$63*(AD7-AD8)+'Operating model'!$H$63*AD8</f>
        <v>2492707.1140539995</v>
      </c>
      <c r="AE23" s="62">
        <f>'Operating model'!$F$63*(AE6-AE7)+'Operating model'!$G$63*(AE7-AE8)+'Operating model'!$H$63*AE8</f>
        <v>2492707.1140539995</v>
      </c>
      <c r="AF23" s="62">
        <f>'Operating model'!$F$63*(AF6-AF7)+'Operating model'!$G$63*(AF7-AF8)+'Operating model'!$H$63*AF8</f>
        <v>2492707.1140539995</v>
      </c>
      <c r="AG23" s="62">
        <f>'Operating model'!$F$63*(AG6-AG7)+'Operating model'!$G$63*(AG7-AG8)+'Operating model'!$H$63*AG8</f>
        <v>2492707.1140539995</v>
      </c>
      <c r="AH23" s="62">
        <f>'Operating model'!$F$63*(AH6-AH7)+'Operating model'!$G$63*(AH7-AH8)+'Operating model'!$H$63*AH8</f>
        <v>2492707.1140539995</v>
      </c>
      <c r="AI23" s="62">
        <f>'Operating model'!$F$63*(AI6-AI7)+'Operating model'!$G$63*(AI7-AI8)+'Operating model'!$H$63*AI8</f>
        <v>2492707.1140539995</v>
      </c>
      <c r="AJ23" s="62">
        <f>'Operating model'!$F$63*(AJ6-AJ7)+'Operating model'!$G$63*(AJ7-AJ8)+'Operating model'!$H$63*AJ8</f>
        <v>2492707.1140539995</v>
      </c>
      <c r="AK23" s="62">
        <f>'Operating model'!$F$63*(AK6-AK7)+'Operating model'!$G$63*(AK7-AK8)+'Operating model'!$H$63*AK8</f>
        <v>2492707.1140539995</v>
      </c>
      <c r="AL23" s="62">
        <f>'Operating model'!$F$63*(AL6-AL7)+'Operating model'!$G$63*(AL7-AL8)+'Operating model'!$H$63*AL8</f>
        <v>2492707.1140539995</v>
      </c>
      <c r="AM23" s="62">
        <f>'Operating model'!$F$63*(AM6-AM7)+'Operating model'!$G$63*(AM7-AM8)+'Operating model'!$H$63*AM8</f>
        <v>2492707.1140539995</v>
      </c>
      <c r="AN23" s="62">
        <f>'Operating model'!$F$63*(AN6-AN7)+'Operating model'!$G$63*(AN7-AN8)+'Operating model'!$H$63*AN8</f>
        <v>2492707.1140539995</v>
      </c>
      <c r="AO23" s="62">
        <f>'Operating model'!$F$63*(AO6-AO7)+'Operating model'!$G$63*(AO7-AO8)+'Operating model'!$H$63*AO8</f>
        <v>2492707.1140539995</v>
      </c>
      <c r="AP23" s="62">
        <f>'Operating model'!$F$63*(AP6-AP7)+'Operating model'!$G$63*(AP7-AP8)+'Operating model'!$H$63*AP8</f>
        <v>2492707.1140539995</v>
      </c>
      <c r="AQ23" s="62">
        <f>'Operating model'!$F$63*(AQ6-AQ7)+'Operating model'!$G$63*(AQ7-AQ8)+'Operating model'!$H$63*AQ8</f>
        <v>2492707.1140539995</v>
      </c>
      <c r="AR23" s="62">
        <f>'Operating model'!$F$63*(AR6-AR7)+'Operating model'!$G$63*(AR7-AR8)+'Operating model'!$H$63*AR8</f>
        <v>2492707.1140539995</v>
      </c>
      <c r="AS23" s="62">
        <f>'Operating model'!$F$63*(AS6-AS7)+'Operating model'!$G$63*(AS7-AS8)+'Operating model'!$H$63*AS8</f>
        <v>2492707.1140539995</v>
      </c>
      <c r="AT23" s="62">
        <f>'Operating model'!$F$63*(AT6-AT7)+'Operating model'!$G$63*(AT7-AT8)+'Operating model'!$H$63*AT8</f>
        <v>2492707.1140539995</v>
      </c>
      <c r="AU23" s="62">
        <f>'Operating model'!$F$63*(AU6-AU7)+'Operating model'!$G$63*(AU7-AU8)+'Operating model'!$H$63*AU8</f>
        <v>2492707.1140539995</v>
      </c>
      <c r="AV23" s="62">
        <f>'Operating model'!$F$63*(AV6-AV7)+'Operating model'!$G$63*(AV7-AV8)+'Operating model'!$H$63*AV8</f>
        <v>2492707.1140539995</v>
      </c>
      <c r="AW23" s="62">
        <f>'Operating model'!$F$63*(AW6-AW7)+'Operating model'!$G$63*(AW7-AW8)+'Operating model'!$H$63*AW8</f>
        <v>2492707.1140539995</v>
      </c>
      <c r="AX23" s="62">
        <f>'Operating model'!$F$63*(AX6-AX7)+'Operating model'!$G$63*(AX7-AX8)+'Operating model'!$H$63*AX8</f>
        <v>2492707.1140539995</v>
      </c>
      <c r="AY23" s="62">
        <f>'Operating model'!$F$63*(AY6-AY7)+'Operating model'!$G$63*(AY7-AY8)+'Operating model'!$H$63*AY8</f>
        <v>2492707.1140539995</v>
      </c>
      <c r="AZ23" s="62">
        <f>'Operating model'!$F$63*(AZ6-AZ7)+'Operating model'!$G$63*(AZ7-AZ8)+'Operating model'!$H$63*AZ8</f>
        <v>2492707.1140539995</v>
      </c>
      <c r="BA23" s="62">
        <f>'Operating model'!$F$63*(BA6-BA7)+'Operating model'!$G$63*(BA7-BA8)+'Operating model'!$H$63*BA8</f>
        <v>2492707.1140539995</v>
      </c>
      <c r="BB23" s="62">
        <f>'Operating model'!$F$63*(BB6-BB7)+'Operating model'!$G$63*(BB7-BB8)+'Operating model'!$H$63*BB8</f>
        <v>2492707.1140539995</v>
      </c>
      <c r="BC23" s="62">
        <f>'Operating model'!$F$63*(BC6-BC7)+'Operating model'!$G$63*(BC7-BC8)+'Operating model'!$H$63*BC8</f>
        <v>2492707.1140539995</v>
      </c>
      <c r="BD23" s="62">
        <f>'Operating model'!$F$63*(BD6-BD7)+'Operating model'!$G$63*(BD7-BD8)+'Operating model'!$H$63*BD8</f>
        <v>2492707.1140539995</v>
      </c>
      <c r="BE23" s="62">
        <f>'Operating model'!$F$63*(BE6-BE7)+'Operating model'!$G$63*(BE7-BE8)+'Operating model'!$H$63*BE8</f>
        <v>2492707.1140539995</v>
      </c>
      <c r="BF23" s="62">
        <f>'Operating model'!$F$63*(BF6-BF7)+'Operating model'!$G$63*(BF7-BF8)+'Operating model'!$H$63*BF8</f>
        <v>2492707.1140539995</v>
      </c>
      <c r="BG23" s="62">
        <f>'Operating model'!$F$63*(BG6-BG7)+'Operating model'!$G$63*(BG7-BG8)+'Operating model'!$H$63*BG8</f>
        <v>2492707.1140539995</v>
      </c>
      <c r="BH23" s="62">
        <f>'Operating model'!$F$63*(BH6-BH7)+'Operating model'!$G$63*(BH7-BH8)+'Operating model'!$H$63*BH8</f>
        <v>2492707.1140539995</v>
      </c>
      <c r="BI23" s="62">
        <f>'Operating model'!$F$63*(BI6-BI7)+'Operating model'!$G$63*(BI7-BI8)+'Operating model'!$H$63*BI8</f>
        <v>2492707.1140539995</v>
      </c>
      <c r="BJ23" s="62">
        <f>'Operating model'!$F$63*(BJ6-BJ7)+'Operating model'!$G$63*(BJ7-BJ8)+'Operating model'!$H$63*BJ8</f>
        <v>2492707.1140539995</v>
      </c>
      <c r="BK23" s="62">
        <f>'Operating model'!$F$63*(BK6-BK7)+'Operating model'!$G$63*(BK7-BK8)+'Operating model'!$H$63*BK8</f>
        <v>2492707.1140539995</v>
      </c>
      <c r="BL23" s="62">
        <f>'Operating model'!$F$63*(BL6-BL7)+'Operating model'!$G$63*(BL7-BL8)+'Operating model'!$H$63*BL8</f>
        <v>2492707.1140539995</v>
      </c>
    </row>
    <row r="25" spans="2:64" x14ac:dyDescent="0.2">
      <c r="B25" s="54" t="s">
        <v>259</v>
      </c>
      <c r="E25" s="80">
        <f t="shared" ref="E25:AJ25" si="7">E22+E23</f>
        <v>52306491.40229772</v>
      </c>
      <c r="F25" s="80">
        <f t="shared" si="7"/>
        <v>52306491.40229772</v>
      </c>
      <c r="G25" s="80">
        <f t="shared" si="7"/>
        <v>52306491.40229772</v>
      </c>
      <c r="H25" s="80">
        <f t="shared" si="7"/>
        <v>52306491.40229772</v>
      </c>
      <c r="I25" s="80">
        <f t="shared" si="7"/>
        <v>52306491.40229772</v>
      </c>
      <c r="J25" s="80">
        <f t="shared" si="7"/>
        <v>52306491.40229772</v>
      </c>
      <c r="K25" s="80">
        <f t="shared" si="7"/>
        <v>52306491.40229772</v>
      </c>
      <c r="L25" s="80">
        <f t="shared" si="7"/>
        <v>52306491.40229772</v>
      </c>
      <c r="M25" s="80">
        <f t="shared" si="7"/>
        <v>52306491.40229772</v>
      </c>
      <c r="N25" s="80">
        <f t="shared" si="7"/>
        <v>52306491.40229772</v>
      </c>
      <c r="O25" s="80">
        <f t="shared" si="7"/>
        <v>52306491.40229772</v>
      </c>
      <c r="P25" s="80">
        <f t="shared" si="7"/>
        <v>52306491.40229772</v>
      </c>
      <c r="Q25" s="80">
        <f t="shared" si="7"/>
        <v>52306491.40229772</v>
      </c>
      <c r="R25" s="80">
        <f t="shared" si="7"/>
        <v>52306491.40229772</v>
      </c>
      <c r="S25" s="80">
        <f t="shared" si="7"/>
        <v>52306491.40229772</v>
      </c>
      <c r="T25" s="80">
        <f t="shared" si="7"/>
        <v>52306491.40229772</v>
      </c>
      <c r="U25" s="80">
        <f t="shared" si="7"/>
        <v>52306491.40229772</v>
      </c>
      <c r="V25" s="80">
        <f t="shared" si="7"/>
        <v>52306491.40229772</v>
      </c>
      <c r="W25" s="80">
        <f t="shared" si="7"/>
        <v>52306491.40229772</v>
      </c>
      <c r="X25" s="80">
        <f t="shared" si="7"/>
        <v>52306491.40229772</v>
      </c>
      <c r="Y25" s="80">
        <f t="shared" si="7"/>
        <v>52306491.40229772</v>
      </c>
      <c r="Z25" s="80">
        <f t="shared" si="7"/>
        <v>52306491.40229772</v>
      </c>
      <c r="AA25" s="80">
        <f t="shared" si="7"/>
        <v>52306491.40229772</v>
      </c>
      <c r="AB25" s="80">
        <f t="shared" si="7"/>
        <v>52306491.40229772</v>
      </c>
      <c r="AC25" s="80">
        <f t="shared" si="7"/>
        <v>52306491.40229772</v>
      </c>
      <c r="AD25" s="80">
        <f t="shared" si="7"/>
        <v>52306491.40229772</v>
      </c>
      <c r="AE25" s="80">
        <f t="shared" si="7"/>
        <v>52306491.40229772</v>
      </c>
      <c r="AF25" s="80">
        <f t="shared" si="7"/>
        <v>52306491.40229772</v>
      </c>
      <c r="AG25" s="80">
        <f t="shared" si="7"/>
        <v>52306491.40229772</v>
      </c>
      <c r="AH25" s="80">
        <f t="shared" si="7"/>
        <v>52306491.40229772</v>
      </c>
      <c r="AI25" s="80">
        <f t="shared" si="7"/>
        <v>52306491.40229772</v>
      </c>
      <c r="AJ25" s="80">
        <f t="shared" si="7"/>
        <v>52306491.40229772</v>
      </c>
      <c r="AK25" s="80">
        <f t="shared" ref="AK25:BL25" si="8">AK22+AK23</f>
        <v>52306491.40229772</v>
      </c>
      <c r="AL25" s="80">
        <f t="shared" si="8"/>
        <v>52306491.40229772</v>
      </c>
      <c r="AM25" s="80">
        <f t="shared" si="8"/>
        <v>52306491.40229772</v>
      </c>
      <c r="AN25" s="80">
        <f t="shared" si="8"/>
        <v>52306491.40229772</v>
      </c>
      <c r="AO25" s="80">
        <f t="shared" si="8"/>
        <v>52306491.40229772</v>
      </c>
      <c r="AP25" s="80">
        <f t="shared" si="8"/>
        <v>52306491.40229772</v>
      </c>
      <c r="AQ25" s="80">
        <f t="shared" si="8"/>
        <v>52306491.40229772</v>
      </c>
      <c r="AR25" s="80">
        <f t="shared" si="8"/>
        <v>52306491.40229772</v>
      </c>
      <c r="AS25" s="80">
        <f t="shared" si="8"/>
        <v>52306491.40229772</v>
      </c>
      <c r="AT25" s="80">
        <f t="shared" si="8"/>
        <v>52306491.40229772</v>
      </c>
      <c r="AU25" s="80">
        <f t="shared" si="8"/>
        <v>52306491.40229772</v>
      </c>
      <c r="AV25" s="80">
        <f t="shared" si="8"/>
        <v>52306491.40229772</v>
      </c>
      <c r="AW25" s="80">
        <f t="shared" si="8"/>
        <v>52306491.40229772</v>
      </c>
      <c r="AX25" s="80">
        <f t="shared" si="8"/>
        <v>52306491.40229772</v>
      </c>
      <c r="AY25" s="80">
        <f t="shared" si="8"/>
        <v>52306491.40229772</v>
      </c>
      <c r="AZ25" s="80">
        <f t="shared" si="8"/>
        <v>52306491.40229772</v>
      </c>
      <c r="BA25" s="80">
        <f t="shared" si="8"/>
        <v>52306491.40229772</v>
      </c>
      <c r="BB25" s="80">
        <f t="shared" si="8"/>
        <v>52306491.40229772</v>
      </c>
      <c r="BC25" s="80">
        <f t="shared" si="8"/>
        <v>52306491.40229772</v>
      </c>
      <c r="BD25" s="80">
        <f t="shared" si="8"/>
        <v>52306491.40229772</v>
      </c>
      <c r="BE25" s="80">
        <f t="shared" si="8"/>
        <v>52306491.40229772</v>
      </c>
      <c r="BF25" s="80">
        <f t="shared" si="8"/>
        <v>52306491.40229772</v>
      </c>
      <c r="BG25" s="80">
        <f t="shared" si="8"/>
        <v>52306491.40229772</v>
      </c>
      <c r="BH25" s="80">
        <f t="shared" si="8"/>
        <v>52306491.40229772</v>
      </c>
      <c r="BI25" s="80">
        <f t="shared" si="8"/>
        <v>52306491.40229772</v>
      </c>
      <c r="BJ25" s="80">
        <f t="shared" si="8"/>
        <v>52306491.40229772</v>
      </c>
      <c r="BK25" s="80">
        <f t="shared" si="8"/>
        <v>52306491.40229772</v>
      </c>
      <c r="BL25" s="80">
        <f t="shared" si="8"/>
        <v>52306491.40229772</v>
      </c>
    </row>
    <row r="26" spans="2:64" x14ac:dyDescent="0.2">
      <c r="B26" s="54"/>
    </row>
    <row r="27" spans="2:64" x14ac:dyDescent="0.2">
      <c r="B27" s="54"/>
    </row>
    <row r="28" spans="2:64" x14ac:dyDescent="0.2">
      <c r="B28" s="53" t="s">
        <v>139</v>
      </c>
    </row>
    <row r="29" spans="2:64" x14ac:dyDescent="0.2">
      <c r="B29" s="54" t="s">
        <v>255</v>
      </c>
      <c r="E29" s="80">
        <f t="shared" ref="E29:AJ29" si="9">E15</f>
        <v>124399493.01469998</v>
      </c>
      <c r="F29" s="80">
        <f t="shared" si="9"/>
        <v>124399493.01469998</v>
      </c>
      <c r="G29" s="80">
        <f t="shared" si="9"/>
        <v>124399493.01469998</v>
      </c>
      <c r="H29" s="80">
        <f t="shared" si="9"/>
        <v>124399493.01469998</v>
      </c>
      <c r="I29" s="80">
        <f t="shared" si="9"/>
        <v>124399493.01469998</v>
      </c>
      <c r="J29" s="80">
        <f t="shared" si="9"/>
        <v>124399493.01469998</v>
      </c>
      <c r="K29" s="80">
        <f t="shared" si="9"/>
        <v>124399493.01469998</v>
      </c>
      <c r="L29" s="80">
        <f t="shared" si="9"/>
        <v>124399493.01469998</v>
      </c>
      <c r="M29" s="80">
        <f t="shared" si="9"/>
        <v>124399493.01469998</v>
      </c>
      <c r="N29" s="80">
        <f t="shared" si="9"/>
        <v>124399493.01469998</v>
      </c>
      <c r="O29" s="80">
        <f t="shared" si="9"/>
        <v>124399493.01469998</v>
      </c>
      <c r="P29" s="80">
        <f t="shared" si="9"/>
        <v>124399493.01469998</v>
      </c>
      <c r="Q29" s="80">
        <f t="shared" si="9"/>
        <v>124399493.01469998</v>
      </c>
      <c r="R29" s="80">
        <f t="shared" si="9"/>
        <v>124399493.01469998</v>
      </c>
      <c r="S29" s="80">
        <f t="shared" si="9"/>
        <v>124399493.01469998</v>
      </c>
      <c r="T29" s="80">
        <f t="shared" si="9"/>
        <v>124399493.01469998</v>
      </c>
      <c r="U29" s="80">
        <f t="shared" si="9"/>
        <v>124399493.01469998</v>
      </c>
      <c r="V29" s="80">
        <f t="shared" si="9"/>
        <v>124399493.01469998</v>
      </c>
      <c r="W29" s="80">
        <f t="shared" si="9"/>
        <v>124399493.01469998</v>
      </c>
      <c r="X29" s="80">
        <f t="shared" si="9"/>
        <v>124399493.01469998</v>
      </c>
      <c r="Y29" s="80">
        <f t="shared" si="9"/>
        <v>124399493.01469998</v>
      </c>
      <c r="Z29" s="80">
        <f t="shared" si="9"/>
        <v>124399493.01469998</v>
      </c>
      <c r="AA29" s="80">
        <f t="shared" si="9"/>
        <v>124399493.01469998</v>
      </c>
      <c r="AB29" s="80">
        <f t="shared" si="9"/>
        <v>124399493.01469998</v>
      </c>
      <c r="AC29" s="80">
        <f t="shared" si="9"/>
        <v>124399493.01469998</v>
      </c>
      <c r="AD29" s="80">
        <f t="shared" si="9"/>
        <v>124399493.01469998</v>
      </c>
      <c r="AE29" s="80">
        <f t="shared" si="9"/>
        <v>124399493.01469998</v>
      </c>
      <c r="AF29" s="80">
        <f t="shared" si="9"/>
        <v>124399493.01469998</v>
      </c>
      <c r="AG29" s="80">
        <f t="shared" si="9"/>
        <v>124399493.01469998</v>
      </c>
      <c r="AH29" s="80">
        <f t="shared" si="9"/>
        <v>124399493.01469998</v>
      </c>
      <c r="AI29" s="80">
        <f t="shared" si="9"/>
        <v>124399493.01469998</v>
      </c>
      <c r="AJ29" s="80">
        <f t="shared" si="9"/>
        <v>124399493.01469998</v>
      </c>
      <c r="AK29" s="80">
        <f t="shared" ref="AK29:BL29" si="10">AK15</f>
        <v>124399493.01469998</v>
      </c>
      <c r="AL29" s="80">
        <f t="shared" si="10"/>
        <v>124399493.01469998</v>
      </c>
      <c r="AM29" s="80">
        <f t="shared" si="10"/>
        <v>124399493.01469998</v>
      </c>
      <c r="AN29" s="80">
        <f t="shared" si="10"/>
        <v>124399493.01469998</v>
      </c>
      <c r="AO29" s="80">
        <f t="shared" si="10"/>
        <v>124399493.01469998</v>
      </c>
      <c r="AP29" s="80">
        <f t="shared" si="10"/>
        <v>124399493.01469998</v>
      </c>
      <c r="AQ29" s="80">
        <f t="shared" si="10"/>
        <v>124399493.01469998</v>
      </c>
      <c r="AR29" s="80">
        <f t="shared" si="10"/>
        <v>124399493.01469998</v>
      </c>
      <c r="AS29" s="80">
        <f t="shared" si="10"/>
        <v>124399493.01469998</v>
      </c>
      <c r="AT29" s="80">
        <f t="shared" si="10"/>
        <v>124399493.01469998</v>
      </c>
      <c r="AU29" s="80">
        <f t="shared" si="10"/>
        <v>124399493.01469998</v>
      </c>
      <c r="AV29" s="80">
        <f t="shared" si="10"/>
        <v>124399493.01469998</v>
      </c>
      <c r="AW29" s="80">
        <f t="shared" si="10"/>
        <v>124399493.01469998</v>
      </c>
      <c r="AX29" s="80">
        <f t="shared" si="10"/>
        <v>124399493.01469998</v>
      </c>
      <c r="AY29" s="80">
        <f t="shared" si="10"/>
        <v>124399493.01469998</v>
      </c>
      <c r="AZ29" s="80">
        <f t="shared" si="10"/>
        <v>124399493.01469998</v>
      </c>
      <c r="BA29" s="80">
        <f t="shared" si="10"/>
        <v>124399493.01469998</v>
      </c>
      <c r="BB29" s="80">
        <f t="shared" si="10"/>
        <v>124399493.01469998</v>
      </c>
      <c r="BC29" s="80">
        <f t="shared" si="10"/>
        <v>124399493.01469998</v>
      </c>
      <c r="BD29" s="80">
        <f t="shared" si="10"/>
        <v>124399493.01469998</v>
      </c>
      <c r="BE29" s="80">
        <f t="shared" si="10"/>
        <v>124399493.01469998</v>
      </c>
      <c r="BF29" s="80">
        <f t="shared" si="10"/>
        <v>124399493.01469998</v>
      </c>
      <c r="BG29" s="80">
        <f t="shared" si="10"/>
        <v>124399493.01469998</v>
      </c>
      <c r="BH29" s="80">
        <f t="shared" si="10"/>
        <v>124399493.01469998</v>
      </c>
      <c r="BI29" s="80">
        <f t="shared" si="10"/>
        <v>124399493.01469998</v>
      </c>
      <c r="BJ29" s="80">
        <f t="shared" si="10"/>
        <v>124399493.01469998</v>
      </c>
      <c r="BK29" s="80">
        <f t="shared" si="10"/>
        <v>124399493.01469998</v>
      </c>
      <c r="BL29" s="80">
        <f t="shared" si="10"/>
        <v>124399493.01469998</v>
      </c>
    </row>
    <row r="30" spans="2:64" x14ac:dyDescent="0.2">
      <c r="B30" s="54" t="s">
        <v>256</v>
      </c>
      <c r="E30" s="80">
        <f t="shared" ref="E30:AJ30" si="11">E16</f>
        <v>235862.68799999997</v>
      </c>
      <c r="F30" s="80">
        <f t="shared" si="11"/>
        <v>235862.68799999997</v>
      </c>
      <c r="G30" s="80">
        <f t="shared" si="11"/>
        <v>235862.68799999997</v>
      </c>
      <c r="H30" s="80">
        <f t="shared" si="11"/>
        <v>235862.68799999997</v>
      </c>
      <c r="I30" s="80">
        <f t="shared" si="11"/>
        <v>235862.68799999997</v>
      </c>
      <c r="J30" s="80">
        <f t="shared" si="11"/>
        <v>235862.68799999997</v>
      </c>
      <c r="K30" s="80">
        <f t="shared" si="11"/>
        <v>235862.68799999997</v>
      </c>
      <c r="L30" s="80">
        <f t="shared" si="11"/>
        <v>235862.68799999997</v>
      </c>
      <c r="M30" s="80">
        <f t="shared" si="11"/>
        <v>235862.68799999997</v>
      </c>
      <c r="N30" s="80">
        <f t="shared" si="11"/>
        <v>235862.68799999997</v>
      </c>
      <c r="O30" s="80">
        <f t="shared" si="11"/>
        <v>235862.68799999997</v>
      </c>
      <c r="P30" s="80">
        <f t="shared" si="11"/>
        <v>235862.68799999997</v>
      </c>
      <c r="Q30" s="80">
        <f t="shared" si="11"/>
        <v>235862.68799999997</v>
      </c>
      <c r="R30" s="80">
        <f t="shared" si="11"/>
        <v>235862.68799999997</v>
      </c>
      <c r="S30" s="80">
        <f t="shared" si="11"/>
        <v>235862.68799999997</v>
      </c>
      <c r="T30" s="80">
        <f t="shared" si="11"/>
        <v>235862.68799999997</v>
      </c>
      <c r="U30" s="80">
        <f t="shared" si="11"/>
        <v>235862.68799999997</v>
      </c>
      <c r="V30" s="80">
        <f t="shared" si="11"/>
        <v>235862.68799999997</v>
      </c>
      <c r="W30" s="80">
        <f t="shared" si="11"/>
        <v>235862.68799999997</v>
      </c>
      <c r="X30" s="80">
        <f t="shared" si="11"/>
        <v>235862.68799999997</v>
      </c>
      <c r="Y30" s="80">
        <f t="shared" si="11"/>
        <v>235862.68799999997</v>
      </c>
      <c r="Z30" s="80">
        <f t="shared" si="11"/>
        <v>235862.68799999997</v>
      </c>
      <c r="AA30" s="80">
        <f t="shared" si="11"/>
        <v>235862.68799999997</v>
      </c>
      <c r="AB30" s="80">
        <f t="shared" si="11"/>
        <v>235862.68799999997</v>
      </c>
      <c r="AC30" s="80">
        <f t="shared" si="11"/>
        <v>235862.68799999997</v>
      </c>
      <c r="AD30" s="80">
        <f t="shared" si="11"/>
        <v>235862.68799999997</v>
      </c>
      <c r="AE30" s="80">
        <f t="shared" si="11"/>
        <v>235862.68799999997</v>
      </c>
      <c r="AF30" s="80">
        <f t="shared" si="11"/>
        <v>235862.68799999997</v>
      </c>
      <c r="AG30" s="80">
        <f t="shared" si="11"/>
        <v>235862.68799999997</v>
      </c>
      <c r="AH30" s="80">
        <f t="shared" si="11"/>
        <v>235862.68799999997</v>
      </c>
      <c r="AI30" s="80">
        <f t="shared" si="11"/>
        <v>235862.68799999997</v>
      </c>
      <c r="AJ30" s="80">
        <f t="shared" si="11"/>
        <v>235862.68799999997</v>
      </c>
      <c r="AK30" s="80">
        <f t="shared" ref="AK30:BL30" si="12">AK16</f>
        <v>235862.68799999997</v>
      </c>
      <c r="AL30" s="80">
        <f t="shared" si="12"/>
        <v>235862.68799999997</v>
      </c>
      <c r="AM30" s="80">
        <f t="shared" si="12"/>
        <v>235862.68799999997</v>
      </c>
      <c r="AN30" s="80">
        <f t="shared" si="12"/>
        <v>235862.68799999997</v>
      </c>
      <c r="AO30" s="80">
        <f t="shared" si="12"/>
        <v>235862.68799999997</v>
      </c>
      <c r="AP30" s="80">
        <f t="shared" si="12"/>
        <v>235862.68799999997</v>
      </c>
      <c r="AQ30" s="80">
        <f t="shared" si="12"/>
        <v>235862.68799999997</v>
      </c>
      <c r="AR30" s="80">
        <f t="shared" si="12"/>
        <v>235862.68799999997</v>
      </c>
      <c r="AS30" s="80">
        <f t="shared" si="12"/>
        <v>235862.68799999997</v>
      </c>
      <c r="AT30" s="80">
        <f t="shared" si="12"/>
        <v>235862.68799999997</v>
      </c>
      <c r="AU30" s="80">
        <f t="shared" si="12"/>
        <v>235862.68799999997</v>
      </c>
      <c r="AV30" s="80">
        <f t="shared" si="12"/>
        <v>235862.68799999997</v>
      </c>
      <c r="AW30" s="80">
        <f t="shared" si="12"/>
        <v>235862.68799999997</v>
      </c>
      <c r="AX30" s="80">
        <f t="shared" si="12"/>
        <v>235862.68799999997</v>
      </c>
      <c r="AY30" s="80">
        <f t="shared" si="12"/>
        <v>235862.68799999997</v>
      </c>
      <c r="AZ30" s="80">
        <f t="shared" si="12"/>
        <v>235862.68799999997</v>
      </c>
      <c r="BA30" s="80">
        <f t="shared" si="12"/>
        <v>235862.68799999997</v>
      </c>
      <c r="BB30" s="80">
        <f t="shared" si="12"/>
        <v>235862.68799999997</v>
      </c>
      <c r="BC30" s="80">
        <f t="shared" si="12"/>
        <v>235862.68799999997</v>
      </c>
      <c r="BD30" s="80">
        <f t="shared" si="12"/>
        <v>235862.68799999997</v>
      </c>
      <c r="BE30" s="80">
        <f t="shared" si="12"/>
        <v>235862.68799999997</v>
      </c>
      <c r="BF30" s="80">
        <f t="shared" si="12"/>
        <v>235862.68799999997</v>
      </c>
      <c r="BG30" s="80">
        <f t="shared" si="12"/>
        <v>235862.68799999997</v>
      </c>
      <c r="BH30" s="80">
        <f t="shared" si="12"/>
        <v>235862.68799999997</v>
      </c>
      <c r="BI30" s="80">
        <f t="shared" si="12"/>
        <v>235862.68799999997</v>
      </c>
      <c r="BJ30" s="80">
        <f t="shared" si="12"/>
        <v>235862.68799999997</v>
      </c>
      <c r="BK30" s="80">
        <f t="shared" si="12"/>
        <v>235862.68799999997</v>
      </c>
      <c r="BL30" s="80">
        <f t="shared" si="12"/>
        <v>235862.68799999997</v>
      </c>
    </row>
    <row r="31" spans="2:64" x14ac:dyDescent="0.2">
      <c r="B31" s="54" t="s">
        <v>260</v>
      </c>
      <c r="E31" s="80">
        <f>E29+E30</f>
        <v>124635355.70269997</v>
      </c>
      <c r="F31" s="80">
        <f t="shared" ref="F31:J31" si="13">F29+F30</f>
        <v>124635355.70269997</v>
      </c>
      <c r="G31" s="80">
        <f t="shared" si="13"/>
        <v>124635355.70269997</v>
      </c>
      <c r="H31" s="80">
        <f t="shared" si="13"/>
        <v>124635355.70269997</v>
      </c>
      <c r="I31" s="80">
        <f t="shared" si="13"/>
        <v>124635355.70269997</v>
      </c>
      <c r="J31" s="80">
        <f t="shared" si="13"/>
        <v>124635355.70269997</v>
      </c>
      <c r="K31" s="80">
        <f t="shared" ref="K31" si="14">K29+K30</f>
        <v>124635355.70269997</v>
      </c>
      <c r="L31" s="80">
        <f t="shared" ref="L31" si="15">L29+L30</f>
        <v>124635355.70269997</v>
      </c>
      <c r="M31" s="80">
        <f t="shared" ref="M31" si="16">M29+M30</f>
        <v>124635355.70269997</v>
      </c>
      <c r="N31" s="80">
        <f t="shared" ref="N31:O31" si="17">N29+N30</f>
        <v>124635355.70269997</v>
      </c>
      <c r="O31" s="80">
        <f t="shared" si="17"/>
        <v>124635355.70269997</v>
      </c>
      <c r="P31" s="80">
        <f t="shared" ref="P31" si="18">P29+P30</f>
        <v>124635355.70269997</v>
      </c>
      <c r="Q31" s="80">
        <f t="shared" ref="Q31" si="19">Q29+Q30</f>
        <v>124635355.70269997</v>
      </c>
      <c r="R31" s="80">
        <f t="shared" ref="R31" si="20">R29+R30</f>
        <v>124635355.70269997</v>
      </c>
      <c r="S31" s="80">
        <f t="shared" ref="S31:T31" si="21">S29+S30</f>
        <v>124635355.70269997</v>
      </c>
      <c r="T31" s="80">
        <f t="shared" si="21"/>
        <v>124635355.70269997</v>
      </c>
      <c r="U31" s="80">
        <f t="shared" ref="U31" si="22">U29+U30</f>
        <v>124635355.70269997</v>
      </c>
      <c r="V31" s="80">
        <f t="shared" ref="V31" si="23">V29+V30</f>
        <v>124635355.70269997</v>
      </c>
      <c r="W31" s="80">
        <f t="shared" ref="W31" si="24">W29+W30</f>
        <v>124635355.70269997</v>
      </c>
      <c r="X31" s="80">
        <f t="shared" ref="X31:Y31" si="25">X29+X30</f>
        <v>124635355.70269997</v>
      </c>
      <c r="Y31" s="80">
        <f t="shared" si="25"/>
        <v>124635355.70269997</v>
      </c>
      <c r="Z31" s="80">
        <f t="shared" ref="Z31" si="26">Z29+Z30</f>
        <v>124635355.70269997</v>
      </c>
      <c r="AA31" s="80">
        <f t="shared" ref="AA31" si="27">AA29+AA30</f>
        <v>124635355.70269997</v>
      </c>
      <c r="AB31" s="80">
        <f t="shared" ref="AB31" si="28">AB29+AB30</f>
        <v>124635355.70269997</v>
      </c>
      <c r="AC31" s="80">
        <f t="shared" ref="AC31:AD31" si="29">AC29+AC30</f>
        <v>124635355.70269997</v>
      </c>
      <c r="AD31" s="80">
        <f t="shared" si="29"/>
        <v>124635355.70269997</v>
      </c>
      <c r="AE31" s="80">
        <f t="shared" ref="AE31" si="30">AE29+AE30</f>
        <v>124635355.70269997</v>
      </c>
      <c r="AF31" s="80">
        <f t="shared" ref="AF31" si="31">AF29+AF30</f>
        <v>124635355.70269997</v>
      </c>
      <c r="AG31" s="80">
        <f t="shared" ref="AG31" si="32">AG29+AG30</f>
        <v>124635355.70269997</v>
      </c>
      <c r="AH31" s="80">
        <f t="shared" ref="AH31:AI31" si="33">AH29+AH30</f>
        <v>124635355.70269997</v>
      </c>
      <c r="AI31" s="80">
        <f t="shared" si="33"/>
        <v>124635355.70269997</v>
      </c>
      <c r="AJ31" s="80">
        <f t="shared" ref="AJ31" si="34">AJ29+AJ30</f>
        <v>124635355.70269997</v>
      </c>
      <c r="AK31" s="80">
        <f t="shared" ref="AK31" si="35">AK29+AK30</f>
        <v>124635355.70269997</v>
      </c>
      <c r="AL31" s="80">
        <f t="shared" ref="AL31" si="36">AL29+AL30</f>
        <v>124635355.70269997</v>
      </c>
      <c r="AM31" s="80">
        <f t="shared" ref="AM31:AN31" si="37">AM29+AM30</f>
        <v>124635355.70269997</v>
      </c>
      <c r="AN31" s="80">
        <f t="shared" si="37"/>
        <v>124635355.70269997</v>
      </c>
      <c r="AO31" s="80">
        <f t="shared" ref="AO31" si="38">AO29+AO30</f>
        <v>124635355.70269997</v>
      </c>
      <c r="AP31" s="80">
        <f t="shared" ref="AP31" si="39">AP29+AP30</f>
        <v>124635355.70269997</v>
      </c>
      <c r="AQ31" s="80">
        <f t="shared" ref="AQ31" si="40">AQ29+AQ30</f>
        <v>124635355.70269997</v>
      </c>
      <c r="AR31" s="80">
        <f t="shared" ref="AR31:AS31" si="41">AR29+AR30</f>
        <v>124635355.70269997</v>
      </c>
      <c r="AS31" s="80">
        <f t="shared" si="41"/>
        <v>124635355.70269997</v>
      </c>
      <c r="AT31" s="80">
        <f t="shared" ref="AT31" si="42">AT29+AT30</f>
        <v>124635355.70269997</v>
      </c>
      <c r="AU31" s="80">
        <f t="shared" ref="AU31" si="43">AU29+AU30</f>
        <v>124635355.70269997</v>
      </c>
      <c r="AV31" s="80">
        <f t="shared" ref="AV31" si="44">AV29+AV30</f>
        <v>124635355.70269997</v>
      </c>
      <c r="AW31" s="80">
        <f t="shared" ref="AW31:AX31" si="45">AW29+AW30</f>
        <v>124635355.70269997</v>
      </c>
      <c r="AX31" s="80">
        <f t="shared" si="45"/>
        <v>124635355.70269997</v>
      </c>
      <c r="AY31" s="80">
        <f t="shared" ref="AY31" si="46">AY29+AY30</f>
        <v>124635355.70269997</v>
      </c>
      <c r="AZ31" s="80">
        <f t="shared" ref="AZ31" si="47">AZ29+AZ30</f>
        <v>124635355.70269997</v>
      </c>
      <c r="BA31" s="80">
        <f t="shared" ref="BA31" si="48">BA29+BA30</f>
        <v>124635355.70269997</v>
      </c>
      <c r="BB31" s="80">
        <f t="shared" ref="BB31:BC31" si="49">BB29+BB30</f>
        <v>124635355.70269997</v>
      </c>
      <c r="BC31" s="80">
        <f t="shared" si="49"/>
        <v>124635355.70269997</v>
      </c>
      <c r="BD31" s="80">
        <f t="shared" ref="BD31" si="50">BD29+BD30</f>
        <v>124635355.70269997</v>
      </c>
      <c r="BE31" s="80">
        <f t="shared" ref="BE31" si="51">BE29+BE30</f>
        <v>124635355.70269997</v>
      </c>
      <c r="BF31" s="80">
        <f t="shared" ref="BF31" si="52">BF29+BF30</f>
        <v>124635355.70269997</v>
      </c>
      <c r="BG31" s="80">
        <f t="shared" ref="BG31:BH31" si="53">BG29+BG30</f>
        <v>124635355.70269997</v>
      </c>
      <c r="BH31" s="80">
        <f t="shared" si="53"/>
        <v>124635355.70269997</v>
      </c>
      <c r="BI31" s="80">
        <f t="shared" ref="BI31" si="54">BI29+BI30</f>
        <v>124635355.70269997</v>
      </c>
      <c r="BJ31" s="80">
        <f t="shared" ref="BJ31" si="55">BJ29+BJ30</f>
        <v>124635355.70269997</v>
      </c>
      <c r="BK31" s="80">
        <f t="shared" ref="BK31" si="56">BK29+BK30</f>
        <v>124635355.70269997</v>
      </c>
      <c r="BL31" s="80">
        <f t="shared" ref="BL31" si="57">BL29+BL30</f>
        <v>124635355.70269997</v>
      </c>
    </row>
    <row r="32" spans="2:64" ht="6" customHeight="1" x14ac:dyDescent="0.2">
      <c r="B32" s="54"/>
    </row>
    <row r="33" spans="2:64" x14ac:dyDescent="0.2">
      <c r="B33" s="54" t="s">
        <v>261</v>
      </c>
      <c r="E33" s="62">
        <f>IF(Dashboard!$C$34=Lists!$B$19,E29,IF(Dashboard!$C$34=Lists!$B$18,(E29/'Technical inputs'!$C$38),0))</f>
        <v>51833122.089458324</v>
      </c>
      <c r="F33" s="62">
        <f>IF(Dashboard!$C$34=Lists!$B$19,F29,IF(Dashboard!$C$34=Lists!$B$18,(F29/'Technical inputs'!$C$38),0))</f>
        <v>51833122.089458324</v>
      </c>
      <c r="G33" s="62">
        <f>IF(Dashboard!$C$34=Lists!$B$19,G29,IF(Dashboard!$C$34=Lists!$B$18,(G29/'Technical inputs'!$C$38),0))</f>
        <v>51833122.089458324</v>
      </c>
      <c r="H33" s="62">
        <f>IF(Dashboard!$C$34=Lists!$B$19,H29,IF(Dashboard!$C$34=Lists!$B$18,(H29/'Technical inputs'!$C$38),0))</f>
        <v>51833122.089458324</v>
      </c>
      <c r="I33" s="62">
        <f>IF(Dashboard!$C$34=Lists!$B$19,I29,IF(Dashboard!$C$34=Lists!$B$18,(I29/'Technical inputs'!$C$38),0))</f>
        <v>51833122.089458324</v>
      </c>
      <c r="J33" s="62">
        <f>IF(Dashboard!$C$34=Lists!$B$19,J29,IF(Dashboard!$C$34=Lists!$B$18,(J29/'Technical inputs'!$C$38),0))</f>
        <v>51833122.089458324</v>
      </c>
      <c r="K33" s="62">
        <f>IF(Dashboard!$C$34=Lists!$B$19,K29,IF(Dashboard!$C$34=Lists!$B$18,(K29/'Technical inputs'!$C$38),0))</f>
        <v>51833122.089458324</v>
      </c>
      <c r="L33" s="62">
        <f>IF(Dashboard!$C$34=Lists!$B$19,L29,IF(Dashboard!$C$34=Lists!$B$18,(L29/'Technical inputs'!$C$38),0))</f>
        <v>51833122.089458324</v>
      </c>
      <c r="M33" s="62">
        <f>IF(Dashboard!$C$34=Lists!$B$19,M29,IF(Dashboard!$C$34=Lists!$B$18,(M29/'Technical inputs'!$C$38),0))</f>
        <v>51833122.089458324</v>
      </c>
      <c r="N33" s="62">
        <f>IF(Dashboard!$C$34=Lists!$B$19,N29,IF(Dashboard!$C$34=Lists!$B$18,(N29/'Technical inputs'!$C$38),0))</f>
        <v>51833122.089458324</v>
      </c>
      <c r="O33" s="62">
        <f>IF(Dashboard!$C$34=Lists!$B$19,O29,IF(Dashboard!$C$34=Lists!$B$18,(O29/'Technical inputs'!$C$38),0))</f>
        <v>51833122.089458324</v>
      </c>
      <c r="P33" s="62">
        <f>IF(Dashboard!$C$34=Lists!$B$19,P29,IF(Dashboard!$C$34=Lists!$B$18,(P29/'Technical inputs'!$C$38),0))</f>
        <v>51833122.089458324</v>
      </c>
      <c r="Q33" s="62">
        <f>IF(Dashboard!$C$34=Lists!$B$19,Q29,IF(Dashboard!$C$34=Lists!$B$18,(Q29/'Technical inputs'!$C$38),0))</f>
        <v>51833122.089458324</v>
      </c>
      <c r="R33" s="62">
        <f>IF(Dashboard!$C$34=Lists!$B$19,R29,IF(Dashboard!$C$34=Lists!$B$18,(R29/'Technical inputs'!$C$38),0))</f>
        <v>51833122.089458324</v>
      </c>
      <c r="S33" s="62">
        <f>IF(Dashboard!$C$34=Lists!$B$19,S29,IF(Dashboard!$C$34=Lists!$B$18,(S29/'Technical inputs'!$C$38),0))</f>
        <v>51833122.089458324</v>
      </c>
      <c r="T33" s="62">
        <f>IF(Dashboard!$C$34=Lists!$B$19,T29,IF(Dashboard!$C$34=Lists!$B$18,(T29/'Technical inputs'!$C$38),0))</f>
        <v>51833122.089458324</v>
      </c>
      <c r="U33" s="62">
        <f>IF(Dashboard!$C$34=Lists!$B$19,U29,IF(Dashboard!$C$34=Lists!$B$18,(U29/'Technical inputs'!$C$38),0))</f>
        <v>51833122.089458324</v>
      </c>
      <c r="V33" s="62">
        <f>IF(Dashboard!$C$34=Lists!$B$19,V29,IF(Dashboard!$C$34=Lists!$B$18,(V29/'Technical inputs'!$C$38),0))</f>
        <v>51833122.089458324</v>
      </c>
      <c r="W33" s="62">
        <f>IF(Dashboard!$C$34=Lists!$B$19,W29,IF(Dashboard!$C$34=Lists!$B$18,(W29/'Technical inputs'!$C$38),0))</f>
        <v>51833122.089458324</v>
      </c>
      <c r="X33" s="62">
        <f>IF(Dashboard!$C$34=Lists!$B$19,X29,IF(Dashboard!$C$34=Lists!$B$18,(X29/'Technical inputs'!$C$38),0))</f>
        <v>51833122.089458324</v>
      </c>
      <c r="Y33" s="62">
        <f>IF(Dashboard!$C$34=Lists!$B$19,Y29,IF(Dashboard!$C$34=Lists!$B$18,(Y29/'Technical inputs'!$C$38),0))</f>
        <v>51833122.089458324</v>
      </c>
      <c r="Z33" s="62">
        <f>IF(Dashboard!$C$34=Lists!$B$19,Z29,IF(Dashboard!$C$34=Lists!$B$18,(Z29/'Technical inputs'!$C$38),0))</f>
        <v>51833122.089458324</v>
      </c>
      <c r="AA33" s="62">
        <f>IF(Dashboard!$C$34=Lists!$B$19,AA29,IF(Dashboard!$C$34=Lists!$B$18,(AA29/'Technical inputs'!$C$38),0))</f>
        <v>51833122.089458324</v>
      </c>
      <c r="AB33" s="62">
        <f>IF(Dashboard!$C$34=Lists!$B$19,AB29,IF(Dashboard!$C$34=Lists!$B$18,(AB29/'Technical inputs'!$C$38),0))</f>
        <v>51833122.089458324</v>
      </c>
      <c r="AC33" s="62">
        <f>IF(Dashboard!$C$34=Lists!$B$19,AC29,IF(Dashboard!$C$34=Lists!$B$18,(AC29/'Technical inputs'!$C$38),0))</f>
        <v>51833122.089458324</v>
      </c>
      <c r="AD33" s="62">
        <f>IF(Dashboard!$C$34=Lists!$B$19,AD29,IF(Dashboard!$C$34=Lists!$B$18,(AD29/'Technical inputs'!$C$38),0))</f>
        <v>51833122.089458324</v>
      </c>
      <c r="AE33" s="62">
        <f>IF(Dashboard!$C$34=Lists!$B$19,AE29,IF(Dashboard!$C$34=Lists!$B$18,(AE29/'Technical inputs'!$C$38),0))</f>
        <v>51833122.089458324</v>
      </c>
      <c r="AF33" s="62">
        <f>IF(Dashboard!$C$34=Lists!$B$19,AF29,IF(Dashboard!$C$34=Lists!$B$18,(AF29/'Technical inputs'!$C$38),0))</f>
        <v>51833122.089458324</v>
      </c>
      <c r="AG33" s="62">
        <f>IF(Dashboard!$C$34=Lists!$B$19,AG29,IF(Dashboard!$C$34=Lists!$B$18,(AG29/'Technical inputs'!$C$38),0))</f>
        <v>51833122.089458324</v>
      </c>
      <c r="AH33" s="62">
        <f>IF(Dashboard!$C$34=Lists!$B$19,AH29,IF(Dashboard!$C$34=Lists!$B$18,(AH29/'Technical inputs'!$C$38),0))</f>
        <v>51833122.089458324</v>
      </c>
      <c r="AI33" s="62">
        <f>IF(Dashboard!$C$34=Lists!$B$19,AI29,IF(Dashboard!$C$34=Lists!$B$18,(AI29/'Technical inputs'!$C$38),0))</f>
        <v>51833122.089458324</v>
      </c>
      <c r="AJ33" s="62">
        <f>IF(Dashboard!$C$34=Lists!$B$19,AJ29,IF(Dashboard!$C$34=Lists!$B$18,(AJ29/'Technical inputs'!$C$38),0))</f>
        <v>51833122.089458324</v>
      </c>
      <c r="AK33" s="62">
        <f>IF(Dashboard!$C$34=Lists!$B$19,AK29,IF(Dashboard!$C$34=Lists!$B$18,(AK29/'Technical inputs'!$C$38),0))</f>
        <v>51833122.089458324</v>
      </c>
      <c r="AL33" s="62">
        <f>IF(Dashboard!$C$34=Lists!$B$19,AL29,IF(Dashboard!$C$34=Lists!$B$18,(AL29/'Technical inputs'!$C$38),0))</f>
        <v>51833122.089458324</v>
      </c>
      <c r="AM33" s="62">
        <f>IF(Dashboard!$C$34=Lists!$B$19,AM29,IF(Dashboard!$C$34=Lists!$B$18,(AM29/'Technical inputs'!$C$38),0))</f>
        <v>51833122.089458324</v>
      </c>
      <c r="AN33" s="62">
        <f>IF(Dashboard!$C$34=Lists!$B$19,AN29,IF(Dashboard!$C$34=Lists!$B$18,(AN29/'Technical inputs'!$C$38),0))</f>
        <v>51833122.089458324</v>
      </c>
      <c r="AO33" s="62">
        <f>IF(Dashboard!$C$34=Lists!$B$19,AO29,IF(Dashboard!$C$34=Lists!$B$18,(AO29/'Technical inputs'!$C$38),0))</f>
        <v>51833122.089458324</v>
      </c>
      <c r="AP33" s="62">
        <f>IF(Dashboard!$C$34=Lists!$B$19,AP29,IF(Dashboard!$C$34=Lists!$B$18,(AP29/'Technical inputs'!$C$38),0))</f>
        <v>51833122.089458324</v>
      </c>
      <c r="AQ33" s="62">
        <f>IF(Dashboard!$C$34=Lists!$B$19,AQ29,IF(Dashboard!$C$34=Lists!$B$18,(AQ29/'Technical inputs'!$C$38),0))</f>
        <v>51833122.089458324</v>
      </c>
      <c r="AR33" s="62">
        <f>IF(Dashboard!$C$34=Lists!$B$19,AR29,IF(Dashboard!$C$34=Lists!$B$18,(AR29/'Technical inputs'!$C$38),0))</f>
        <v>51833122.089458324</v>
      </c>
      <c r="AS33" s="62">
        <f>IF(Dashboard!$C$34=Lists!$B$19,AS29,IF(Dashboard!$C$34=Lists!$B$18,(AS29/'Technical inputs'!$C$38),0))</f>
        <v>51833122.089458324</v>
      </c>
      <c r="AT33" s="62">
        <f>IF(Dashboard!$C$34=Lists!$B$19,AT29,IF(Dashboard!$C$34=Lists!$B$18,(AT29/'Technical inputs'!$C$38),0))</f>
        <v>51833122.089458324</v>
      </c>
      <c r="AU33" s="62">
        <f>IF(Dashboard!$C$34=Lists!$B$19,AU29,IF(Dashboard!$C$34=Lists!$B$18,(AU29/'Technical inputs'!$C$38),0))</f>
        <v>51833122.089458324</v>
      </c>
      <c r="AV33" s="62">
        <f>IF(Dashboard!$C$34=Lists!$B$19,AV29,IF(Dashboard!$C$34=Lists!$B$18,(AV29/'Technical inputs'!$C$38),0))</f>
        <v>51833122.089458324</v>
      </c>
      <c r="AW33" s="62">
        <f>IF(Dashboard!$C$34=Lists!$B$19,AW29,IF(Dashboard!$C$34=Lists!$B$18,(AW29/'Technical inputs'!$C$38),0))</f>
        <v>51833122.089458324</v>
      </c>
      <c r="AX33" s="62">
        <f>IF(Dashboard!$C$34=Lists!$B$19,AX29,IF(Dashboard!$C$34=Lists!$B$18,(AX29/'Technical inputs'!$C$38),0))</f>
        <v>51833122.089458324</v>
      </c>
      <c r="AY33" s="62">
        <f>IF(Dashboard!$C$34=Lists!$B$19,AY29,IF(Dashboard!$C$34=Lists!$B$18,(AY29/'Technical inputs'!$C$38),0))</f>
        <v>51833122.089458324</v>
      </c>
      <c r="AZ33" s="62">
        <f>IF(Dashboard!$C$34=Lists!$B$19,AZ29,IF(Dashboard!$C$34=Lists!$B$18,(AZ29/'Technical inputs'!$C$38),0))</f>
        <v>51833122.089458324</v>
      </c>
      <c r="BA33" s="62">
        <f>IF(Dashboard!$C$34=Lists!$B$19,BA29,IF(Dashboard!$C$34=Lists!$B$18,(BA29/'Technical inputs'!$C$38),0))</f>
        <v>51833122.089458324</v>
      </c>
      <c r="BB33" s="62">
        <f>IF(Dashboard!$C$34=Lists!$B$19,BB29,IF(Dashboard!$C$34=Lists!$B$18,(BB29/'Technical inputs'!$C$38),0))</f>
        <v>51833122.089458324</v>
      </c>
      <c r="BC33" s="62">
        <f>IF(Dashboard!$C$34=Lists!$B$19,BC29,IF(Dashboard!$C$34=Lists!$B$18,(BC29/'Technical inputs'!$C$38),0))</f>
        <v>51833122.089458324</v>
      </c>
      <c r="BD33" s="62">
        <f>IF(Dashboard!$C$34=Lists!$B$19,BD29,IF(Dashboard!$C$34=Lists!$B$18,(BD29/'Technical inputs'!$C$38),0))</f>
        <v>51833122.089458324</v>
      </c>
      <c r="BE33" s="62">
        <f>IF(Dashboard!$C$34=Lists!$B$19,BE29,IF(Dashboard!$C$34=Lists!$B$18,(BE29/'Technical inputs'!$C$38),0))</f>
        <v>51833122.089458324</v>
      </c>
      <c r="BF33" s="62">
        <f>IF(Dashboard!$C$34=Lists!$B$19,BF29,IF(Dashboard!$C$34=Lists!$B$18,(BF29/'Technical inputs'!$C$38),0))</f>
        <v>51833122.089458324</v>
      </c>
      <c r="BG33" s="62">
        <f>IF(Dashboard!$C$34=Lists!$B$19,BG29,IF(Dashboard!$C$34=Lists!$B$18,(BG29/'Technical inputs'!$C$38),0))</f>
        <v>51833122.089458324</v>
      </c>
      <c r="BH33" s="62">
        <f>IF(Dashboard!$C$34=Lists!$B$19,BH29,IF(Dashboard!$C$34=Lists!$B$18,(BH29/'Technical inputs'!$C$38),0))</f>
        <v>51833122.089458324</v>
      </c>
      <c r="BI33" s="62">
        <f>IF(Dashboard!$C$34=Lists!$B$19,BI29,IF(Dashboard!$C$34=Lists!$B$18,(BI29/'Technical inputs'!$C$38),0))</f>
        <v>51833122.089458324</v>
      </c>
      <c r="BJ33" s="62">
        <f>IF(Dashboard!$C$34=Lists!$B$19,BJ29,IF(Dashboard!$C$34=Lists!$B$18,(BJ29/'Technical inputs'!$C$38),0))</f>
        <v>51833122.089458324</v>
      </c>
      <c r="BK33" s="62">
        <f>IF(Dashboard!$C$34=Lists!$B$19,BK29,IF(Dashboard!$C$34=Lists!$B$18,(BK29/'Technical inputs'!$C$38),0))</f>
        <v>51833122.089458324</v>
      </c>
      <c r="BL33" s="62">
        <f>IF(Dashboard!$C$34=Lists!$B$19,BL29,IF(Dashboard!$C$34=Lists!$B$18,(BL29/'Technical inputs'!$C$38),0))</f>
        <v>51833122.089458324</v>
      </c>
    </row>
    <row r="34" spans="2:64" x14ac:dyDescent="0.2">
      <c r="B34" s="54" t="s">
        <v>262</v>
      </c>
      <c r="E34" s="62">
        <f>IF(Dashboard!$C$34=Lists!$B$19,E30,IF(Dashboard!$C$34=Lists!$B$18,(E30/'Technical inputs'!$C$39),0))</f>
        <v>117931.34399999998</v>
      </c>
      <c r="F34" s="62">
        <f>IF(Dashboard!$C$34=Lists!$B$19,F30,IF(Dashboard!$C$34=Lists!$B$18,(F30/'Technical inputs'!$C$39),0))</f>
        <v>117931.34399999998</v>
      </c>
      <c r="G34" s="62">
        <f>IF(Dashboard!$C$34=Lists!$B$19,G30,IF(Dashboard!$C$34=Lists!$B$18,(G30/'Technical inputs'!$C$39),0))</f>
        <v>117931.34399999998</v>
      </c>
      <c r="H34" s="62">
        <f>IF(Dashboard!$C$34=Lists!$B$19,H30,IF(Dashboard!$C$34=Lists!$B$18,(H30/'Technical inputs'!$C$39),0))</f>
        <v>117931.34399999998</v>
      </c>
      <c r="I34" s="62">
        <f>IF(Dashboard!$C$34=Lists!$B$19,I30,IF(Dashboard!$C$34=Lists!$B$18,(I30/'Technical inputs'!$C$39),0))</f>
        <v>117931.34399999998</v>
      </c>
      <c r="J34" s="62">
        <f>IF(Dashboard!$C$34=Lists!$B$19,J30,IF(Dashboard!$C$34=Lists!$B$18,(J30/'Technical inputs'!$C$39),0))</f>
        <v>117931.34399999998</v>
      </c>
      <c r="K34" s="62">
        <f>IF(Dashboard!$C$34=Lists!$B$19,K30,IF(Dashboard!$C$34=Lists!$B$18,(K30/'Technical inputs'!$C$39),0))</f>
        <v>117931.34399999998</v>
      </c>
      <c r="L34" s="62">
        <f>IF(Dashboard!$C$34=Lists!$B$19,L30,IF(Dashboard!$C$34=Lists!$B$18,(L30/'Technical inputs'!$C$39),0))</f>
        <v>117931.34399999998</v>
      </c>
      <c r="M34" s="62">
        <f>IF(Dashboard!$C$34=Lists!$B$19,M30,IF(Dashboard!$C$34=Lists!$B$18,(M30/'Technical inputs'!$C$39),0))</f>
        <v>117931.34399999998</v>
      </c>
      <c r="N34" s="62">
        <f>IF(Dashboard!$C$34=Lists!$B$19,N30,IF(Dashboard!$C$34=Lists!$B$18,(N30/'Technical inputs'!$C$39),0))</f>
        <v>117931.34399999998</v>
      </c>
      <c r="O34" s="62">
        <f>IF(Dashboard!$C$34=Lists!$B$19,O30,IF(Dashboard!$C$34=Lists!$B$18,(O30/'Technical inputs'!$C$39),0))</f>
        <v>117931.34399999998</v>
      </c>
      <c r="P34" s="62">
        <f>IF(Dashboard!$C$34=Lists!$B$19,P30,IF(Dashboard!$C$34=Lists!$B$18,(P30/'Technical inputs'!$C$39),0))</f>
        <v>117931.34399999998</v>
      </c>
      <c r="Q34" s="62">
        <f>IF(Dashboard!$C$34=Lists!$B$19,Q30,IF(Dashboard!$C$34=Lists!$B$18,(Q30/'Technical inputs'!$C$39),0))</f>
        <v>117931.34399999998</v>
      </c>
      <c r="R34" s="62">
        <f>IF(Dashboard!$C$34=Lists!$B$19,R30,IF(Dashboard!$C$34=Lists!$B$18,(R30/'Technical inputs'!$C$39),0))</f>
        <v>117931.34399999998</v>
      </c>
      <c r="S34" s="62">
        <f>IF(Dashboard!$C$34=Lists!$B$19,S30,IF(Dashboard!$C$34=Lists!$B$18,(S30/'Technical inputs'!$C$39),0))</f>
        <v>117931.34399999998</v>
      </c>
      <c r="T34" s="62">
        <f>IF(Dashboard!$C$34=Lists!$B$19,T30,IF(Dashboard!$C$34=Lists!$B$18,(T30/'Technical inputs'!$C$39),0))</f>
        <v>117931.34399999998</v>
      </c>
      <c r="U34" s="62">
        <f>IF(Dashboard!$C$34=Lists!$B$19,U30,IF(Dashboard!$C$34=Lists!$B$18,(U30/'Technical inputs'!$C$39),0))</f>
        <v>117931.34399999998</v>
      </c>
      <c r="V34" s="62">
        <f>IF(Dashboard!$C$34=Lists!$B$19,V30,IF(Dashboard!$C$34=Lists!$B$18,(V30/'Technical inputs'!$C$39),0))</f>
        <v>117931.34399999998</v>
      </c>
      <c r="W34" s="62">
        <f>IF(Dashboard!$C$34=Lists!$B$19,W30,IF(Dashboard!$C$34=Lists!$B$18,(W30/'Technical inputs'!$C$39),0))</f>
        <v>117931.34399999998</v>
      </c>
      <c r="X34" s="62">
        <f>IF(Dashboard!$C$34=Lists!$B$19,X30,IF(Dashboard!$C$34=Lists!$B$18,(X30/'Technical inputs'!$C$39),0))</f>
        <v>117931.34399999998</v>
      </c>
      <c r="Y34" s="62">
        <f>IF(Dashboard!$C$34=Lists!$B$19,Y30,IF(Dashboard!$C$34=Lists!$B$18,(Y30/'Technical inputs'!$C$39),0))</f>
        <v>117931.34399999998</v>
      </c>
      <c r="Z34" s="62">
        <f>IF(Dashboard!$C$34=Lists!$B$19,Z30,IF(Dashboard!$C$34=Lists!$B$18,(Z30/'Technical inputs'!$C$39),0))</f>
        <v>117931.34399999998</v>
      </c>
      <c r="AA34" s="62">
        <f>IF(Dashboard!$C$34=Lists!$B$19,AA30,IF(Dashboard!$C$34=Lists!$B$18,(AA30/'Technical inputs'!$C$39),0))</f>
        <v>117931.34399999998</v>
      </c>
      <c r="AB34" s="62">
        <f>IF(Dashboard!$C$34=Lists!$B$19,AB30,IF(Dashboard!$C$34=Lists!$B$18,(AB30/'Technical inputs'!$C$39),0))</f>
        <v>117931.34399999998</v>
      </c>
      <c r="AC34" s="62">
        <f>IF(Dashboard!$C$34=Lists!$B$19,AC30,IF(Dashboard!$C$34=Lists!$B$18,(AC30/'Technical inputs'!$C$39),0))</f>
        <v>117931.34399999998</v>
      </c>
      <c r="AD34" s="62">
        <f>IF(Dashboard!$C$34=Lists!$B$19,AD30,IF(Dashboard!$C$34=Lists!$B$18,(AD30/'Technical inputs'!$C$39),0))</f>
        <v>117931.34399999998</v>
      </c>
      <c r="AE34" s="62">
        <f>IF(Dashboard!$C$34=Lists!$B$19,AE30,IF(Dashboard!$C$34=Lists!$B$18,(AE30/'Technical inputs'!$C$39),0))</f>
        <v>117931.34399999998</v>
      </c>
      <c r="AF34" s="62">
        <f>IF(Dashboard!$C$34=Lists!$B$19,AF30,IF(Dashboard!$C$34=Lists!$B$18,(AF30/'Technical inputs'!$C$39),0))</f>
        <v>117931.34399999998</v>
      </c>
      <c r="AG34" s="62">
        <f>IF(Dashboard!$C$34=Lists!$B$19,AG30,IF(Dashboard!$C$34=Lists!$B$18,(AG30/'Technical inputs'!$C$39),0))</f>
        <v>117931.34399999998</v>
      </c>
      <c r="AH34" s="62">
        <f>IF(Dashboard!$C$34=Lists!$B$19,AH30,IF(Dashboard!$C$34=Lists!$B$18,(AH30/'Technical inputs'!$C$39),0))</f>
        <v>117931.34399999998</v>
      </c>
      <c r="AI34" s="62">
        <f>IF(Dashboard!$C$34=Lists!$B$19,AI30,IF(Dashboard!$C$34=Lists!$B$18,(AI30/'Technical inputs'!$C$39),0))</f>
        <v>117931.34399999998</v>
      </c>
      <c r="AJ34" s="62">
        <f>IF(Dashboard!$C$34=Lists!$B$19,AJ30,IF(Dashboard!$C$34=Lists!$B$18,(AJ30/'Technical inputs'!$C$39),0))</f>
        <v>117931.34399999998</v>
      </c>
      <c r="AK34" s="62">
        <f>IF(Dashboard!$C$34=Lists!$B$19,AK30,IF(Dashboard!$C$34=Lists!$B$18,(AK30/'Technical inputs'!$C$39),0))</f>
        <v>117931.34399999998</v>
      </c>
      <c r="AL34" s="62">
        <f>IF(Dashboard!$C$34=Lists!$B$19,AL30,IF(Dashboard!$C$34=Lists!$B$18,(AL30/'Technical inputs'!$C$39),0))</f>
        <v>117931.34399999998</v>
      </c>
      <c r="AM34" s="62">
        <f>IF(Dashboard!$C$34=Lists!$B$19,AM30,IF(Dashboard!$C$34=Lists!$B$18,(AM30/'Technical inputs'!$C$39),0))</f>
        <v>117931.34399999998</v>
      </c>
      <c r="AN34" s="62">
        <f>IF(Dashboard!$C$34=Lists!$B$19,AN30,IF(Dashboard!$C$34=Lists!$B$18,(AN30/'Technical inputs'!$C$39),0))</f>
        <v>117931.34399999998</v>
      </c>
      <c r="AO34" s="62">
        <f>IF(Dashboard!$C$34=Lists!$B$19,AO30,IF(Dashboard!$C$34=Lists!$B$18,(AO30/'Technical inputs'!$C$39),0))</f>
        <v>117931.34399999998</v>
      </c>
      <c r="AP34" s="62">
        <f>IF(Dashboard!$C$34=Lists!$B$19,AP30,IF(Dashboard!$C$34=Lists!$B$18,(AP30/'Technical inputs'!$C$39),0))</f>
        <v>117931.34399999998</v>
      </c>
      <c r="AQ34" s="62">
        <f>IF(Dashboard!$C$34=Lists!$B$19,AQ30,IF(Dashboard!$C$34=Lists!$B$18,(AQ30/'Technical inputs'!$C$39),0))</f>
        <v>117931.34399999998</v>
      </c>
      <c r="AR34" s="62">
        <f>IF(Dashboard!$C$34=Lists!$B$19,AR30,IF(Dashboard!$C$34=Lists!$B$18,(AR30/'Technical inputs'!$C$39),0))</f>
        <v>117931.34399999998</v>
      </c>
      <c r="AS34" s="62">
        <f>IF(Dashboard!$C$34=Lists!$B$19,AS30,IF(Dashboard!$C$34=Lists!$B$18,(AS30/'Technical inputs'!$C$39),0))</f>
        <v>117931.34399999998</v>
      </c>
      <c r="AT34" s="62">
        <f>IF(Dashboard!$C$34=Lists!$B$19,AT30,IF(Dashboard!$C$34=Lists!$B$18,(AT30/'Technical inputs'!$C$39),0))</f>
        <v>117931.34399999998</v>
      </c>
      <c r="AU34" s="62">
        <f>IF(Dashboard!$C$34=Lists!$B$19,AU30,IF(Dashboard!$C$34=Lists!$B$18,(AU30/'Technical inputs'!$C$39),0))</f>
        <v>117931.34399999998</v>
      </c>
      <c r="AV34" s="62">
        <f>IF(Dashboard!$C$34=Lists!$B$19,AV30,IF(Dashboard!$C$34=Lists!$B$18,(AV30/'Technical inputs'!$C$39),0))</f>
        <v>117931.34399999998</v>
      </c>
      <c r="AW34" s="62">
        <f>IF(Dashboard!$C$34=Lists!$B$19,AW30,IF(Dashboard!$C$34=Lists!$B$18,(AW30/'Technical inputs'!$C$39),0))</f>
        <v>117931.34399999998</v>
      </c>
      <c r="AX34" s="62">
        <f>IF(Dashboard!$C$34=Lists!$B$19,AX30,IF(Dashboard!$C$34=Lists!$B$18,(AX30/'Technical inputs'!$C$39),0))</f>
        <v>117931.34399999998</v>
      </c>
      <c r="AY34" s="62">
        <f>IF(Dashboard!$C$34=Lists!$B$19,AY30,IF(Dashboard!$C$34=Lists!$B$18,(AY30/'Technical inputs'!$C$39),0))</f>
        <v>117931.34399999998</v>
      </c>
      <c r="AZ34" s="62">
        <f>IF(Dashboard!$C$34=Lists!$B$19,AZ30,IF(Dashboard!$C$34=Lists!$B$18,(AZ30/'Technical inputs'!$C$39),0))</f>
        <v>117931.34399999998</v>
      </c>
      <c r="BA34" s="62">
        <f>IF(Dashboard!$C$34=Lists!$B$19,BA30,IF(Dashboard!$C$34=Lists!$B$18,(BA30/'Technical inputs'!$C$39),0))</f>
        <v>117931.34399999998</v>
      </c>
      <c r="BB34" s="62">
        <f>IF(Dashboard!$C$34=Lists!$B$19,BB30,IF(Dashboard!$C$34=Lists!$B$18,(BB30/'Technical inputs'!$C$39),0))</f>
        <v>117931.34399999998</v>
      </c>
      <c r="BC34" s="62">
        <f>IF(Dashboard!$C$34=Lists!$B$19,BC30,IF(Dashboard!$C$34=Lists!$B$18,(BC30/'Technical inputs'!$C$39),0))</f>
        <v>117931.34399999998</v>
      </c>
      <c r="BD34" s="62">
        <f>IF(Dashboard!$C$34=Lists!$B$19,BD30,IF(Dashboard!$C$34=Lists!$B$18,(BD30/'Technical inputs'!$C$39),0))</f>
        <v>117931.34399999998</v>
      </c>
      <c r="BE34" s="62">
        <f>IF(Dashboard!$C$34=Lists!$B$19,BE30,IF(Dashboard!$C$34=Lists!$B$18,(BE30/'Technical inputs'!$C$39),0))</f>
        <v>117931.34399999998</v>
      </c>
      <c r="BF34" s="62">
        <f>IF(Dashboard!$C$34=Lists!$B$19,BF30,IF(Dashboard!$C$34=Lists!$B$18,(BF30/'Technical inputs'!$C$39),0))</f>
        <v>117931.34399999998</v>
      </c>
      <c r="BG34" s="62">
        <f>IF(Dashboard!$C$34=Lists!$B$19,BG30,IF(Dashboard!$C$34=Lists!$B$18,(BG30/'Technical inputs'!$C$39),0))</f>
        <v>117931.34399999998</v>
      </c>
      <c r="BH34" s="62">
        <f>IF(Dashboard!$C$34=Lists!$B$19,BH30,IF(Dashboard!$C$34=Lists!$B$18,(BH30/'Technical inputs'!$C$39),0))</f>
        <v>117931.34399999998</v>
      </c>
      <c r="BI34" s="62">
        <f>IF(Dashboard!$C$34=Lists!$B$19,BI30,IF(Dashboard!$C$34=Lists!$B$18,(BI30/'Technical inputs'!$C$39),0))</f>
        <v>117931.34399999998</v>
      </c>
      <c r="BJ34" s="62">
        <f>IF(Dashboard!$C$34=Lists!$B$19,BJ30,IF(Dashboard!$C$34=Lists!$B$18,(BJ30/'Technical inputs'!$C$39),0))</f>
        <v>117931.34399999998</v>
      </c>
      <c r="BK34" s="62">
        <f>IF(Dashboard!$C$34=Lists!$B$19,BK30,IF(Dashboard!$C$34=Lists!$B$18,(BK30/'Technical inputs'!$C$39),0))</f>
        <v>117931.34399999998</v>
      </c>
      <c r="BL34" s="62">
        <f>IF(Dashboard!$C$34=Lists!$B$19,BL30,IF(Dashboard!$C$34=Lists!$B$18,(BL30/'Technical inputs'!$C$39),0))</f>
        <v>117931.34399999998</v>
      </c>
    </row>
    <row r="35" spans="2:64" x14ac:dyDescent="0.2">
      <c r="B35" s="54" t="s">
        <v>263</v>
      </c>
      <c r="E35" s="62">
        <f>IF(Dashboard!$C$34=Lists!$B$17,E29/'Technical inputs'!$C$41,0)</f>
        <v>0</v>
      </c>
      <c r="F35" s="62">
        <f>IF(Dashboard!$C$34=Lists!$B$17,F29/'Technical inputs'!$C$41,0)</f>
        <v>0</v>
      </c>
      <c r="G35" s="62">
        <f>IF(Dashboard!$C$34=Lists!$B$17,G29/'Technical inputs'!$C$41,0)</f>
        <v>0</v>
      </c>
      <c r="H35" s="62">
        <f>IF(Dashboard!$C$34=Lists!$B$17,H29/'Technical inputs'!$C$41,0)</f>
        <v>0</v>
      </c>
      <c r="I35" s="62">
        <f>IF(Dashboard!$C$34=Lists!$B$17,I29/'Technical inputs'!$C$41,0)</f>
        <v>0</v>
      </c>
      <c r="J35" s="62">
        <f>IF(Dashboard!$C$34=Lists!$B$17,J29/'Technical inputs'!$C$41,0)</f>
        <v>0</v>
      </c>
      <c r="K35" s="62">
        <f>IF(Dashboard!$C$34=Lists!$B$17,K29/'Technical inputs'!$C$41,0)</f>
        <v>0</v>
      </c>
      <c r="L35" s="62">
        <f>IF(Dashboard!$C$34=Lists!$B$17,L29/'Technical inputs'!$C$41,0)</f>
        <v>0</v>
      </c>
      <c r="M35" s="62">
        <f>IF(Dashboard!$C$34=Lists!$B$17,M29/'Technical inputs'!$C$41,0)</f>
        <v>0</v>
      </c>
      <c r="N35" s="62">
        <f>IF(Dashboard!$C$34=Lists!$B$17,N29/'Technical inputs'!$C$41,0)</f>
        <v>0</v>
      </c>
      <c r="O35" s="62">
        <f>IF(Dashboard!$C$34=Lists!$B$17,O29/'Technical inputs'!$C$41,0)</f>
        <v>0</v>
      </c>
      <c r="P35" s="62">
        <f>IF(Dashboard!$C$34=Lists!$B$17,P29/'Technical inputs'!$C$41,0)</f>
        <v>0</v>
      </c>
      <c r="Q35" s="62">
        <f>IF(Dashboard!$C$34=Lists!$B$17,Q29/'Technical inputs'!$C$41,0)</f>
        <v>0</v>
      </c>
      <c r="R35" s="62">
        <f>IF(Dashboard!$C$34=Lists!$B$17,R29/'Technical inputs'!$C$41,0)</f>
        <v>0</v>
      </c>
      <c r="S35" s="62">
        <f>IF(Dashboard!$C$34=Lists!$B$17,S29/'Technical inputs'!$C$41,0)</f>
        <v>0</v>
      </c>
      <c r="T35" s="62">
        <f>IF(Dashboard!$C$34=Lists!$B$17,T29/'Technical inputs'!$C$41,0)</f>
        <v>0</v>
      </c>
      <c r="U35" s="62">
        <f>IF(Dashboard!$C$34=Lists!$B$17,U29/'Technical inputs'!$C$41,0)</f>
        <v>0</v>
      </c>
      <c r="V35" s="62">
        <f>IF(Dashboard!$C$34=Lists!$B$17,V29/'Technical inputs'!$C$41,0)</f>
        <v>0</v>
      </c>
      <c r="W35" s="62">
        <f>IF(Dashboard!$C$34=Lists!$B$17,W29/'Technical inputs'!$C$41,0)</f>
        <v>0</v>
      </c>
      <c r="X35" s="62">
        <f>IF(Dashboard!$C$34=Lists!$B$17,X29/'Technical inputs'!$C$41,0)</f>
        <v>0</v>
      </c>
      <c r="Y35" s="62">
        <f>IF(Dashboard!$C$34=Lists!$B$17,Y29/'Technical inputs'!$C$41,0)</f>
        <v>0</v>
      </c>
      <c r="Z35" s="62">
        <f>IF(Dashboard!$C$34=Lists!$B$17,Z29/'Technical inputs'!$C$41,0)</f>
        <v>0</v>
      </c>
      <c r="AA35" s="62">
        <f>IF(Dashboard!$C$34=Lists!$B$17,AA29/'Technical inputs'!$C$41,0)</f>
        <v>0</v>
      </c>
      <c r="AB35" s="62">
        <f>IF(Dashboard!$C$34=Lists!$B$17,AB29/'Technical inputs'!$C$41,0)</f>
        <v>0</v>
      </c>
      <c r="AC35" s="62">
        <f>IF(Dashboard!$C$34=Lists!$B$17,AC29/'Technical inputs'!$C$41,0)</f>
        <v>0</v>
      </c>
      <c r="AD35" s="62">
        <f>IF(Dashboard!$C$34=Lists!$B$17,AD29/'Technical inputs'!$C$41,0)</f>
        <v>0</v>
      </c>
      <c r="AE35" s="62">
        <f>IF(Dashboard!$C$34=Lists!$B$17,AE29/'Technical inputs'!$C$41,0)</f>
        <v>0</v>
      </c>
      <c r="AF35" s="62">
        <f>IF(Dashboard!$C$34=Lists!$B$17,AF29/'Technical inputs'!$C$41,0)</f>
        <v>0</v>
      </c>
      <c r="AG35" s="62">
        <f>IF(Dashboard!$C$34=Lists!$B$17,AG29/'Technical inputs'!$C$41,0)</f>
        <v>0</v>
      </c>
      <c r="AH35" s="62">
        <f>IF(Dashboard!$C$34=Lists!$B$17,AH29/'Technical inputs'!$C$41,0)</f>
        <v>0</v>
      </c>
      <c r="AI35" s="62">
        <f>IF(Dashboard!$C$34=Lists!$B$17,AI29/'Technical inputs'!$C$41,0)</f>
        <v>0</v>
      </c>
      <c r="AJ35" s="62">
        <f>IF(Dashboard!$C$34=Lists!$B$17,AJ29/'Technical inputs'!$C$41,0)</f>
        <v>0</v>
      </c>
      <c r="AK35" s="62">
        <f>IF(Dashboard!$C$34=Lists!$B$17,AK29/'Technical inputs'!$C$41,0)</f>
        <v>0</v>
      </c>
      <c r="AL35" s="62">
        <f>IF(Dashboard!$C$34=Lists!$B$17,AL29/'Technical inputs'!$C$41,0)</f>
        <v>0</v>
      </c>
      <c r="AM35" s="62">
        <f>IF(Dashboard!$C$34=Lists!$B$17,AM29/'Technical inputs'!$C$41,0)</f>
        <v>0</v>
      </c>
      <c r="AN35" s="62">
        <f>IF(Dashboard!$C$34=Lists!$B$17,AN29/'Technical inputs'!$C$41,0)</f>
        <v>0</v>
      </c>
      <c r="AO35" s="62">
        <f>IF(Dashboard!$C$34=Lists!$B$17,AO29/'Technical inputs'!$C$41,0)</f>
        <v>0</v>
      </c>
      <c r="AP35" s="62">
        <f>IF(Dashboard!$C$34=Lists!$B$17,AP29/'Technical inputs'!$C$41,0)</f>
        <v>0</v>
      </c>
      <c r="AQ35" s="62">
        <f>IF(Dashboard!$C$34=Lists!$B$17,AQ29/'Technical inputs'!$C$41,0)</f>
        <v>0</v>
      </c>
      <c r="AR35" s="62">
        <f>IF(Dashboard!$C$34=Lists!$B$17,AR29/'Technical inputs'!$C$41,0)</f>
        <v>0</v>
      </c>
      <c r="AS35" s="62">
        <f>IF(Dashboard!$C$34=Lists!$B$17,AS29/'Technical inputs'!$C$41,0)</f>
        <v>0</v>
      </c>
      <c r="AT35" s="62">
        <f>IF(Dashboard!$C$34=Lists!$B$17,AT29/'Technical inputs'!$C$41,0)</f>
        <v>0</v>
      </c>
      <c r="AU35" s="62">
        <f>IF(Dashboard!$C$34=Lists!$B$17,AU29/'Technical inputs'!$C$41,0)</f>
        <v>0</v>
      </c>
      <c r="AV35" s="62">
        <f>IF(Dashboard!$C$34=Lists!$B$17,AV29/'Technical inputs'!$C$41,0)</f>
        <v>0</v>
      </c>
      <c r="AW35" s="62">
        <f>IF(Dashboard!$C$34=Lists!$B$17,AW29/'Technical inputs'!$C$41,0)</f>
        <v>0</v>
      </c>
      <c r="AX35" s="62">
        <f>IF(Dashboard!$C$34=Lists!$B$17,AX29/'Technical inputs'!$C$41,0)</f>
        <v>0</v>
      </c>
      <c r="AY35" s="62">
        <f>IF(Dashboard!$C$34=Lists!$B$17,AY29/'Technical inputs'!$C$41,0)</f>
        <v>0</v>
      </c>
      <c r="AZ35" s="62">
        <f>IF(Dashboard!$C$34=Lists!$B$17,AZ29/'Technical inputs'!$C$41,0)</f>
        <v>0</v>
      </c>
      <c r="BA35" s="62">
        <f>IF(Dashboard!$C$34=Lists!$B$17,BA29/'Technical inputs'!$C$41,0)</f>
        <v>0</v>
      </c>
      <c r="BB35" s="62">
        <f>IF(Dashboard!$C$34=Lists!$B$17,BB29/'Technical inputs'!$C$41,0)</f>
        <v>0</v>
      </c>
      <c r="BC35" s="62">
        <f>IF(Dashboard!$C$34=Lists!$B$17,BC29/'Technical inputs'!$C$41,0)</f>
        <v>0</v>
      </c>
      <c r="BD35" s="62">
        <f>IF(Dashboard!$C$34=Lists!$B$17,BD29/'Technical inputs'!$C$41,0)</f>
        <v>0</v>
      </c>
      <c r="BE35" s="62">
        <f>IF(Dashboard!$C$34=Lists!$B$17,BE29/'Technical inputs'!$C$41,0)</f>
        <v>0</v>
      </c>
      <c r="BF35" s="62">
        <f>IF(Dashboard!$C$34=Lists!$B$17,BF29/'Technical inputs'!$C$41,0)</f>
        <v>0</v>
      </c>
      <c r="BG35" s="62">
        <f>IF(Dashboard!$C$34=Lists!$B$17,BG29/'Technical inputs'!$C$41,0)</f>
        <v>0</v>
      </c>
      <c r="BH35" s="62">
        <f>IF(Dashboard!$C$34=Lists!$B$17,BH29/'Technical inputs'!$C$41,0)</f>
        <v>0</v>
      </c>
      <c r="BI35" s="62">
        <f>IF(Dashboard!$C$34=Lists!$B$17,BI29/'Technical inputs'!$C$41,0)</f>
        <v>0</v>
      </c>
      <c r="BJ35" s="62">
        <f>IF(Dashboard!$C$34=Lists!$B$17,BJ29/'Technical inputs'!$C$41,0)</f>
        <v>0</v>
      </c>
      <c r="BK35" s="62">
        <f>IF(Dashboard!$C$34=Lists!$B$17,BK29/'Technical inputs'!$C$41,0)</f>
        <v>0</v>
      </c>
      <c r="BL35" s="62">
        <f>IF(Dashboard!$C$34=Lists!$B$17,BL29/'Technical inputs'!$C$41,0)</f>
        <v>0</v>
      </c>
    </row>
    <row r="36" spans="2:64" x14ac:dyDescent="0.2">
      <c r="B36" s="54" t="s">
        <v>264</v>
      </c>
      <c r="E36" s="62">
        <f>IF(Dashboard!$C$34=Lists!$B$17,E30/'Technical inputs'!$C$41,0)</f>
        <v>0</v>
      </c>
      <c r="F36" s="62">
        <f>IF(Dashboard!$C$34=Lists!$B$17,F30/'Technical inputs'!$C$41,0)</f>
        <v>0</v>
      </c>
      <c r="G36" s="62">
        <f>IF(Dashboard!$C$34=Lists!$B$17,G30/'Technical inputs'!$C$41,0)</f>
        <v>0</v>
      </c>
      <c r="H36" s="62">
        <f>IF(Dashboard!$C$34=Lists!$B$17,H30/'Technical inputs'!$C$41,0)</f>
        <v>0</v>
      </c>
      <c r="I36" s="62">
        <f>IF(Dashboard!$C$34=Lists!$B$17,I30/'Technical inputs'!$C$41,0)</f>
        <v>0</v>
      </c>
      <c r="J36" s="62">
        <f>IF(Dashboard!$C$34=Lists!$B$17,J30/'Technical inputs'!$C$41,0)</f>
        <v>0</v>
      </c>
      <c r="K36" s="62">
        <f>IF(Dashboard!$C$34=Lists!$B$17,K30/'Technical inputs'!$C$41,0)</f>
        <v>0</v>
      </c>
      <c r="L36" s="62">
        <f>IF(Dashboard!$C$34=Lists!$B$17,L30/'Technical inputs'!$C$41,0)</f>
        <v>0</v>
      </c>
      <c r="M36" s="62">
        <f>IF(Dashboard!$C$34=Lists!$B$17,M30/'Technical inputs'!$C$41,0)</f>
        <v>0</v>
      </c>
      <c r="N36" s="62">
        <f>IF(Dashboard!$C$34=Lists!$B$17,N30/'Technical inputs'!$C$41,0)</f>
        <v>0</v>
      </c>
      <c r="O36" s="62">
        <f>IF(Dashboard!$C$34=Lists!$B$17,O30/'Technical inputs'!$C$41,0)</f>
        <v>0</v>
      </c>
      <c r="P36" s="62">
        <f>IF(Dashboard!$C$34=Lists!$B$17,P30/'Technical inputs'!$C$41,0)</f>
        <v>0</v>
      </c>
      <c r="Q36" s="62">
        <f>IF(Dashboard!$C$34=Lists!$B$17,Q30/'Technical inputs'!$C$41,0)</f>
        <v>0</v>
      </c>
      <c r="R36" s="62">
        <f>IF(Dashboard!$C$34=Lists!$B$17,R30/'Technical inputs'!$C$41,0)</f>
        <v>0</v>
      </c>
      <c r="S36" s="62">
        <f>IF(Dashboard!$C$34=Lists!$B$17,S30/'Technical inputs'!$C$41,0)</f>
        <v>0</v>
      </c>
      <c r="T36" s="62">
        <f>IF(Dashboard!$C$34=Lists!$B$17,T30/'Technical inputs'!$C$41,0)</f>
        <v>0</v>
      </c>
      <c r="U36" s="62">
        <f>IF(Dashboard!$C$34=Lists!$B$17,U30/'Technical inputs'!$C$41,0)</f>
        <v>0</v>
      </c>
      <c r="V36" s="62">
        <f>IF(Dashboard!$C$34=Lists!$B$17,V30/'Technical inputs'!$C$41,0)</f>
        <v>0</v>
      </c>
      <c r="W36" s="62">
        <f>IF(Dashboard!$C$34=Lists!$B$17,W30/'Technical inputs'!$C$41,0)</f>
        <v>0</v>
      </c>
      <c r="X36" s="62">
        <f>IF(Dashboard!$C$34=Lists!$B$17,X30/'Technical inputs'!$C$41,0)</f>
        <v>0</v>
      </c>
      <c r="Y36" s="62">
        <f>IF(Dashboard!$C$34=Lists!$B$17,Y30/'Technical inputs'!$C$41,0)</f>
        <v>0</v>
      </c>
      <c r="Z36" s="62">
        <f>IF(Dashboard!$C$34=Lists!$B$17,Z30/'Technical inputs'!$C$41,0)</f>
        <v>0</v>
      </c>
      <c r="AA36" s="62">
        <f>IF(Dashboard!$C$34=Lists!$B$17,AA30/'Technical inputs'!$C$41,0)</f>
        <v>0</v>
      </c>
      <c r="AB36" s="62">
        <f>IF(Dashboard!$C$34=Lists!$B$17,AB30/'Technical inputs'!$C$41,0)</f>
        <v>0</v>
      </c>
      <c r="AC36" s="62">
        <f>IF(Dashboard!$C$34=Lists!$B$17,AC30/'Technical inputs'!$C$41,0)</f>
        <v>0</v>
      </c>
      <c r="AD36" s="62">
        <f>IF(Dashboard!$C$34=Lists!$B$17,AD30/'Technical inputs'!$C$41,0)</f>
        <v>0</v>
      </c>
      <c r="AE36" s="62">
        <f>IF(Dashboard!$C$34=Lists!$B$17,AE30/'Technical inputs'!$C$41,0)</f>
        <v>0</v>
      </c>
      <c r="AF36" s="62">
        <f>IF(Dashboard!$C$34=Lists!$B$17,AF30/'Technical inputs'!$C$41,0)</f>
        <v>0</v>
      </c>
      <c r="AG36" s="62">
        <f>IF(Dashboard!$C$34=Lists!$B$17,AG30/'Technical inputs'!$C$41,0)</f>
        <v>0</v>
      </c>
      <c r="AH36" s="62">
        <f>IF(Dashboard!$C$34=Lists!$B$17,AH30/'Technical inputs'!$C$41,0)</f>
        <v>0</v>
      </c>
      <c r="AI36" s="62">
        <f>IF(Dashboard!$C$34=Lists!$B$17,AI30/'Technical inputs'!$C$41,0)</f>
        <v>0</v>
      </c>
      <c r="AJ36" s="62">
        <f>IF(Dashboard!$C$34=Lists!$B$17,AJ30/'Technical inputs'!$C$41,0)</f>
        <v>0</v>
      </c>
      <c r="AK36" s="62">
        <f>IF(Dashboard!$C$34=Lists!$B$17,AK30/'Technical inputs'!$C$41,0)</f>
        <v>0</v>
      </c>
      <c r="AL36" s="62">
        <f>IF(Dashboard!$C$34=Lists!$B$17,AL30/'Technical inputs'!$C$41,0)</f>
        <v>0</v>
      </c>
      <c r="AM36" s="62">
        <f>IF(Dashboard!$C$34=Lists!$B$17,AM30/'Technical inputs'!$C$41,0)</f>
        <v>0</v>
      </c>
      <c r="AN36" s="62">
        <f>IF(Dashboard!$C$34=Lists!$B$17,AN30/'Technical inputs'!$C$41,0)</f>
        <v>0</v>
      </c>
      <c r="AO36" s="62">
        <f>IF(Dashboard!$C$34=Lists!$B$17,AO30/'Technical inputs'!$C$41,0)</f>
        <v>0</v>
      </c>
      <c r="AP36" s="62">
        <f>IF(Dashboard!$C$34=Lists!$B$17,AP30/'Technical inputs'!$C$41,0)</f>
        <v>0</v>
      </c>
      <c r="AQ36" s="62">
        <f>IF(Dashboard!$C$34=Lists!$B$17,AQ30/'Technical inputs'!$C$41,0)</f>
        <v>0</v>
      </c>
      <c r="AR36" s="62">
        <f>IF(Dashboard!$C$34=Lists!$B$17,AR30/'Technical inputs'!$C$41,0)</f>
        <v>0</v>
      </c>
      <c r="AS36" s="62">
        <f>IF(Dashboard!$C$34=Lists!$B$17,AS30/'Technical inputs'!$C$41,0)</f>
        <v>0</v>
      </c>
      <c r="AT36" s="62">
        <f>IF(Dashboard!$C$34=Lists!$B$17,AT30/'Technical inputs'!$C$41,0)</f>
        <v>0</v>
      </c>
      <c r="AU36" s="62">
        <f>IF(Dashboard!$C$34=Lists!$B$17,AU30/'Technical inputs'!$C$41,0)</f>
        <v>0</v>
      </c>
      <c r="AV36" s="62">
        <f>IF(Dashboard!$C$34=Lists!$B$17,AV30/'Technical inputs'!$C$41,0)</f>
        <v>0</v>
      </c>
      <c r="AW36" s="62">
        <f>IF(Dashboard!$C$34=Lists!$B$17,AW30/'Technical inputs'!$C$41,0)</f>
        <v>0</v>
      </c>
      <c r="AX36" s="62">
        <f>IF(Dashboard!$C$34=Lists!$B$17,AX30/'Technical inputs'!$C$41,0)</f>
        <v>0</v>
      </c>
      <c r="AY36" s="62">
        <f>IF(Dashboard!$C$34=Lists!$B$17,AY30/'Technical inputs'!$C$41,0)</f>
        <v>0</v>
      </c>
      <c r="AZ36" s="62">
        <f>IF(Dashboard!$C$34=Lists!$B$17,AZ30/'Technical inputs'!$C$41,0)</f>
        <v>0</v>
      </c>
      <c r="BA36" s="62">
        <f>IF(Dashboard!$C$34=Lists!$B$17,BA30/'Technical inputs'!$C$41,0)</f>
        <v>0</v>
      </c>
      <c r="BB36" s="62">
        <f>IF(Dashboard!$C$34=Lists!$B$17,BB30/'Technical inputs'!$C$41,0)</f>
        <v>0</v>
      </c>
      <c r="BC36" s="62">
        <f>IF(Dashboard!$C$34=Lists!$B$17,BC30/'Technical inputs'!$C$41,0)</f>
        <v>0</v>
      </c>
      <c r="BD36" s="62">
        <f>IF(Dashboard!$C$34=Lists!$B$17,BD30/'Technical inputs'!$C$41,0)</f>
        <v>0</v>
      </c>
      <c r="BE36" s="62">
        <f>IF(Dashboard!$C$34=Lists!$B$17,BE30/'Technical inputs'!$C$41,0)</f>
        <v>0</v>
      </c>
      <c r="BF36" s="62">
        <f>IF(Dashboard!$C$34=Lists!$B$17,BF30/'Technical inputs'!$C$41,0)</f>
        <v>0</v>
      </c>
      <c r="BG36" s="62">
        <f>IF(Dashboard!$C$34=Lists!$B$17,BG30/'Technical inputs'!$C$41,0)</f>
        <v>0</v>
      </c>
      <c r="BH36" s="62">
        <f>IF(Dashboard!$C$34=Lists!$B$17,BH30/'Technical inputs'!$C$41,0)</f>
        <v>0</v>
      </c>
      <c r="BI36" s="62">
        <f>IF(Dashboard!$C$34=Lists!$B$17,BI30/'Technical inputs'!$C$41,0)</f>
        <v>0</v>
      </c>
      <c r="BJ36" s="62">
        <f>IF(Dashboard!$C$34=Lists!$B$17,BJ30/'Technical inputs'!$C$41,0)</f>
        <v>0</v>
      </c>
      <c r="BK36" s="62">
        <f>IF(Dashboard!$C$34=Lists!$B$17,BK30/'Technical inputs'!$C$41,0)</f>
        <v>0</v>
      </c>
      <c r="BL36" s="62">
        <f>IF(Dashboard!$C$34=Lists!$B$17,BL30/'Technical inputs'!$C$41,0)</f>
        <v>0</v>
      </c>
    </row>
    <row r="38" spans="2:64" x14ac:dyDescent="0.2">
      <c r="B38" s="35" t="s">
        <v>265</v>
      </c>
    </row>
    <row r="39" spans="2:64" x14ac:dyDescent="0.2">
      <c r="B39" s="54" t="s">
        <v>266</v>
      </c>
      <c r="C39" s="11">
        <f>IF(Dashboard!$C$30="BEIS price projections",1,0)</f>
        <v>1</v>
      </c>
    </row>
    <row r="40" spans="2:64" x14ac:dyDescent="0.2">
      <c r="B40" s="54" t="s">
        <v>267</v>
      </c>
      <c r="C40" s="11">
        <f>IF(Dashboard!$C$30="Fixed rate",1,0)</f>
        <v>0</v>
      </c>
    </row>
    <row r="42" spans="2:64" x14ac:dyDescent="0.2">
      <c r="B42" s="53" t="s">
        <v>268</v>
      </c>
    </row>
    <row r="43" spans="2:64" x14ac:dyDescent="0.2">
      <c r="B43" s="54" t="s">
        <v>269</v>
      </c>
      <c r="E43" s="125">
        <f>IFERROR((_xlfn.XLOOKUP(YEAR(E$5),'Price projections'!$D$6:$X$6,'Price projections'!$D$52:$X$52,"",0)*$C$39)+((1+Dashboard!$C$31)*$C$40),D43)</f>
        <v>1.0876974706619835</v>
      </c>
      <c r="F43" s="125">
        <f>IFERROR((_xlfn.XLOOKUP(YEAR(F$5),'Price projections'!$D$6:$X$6,'Price projections'!$D$52:$X$52,"",0)*$C$39)+((1+Dashboard!$C$31)*$C$40),E43)</f>
        <v>1.1046234671135224</v>
      </c>
      <c r="G43" s="125">
        <f>IFERROR((_xlfn.XLOOKUP(YEAR(G$5),'Price projections'!$D$6:$X$6,'Price projections'!$D$52:$X$52,"",0)*$C$39)+((1+Dashboard!$C$31)*$C$40),F43)</f>
        <v>1.1215136846463596</v>
      </c>
      <c r="H43" s="125">
        <f>IFERROR((_xlfn.XLOOKUP(YEAR(H$5),'Price projections'!$D$6:$X$6,'Price projections'!$D$52:$X$52,"",0)*$C$39)+((1+Dashboard!$C$31)*$C$40),G43)</f>
        <v>1.138109563966518</v>
      </c>
      <c r="I43" s="125">
        <f>IFERROR((_xlfn.XLOOKUP(YEAR(I$5),'Price projections'!$D$6:$X$6,'Price projections'!$D$52:$X$52,"",0)*$C$39)+((1+Dashboard!$C$31)*$C$40),H43)</f>
        <v>1.1547344334889524</v>
      </c>
      <c r="J43" s="125">
        <f>IFERROR((_xlfn.XLOOKUP(YEAR(J$5),'Price projections'!$D$6:$X$6,'Price projections'!$D$52:$X$52,"",0)*$C$39)+((1+Dashboard!$C$31)*$C$40),I43)</f>
        <v>1.1713756547251124</v>
      </c>
      <c r="K43" s="125">
        <f>IFERROR((_xlfn.XLOOKUP(YEAR(K$5),'Price projections'!$D$6:$X$6,'Price projections'!$D$52:$X$52,"",0)*$C$39)+((1+Dashboard!$C$31)*$C$40),J43)</f>
        <v>1.1880116661987694</v>
      </c>
      <c r="L43" s="125">
        <f>IFERROR((_xlfn.XLOOKUP(YEAR(L$5),'Price projections'!$D$6:$X$6,'Price projections'!$D$52:$X$52,"",0)*$C$39)+((1+Dashboard!$C$31)*$C$40),K43)</f>
        <v>1.2046514000031183</v>
      </c>
      <c r="M43" s="125">
        <f>IFERROR((_xlfn.XLOOKUP(YEAR(M$5),'Price projections'!$D$6:$X$6,'Price projections'!$D$52:$X$52,"",0)*$C$39)+((1+Dashboard!$C$31)*$C$40),L43)</f>
        <v>1.2212949635068702</v>
      </c>
      <c r="N43" s="125">
        <f>IFERROR((_xlfn.XLOOKUP(YEAR(N$5),'Price projections'!$D$6:$X$6,'Price projections'!$D$52:$X$52,"",0)*$C$39)+((1+Dashboard!$C$31)*$C$40),M43)</f>
        <v>1.2209698103455697</v>
      </c>
      <c r="O43" s="125">
        <f>IFERROR((_xlfn.XLOOKUP(YEAR(O$5),'Price projections'!$D$6:$X$6,'Price projections'!$D$52:$X$52,"",0)*$C$39)+((1+Dashboard!$C$31)*$C$40),N43)</f>
        <v>1.2206389196340606</v>
      </c>
      <c r="P43" s="125">
        <f>IFERROR((_xlfn.XLOOKUP(YEAR(P$5),'Price projections'!$D$6:$X$6,'Price projections'!$D$52:$X$52,"",0)*$C$39)+((1+Dashboard!$C$31)*$C$40),O43)</f>
        <v>1.2203164396085091</v>
      </c>
      <c r="Q43" s="125">
        <f>IFERROR((_xlfn.XLOOKUP(YEAR(Q$5),'Price projections'!$D$6:$X$6,'Price projections'!$D$52:$X$52,"",0)*$C$39)+((1+Dashboard!$C$31)*$C$40),P43)</f>
        <v>1.2200103055663727</v>
      </c>
      <c r="R43" s="125">
        <f>IFERROR((_xlfn.XLOOKUP(YEAR(R$5),'Price projections'!$D$6:$X$6,'Price projections'!$D$52:$X$52,"",0)*$C$39)+((1+Dashboard!$C$31)*$C$40),Q43)</f>
        <v>1.2197102962018558</v>
      </c>
      <c r="S43" s="125">
        <f>IFERROR((_xlfn.XLOOKUP(YEAR(S$5),'Price projections'!$D$6:$X$6,'Price projections'!$D$52:$X$52,"",0)*$C$39)+((1+Dashboard!$C$31)*$C$40),R43)</f>
        <v>1.2197102962018558</v>
      </c>
      <c r="T43" s="125">
        <f>IFERROR((_xlfn.XLOOKUP(YEAR(T$5),'Price projections'!$D$6:$X$6,'Price projections'!$D$52:$X$52,"",0)*$C$39)+((1+Dashboard!$C$31)*$C$40),S43)</f>
        <v>1.2197102962018558</v>
      </c>
      <c r="U43" s="125">
        <f>IFERROR((_xlfn.XLOOKUP(YEAR(U$5),'Price projections'!$D$6:$X$6,'Price projections'!$D$52:$X$52,"",0)*$C$39)+((1+Dashboard!$C$31)*$C$40),T43)</f>
        <v>1.2197102962018558</v>
      </c>
      <c r="V43" s="125">
        <f>IFERROR((_xlfn.XLOOKUP(YEAR(V$5),'Price projections'!$D$6:$X$6,'Price projections'!$D$52:$X$52,"",0)*$C$39)+((1+Dashboard!$C$31)*$C$40),U43)</f>
        <v>1.2197102962018558</v>
      </c>
      <c r="W43" s="125">
        <f>IFERROR((_xlfn.XLOOKUP(YEAR(W$5),'Price projections'!$D$6:$X$6,'Price projections'!$D$52:$X$52,"",0)*$C$39)+((1+Dashboard!$C$31)*$C$40),V43)</f>
        <v>1.2197102962018558</v>
      </c>
      <c r="X43" s="125">
        <f>IFERROR((_xlfn.XLOOKUP(YEAR(X$5),'Price projections'!$D$6:$X$6,'Price projections'!$D$52:$X$52,"",0)*$C$39)+((1+Dashboard!$C$31)*$C$40),W43)</f>
        <v>1.2197102962018558</v>
      </c>
      <c r="Y43" s="125">
        <f>IFERROR((_xlfn.XLOOKUP(YEAR(Y$5),'Price projections'!$D$6:$X$6,'Price projections'!$D$52:$X$52,"",0)*$C$39)+((1+Dashboard!$C$31)*$C$40),X43)</f>
        <v>1.2197102962018558</v>
      </c>
      <c r="Z43" s="125">
        <f>IFERROR((_xlfn.XLOOKUP(YEAR(Z$5),'Price projections'!$D$6:$X$6,'Price projections'!$D$52:$X$52,"",0)*$C$39)+((1+Dashboard!$C$31)*$C$40),Y43)</f>
        <v>1.2197102962018558</v>
      </c>
      <c r="AA43" s="125">
        <f>IFERROR((_xlfn.XLOOKUP(YEAR(AA$5),'Price projections'!$D$6:$X$6,'Price projections'!$D$52:$X$52,"",0)*$C$39)+((1+Dashboard!$C$31)*$C$40),Z43)</f>
        <v>1.2197102962018558</v>
      </c>
      <c r="AB43" s="125">
        <f>IFERROR((_xlfn.XLOOKUP(YEAR(AB$5),'Price projections'!$D$6:$X$6,'Price projections'!$D$52:$X$52,"",0)*$C$39)+((1+Dashboard!$C$31)*$C$40),AA43)</f>
        <v>1.2197102962018558</v>
      </c>
      <c r="AC43" s="125">
        <f>IFERROR((_xlfn.XLOOKUP(YEAR(AC$5),'Price projections'!$D$6:$X$6,'Price projections'!$D$52:$X$52,"",0)*$C$39)+((1+Dashboard!$C$31)*$C$40),AB43)</f>
        <v>1.2197102962018558</v>
      </c>
      <c r="AD43" s="125">
        <f>IFERROR((_xlfn.XLOOKUP(YEAR(AD$5),'Price projections'!$D$6:$X$6,'Price projections'!$D$52:$X$52,"",0)*$C$39)+((1+Dashboard!$C$31)*$C$40),AC43)</f>
        <v>1.2197102962018558</v>
      </c>
      <c r="AE43" s="125">
        <f>IFERROR((_xlfn.XLOOKUP(YEAR(AE$5),'Price projections'!$D$6:$X$6,'Price projections'!$D$52:$X$52,"",0)*$C$39)+((1+Dashboard!$C$31)*$C$40),AD43)</f>
        <v>1.2197102962018558</v>
      </c>
      <c r="AF43" s="125">
        <f>IFERROR((_xlfn.XLOOKUP(YEAR(AF$5),'Price projections'!$D$6:$X$6,'Price projections'!$D$52:$X$52,"",0)*$C$39)+((1+Dashboard!$C$31)*$C$40),AE43)</f>
        <v>1.2197102962018558</v>
      </c>
      <c r="AG43" s="125">
        <f>IFERROR((_xlfn.XLOOKUP(YEAR(AG$5),'Price projections'!$D$6:$X$6,'Price projections'!$D$52:$X$52,"",0)*$C$39)+((1+Dashboard!$C$31)*$C$40),AF43)</f>
        <v>1.2197102962018558</v>
      </c>
      <c r="AH43" s="125">
        <f>IFERROR((_xlfn.XLOOKUP(YEAR(AH$5),'Price projections'!$D$6:$X$6,'Price projections'!$D$52:$X$52,"",0)*$C$39)+((1+Dashboard!$C$31)*$C$40),AG43)</f>
        <v>1.2197102962018558</v>
      </c>
      <c r="AI43" s="125">
        <f>IFERROR((_xlfn.XLOOKUP(YEAR(AI$5),'Price projections'!$D$6:$X$6,'Price projections'!$D$52:$X$52,"",0)*$C$39)+((1+Dashboard!$C$31)*$C$40),AH43)</f>
        <v>1.2197102962018558</v>
      </c>
      <c r="AJ43" s="125">
        <f>IFERROR((_xlfn.XLOOKUP(YEAR(AJ$5),'Price projections'!$D$6:$X$6,'Price projections'!$D$52:$X$52,"",0)*$C$39)+((1+Dashboard!$C$31)*$C$40),AI43)</f>
        <v>1.2197102962018558</v>
      </c>
      <c r="AK43" s="125">
        <f>IFERROR((_xlfn.XLOOKUP(YEAR(AK$5),'Price projections'!$D$6:$X$6,'Price projections'!$D$52:$X$52,"",0)*$C$39)+((1+Dashboard!$C$31)*$C$40),AJ43)</f>
        <v>1.2197102962018558</v>
      </c>
      <c r="AL43" s="125">
        <f>IFERROR((_xlfn.XLOOKUP(YEAR(AL$5),'Price projections'!$D$6:$X$6,'Price projections'!$D$52:$X$52,"",0)*$C$39)+((1+Dashboard!$C$31)*$C$40),AK43)</f>
        <v>1.2197102962018558</v>
      </c>
      <c r="AM43" s="125">
        <f>IFERROR((_xlfn.XLOOKUP(YEAR(AM$5),'Price projections'!$D$6:$X$6,'Price projections'!$D$52:$X$52,"",0)*$C$39)+((1+Dashboard!$C$31)*$C$40),AL43)</f>
        <v>1.2197102962018558</v>
      </c>
      <c r="AN43" s="125">
        <f>IFERROR((_xlfn.XLOOKUP(YEAR(AN$5),'Price projections'!$D$6:$X$6,'Price projections'!$D$52:$X$52,"",0)*$C$39)+((1+Dashboard!$C$31)*$C$40),AM43)</f>
        <v>1.2197102962018558</v>
      </c>
      <c r="AO43" s="125">
        <f>IFERROR((_xlfn.XLOOKUP(YEAR(AO$5),'Price projections'!$D$6:$X$6,'Price projections'!$D$52:$X$52,"",0)*$C$39)+((1+Dashboard!$C$31)*$C$40),AN43)</f>
        <v>1.2197102962018558</v>
      </c>
      <c r="AP43" s="125">
        <f>IFERROR((_xlfn.XLOOKUP(YEAR(AP$5),'Price projections'!$D$6:$X$6,'Price projections'!$D$52:$X$52,"",0)*$C$39)+((1+Dashboard!$C$31)*$C$40),AO43)</f>
        <v>1.2197102962018558</v>
      </c>
      <c r="AQ43" s="125">
        <f>IFERROR((_xlfn.XLOOKUP(YEAR(AQ$5),'Price projections'!$D$6:$X$6,'Price projections'!$D$52:$X$52,"",0)*$C$39)+((1+Dashboard!$C$31)*$C$40),AP43)</f>
        <v>1.2197102962018558</v>
      </c>
      <c r="AR43" s="125">
        <f>IFERROR((_xlfn.XLOOKUP(YEAR(AR$5),'Price projections'!$D$6:$X$6,'Price projections'!$D$52:$X$52,"",0)*$C$39)+((1+Dashboard!$C$31)*$C$40),AQ43)</f>
        <v>1.2197102962018558</v>
      </c>
      <c r="AS43" s="125">
        <f>IFERROR((_xlfn.XLOOKUP(YEAR(AS$5),'Price projections'!$D$6:$X$6,'Price projections'!$D$52:$X$52,"",0)*$C$39)+((1+Dashboard!$C$31)*$C$40),AR43)</f>
        <v>1.2197102962018558</v>
      </c>
      <c r="AT43" s="125">
        <f>IFERROR((_xlfn.XLOOKUP(YEAR(AT$5),'Price projections'!$D$6:$X$6,'Price projections'!$D$52:$X$52,"",0)*$C$39)+((1+Dashboard!$C$31)*$C$40),AS43)</f>
        <v>1.2197102962018558</v>
      </c>
      <c r="AU43" s="125">
        <f>IFERROR((_xlfn.XLOOKUP(YEAR(AU$5),'Price projections'!$D$6:$X$6,'Price projections'!$D$52:$X$52,"",0)*$C$39)+((1+Dashboard!$C$31)*$C$40),AT43)</f>
        <v>1.2197102962018558</v>
      </c>
      <c r="AV43" s="125">
        <f>IFERROR((_xlfn.XLOOKUP(YEAR(AV$5),'Price projections'!$D$6:$X$6,'Price projections'!$D$52:$X$52,"",0)*$C$39)+((1+Dashboard!$C$31)*$C$40),AU43)</f>
        <v>1.2197102962018558</v>
      </c>
      <c r="AW43" s="125">
        <f>IFERROR((_xlfn.XLOOKUP(YEAR(AW$5),'Price projections'!$D$6:$X$6,'Price projections'!$D$52:$X$52,"",0)*$C$39)+((1+Dashboard!$C$31)*$C$40),AV43)</f>
        <v>1.2197102962018558</v>
      </c>
      <c r="AX43" s="125">
        <f>IFERROR((_xlfn.XLOOKUP(YEAR(AX$5),'Price projections'!$D$6:$X$6,'Price projections'!$D$52:$X$52,"",0)*$C$39)+((1+Dashboard!$C$31)*$C$40),AW43)</f>
        <v>1.2197102962018558</v>
      </c>
      <c r="AY43" s="125">
        <f>IFERROR((_xlfn.XLOOKUP(YEAR(AY$5),'Price projections'!$D$6:$X$6,'Price projections'!$D$52:$X$52,"",0)*$C$39)+((1+Dashboard!$C$31)*$C$40),AX43)</f>
        <v>1.2197102962018558</v>
      </c>
      <c r="AZ43" s="125">
        <f>IFERROR((_xlfn.XLOOKUP(YEAR(AZ$5),'Price projections'!$D$6:$X$6,'Price projections'!$D$52:$X$52,"",0)*$C$39)+((1+Dashboard!$C$31)*$C$40),AY43)</f>
        <v>1.2197102962018558</v>
      </c>
      <c r="BA43" s="125">
        <f>IFERROR((_xlfn.XLOOKUP(YEAR(BA$5),'Price projections'!$D$6:$X$6,'Price projections'!$D$52:$X$52,"",0)*$C$39)+((1+Dashboard!$C$31)*$C$40),AZ43)</f>
        <v>1.2197102962018558</v>
      </c>
      <c r="BB43" s="125">
        <f>IFERROR((_xlfn.XLOOKUP(YEAR(BB$5),'Price projections'!$D$6:$X$6,'Price projections'!$D$52:$X$52,"",0)*$C$39)+((1+Dashboard!$C$31)*$C$40),BA43)</f>
        <v>1.2197102962018558</v>
      </c>
      <c r="BC43" s="125">
        <f>IFERROR((_xlfn.XLOOKUP(YEAR(BC$5),'Price projections'!$D$6:$X$6,'Price projections'!$D$52:$X$52,"",0)*$C$39)+((1+Dashboard!$C$31)*$C$40),BB43)</f>
        <v>1.2197102962018558</v>
      </c>
      <c r="BD43" s="125">
        <f>IFERROR((_xlfn.XLOOKUP(YEAR(BD$5),'Price projections'!$D$6:$X$6,'Price projections'!$D$52:$X$52,"",0)*$C$39)+((1+Dashboard!$C$31)*$C$40),BC43)</f>
        <v>1.2197102962018558</v>
      </c>
      <c r="BE43" s="125">
        <f>IFERROR((_xlfn.XLOOKUP(YEAR(BE$5),'Price projections'!$D$6:$X$6,'Price projections'!$D$52:$X$52,"",0)*$C$39)+((1+Dashboard!$C$31)*$C$40),BD43)</f>
        <v>1.2197102962018558</v>
      </c>
      <c r="BF43" s="125">
        <f>IFERROR((_xlfn.XLOOKUP(YEAR(BF$5),'Price projections'!$D$6:$X$6,'Price projections'!$D$52:$X$52,"",0)*$C$39)+((1+Dashboard!$C$31)*$C$40),BE43)</f>
        <v>1.2197102962018558</v>
      </c>
      <c r="BG43" s="125">
        <f>IFERROR((_xlfn.XLOOKUP(YEAR(BG$5),'Price projections'!$D$6:$X$6,'Price projections'!$D$52:$X$52,"",0)*$C$39)+((1+Dashboard!$C$31)*$C$40),BF43)</f>
        <v>1.2197102962018558</v>
      </c>
      <c r="BH43" s="125">
        <f>IFERROR((_xlfn.XLOOKUP(YEAR(BH$5),'Price projections'!$D$6:$X$6,'Price projections'!$D$52:$X$52,"",0)*$C$39)+((1+Dashboard!$C$31)*$C$40),BG43)</f>
        <v>1.2197102962018558</v>
      </c>
      <c r="BI43" s="125">
        <f>IFERROR((_xlfn.XLOOKUP(YEAR(BI$5),'Price projections'!$D$6:$X$6,'Price projections'!$D$52:$X$52,"",0)*$C$39)+((1+Dashboard!$C$31)*$C$40),BH43)</f>
        <v>1.2197102962018558</v>
      </c>
      <c r="BJ43" s="125">
        <f>IFERROR((_xlfn.XLOOKUP(YEAR(BJ$5),'Price projections'!$D$6:$X$6,'Price projections'!$D$52:$X$52,"",0)*$C$39)+((1+Dashboard!$C$31)*$C$40),BI43)</f>
        <v>1.2197102962018558</v>
      </c>
      <c r="BK43" s="125">
        <f>IFERROR((_xlfn.XLOOKUP(YEAR(BK$5),'Price projections'!$D$6:$X$6,'Price projections'!$D$52:$X$52,"",0)*$C$39)+((1+Dashboard!$C$31)*$C$40),BJ43)</f>
        <v>1.2197102962018558</v>
      </c>
      <c r="BL43" s="125">
        <f>IFERROR((_xlfn.XLOOKUP(YEAR(BL$5),'Price projections'!$D$6:$X$6,'Price projections'!$D$52:$X$52,"",0)*$C$39)+((1+Dashboard!$C$31)*$C$40),BK43)</f>
        <v>1.2197102962018558</v>
      </c>
    </row>
    <row r="44" spans="2:64" x14ac:dyDescent="0.2">
      <c r="B44" s="54" t="s">
        <v>270</v>
      </c>
      <c r="E44" s="125">
        <f>IFERROR((_xlfn.XLOOKUP(YEAR(E$5),'Price projections'!$D$6:$X$6,'Price projections'!$D$53:$X$53,"",0)*$C$39)+((1+Dashboard!$C$31)*$C$40),D44)</f>
        <v>1.02131950286022</v>
      </c>
      <c r="F44" s="125">
        <f>IFERROR((_xlfn.XLOOKUP(YEAR(F$5),'Price projections'!$D$6:$X$6,'Price projections'!$D$53:$X$53,"",0)*$C$39)+((1+Dashboard!$C$31)*$C$40),E44)</f>
        <v>1.029639150056358</v>
      </c>
      <c r="G44" s="125">
        <f>IFERROR((_xlfn.XLOOKUP(YEAR(G$5),'Price projections'!$D$6:$X$6,'Price projections'!$D$53:$X$53,"",0)*$C$39)+((1+Dashboard!$C$31)*$C$40),F44)</f>
        <v>1.0339286575574813</v>
      </c>
      <c r="H44" s="125">
        <f>IFERROR((_xlfn.XLOOKUP(YEAR(H$5),'Price projections'!$D$6:$X$6,'Price projections'!$D$53:$X$53,"",0)*$C$39)+((1+Dashboard!$C$31)*$C$40),G44)</f>
        <v>1.0385261912466166</v>
      </c>
      <c r="I44" s="125">
        <f>IFERROR((_xlfn.XLOOKUP(YEAR(I$5),'Price projections'!$D$6:$X$6,'Price projections'!$D$53:$X$53,"",0)*$C$39)+((1+Dashboard!$C$31)*$C$40),H44)</f>
        <v>1.0428633740395374</v>
      </c>
      <c r="J44" s="125">
        <f>IFERROR((_xlfn.XLOOKUP(YEAR(J$5),'Price projections'!$D$6:$X$6,'Price projections'!$D$53:$X$53,"",0)*$C$39)+((1+Dashboard!$C$31)*$C$40),I44)</f>
        <v>1.0482474852461034</v>
      </c>
      <c r="K44" s="125">
        <f>IFERROR((_xlfn.XLOOKUP(YEAR(K$5),'Price projections'!$D$6:$X$6,'Price projections'!$D$53:$X$53,"",0)*$C$39)+((1+Dashboard!$C$31)*$C$40),J44)</f>
        <v>1.0523062041404658</v>
      </c>
      <c r="L44" s="125">
        <f>IFERROR((_xlfn.XLOOKUP(YEAR(L$5),'Price projections'!$D$6:$X$6,'Price projections'!$D$53:$X$53,"",0)*$C$39)+((1+Dashboard!$C$31)*$C$40),K44)</f>
        <v>1.0575892316023716</v>
      </c>
      <c r="M44" s="125">
        <f>IFERROR((_xlfn.XLOOKUP(YEAR(M$5),'Price projections'!$D$6:$X$6,'Price projections'!$D$53:$X$53,"",0)*$C$39)+((1+Dashboard!$C$31)*$C$40),L44)</f>
        <v>1.0638766284497951</v>
      </c>
      <c r="N44" s="125">
        <f>IFERROR((_xlfn.XLOOKUP(YEAR(N$5),'Price projections'!$D$6:$X$6,'Price projections'!$D$53:$X$53,"",0)*$C$39)+((1+Dashboard!$C$31)*$C$40),M44)</f>
        <v>1.0712434109679441</v>
      </c>
      <c r="O44" s="125">
        <f>IFERROR((_xlfn.XLOOKUP(YEAR(O$5),'Price projections'!$D$6:$X$6,'Price projections'!$D$53:$X$53,"",0)*$C$39)+((1+Dashboard!$C$31)*$C$40),N44)</f>
        <v>1.0702652784922215</v>
      </c>
      <c r="P44" s="125">
        <f>IFERROR((_xlfn.XLOOKUP(YEAR(P$5),'Price projections'!$D$6:$X$6,'Price projections'!$D$53:$X$53,"",0)*$C$39)+((1+Dashboard!$C$31)*$C$40),O44)</f>
        <v>1.0692567965929409</v>
      </c>
      <c r="Q44" s="125">
        <f>IFERROR((_xlfn.XLOOKUP(YEAR(Q$5),'Price projections'!$D$6:$X$6,'Price projections'!$D$53:$X$53,"",0)*$C$39)+((1+Dashboard!$C$31)*$C$40),P44)</f>
        <v>1.068265746244863</v>
      </c>
      <c r="R44" s="125">
        <f>IFERROR((_xlfn.XLOOKUP(YEAR(R$5),'Price projections'!$D$6:$X$6,'Price projections'!$D$53:$X$53,"",0)*$C$39)+((1+Dashboard!$C$31)*$C$40),Q44)</f>
        <v>1.067272118001265</v>
      </c>
      <c r="S44" s="125">
        <f>IFERROR((_xlfn.XLOOKUP(YEAR(S$5),'Price projections'!$D$6:$X$6,'Price projections'!$D$53:$X$53,"",0)*$C$39)+((1+Dashboard!$C$31)*$C$40),R44)</f>
        <v>1.067272118001265</v>
      </c>
      <c r="T44" s="125">
        <f>IFERROR((_xlfn.XLOOKUP(YEAR(T$5),'Price projections'!$D$6:$X$6,'Price projections'!$D$53:$X$53,"",0)*$C$39)+((1+Dashboard!$C$31)*$C$40),S44)</f>
        <v>1.067272118001265</v>
      </c>
      <c r="U44" s="125">
        <f>IFERROR((_xlfn.XLOOKUP(YEAR(U$5),'Price projections'!$D$6:$X$6,'Price projections'!$D$53:$X$53,"",0)*$C$39)+((1+Dashboard!$C$31)*$C$40),T44)</f>
        <v>1.067272118001265</v>
      </c>
      <c r="V44" s="125">
        <f>IFERROR((_xlfn.XLOOKUP(YEAR(V$5),'Price projections'!$D$6:$X$6,'Price projections'!$D$53:$X$53,"",0)*$C$39)+((1+Dashboard!$C$31)*$C$40),U44)</f>
        <v>1.067272118001265</v>
      </c>
      <c r="W44" s="125">
        <f>IFERROR((_xlfn.XLOOKUP(YEAR(W$5),'Price projections'!$D$6:$X$6,'Price projections'!$D$53:$X$53,"",0)*$C$39)+((1+Dashboard!$C$31)*$C$40),V44)</f>
        <v>1.067272118001265</v>
      </c>
      <c r="X44" s="125">
        <f>IFERROR((_xlfn.XLOOKUP(YEAR(X$5),'Price projections'!$D$6:$X$6,'Price projections'!$D$53:$X$53,"",0)*$C$39)+((1+Dashboard!$C$31)*$C$40),W44)</f>
        <v>1.067272118001265</v>
      </c>
      <c r="Y44" s="125">
        <f>IFERROR((_xlfn.XLOOKUP(YEAR(Y$5),'Price projections'!$D$6:$X$6,'Price projections'!$D$53:$X$53,"",0)*$C$39)+((1+Dashboard!$C$31)*$C$40),X44)</f>
        <v>1.067272118001265</v>
      </c>
      <c r="Z44" s="125">
        <f>IFERROR((_xlfn.XLOOKUP(YEAR(Z$5),'Price projections'!$D$6:$X$6,'Price projections'!$D$53:$X$53,"",0)*$C$39)+((1+Dashboard!$C$31)*$C$40),Y44)</f>
        <v>1.067272118001265</v>
      </c>
      <c r="AA44" s="125">
        <f>IFERROR((_xlfn.XLOOKUP(YEAR(AA$5),'Price projections'!$D$6:$X$6,'Price projections'!$D$53:$X$53,"",0)*$C$39)+((1+Dashboard!$C$31)*$C$40),Z44)</f>
        <v>1.067272118001265</v>
      </c>
      <c r="AB44" s="125">
        <f>IFERROR((_xlfn.XLOOKUP(YEAR(AB$5),'Price projections'!$D$6:$X$6,'Price projections'!$D$53:$X$53,"",0)*$C$39)+((1+Dashboard!$C$31)*$C$40),AA44)</f>
        <v>1.067272118001265</v>
      </c>
      <c r="AC44" s="125">
        <f>IFERROR((_xlfn.XLOOKUP(YEAR(AC$5),'Price projections'!$D$6:$X$6,'Price projections'!$D$53:$X$53,"",0)*$C$39)+((1+Dashboard!$C$31)*$C$40),AB44)</f>
        <v>1.067272118001265</v>
      </c>
      <c r="AD44" s="125">
        <f>IFERROR((_xlfn.XLOOKUP(YEAR(AD$5),'Price projections'!$D$6:$X$6,'Price projections'!$D$53:$X$53,"",0)*$C$39)+((1+Dashboard!$C$31)*$C$40),AC44)</f>
        <v>1.067272118001265</v>
      </c>
      <c r="AE44" s="125">
        <f>IFERROR((_xlfn.XLOOKUP(YEAR(AE$5),'Price projections'!$D$6:$X$6,'Price projections'!$D$53:$X$53,"",0)*$C$39)+((1+Dashboard!$C$31)*$C$40),AD44)</f>
        <v>1.067272118001265</v>
      </c>
      <c r="AF44" s="125">
        <f>IFERROR((_xlfn.XLOOKUP(YEAR(AF$5),'Price projections'!$D$6:$X$6,'Price projections'!$D$53:$X$53,"",0)*$C$39)+((1+Dashboard!$C$31)*$C$40),AE44)</f>
        <v>1.067272118001265</v>
      </c>
      <c r="AG44" s="125">
        <f>IFERROR((_xlfn.XLOOKUP(YEAR(AG$5),'Price projections'!$D$6:$X$6,'Price projections'!$D$53:$X$53,"",0)*$C$39)+((1+Dashboard!$C$31)*$C$40),AF44)</f>
        <v>1.067272118001265</v>
      </c>
      <c r="AH44" s="125">
        <f>IFERROR((_xlfn.XLOOKUP(YEAR(AH$5),'Price projections'!$D$6:$X$6,'Price projections'!$D$53:$X$53,"",0)*$C$39)+((1+Dashboard!$C$31)*$C$40),AG44)</f>
        <v>1.067272118001265</v>
      </c>
      <c r="AI44" s="125">
        <f>IFERROR((_xlfn.XLOOKUP(YEAR(AI$5),'Price projections'!$D$6:$X$6,'Price projections'!$D$53:$X$53,"",0)*$C$39)+((1+Dashboard!$C$31)*$C$40),AH44)</f>
        <v>1.067272118001265</v>
      </c>
      <c r="AJ44" s="125">
        <f>IFERROR((_xlfn.XLOOKUP(YEAR(AJ$5),'Price projections'!$D$6:$X$6,'Price projections'!$D$53:$X$53,"",0)*$C$39)+((1+Dashboard!$C$31)*$C$40),AI44)</f>
        <v>1.067272118001265</v>
      </c>
      <c r="AK44" s="125">
        <f>IFERROR((_xlfn.XLOOKUP(YEAR(AK$5),'Price projections'!$D$6:$X$6,'Price projections'!$D$53:$X$53,"",0)*$C$39)+((1+Dashboard!$C$31)*$C$40),AJ44)</f>
        <v>1.067272118001265</v>
      </c>
      <c r="AL44" s="125">
        <f>IFERROR((_xlfn.XLOOKUP(YEAR(AL$5),'Price projections'!$D$6:$X$6,'Price projections'!$D$53:$X$53,"",0)*$C$39)+((1+Dashboard!$C$31)*$C$40),AK44)</f>
        <v>1.067272118001265</v>
      </c>
      <c r="AM44" s="125">
        <f>IFERROR((_xlfn.XLOOKUP(YEAR(AM$5),'Price projections'!$D$6:$X$6,'Price projections'!$D$53:$X$53,"",0)*$C$39)+((1+Dashboard!$C$31)*$C$40),AL44)</f>
        <v>1.067272118001265</v>
      </c>
      <c r="AN44" s="125">
        <f>IFERROR((_xlfn.XLOOKUP(YEAR(AN$5),'Price projections'!$D$6:$X$6,'Price projections'!$D$53:$X$53,"",0)*$C$39)+((1+Dashboard!$C$31)*$C$40),AM44)</f>
        <v>1.067272118001265</v>
      </c>
      <c r="AO44" s="125">
        <f>IFERROR((_xlfn.XLOOKUP(YEAR(AO$5),'Price projections'!$D$6:$X$6,'Price projections'!$D$53:$X$53,"",0)*$C$39)+((1+Dashboard!$C$31)*$C$40),AN44)</f>
        <v>1.067272118001265</v>
      </c>
      <c r="AP44" s="125">
        <f>IFERROR((_xlfn.XLOOKUP(YEAR(AP$5),'Price projections'!$D$6:$X$6,'Price projections'!$D$53:$X$53,"",0)*$C$39)+((1+Dashboard!$C$31)*$C$40),AO44)</f>
        <v>1.067272118001265</v>
      </c>
      <c r="AQ44" s="125">
        <f>IFERROR((_xlfn.XLOOKUP(YEAR(AQ$5),'Price projections'!$D$6:$X$6,'Price projections'!$D$53:$X$53,"",0)*$C$39)+((1+Dashboard!$C$31)*$C$40),AP44)</f>
        <v>1.067272118001265</v>
      </c>
      <c r="AR44" s="125">
        <f>IFERROR((_xlfn.XLOOKUP(YEAR(AR$5),'Price projections'!$D$6:$X$6,'Price projections'!$D$53:$X$53,"",0)*$C$39)+((1+Dashboard!$C$31)*$C$40),AQ44)</f>
        <v>1.067272118001265</v>
      </c>
      <c r="AS44" s="125">
        <f>IFERROR((_xlfn.XLOOKUP(YEAR(AS$5),'Price projections'!$D$6:$X$6,'Price projections'!$D$53:$X$53,"",0)*$C$39)+((1+Dashboard!$C$31)*$C$40),AR44)</f>
        <v>1.067272118001265</v>
      </c>
      <c r="AT44" s="125">
        <f>IFERROR((_xlfn.XLOOKUP(YEAR(AT$5),'Price projections'!$D$6:$X$6,'Price projections'!$D$53:$X$53,"",0)*$C$39)+((1+Dashboard!$C$31)*$C$40),AS44)</f>
        <v>1.067272118001265</v>
      </c>
      <c r="AU44" s="125">
        <f>IFERROR((_xlfn.XLOOKUP(YEAR(AU$5),'Price projections'!$D$6:$X$6,'Price projections'!$D$53:$X$53,"",0)*$C$39)+((1+Dashboard!$C$31)*$C$40),AT44)</f>
        <v>1.067272118001265</v>
      </c>
      <c r="AV44" s="125">
        <f>IFERROR((_xlfn.XLOOKUP(YEAR(AV$5),'Price projections'!$D$6:$X$6,'Price projections'!$D$53:$X$53,"",0)*$C$39)+((1+Dashboard!$C$31)*$C$40),AU44)</f>
        <v>1.067272118001265</v>
      </c>
      <c r="AW44" s="125">
        <f>IFERROR((_xlfn.XLOOKUP(YEAR(AW$5),'Price projections'!$D$6:$X$6,'Price projections'!$D$53:$X$53,"",0)*$C$39)+((1+Dashboard!$C$31)*$C$40),AV44)</f>
        <v>1.067272118001265</v>
      </c>
      <c r="AX44" s="125">
        <f>IFERROR((_xlfn.XLOOKUP(YEAR(AX$5),'Price projections'!$D$6:$X$6,'Price projections'!$D$53:$X$53,"",0)*$C$39)+((1+Dashboard!$C$31)*$C$40),AW44)</f>
        <v>1.067272118001265</v>
      </c>
      <c r="AY44" s="125">
        <f>IFERROR((_xlfn.XLOOKUP(YEAR(AY$5),'Price projections'!$D$6:$X$6,'Price projections'!$D$53:$X$53,"",0)*$C$39)+((1+Dashboard!$C$31)*$C$40),AX44)</f>
        <v>1.067272118001265</v>
      </c>
      <c r="AZ44" s="125">
        <f>IFERROR((_xlfn.XLOOKUP(YEAR(AZ$5),'Price projections'!$D$6:$X$6,'Price projections'!$D$53:$X$53,"",0)*$C$39)+((1+Dashboard!$C$31)*$C$40),AY44)</f>
        <v>1.067272118001265</v>
      </c>
      <c r="BA44" s="125">
        <f>IFERROR((_xlfn.XLOOKUP(YEAR(BA$5),'Price projections'!$D$6:$X$6,'Price projections'!$D$53:$X$53,"",0)*$C$39)+((1+Dashboard!$C$31)*$C$40),AZ44)</f>
        <v>1.067272118001265</v>
      </c>
      <c r="BB44" s="125">
        <f>IFERROR((_xlfn.XLOOKUP(YEAR(BB$5),'Price projections'!$D$6:$X$6,'Price projections'!$D$53:$X$53,"",0)*$C$39)+((1+Dashboard!$C$31)*$C$40),BA44)</f>
        <v>1.067272118001265</v>
      </c>
      <c r="BC44" s="125">
        <f>IFERROR((_xlfn.XLOOKUP(YEAR(BC$5),'Price projections'!$D$6:$X$6,'Price projections'!$D$53:$X$53,"",0)*$C$39)+((1+Dashboard!$C$31)*$C$40),BB44)</f>
        <v>1.067272118001265</v>
      </c>
      <c r="BD44" s="125">
        <f>IFERROR((_xlfn.XLOOKUP(YEAR(BD$5),'Price projections'!$D$6:$X$6,'Price projections'!$D$53:$X$53,"",0)*$C$39)+((1+Dashboard!$C$31)*$C$40),BC44)</f>
        <v>1.067272118001265</v>
      </c>
      <c r="BE44" s="125">
        <f>IFERROR((_xlfn.XLOOKUP(YEAR(BE$5),'Price projections'!$D$6:$X$6,'Price projections'!$D$53:$X$53,"",0)*$C$39)+((1+Dashboard!$C$31)*$C$40),BD44)</f>
        <v>1.067272118001265</v>
      </c>
      <c r="BF44" s="125">
        <f>IFERROR((_xlfn.XLOOKUP(YEAR(BF$5),'Price projections'!$D$6:$X$6,'Price projections'!$D$53:$X$53,"",0)*$C$39)+((1+Dashboard!$C$31)*$C$40),BE44)</f>
        <v>1.067272118001265</v>
      </c>
      <c r="BG44" s="125">
        <f>IFERROR((_xlfn.XLOOKUP(YEAR(BG$5),'Price projections'!$D$6:$X$6,'Price projections'!$D$53:$X$53,"",0)*$C$39)+((1+Dashboard!$C$31)*$C$40),BF44)</f>
        <v>1.067272118001265</v>
      </c>
      <c r="BH44" s="125">
        <f>IFERROR((_xlfn.XLOOKUP(YEAR(BH$5),'Price projections'!$D$6:$X$6,'Price projections'!$D$53:$X$53,"",0)*$C$39)+((1+Dashboard!$C$31)*$C$40),BG44)</f>
        <v>1.067272118001265</v>
      </c>
      <c r="BI44" s="125">
        <f>IFERROR((_xlfn.XLOOKUP(YEAR(BI$5),'Price projections'!$D$6:$X$6,'Price projections'!$D$53:$X$53,"",0)*$C$39)+((1+Dashboard!$C$31)*$C$40),BH44)</f>
        <v>1.067272118001265</v>
      </c>
      <c r="BJ44" s="125">
        <f>IFERROR((_xlfn.XLOOKUP(YEAR(BJ$5),'Price projections'!$D$6:$X$6,'Price projections'!$D$53:$X$53,"",0)*$C$39)+((1+Dashboard!$C$31)*$C$40),BI44)</f>
        <v>1.067272118001265</v>
      </c>
      <c r="BK44" s="125">
        <f>IFERROR((_xlfn.XLOOKUP(YEAR(BK$5),'Price projections'!$D$6:$X$6,'Price projections'!$D$53:$X$53,"",0)*$C$39)+((1+Dashboard!$C$31)*$C$40),BJ44)</f>
        <v>1.067272118001265</v>
      </c>
      <c r="BL44" s="125">
        <f>IFERROR((_xlfn.XLOOKUP(YEAR(BL$5),'Price projections'!$D$6:$X$6,'Price projections'!$D$53:$X$53,"",0)*$C$39)+((1+Dashboard!$C$31)*$C$40),BK44)</f>
        <v>1.067272118001265</v>
      </c>
    </row>
    <row r="45" spans="2:64" x14ac:dyDescent="0.2">
      <c r="B45" s="54" t="s">
        <v>271</v>
      </c>
      <c r="E45" s="125">
        <f>IFERROR((_xlfn.XLOOKUP(YEAR(E$5),'Price projections'!$D$6:$X$6,'Price projections'!$D$54:$X$54,"",0)*$C$39)+((1+Dashboard!$C$31)*$C$40),D45)</f>
        <v>1.083126020507071</v>
      </c>
      <c r="F45" s="125">
        <f>IFERROR((_xlfn.XLOOKUP(YEAR(F$5),'Price projections'!$D$6:$X$6,'Price projections'!$D$54:$X$54,"",0)*$C$39)+((1+Dashboard!$C$31)*$C$40),E45)</f>
        <v>1.0971834702417445</v>
      </c>
      <c r="G45" s="125">
        <f>IFERROR((_xlfn.XLOOKUP(YEAR(G$5),'Price projections'!$D$6:$X$6,'Price projections'!$D$54:$X$54,"",0)*$C$39)+((1+Dashboard!$C$31)*$C$40),F45)</f>
        <v>1.1115895612482518</v>
      </c>
      <c r="H45" s="125">
        <f>IFERROR((_xlfn.XLOOKUP(YEAR(H$5),'Price projections'!$D$6:$X$6,'Price projections'!$D$54:$X$54,"",0)*$C$39)+((1+Dashboard!$C$31)*$C$40),G45)</f>
        <v>1.1251085580662135</v>
      </c>
      <c r="I45" s="125">
        <f>IFERROR((_xlfn.XLOOKUP(YEAR(I$5),'Price projections'!$D$6:$X$6,'Price projections'!$D$54:$X$54,"",0)*$C$39)+((1+Dashboard!$C$31)*$C$40),H45)</f>
        <v>1.1386715844602961</v>
      </c>
      <c r="J45" s="125">
        <f>IFERROR((_xlfn.XLOOKUP(YEAR(J$5),'Price projections'!$D$6:$X$6,'Price projections'!$D$54:$X$54,"",0)*$C$39)+((1+Dashboard!$C$31)*$C$40),I45)</f>
        <v>1.152253097799822</v>
      </c>
      <c r="K45" s="125">
        <f>IFERROR((_xlfn.XLOOKUP(YEAR(K$5),'Price projections'!$D$6:$X$6,'Price projections'!$D$54:$X$54,"",0)*$C$39)+((1+Dashboard!$C$31)*$C$40),J45)</f>
        <v>1.1658366880403559</v>
      </c>
      <c r="L45" s="125">
        <f>IFERROR((_xlfn.XLOOKUP(YEAR(L$5),'Price projections'!$D$6:$X$6,'Price projections'!$D$54:$X$54,"",0)*$C$39)+((1+Dashboard!$C$31)*$C$40),K45)</f>
        <v>1.1794292116834746</v>
      </c>
      <c r="M45" s="125">
        <f>IFERROR((_xlfn.XLOOKUP(YEAR(M$5),'Price projections'!$D$6:$X$6,'Price projections'!$D$54:$X$54,"",0)*$C$39)+((1+Dashboard!$C$31)*$C$40),L45)</f>
        <v>1.1930307923445111</v>
      </c>
      <c r="N45" s="125">
        <f>IFERROR((_xlfn.XLOOKUP(YEAR(N$5),'Price projections'!$D$6:$X$6,'Price projections'!$D$54:$X$54,"",0)*$C$39)+((1+Dashboard!$C$31)*$C$40),M45)</f>
        <v>1.1927827039894323</v>
      </c>
      <c r="O45" s="125">
        <f>IFERROR((_xlfn.XLOOKUP(YEAR(O$5),'Price projections'!$D$6:$X$6,'Price projections'!$D$54:$X$54,"",0)*$C$39)+((1+Dashboard!$C$31)*$C$40),N45)</f>
        <v>1.1925302379454268</v>
      </c>
      <c r="P45" s="125">
        <f>IFERROR((_xlfn.XLOOKUP(YEAR(P$5),'Price projections'!$D$6:$X$6,'Price projections'!$D$54:$X$54,"",0)*$C$39)+((1+Dashboard!$C$31)*$C$40),O45)</f>
        <v>1.1922841891640918</v>
      </c>
      <c r="Q45" s="125">
        <f>IFERROR((_xlfn.XLOOKUP(YEAR(Q$5),'Price projections'!$D$6:$X$6,'Price projections'!$D$54:$X$54,"",0)*$C$39)+((1+Dashboard!$C$31)*$C$40),P45)</f>
        <v>1.1920506121918013</v>
      </c>
      <c r="R45" s="125">
        <f>IFERROR((_xlfn.XLOOKUP(YEAR(R$5),'Price projections'!$D$6:$X$6,'Price projections'!$D$54:$X$54,"",0)*$C$39)+((1+Dashboard!$C$31)*$C$40),Q45)</f>
        <v>1.1918217082824751</v>
      </c>
      <c r="S45" s="125">
        <f>IFERROR((_xlfn.XLOOKUP(YEAR(S$5),'Price projections'!$D$6:$X$6,'Price projections'!$D$54:$X$54,"",0)*$C$39)+((1+Dashboard!$C$31)*$C$40),R45)</f>
        <v>1.1918217082824751</v>
      </c>
      <c r="T45" s="125">
        <f>IFERROR((_xlfn.XLOOKUP(YEAR(T$5),'Price projections'!$D$6:$X$6,'Price projections'!$D$54:$X$54,"",0)*$C$39)+((1+Dashboard!$C$31)*$C$40),S45)</f>
        <v>1.1918217082824751</v>
      </c>
      <c r="U45" s="125">
        <f>IFERROR((_xlfn.XLOOKUP(YEAR(U$5),'Price projections'!$D$6:$X$6,'Price projections'!$D$54:$X$54,"",0)*$C$39)+((1+Dashboard!$C$31)*$C$40),T45)</f>
        <v>1.1918217082824751</v>
      </c>
      <c r="V45" s="125">
        <f>IFERROR((_xlfn.XLOOKUP(YEAR(V$5),'Price projections'!$D$6:$X$6,'Price projections'!$D$54:$X$54,"",0)*$C$39)+((1+Dashboard!$C$31)*$C$40),U45)</f>
        <v>1.1918217082824751</v>
      </c>
      <c r="W45" s="125">
        <f>IFERROR((_xlfn.XLOOKUP(YEAR(W$5),'Price projections'!$D$6:$X$6,'Price projections'!$D$54:$X$54,"",0)*$C$39)+((1+Dashboard!$C$31)*$C$40),V45)</f>
        <v>1.1918217082824751</v>
      </c>
      <c r="X45" s="125">
        <f>IFERROR((_xlfn.XLOOKUP(YEAR(X$5),'Price projections'!$D$6:$X$6,'Price projections'!$D$54:$X$54,"",0)*$C$39)+((1+Dashboard!$C$31)*$C$40),W45)</f>
        <v>1.1918217082824751</v>
      </c>
      <c r="Y45" s="125">
        <f>IFERROR((_xlfn.XLOOKUP(YEAR(Y$5),'Price projections'!$D$6:$X$6,'Price projections'!$D$54:$X$54,"",0)*$C$39)+((1+Dashboard!$C$31)*$C$40),X45)</f>
        <v>1.1918217082824751</v>
      </c>
      <c r="Z45" s="125">
        <f>IFERROR((_xlfn.XLOOKUP(YEAR(Z$5),'Price projections'!$D$6:$X$6,'Price projections'!$D$54:$X$54,"",0)*$C$39)+((1+Dashboard!$C$31)*$C$40),Y45)</f>
        <v>1.1918217082824751</v>
      </c>
      <c r="AA45" s="125">
        <f>IFERROR((_xlfn.XLOOKUP(YEAR(AA$5),'Price projections'!$D$6:$X$6,'Price projections'!$D$54:$X$54,"",0)*$C$39)+((1+Dashboard!$C$31)*$C$40),Z45)</f>
        <v>1.1918217082824751</v>
      </c>
      <c r="AB45" s="125">
        <f>IFERROR((_xlfn.XLOOKUP(YEAR(AB$5),'Price projections'!$D$6:$X$6,'Price projections'!$D$54:$X$54,"",0)*$C$39)+((1+Dashboard!$C$31)*$C$40),AA45)</f>
        <v>1.1918217082824751</v>
      </c>
      <c r="AC45" s="125">
        <f>IFERROR((_xlfn.XLOOKUP(YEAR(AC$5),'Price projections'!$D$6:$X$6,'Price projections'!$D$54:$X$54,"",0)*$C$39)+((1+Dashboard!$C$31)*$C$40),AB45)</f>
        <v>1.1918217082824751</v>
      </c>
      <c r="AD45" s="125">
        <f>IFERROR((_xlfn.XLOOKUP(YEAR(AD$5),'Price projections'!$D$6:$X$6,'Price projections'!$D$54:$X$54,"",0)*$C$39)+((1+Dashboard!$C$31)*$C$40),AC45)</f>
        <v>1.1918217082824751</v>
      </c>
      <c r="AE45" s="125">
        <f>IFERROR((_xlfn.XLOOKUP(YEAR(AE$5),'Price projections'!$D$6:$X$6,'Price projections'!$D$54:$X$54,"",0)*$C$39)+((1+Dashboard!$C$31)*$C$40),AD45)</f>
        <v>1.1918217082824751</v>
      </c>
      <c r="AF45" s="125">
        <f>IFERROR((_xlfn.XLOOKUP(YEAR(AF$5),'Price projections'!$D$6:$X$6,'Price projections'!$D$54:$X$54,"",0)*$C$39)+((1+Dashboard!$C$31)*$C$40),AE45)</f>
        <v>1.1918217082824751</v>
      </c>
      <c r="AG45" s="125">
        <f>IFERROR((_xlfn.XLOOKUP(YEAR(AG$5),'Price projections'!$D$6:$X$6,'Price projections'!$D$54:$X$54,"",0)*$C$39)+((1+Dashboard!$C$31)*$C$40),AF45)</f>
        <v>1.1918217082824751</v>
      </c>
      <c r="AH45" s="125">
        <f>IFERROR((_xlfn.XLOOKUP(YEAR(AH$5),'Price projections'!$D$6:$X$6,'Price projections'!$D$54:$X$54,"",0)*$C$39)+((1+Dashboard!$C$31)*$C$40),AG45)</f>
        <v>1.1918217082824751</v>
      </c>
      <c r="AI45" s="125">
        <f>IFERROR((_xlfn.XLOOKUP(YEAR(AI$5),'Price projections'!$D$6:$X$6,'Price projections'!$D$54:$X$54,"",0)*$C$39)+((1+Dashboard!$C$31)*$C$40),AH45)</f>
        <v>1.1918217082824751</v>
      </c>
      <c r="AJ45" s="125">
        <f>IFERROR((_xlfn.XLOOKUP(YEAR(AJ$5),'Price projections'!$D$6:$X$6,'Price projections'!$D$54:$X$54,"",0)*$C$39)+((1+Dashboard!$C$31)*$C$40),AI45)</f>
        <v>1.1918217082824751</v>
      </c>
      <c r="AK45" s="125">
        <f>IFERROR((_xlfn.XLOOKUP(YEAR(AK$5),'Price projections'!$D$6:$X$6,'Price projections'!$D$54:$X$54,"",0)*$C$39)+((1+Dashboard!$C$31)*$C$40),AJ45)</f>
        <v>1.1918217082824751</v>
      </c>
      <c r="AL45" s="125">
        <f>IFERROR((_xlfn.XLOOKUP(YEAR(AL$5),'Price projections'!$D$6:$X$6,'Price projections'!$D$54:$X$54,"",0)*$C$39)+((1+Dashboard!$C$31)*$C$40),AK45)</f>
        <v>1.1918217082824751</v>
      </c>
      <c r="AM45" s="125">
        <f>IFERROR((_xlfn.XLOOKUP(YEAR(AM$5),'Price projections'!$D$6:$X$6,'Price projections'!$D$54:$X$54,"",0)*$C$39)+((1+Dashboard!$C$31)*$C$40),AL45)</f>
        <v>1.1918217082824751</v>
      </c>
      <c r="AN45" s="125">
        <f>IFERROR((_xlfn.XLOOKUP(YEAR(AN$5),'Price projections'!$D$6:$X$6,'Price projections'!$D$54:$X$54,"",0)*$C$39)+((1+Dashboard!$C$31)*$C$40),AM45)</f>
        <v>1.1918217082824751</v>
      </c>
      <c r="AO45" s="125">
        <f>IFERROR((_xlfn.XLOOKUP(YEAR(AO$5),'Price projections'!$D$6:$X$6,'Price projections'!$D$54:$X$54,"",0)*$C$39)+((1+Dashboard!$C$31)*$C$40),AN45)</f>
        <v>1.1918217082824751</v>
      </c>
      <c r="AP45" s="125">
        <f>IFERROR((_xlfn.XLOOKUP(YEAR(AP$5),'Price projections'!$D$6:$X$6,'Price projections'!$D$54:$X$54,"",0)*$C$39)+((1+Dashboard!$C$31)*$C$40),AO45)</f>
        <v>1.1918217082824751</v>
      </c>
      <c r="AQ45" s="125">
        <f>IFERROR((_xlfn.XLOOKUP(YEAR(AQ$5),'Price projections'!$D$6:$X$6,'Price projections'!$D$54:$X$54,"",0)*$C$39)+((1+Dashboard!$C$31)*$C$40),AP45)</f>
        <v>1.1918217082824751</v>
      </c>
      <c r="AR45" s="125">
        <f>IFERROR((_xlfn.XLOOKUP(YEAR(AR$5),'Price projections'!$D$6:$X$6,'Price projections'!$D$54:$X$54,"",0)*$C$39)+((1+Dashboard!$C$31)*$C$40),AQ45)</f>
        <v>1.1918217082824751</v>
      </c>
      <c r="AS45" s="125">
        <f>IFERROR((_xlfn.XLOOKUP(YEAR(AS$5),'Price projections'!$D$6:$X$6,'Price projections'!$D$54:$X$54,"",0)*$C$39)+((1+Dashboard!$C$31)*$C$40),AR45)</f>
        <v>1.1918217082824751</v>
      </c>
      <c r="AT45" s="125">
        <f>IFERROR((_xlfn.XLOOKUP(YEAR(AT$5),'Price projections'!$D$6:$X$6,'Price projections'!$D$54:$X$54,"",0)*$C$39)+((1+Dashboard!$C$31)*$C$40),AS45)</f>
        <v>1.1918217082824751</v>
      </c>
      <c r="AU45" s="125">
        <f>IFERROR((_xlfn.XLOOKUP(YEAR(AU$5),'Price projections'!$D$6:$X$6,'Price projections'!$D$54:$X$54,"",0)*$C$39)+((1+Dashboard!$C$31)*$C$40),AT45)</f>
        <v>1.1918217082824751</v>
      </c>
      <c r="AV45" s="125">
        <f>IFERROR((_xlfn.XLOOKUP(YEAR(AV$5),'Price projections'!$D$6:$X$6,'Price projections'!$D$54:$X$54,"",0)*$C$39)+((1+Dashboard!$C$31)*$C$40),AU45)</f>
        <v>1.1918217082824751</v>
      </c>
      <c r="AW45" s="125">
        <f>IFERROR((_xlfn.XLOOKUP(YEAR(AW$5),'Price projections'!$D$6:$X$6,'Price projections'!$D$54:$X$54,"",0)*$C$39)+((1+Dashboard!$C$31)*$C$40),AV45)</f>
        <v>1.1918217082824751</v>
      </c>
      <c r="AX45" s="125">
        <f>IFERROR((_xlfn.XLOOKUP(YEAR(AX$5),'Price projections'!$D$6:$X$6,'Price projections'!$D$54:$X$54,"",0)*$C$39)+((1+Dashboard!$C$31)*$C$40),AW45)</f>
        <v>1.1918217082824751</v>
      </c>
      <c r="AY45" s="125">
        <f>IFERROR((_xlfn.XLOOKUP(YEAR(AY$5),'Price projections'!$D$6:$X$6,'Price projections'!$D$54:$X$54,"",0)*$C$39)+((1+Dashboard!$C$31)*$C$40),AX45)</f>
        <v>1.1918217082824751</v>
      </c>
      <c r="AZ45" s="125">
        <f>IFERROR((_xlfn.XLOOKUP(YEAR(AZ$5),'Price projections'!$D$6:$X$6,'Price projections'!$D$54:$X$54,"",0)*$C$39)+((1+Dashboard!$C$31)*$C$40),AY45)</f>
        <v>1.1918217082824751</v>
      </c>
      <c r="BA45" s="125">
        <f>IFERROR((_xlfn.XLOOKUP(YEAR(BA$5),'Price projections'!$D$6:$X$6,'Price projections'!$D$54:$X$54,"",0)*$C$39)+((1+Dashboard!$C$31)*$C$40),AZ45)</f>
        <v>1.1918217082824751</v>
      </c>
      <c r="BB45" s="125">
        <f>IFERROR((_xlfn.XLOOKUP(YEAR(BB$5),'Price projections'!$D$6:$X$6,'Price projections'!$D$54:$X$54,"",0)*$C$39)+((1+Dashboard!$C$31)*$C$40),BA45)</f>
        <v>1.1918217082824751</v>
      </c>
      <c r="BC45" s="125">
        <f>IFERROR((_xlfn.XLOOKUP(YEAR(BC$5),'Price projections'!$D$6:$X$6,'Price projections'!$D$54:$X$54,"",0)*$C$39)+((1+Dashboard!$C$31)*$C$40),BB45)</f>
        <v>1.1918217082824751</v>
      </c>
      <c r="BD45" s="125">
        <f>IFERROR((_xlfn.XLOOKUP(YEAR(BD$5),'Price projections'!$D$6:$X$6,'Price projections'!$D$54:$X$54,"",0)*$C$39)+((1+Dashboard!$C$31)*$C$40),BC45)</f>
        <v>1.1918217082824751</v>
      </c>
      <c r="BE45" s="125">
        <f>IFERROR((_xlfn.XLOOKUP(YEAR(BE$5),'Price projections'!$D$6:$X$6,'Price projections'!$D$54:$X$54,"",0)*$C$39)+((1+Dashboard!$C$31)*$C$40),BD45)</f>
        <v>1.1918217082824751</v>
      </c>
      <c r="BF45" s="125">
        <f>IFERROR((_xlfn.XLOOKUP(YEAR(BF$5),'Price projections'!$D$6:$X$6,'Price projections'!$D$54:$X$54,"",0)*$C$39)+((1+Dashboard!$C$31)*$C$40),BE45)</f>
        <v>1.1918217082824751</v>
      </c>
      <c r="BG45" s="125">
        <f>IFERROR((_xlfn.XLOOKUP(YEAR(BG$5),'Price projections'!$D$6:$X$6,'Price projections'!$D$54:$X$54,"",0)*$C$39)+((1+Dashboard!$C$31)*$C$40),BF45)</f>
        <v>1.1918217082824751</v>
      </c>
      <c r="BH45" s="125">
        <f>IFERROR((_xlfn.XLOOKUP(YEAR(BH$5),'Price projections'!$D$6:$X$6,'Price projections'!$D$54:$X$54,"",0)*$C$39)+((1+Dashboard!$C$31)*$C$40),BG45)</f>
        <v>1.1918217082824751</v>
      </c>
      <c r="BI45" s="125">
        <f>IFERROR((_xlfn.XLOOKUP(YEAR(BI$5),'Price projections'!$D$6:$X$6,'Price projections'!$D$54:$X$54,"",0)*$C$39)+((1+Dashboard!$C$31)*$C$40),BH45)</f>
        <v>1.1918217082824751</v>
      </c>
      <c r="BJ45" s="125">
        <f>IFERROR((_xlfn.XLOOKUP(YEAR(BJ$5),'Price projections'!$D$6:$X$6,'Price projections'!$D$54:$X$54,"",0)*$C$39)+((1+Dashboard!$C$31)*$C$40),BI45)</f>
        <v>1.1918217082824751</v>
      </c>
      <c r="BK45" s="125">
        <f>IFERROR((_xlfn.XLOOKUP(YEAR(BK$5),'Price projections'!$D$6:$X$6,'Price projections'!$D$54:$X$54,"",0)*$C$39)+((1+Dashboard!$C$31)*$C$40),BJ45)</f>
        <v>1.1918217082824751</v>
      </c>
      <c r="BL45" s="125">
        <f>IFERROR((_xlfn.XLOOKUP(YEAR(BL$5),'Price projections'!$D$6:$X$6,'Price projections'!$D$54:$X$54,"",0)*$C$39)+((1+Dashboard!$C$31)*$C$40),BK45)</f>
        <v>1.1918217082824751</v>
      </c>
    </row>
    <row r="46" spans="2:64" x14ac:dyDescent="0.2">
      <c r="B46" s="54"/>
      <c r="E46" s="125"/>
      <c r="F46" s="125"/>
      <c r="G46" s="125"/>
      <c r="H46" s="125"/>
      <c r="I46" s="125"/>
      <c r="J46" s="125"/>
      <c r="K46" s="125"/>
      <c r="L46" s="125"/>
      <c r="M46" s="125"/>
      <c r="N46" s="125"/>
      <c r="O46" s="125"/>
      <c r="P46" s="125"/>
      <c r="Q46" s="125"/>
      <c r="R46" s="125"/>
      <c r="S46" s="125"/>
      <c r="T46" s="125"/>
      <c r="U46" s="125"/>
      <c r="V46" s="125"/>
      <c r="W46" s="125"/>
      <c r="X46" s="125"/>
      <c r="Y46" s="125"/>
      <c r="Z46" s="125"/>
      <c r="AA46" s="125"/>
      <c r="AB46" s="125"/>
      <c r="AC46" s="125"/>
      <c r="AD46" s="125"/>
      <c r="AE46" s="125"/>
      <c r="AF46" s="125"/>
      <c r="AG46" s="125"/>
      <c r="AH46" s="125"/>
      <c r="AI46" s="125"/>
      <c r="AJ46" s="125"/>
      <c r="AK46" s="125"/>
      <c r="AL46" s="125"/>
      <c r="AM46" s="125"/>
      <c r="AN46" s="125"/>
      <c r="AO46" s="125"/>
      <c r="AP46" s="125"/>
      <c r="AQ46" s="125"/>
      <c r="AR46" s="125"/>
      <c r="AS46" s="125"/>
      <c r="AT46" s="125"/>
      <c r="AU46" s="125"/>
      <c r="AV46" s="125"/>
      <c r="AW46" s="125"/>
      <c r="AX46" s="125"/>
      <c r="AY46" s="125"/>
      <c r="AZ46" s="125"/>
      <c r="BA46" s="125"/>
      <c r="BB46" s="125"/>
      <c r="BC46" s="125"/>
      <c r="BD46" s="125"/>
      <c r="BE46" s="125"/>
      <c r="BF46" s="125"/>
      <c r="BG46" s="125"/>
      <c r="BH46" s="125"/>
      <c r="BI46" s="125"/>
      <c r="BJ46" s="125"/>
      <c r="BK46" s="125"/>
      <c r="BL46" s="125"/>
    </row>
    <row r="47" spans="2:64" x14ac:dyDescent="0.2">
      <c r="B47" s="53" t="s">
        <v>272</v>
      </c>
      <c r="E47" s="125"/>
      <c r="F47" s="125"/>
      <c r="G47" s="125"/>
      <c r="H47" s="125"/>
      <c r="I47" s="125"/>
      <c r="J47" s="125"/>
      <c r="K47" s="125"/>
      <c r="L47" s="125"/>
      <c r="M47" s="125"/>
      <c r="N47" s="125"/>
      <c r="O47" s="125"/>
      <c r="P47" s="125"/>
      <c r="Q47" s="125"/>
      <c r="R47" s="125"/>
      <c r="S47" s="125"/>
      <c r="T47" s="125"/>
      <c r="U47" s="125"/>
      <c r="V47" s="125"/>
      <c r="W47" s="125"/>
      <c r="X47" s="125"/>
      <c r="Y47" s="125"/>
      <c r="Z47" s="125"/>
      <c r="AA47" s="125"/>
      <c r="AB47" s="125"/>
      <c r="AC47" s="125"/>
      <c r="AD47" s="125"/>
      <c r="AE47" s="125"/>
      <c r="AF47" s="125"/>
      <c r="AG47" s="125"/>
      <c r="AH47" s="125"/>
      <c r="AI47" s="125"/>
      <c r="AJ47" s="125"/>
      <c r="AK47" s="125"/>
      <c r="AL47" s="125"/>
      <c r="AM47" s="125"/>
      <c r="AN47" s="125"/>
      <c r="AO47" s="125"/>
      <c r="AP47" s="125"/>
      <c r="AQ47" s="125"/>
      <c r="AR47" s="125"/>
      <c r="AS47" s="125"/>
      <c r="AT47" s="125"/>
      <c r="AU47" s="125"/>
      <c r="AV47" s="125"/>
      <c r="AW47" s="125"/>
      <c r="AX47" s="125"/>
      <c r="AY47" s="125"/>
      <c r="AZ47" s="125"/>
      <c r="BA47" s="125"/>
      <c r="BB47" s="125"/>
      <c r="BC47" s="125"/>
      <c r="BD47" s="125"/>
      <c r="BE47" s="125"/>
      <c r="BF47" s="125"/>
      <c r="BG47" s="125"/>
      <c r="BH47" s="125"/>
      <c r="BI47" s="125"/>
      <c r="BJ47" s="125"/>
      <c r="BK47" s="125"/>
      <c r="BL47" s="125"/>
    </row>
    <row r="48" spans="2:64" x14ac:dyDescent="0.2">
      <c r="B48" s="54" t="s">
        <v>269</v>
      </c>
      <c r="E48" s="125">
        <f>IFERROR((_xlfn.XLOOKUP(YEAR(E$5),'Price projections'!$D$6:$X$6,'Price projections'!$D$57:$X$57,"",0)*$C$39)+((1+Dashboard!$C$31)*$C$40),D48)</f>
        <v>1.0065951231287544</v>
      </c>
      <c r="F48" s="125">
        <f>IFERROR((_xlfn.XLOOKUP(YEAR(F$5),'Price projections'!$D$6:$X$6,'Price projections'!$D$57:$X$57,"",0)*$C$39)+((1+Dashboard!$C$31)*$C$40),E48)</f>
        <v>0.98234460943997237</v>
      </c>
      <c r="G48" s="125">
        <f>IFERROR((_xlfn.XLOOKUP(YEAR(G$5),'Price projections'!$D$6:$X$6,'Price projections'!$D$57:$X$57,"",0)*$C$39)+((1+Dashboard!$C$31)*$C$40),F48)</f>
        <v>0.9718523207506411</v>
      </c>
      <c r="H48" s="125">
        <f>IFERROR((_xlfn.XLOOKUP(YEAR(H$5),'Price projections'!$D$6:$X$6,'Price projections'!$D$57:$X$57,"",0)*$C$39)+((1+Dashboard!$C$31)*$C$40),G48)</f>
        <v>0.9803216319650897</v>
      </c>
      <c r="I48" s="125">
        <f>IFERROR((_xlfn.XLOOKUP(YEAR(I$5),'Price projections'!$D$6:$X$6,'Price projections'!$D$57:$X$57,"",0)*$C$39)+((1+Dashboard!$C$31)*$C$40),H48)</f>
        <v>0.95831975992461083</v>
      </c>
      <c r="J48" s="125">
        <f>IFERROR((_xlfn.XLOOKUP(YEAR(J$5),'Price projections'!$D$6:$X$6,'Price projections'!$D$57:$X$57,"",0)*$C$39)+((1+Dashboard!$C$31)*$C$40),I48)</f>
        <v>0.9490040771699737</v>
      </c>
      <c r="K48" s="125">
        <f>IFERROR((_xlfn.XLOOKUP(YEAR(K$5),'Price projections'!$D$6:$X$6,'Price projections'!$D$57:$X$57,"",0)*$C$39)+((1+Dashboard!$C$31)*$C$40),J48)</f>
        <v>0.93200189999812311</v>
      </c>
      <c r="L48" s="125">
        <f>IFERROR((_xlfn.XLOOKUP(YEAR(L$5),'Price projections'!$D$6:$X$6,'Price projections'!$D$57:$X$57,"",0)*$C$39)+((1+Dashboard!$C$31)*$C$40),K48)</f>
        <v>0.91467218431819031</v>
      </c>
      <c r="M48" s="125">
        <f>IFERROR((_xlfn.XLOOKUP(YEAR(M$5),'Price projections'!$D$6:$X$6,'Price projections'!$D$57:$X$57,"",0)*$C$39)+((1+Dashboard!$C$31)*$C$40),L48)</f>
        <v>0.90795857250080103</v>
      </c>
      <c r="N48" s="125">
        <f>IFERROR((_xlfn.XLOOKUP(YEAR(N$5),'Price projections'!$D$6:$X$6,'Price projections'!$D$57:$X$57,"",0)*$C$39)+((1+Dashboard!$C$31)*$C$40),M48)</f>
        <v>0.91025134999427693</v>
      </c>
      <c r="O48" s="125">
        <f>IFERROR((_xlfn.XLOOKUP(YEAR(O$5),'Price projections'!$D$6:$X$6,'Price projections'!$D$57:$X$57,"",0)*$C$39)+((1+Dashboard!$C$31)*$C$40),N48)</f>
        <v>0.91173491324563738</v>
      </c>
      <c r="P48" s="125">
        <f>IFERROR((_xlfn.XLOOKUP(YEAR(P$5),'Price projections'!$D$6:$X$6,'Price projections'!$D$57:$X$57,"",0)*$C$39)+((1+Dashboard!$C$31)*$C$40),O48)</f>
        <v>0.92453324361506162</v>
      </c>
      <c r="Q48" s="125">
        <f>IFERROR((_xlfn.XLOOKUP(YEAR(Q$5),'Price projections'!$D$6:$X$6,'Price projections'!$D$57:$X$57,"",0)*$C$39)+((1+Dashboard!$C$31)*$C$40),P48)</f>
        <v>0.9217928163056649</v>
      </c>
      <c r="R48" s="125">
        <f>IFERROR((_xlfn.XLOOKUP(YEAR(R$5),'Price projections'!$D$6:$X$6,'Price projections'!$D$57:$X$57,"",0)*$C$39)+((1+Dashboard!$C$31)*$C$40),Q48)</f>
        <v>0.9155782331538832</v>
      </c>
      <c r="S48" s="125">
        <f>IFERROR((_xlfn.XLOOKUP(YEAR(S$5),'Price projections'!$D$6:$X$6,'Price projections'!$D$57:$X$57,"",0)*$C$39)+((1+Dashboard!$C$31)*$C$40),R48)</f>
        <v>0.9155782331538832</v>
      </c>
      <c r="T48" s="125">
        <f>IFERROR((_xlfn.XLOOKUP(YEAR(T$5),'Price projections'!$D$6:$X$6,'Price projections'!$D$57:$X$57,"",0)*$C$39)+((1+Dashboard!$C$31)*$C$40),S48)</f>
        <v>0.9155782331538832</v>
      </c>
      <c r="U48" s="125">
        <f>IFERROR((_xlfn.XLOOKUP(YEAR(U$5),'Price projections'!$D$6:$X$6,'Price projections'!$D$57:$X$57,"",0)*$C$39)+((1+Dashboard!$C$31)*$C$40),T48)</f>
        <v>0.9155782331538832</v>
      </c>
      <c r="V48" s="125">
        <f>IFERROR((_xlfn.XLOOKUP(YEAR(V$5),'Price projections'!$D$6:$X$6,'Price projections'!$D$57:$X$57,"",0)*$C$39)+((1+Dashboard!$C$31)*$C$40),U48)</f>
        <v>0.9155782331538832</v>
      </c>
      <c r="W48" s="125">
        <f>IFERROR((_xlfn.XLOOKUP(YEAR(W$5),'Price projections'!$D$6:$X$6,'Price projections'!$D$57:$X$57,"",0)*$C$39)+((1+Dashboard!$C$31)*$C$40),V48)</f>
        <v>0.9155782331538832</v>
      </c>
      <c r="X48" s="125">
        <f>IFERROR((_xlfn.XLOOKUP(YEAR(X$5),'Price projections'!$D$6:$X$6,'Price projections'!$D$57:$X$57,"",0)*$C$39)+((1+Dashboard!$C$31)*$C$40),W48)</f>
        <v>0.9155782331538832</v>
      </c>
      <c r="Y48" s="125">
        <f>IFERROR((_xlfn.XLOOKUP(YEAR(Y$5),'Price projections'!$D$6:$X$6,'Price projections'!$D$57:$X$57,"",0)*$C$39)+((1+Dashboard!$C$31)*$C$40),X48)</f>
        <v>0.9155782331538832</v>
      </c>
      <c r="Z48" s="125">
        <f>IFERROR((_xlfn.XLOOKUP(YEAR(Z$5),'Price projections'!$D$6:$X$6,'Price projections'!$D$57:$X$57,"",0)*$C$39)+((1+Dashboard!$C$31)*$C$40),Y48)</f>
        <v>0.9155782331538832</v>
      </c>
      <c r="AA48" s="125">
        <f>IFERROR((_xlfn.XLOOKUP(YEAR(AA$5),'Price projections'!$D$6:$X$6,'Price projections'!$D$57:$X$57,"",0)*$C$39)+((1+Dashboard!$C$31)*$C$40),Z48)</f>
        <v>0.9155782331538832</v>
      </c>
      <c r="AB48" s="125">
        <f>IFERROR((_xlfn.XLOOKUP(YEAR(AB$5),'Price projections'!$D$6:$X$6,'Price projections'!$D$57:$X$57,"",0)*$C$39)+((1+Dashboard!$C$31)*$C$40),AA48)</f>
        <v>0.9155782331538832</v>
      </c>
      <c r="AC48" s="125">
        <f>IFERROR((_xlfn.XLOOKUP(YEAR(AC$5),'Price projections'!$D$6:$X$6,'Price projections'!$D$57:$X$57,"",0)*$C$39)+((1+Dashboard!$C$31)*$C$40),AB48)</f>
        <v>0.9155782331538832</v>
      </c>
      <c r="AD48" s="125">
        <f>IFERROR((_xlfn.XLOOKUP(YEAR(AD$5),'Price projections'!$D$6:$X$6,'Price projections'!$D$57:$X$57,"",0)*$C$39)+((1+Dashboard!$C$31)*$C$40),AC48)</f>
        <v>0.9155782331538832</v>
      </c>
      <c r="AE48" s="125">
        <f>IFERROR((_xlfn.XLOOKUP(YEAR(AE$5),'Price projections'!$D$6:$X$6,'Price projections'!$D$57:$X$57,"",0)*$C$39)+((1+Dashboard!$C$31)*$C$40),AD48)</f>
        <v>0.9155782331538832</v>
      </c>
      <c r="AF48" s="125">
        <f>IFERROR((_xlfn.XLOOKUP(YEAR(AF$5),'Price projections'!$D$6:$X$6,'Price projections'!$D$57:$X$57,"",0)*$C$39)+((1+Dashboard!$C$31)*$C$40),AE48)</f>
        <v>0.9155782331538832</v>
      </c>
      <c r="AG48" s="125">
        <f>IFERROR((_xlfn.XLOOKUP(YEAR(AG$5),'Price projections'!$D$6:$X$6,'Price projections'!$D$57:$X$57,"",0)*$C$39)+((1+Dashboard!$C$31)*$C$40),AF48)</f>
        <v>0.9155782331538832</v>
      </c>
      <c r="AH48" s="125">
        <f>IFERROR((_xlfn.XLOOKUP(YEAR(AH$5),'Price projections'!$D$6:$X$6,'Price projections'!$D$57:$X$57,"",0)*$C$39)+((1+Dashboard!$C$31)*$C$40),AG48)</f>
        <v>0.9155782331538832</v>
      </c>
      <c r="AI48" s="125">
        <f>IFERROR((_xlfn.XLOOKUP(YEAR(AI$5),'Price projections'!$D$6:$X$6,'Price projections'!$D$57:$X$57,"",0)*$C$39)+((1+Dashboard!$C$31)*$C$40),AH48)</f>
        <v>0.9155782331538832</v>
      </c>
      <c r="AJ48" s="125">
        <f>IFERROR((_xlfn.XLOOKUP(YEAR(AJ$5),'Price projections'!$D$6:$X$6,'Price projections'!$D$57:$X$57,"",0)*$C$39)+((1+Dashboard!$C$31)*$C$40),AI48)</f>
        <v>0.9155782331538832</v>
      </c>
      <c r="AK48" s="125">
        <f>IFERROR((_xlfn.XLOOKUP(YEAR(AK$5),'Price projections'!$D$6:$X$6,'Price projections'!$D$57:$X$57,"",0)*$C$39)+((1+Dashboard!$C$31)*$C$40),AJ48)</f>
        <v>0.9155782331538832</v>
      </c>
      <c r="AL48" s="125">
        <f>IFERROR((_xlfn.XLOOKUP(YEAR(AL$5),'Price projections'!$D$6:$X$6,'Price projections'!$D$57:$X$57,"",0)*$C$39)+((1+Dashboard!$C$31)*$C$40),AK48)</f>
        <v>0.9155782331538832</v>
      </c>
      <c r="AM48" s="125">
        <f>IFERROR((_xlfn.XLOOKUP(YEAR(AM$5),'Price projections'!$D$6:$X$6,'Price projections'!$D$57:$X$57,"",0)*$C$39)+((1+Dashboard!$C$31)*$C$40),AL48)</f>
        <v>0.9155782331538832</v>
      </c>
      <c r="AN48" s="125">
        <f>IFERROR((_xlfn.XLOOKUP(YEAR(AN$5),'Price projections'!$D$6:$X$6,'Price projections'!$D$57:$X$57,"",0)*$C$39)+((1+Dashboard!$C$31)*$C$40),AM48)</f>
        <v>0.9155782331538832</v>
      </c>
      <c r="AO48" s="125">
        <f>IFERROR((_xlfn.XLOOKUP(YEAR(AO$5),'Price projections'!$D$6:$X$6,'Price projections'!$D$57:$X$57,"",0)*$C$39)+((1+Dashboard!$C$31)*$C$40),AN48)</f>
        <v>0.9155782331538832</v>
      </c>
      <c r="AP48" s="125">
        <f>IFERROR((_xlfn.XLOOKUP(YEAR(AP$5),'Price projections'!$D$6:$X$6,'Price projections'!$D$57:$X$57,"",0)*$C$39)+((1+Dashboard!$C$31)*$C$40),AO48)</f>
        <v>0.9155782331538832</v>
      </c>
      <c r="AQ48" s="125">
        <f>IFERROR((_xlfn.XLOOKUP(YEAR(AQ$5),'Price projections'!$D$6:$X$6,'Price projections'!$D$57:$X$57,"",0)*$C$39)+((1+Dashboard!$C$31)*$C$40),AP48)</f>
        <v>0.9155782331538832</v>
      </c>
      <c r="AR48" s="125">
        <f>IFERROR((_xlfn.XLOOKUP(YEAR(AR$5),'Price projections'!$D$6:$X$6,'Price projections'!$D$57:$X$57,"",0)*$C$39)+((1+Dashboard!$C$31)*$C$40),AQ48)</f>
        <v>0.9155782331538832</v>
      </c>
      <c r="AS48" s="125">
        <f>IFERROR((_xlfn.XLOOKUP(YEAR(AS$5),'Price projections'!$D$6:$X$6,'Price projections'!$D$57:$X$57,"",0)*$C$39)+((1+Dashboard!$C$31)*$C$40),AR48)</f>
        <v>0.9155782331538832</v>
      </c>
      <c r="AT48" s="125">
        <f>IFERROR((_xlfn.XLOOKUP(YEAR(AT$5),'Price projections'!$D$6:$X$6,'Price projections'!$D$57:$X$57,"",0)*$C$39)+((1+Dashboard!$C$31)*$C$40),AS48)</f>
        <v>0.9155782331538832</v>
      </c>
      <c r="AU48" s="125">
        <f>IFERROR((_xlfn.XLOOKUP(YEAR(AU$5),'Price projections'!$D$6:$X$6,'Price projections'!$D$57:$X$57,"",0)*$C$39)+((1+Dashboard!$C$31)*$C$40),AT48)</f>
        <v>0.9155782331538832</v>
      </c>
      <c r="AV48" s="125">
        <f>IFERROR((_xlfn.XLOOKUP(YEAR(AV$5),'Price projections'!$D$6:$X$6,'Price projections'!$D$57:$X$57,"",0)*$C$39)+((1+Dashboard!$C$31)*$C$40),AU48)</f>
        <v>0.9155782331538832</v>
      </c>
      <c r="AW48" s="125">
        <f>IFERROR((_xlfn.XLOOKUP(YEAR(AW$5),'Price projections'!$D$6:$X$6,'Price projections'!$D$57:$X$57,"",0)*$C$39)+((1+Dashboard!$C$31)*$C$40),AV48)</f>
        <v>0.9155782331538832</v>
      </c>
      <c r="AX48" s="125">
        <f>IFERROR((_xlfn.XLOOKUP(YEAR(AX$5),'Price projections'!$D$6:$X$6,'Price projections'!$D$57:$X$57,"",0)*$C$39)+((1+Dashboard!$C$31)*$C$40),AW48)</f>
        <v>0.9155782331538832</v>
      </c>
      <c r="AY48" s="125">
        <f>IFERROR((_xlfn.XLOOKUP(YEAR(AY$5),'Price projections'!$D$6:$X$6,'Price projections'!$D$57:$X$57,"",0)*$C$39)+((1+Dashboard!$C$31)*$C$40),AX48)</f>
        <v>0.9155782331538832</v>
      </c>
      <c r="AZ48" s="125">
        <f>IFERROR((_xlfn.XLOOKUP(YEAR(AZ$5),'Price projections'!$D$6:$X$6,'Price projections'!$D$57:$X$57,"",0)*$C$39)+((1+Dashboard!$C$31)*$C$40),AY48)</f>
        <v>0.9155782331538832</v>
      </c>
      <c r="BA48" s="125">
        <f>IFERROR((_xlfn.XLOOKUP(YEAR(BA$5),'Price projections'!$D$6:$X$6,'Price projections'!$D$57:$X$57,"",0)*$C$39)+((1+Dashboard!$C$31)*$C$40),AZ48)</f>
        <v>0.9155782331538832</v>
      </c>
      <c r="BB48" s="125">
        <f>IFERROR((_xlfn.XLOOKUP(YEAR(BB$5),'Price projections'!$D$6:$X$6,'Price projections'!$D$57:$X$57,"",0)*$C$39)+((1+Dashboard!$C$31)*$C$40),BA48)</f>
        <v>0.9155782331538832</v>
      </c>
      <c r="BC48" s="125">
        <f>IFERROR((_xlfn.XLOOKUP(YEAR(BC$5),'Price projections'!$D$6:$X$6,'Price projections'!$D$57:$X$57,"",0)*$C$39)+((1+Dashboard!$C$31)*$C$40),BB48)</f>
        <v>0.9155782331538832</v>
      </c>
      <c r="BD48" s="125">
        <f>IFERROR((_xlfn.XLOOKUP(YEAR(BD$5),'Price projections'!$D$6:$X$6,'Price projections'!$D$57:$X$57,"",0)*$C$39)+((1+Dashboard!$C$31)*$C$40),BC48)</f>
        <v>0.9155782331538832</v>
      </c>
      <c r="BE48" s="125">
        <f>IFERROR((_xlfn.XLOOKUP(YEAR(BE$5),'Price projections'!$D$6:$X$6,'Price projections'!$D$57:$X$57,"",0)*$C$39)+((1+Dashboard!$C$31)*$C$40),BD48)</f>
        <v>0.9155782331538832</v>
      </c>
      <c r="BF48" s="125">
        <f>IFERROR((_xlfn.XLOOKUP(YEAR(BF$5),'Price projections'!$D$6:$X$6,'Price projections'!$D$57:$X$57,"",0)*$C$39)+((1+Dashboard!$C$31)*$C$40),BE48)</f>
        <v>0.9155782331538832</v>
      </c>
      <c r="BG48" s="125">
        <f>IFERROR((_xlfn.XLOOKUP(YEAR(BG$5),'Price projections'!$D$6:$X$6,'Price projections'!$D$57:$X$57,"",0)*$C$39)+((1+Dashboard!$C$31)*$C$40),BF48)</f>
        <v>0.9155782331538832</v>
      </c>
      <c r="BH48" s="125">
        <f>IFERROR((_xlfn.XLOOKUP(YEAR(BH$5),'Price projections'!$D$6:$X$6,'Price projections'!$D$57:$X$57,"",0)*$C$39)+((1+Dashboard!$C$31)*$C$40),BG48)</f>
        <v>0.9155782331538832</v>
      </c>
      <c r="BI48" s="125">
        <f>IFERROR((_xlfn.XLOOKUP(YEAR(BI$5),'Price projections'!$D$6:$X$6,'Price projections'!$D$57:$X$57,"",0)*$C$39)+((1+Dashboard!$C$31)*$C$40),BH48)</f>
        <v>0.9155782331538832</v>
      </c>
      <c r="BJ48" s="125">
        <f>IFERROR((_xlfn.XLOOKUP(YEAR(BJ$5),'Price projections'!$D$6:$X$6,'Price projections'!$D$57:$X$57,"",0)*$C$39)+((1+Dashboard!$C$31)*$C$40),BI48)</f>
        <v>0.9155782331538832</v>
      </c>
      <c r="BK48" s="125">
        <f>IFERROR((_xlfn.XLOOKUP(YEAR(BK$5),'Price projections'!$D$6:$X$6,'Price projections'!$D$57:$X$57,"",0)*$C$39)+((1+Dashboard!$C$31)*$C$40),BJ48)</f>
        <v>0.9155782331538832</v>
      </c>
      <c r="BL48" s="125">
        <f>IFERROR((_xlfn.XLOOKUP(YEAR(BL$5),'Price projections'!$D$6:$X$6,'Price projections'!$D$57:$X$57,"",0)*$C$39)+((1+Dashboard!$C$31)*$C$40),BK48)</f>
        <v>0.9155782331538832</v>
      </c>
    </row>
    <row r="49" spans="2:64" x14ac:dyDescent="0.2">
      <c r="B49" s="54" t="s">
        <v>270</v>
      </c>
      <c r="E49" s="125">
        <f>IFERROR((_xlfn.XLOOKUP(YEAR(E$5),'Price projections'!$D$6:$X$6,'Price projections'!$D$58:$X$58,"",0)*$C$39)+((1+Dashboard!$C$31)*$C$40),D49)</f>
        <v>1.0005031741825741</v>
      </c>
      <c r="F49" s="125">
        <f>IFERROR((_xlfn.XLOOKUP(YEAR(F$5),'Price projections'!$D$6:$X$6,'Price projections'!$D$58:$X$58,"",0)*$C$39)+((1+Dashboard!$C$31)*$C$40),E49)</f>
        <v>0.99776181055832924</v>
      </c>
      <c r="G49" s="125">
        <f>IFERROR((_xlfn.XLOOKUP(YEAR(G$5),'Price projections'!$D$6:$X$6,'Price projections'!$D$58:$X$58,"",0)*$C$39)+((1+Dashboard!$C$31)*$C$40),F49)</f>
        <v>0.98989377080275487</v>
      </c>
      <c r="H49" s="125">
        <f>IFERROR((_xlfn.XLOOKUP(YEAR(H$5),'Price projections'!$D$6:$X$6,'Price projections'!$D$58:$X$58,"",0)*$C$39)+((1+Dashboard!$C$31)*$C$40),G49)</f>
        <v>1.0084606946101649</v>
      </c>
      <c r="I49" s="125">
        <f>IFERROR((_xlfn.XLOOKUP(YEAR(I$5),'Price projections'!$D$6:$X$6,'Price projections'!$D$58:$X$58,"",0)*$C$39)+((1+Dashboard!$C$31)*$C$40),H49)</f>
        <v>1.0055629671277369</v>
      </c>
      <c r="J49" s="125">
        <f>IFERROR((_xlfn.XLOOKUP(YEAR(J$5),'Price projections'!$D$6:$X$6,'Price projections'!$D$58:$X$58,"",0)*$C$39)+((1+Dashboard!$C$31)*$C$40),I49)</f>
        <v>0.98332665458266577</v>
      </c>
      <c r="K49" s="125">
        <f>IFERROR((_xlfn.XLOOKUP(YEAR(K$5),'Price projections'!$D$6:$X$6,'Price projections'!$D$58:$X$58,"",0)*$C$39)+((1+Dashboard!$C$31)*$C$40),J49)</f>
        <v>0.9581015040905051</v>
      </c>
      <c r="L49" s="125">
        <f>IFERROR((_xlfn.XLOOKUP(YEAR(L$5),'Price projections'!$D$6:$X$6,'Price projections'!$D$58:$X$58,"",0)*$C$39)+((1+Dashboard!$C$31)*$C$40),K49)</f>
        <v>0.94469547301499235</v>
      </c>
      <c r="M49" s="125">
        <f>IFERROR((_xlfn.XLOOKUP(YEAR(M$5),'Price projections'!$D$6:$X$6,'Price projections'!$D$58:$X$58,"",0)*$C$39)+((1+Dashboard!$C$31)*$C$40),L49)</f>
        <v>0.93105387479208068</v>
      </c>
      <c r="N49" s="125">
        <f>IFERROR((_xlfn.XLOOKUP(YEAR(N$5),'Price projections'!$D$6:$X$6,'Price projections'!$D$58:$X$58,"",0)*$C$39)+((1+Dashboard!$C$31)*$C$40),M49)</f>
        <v>0.92458420578551115</v>
      </c>
      <c r="O49" s="125">
        <f>IFERROR((_xlfn.XLOOKUP(YEAR(O$5),'Price projections'!$D$6:$X$6,'Price projections'!$D$58:$X$58,"",0)*$C$39)+((1+Dashboard!$C$31)*$C$40),N49)</f>
        <v>0.92220258401540156</v>
      </c>
      <c r="P49" s="125">
        <f>IFERROR((_xlfn.XLOOKUP(YEAR(P$5),'Price projections'!$D$6:$X$6,'Price projections'!$D$58:$X$58,"",0)*$C$39)+((1+Dashboard!$C$31)*$C$40),O49)</f>
        <v>0.91430532321563784</v>
      </c>
      <c r="Q49" s="125">
        <f>IFERROR((_xlfn.XLOOKUP(YEAR(Q$5),'Price projections'!$D$6:$X$6,'Price projections'!$D$58:$X$58,"",0)*$C$39)+((1+Dashboard!$C$31)*$C$40),P49)</f>
        <v>0.92757635128141236</v>
      </c>
      <c r="R49" s="125">
        <f>IFERROR((_xlfn.XLOOKUP(YEAR(R$5),'Price projections'!$D$6:$X$6,'Price projections'!$D$58:$X$58,"",0)*$C$39)+((1+Dashboard!$C$31)*$C$40),Q49)</f>
        <v>0.91354776401679239</v>
      </c>
      <c r="S49" s="125">
        <f>IFERROR((_xlfn.XLOOKUP(YEAR(S$5),'Price projections'!$D$6:$X$6,'Price projections'!$D$58:$X$58,"",0)*$C$39)+((1+Dashboard!$C$31)*$C$40),R49)</f>
        <v>0.91354776401679239</v>
      </c>
      <c r="T49" s="125">
        <f>IFERROR((_xlfn.XLOOKUP(YEAR(T$5),'Price projections'!$D$6:$X$6,'Price projections'!$D$58:$X$58,"",0)*$C$39)+((1+Dashboard!$C$31)*$C$40),S49)</f>
        <v>0.91354776401679239</v>
      </c>
      <c r="U49" s="125">
        <f>IFERROR((_xlfn.XLOOKUP(YEAR(U$5),'Price projections'!$D$6:$X$6,'Price projections'!$D$58:$X$58,"",0)*$C$39)+((1+Dashboard!$C$31)*$C$40),T49)</f>
        <v>0.91354776401679239</v>
      </c>
      <c r="V49" s="125">
        <f>IFERROR((_xlfn.XLOOKUP(YEAR(V$5),'Price projections'!$D$6:$X$6,'Price projections'!$D$58:$X$58,"",0)*$C$39)+((1+Dashboard!$C$31)*$C$40),U49)</f>
        <v>0.91354776401679239</v>
      </c>
      <c r="W49" s="125">
        <f>IFERROR((_xlfn.XLOOKUP(YEAR(W$5),'Price projections'!$D$6:$X$6,'Price projections'!$D$58:$X$58,"",0)*$C$39)+((1+Dashboard!$C$31)*$C$40),V49)</f>
        <v>0.91354776401679239</v>
      </c>
      <c r="X49" s="125">
        <f>IFERROR((_xlfn.XLOOKUP(YEAR(X$5),'Price projections'!$D$6:$X$6,'Price projections'!$D$58:$X$58,"",0)*$C$39)+((1+Dashboard!$C$31)*$C$40),W49)</f>
        <v>0.91354776401679239</v>
      </c>
      <c r="Y49" s="125">
        <f>IFERROR((_xlfn.XLOOKUP(YEAR(Y$5),'Price projections'!$D$6:$X$6,'Price projections'!$D$58:$X$58,"",0)*$C$39)+((1+Dashboard!$C$31)*$C$40),X49)</f>
        <v>0.91354776401679239</v>
      </c>
      <c r="Z49" s="125">
        <f>IFERROR((_xlfn.XLOOKUP(YEAR(Z$5),'Price projections'!$D$6:$X$6,'Price projections'!$D$58:$X$58,"",0)*$C$39)+((1+Dashboard!$C$31)*$C$40),Y49)</f>
        <v>0.91354776401679239</v>
      </c>
      <c r="AA49" s="125">
        <f>IFERROR((_xlfn.XLOOKUP(YEAR(AA$5),'Price projections'!$D$6:$X$6,'Price projections'!$D$58:$X$58,"",0)*$C$39)+((1+Dashboard!$C$31)*$C$40),Z49)</f>
        <v>0.91354776401679239</v>
      </c>
      <c r="AB49" s="125">
        <f>IFERROR((_xlfn.XLOOKUP(YEAR(AB$5),'Price projections'!$D$6:$X$6,'Price projections'!$D$58:$X$58,"",0)*$C$39)+((1+Dashboard!$C$31)*$C$40),AA49)</f>
        <v>0.91354776401679239</v>
      </c>
      <c r="AC49" s="125">
        <f>IFERROR((_xlfn.XLOOKUP(YEAR(AC$5),'Price projections'!$D$6:$X$6,'Price projections'!$D$58:$X$58,"",0)*$C$39)+((1+Dashboard!$C$31)*$C$40),AB49)</f>
        <v>0.91354776401679239</v>
      </c>
      <c r="AD49" s="125">
        <f>IFERROR((_xlfn.XLOOKUP(YEAR(AD$5),'Price projections'!$D$6:$X$6,'Price projections'!$D$58:$X$58,"",0)*$C$39)+((1+Dashboard!$C$31)*$C$40),AC49)</f>
        <v>0.91354776401679239</v>
      </c>
      <c r="AE49" s="125">
        <f>IFERROR((_xlfn.XLOOKUP(YEAR(AE$5),'Price projections'!$D$6:$X$6,'Price projections'!$D$58:$X$58,"",0)*$C$39)+((1+Dashboard!$C$31)*$C$40),AD49)</f>
        <v>0.91354776401679239</v>
      </c>
      <c r="AF49" s="125">
        <f>IFERROR((_xlfn.XLOOKUP(YEAR(AF$5),'Price projections'!$D$6:$X$6,'Price projections'!$D$58:$X$58,"",0)*$C$39)+((1+Dashboard!$C$31)*$C$40),AE49)</f>
        <v>0.91354776401679239</v>
      </c>
      <c r="AG49" s="125">
        <f>IFERROR((_xlfn.XLOOKUP(YEAR(AG$5),'Price projections'!$D$6:$X$6,'Price projections'!$D$58:$X$58,"",0)*$C$39)+((1+Dashboard!$C$31)*$C$40),AF49)</f>
        <v>0.91354776401679239</v>
      </c>
      <c r="AH49" s="125">
        <f>IFERROR((_xlfn.XLOOKUP(YEAR(AH$5),'Price projections'!$D$6:$X$6,'Price projections'!$D$58:$X$58,"",0)*$C$39)+((1+Dashboard!$C$31)*$C$40),AG49)</f>
        <v>0.91354776401679239</v>
      </c>
      <c r="AI49" s="125">
        <f>IFERROR((_xlfn.XLOOKUP(YEAR(AI$5),'Price projections'!$D$6:$X$6,'Price projections'!$D$58:$X$58,"",0)*$C$39)+((1+Dashboard!$C$31)*$C$40),AH49)</f>
        <v>0.91354776401679239</v>
      </c>
      <c r="AJ49" s="125">
        <f>IFERROR((_xlfn.XLOOKUP(YEAR(AJ$5),'Price projections'!$D$6:$X$6,'Price projections'!$D$58:$X$58,"",0)*$C$39)+((1+Dashboard!$C$31)*$C$40),AI49)</f>
        <v>0.91354776401679239</v>
      </c>
      <c r="AK49" s="125">
        <f>IFERROR((_xlfn.XLOOKUP(YEAR(AK$5),'Price projections'!$D$6:$X$6,'Price projections'!$D$58:$X$58,"",0)*$C$39)+((1+Dashboard!$C$31)*$C$40),AJ49)</f>
        <v>0.91354776401679239</v>
      </c>
      <c r="AL49" s="125">
        <f>IFERROR((_xlfn.XLOOKUP(YEAR(AL$5),'Price projections'!$D$6:$X$6,'Price projections'!$D$58:$X$58,"",0)*$C$39)+((1+Dashboard!$C$31)*$C$40),AK49)</f>
        <v>0.91354776401679239</v>
      </c>
      <c r="AM49" s="125">
        <f>IFERROR((_xlfn.XLOOKUP(YEAR(AM$5),'Price projections'!$D$6:$X$6,'Price projections'!$D$58:$X$58,"",0)*$C$39)+((1+Dashboard!$C$31)*$C$40),AL49)</f>
        <v>0.91354776401679239</v>
      </c>
      <c r="AN49" s="125">
        <f>IFERROR((_xlfn.XLOOKUP(YEAR(AN$5),'Price projections'!$D$6:$X$6,'Price projections'!$D$58:$X$58,"",0)*$C$39)+((1+Dashboard!$C$31)*$C$40),AM49)</f>
        <v>0.91354776401679239</v>
      </c>
      <c r="AO49" s="125">
        <f>IFERROR((_xlfn.XLOOKUP(YEAR(AO$5),'Price projections'!$D$6:$X$6,'Price projections'!$D$58:$X$58,"",0)*$C$39)+((1+Dashboard!$C$31)*$C$40),AN49)</f>
        <v>0.91354776401679239</v>
      </c>
      <c r="AP49" s="125">
        <f>IFERROR((_xlfn.XLOOKUP(YEAR(AP$5),'Price projections'!$D$6:$X$6,'Price projections'!$D$58:$X$58,"",0)*$C$39)+((1+Dashboard!$C$31)*$C$40),AO49)</f>
        <v>0.91354776401679239</v>
      </c>
      <c r="AQ49" s="125">
        <f>IFERROR((_xlfn.XLOOKUP(YEAR(AQ$5),'Price projections'!$D$6:$X$6,'Price projections'!$D$58:$X$58,"",0)*$C$39)+((1+Dashboard!$C$31)*$C$40),AP49)</f>
        <v>0.91354776401679239</v>
      </c>
      <c r="AR49" s="125">
        <f>IFERROR((_xlfn.XLOOKUP(YEAR(AR$5),'Price projections'!$D$6:$X$6,'Price projections'!$D$58:$X$58,"",0)*$C$39)+((1+Dashboard!$C$31)*$C$40),AQ49)</f>
        <v>0.91354776401679239</v>
      </c>
      <c r="AS49" s="125">
        <f>IFERROR((_xlfn.XLOOKUP(YEAR(AS$5),'Price projections'!$D$6:$X$6,'Price projections'!$D$58:$X$58,"",0)*$C$39)+((1+Dashboard!$C$31)*$C$40),AR49)</f>
        <v>0.91354776401679239</v>
      </c>
      <c r="AT49" s="125">
        <f>IFERROR((_xlfn.XLOOKUP(YEAR(AT$5),'Price projections'!$D$6:$X$6,'Price projections'!$D$58:$X$58,"",0)*$C$39)+((1+Dashboard!$C$31)*$C$40),AS49)</f>
        <v>0.91354776401679239</v>
      </c>
      <c r="AU49" s="125">
        <f>IFERROR((_xlfn.XLOOKUP(YEAR(AU$5),'Price projections'!$D$6:$X$6,'Price projections'!$D$58:$X$58,"",0)*$C$39)+((1+Dashboard!$C$31)*$C$40),AT49)</f>
        <v>0.91354776401679239</v>
      </c>
      <c r="AV49" s="125">
        <f>IFERROR((_xlfn.XLOOKUP(YEAR(AV$5),'Price projections'!$D$6:$X$6,'Price projections'!$D$58:$X$58,"",0)*$C$39)+((1+Dashboard!$C$31)*$C$40),AU49)</f>
        <v>0.91354776401679239</v>
      </c>
      <c r="AW49" s="125">
        <f>IFERROR((_xlfn.XLOOKUP(YEAR(AW$5),'Price projections'!$D$6:$X$6,'Price projections'!$D$58:$X$58,"",0)*$C$39)+((1+Dashboard!$C$31)*$C$40),AV49)</f>
        <v>0.91354776401679239</v>
      </c>
      <c r="AX49" s="125">
        <f>IFERROR((_xlfn.XLOOKUP(YEAR(AX$5),'Price projections'!$D$6:$X$6,'Price projections'!$D$58:$X$58,"",0)*$C$39)+((1+Dashboard!$C$31)*$C$40),AW49)</f>
        <v>0.91354776401679239</v>
      </c>
      <c r="AY49" s="125">
        <f>IFERROR((_xlfn.XLOOKUP(YEAR(AY$5),'Price projections'!$D$6:$X$6,'Price projections'!$D$58:$X$58,"",0)*$C$39)+((1+Dashboard!$C$31)*$C$40),AX49)</f>
        <v>0.91354776401679239</v>
      </c>
      <c r="AZ49" s="125">
        <f>IFERROR((_xlfn.XLOOKUP(YEAR(AZ$5),'Price projections'!$D$6:$X$6,'Price projections'!$D$58:$X$58,"",0)*$C$39)+((1+Dashboard!$C$31)*$C$40),AY49)</f>
        <v>0.91354776401679239</v>
      </c>
      <c r="BA49" s="125">
        <f>IFERROR((_xlfn.XLOOKUP(YEAR(BA$5),'Price projections'!$D$6:$X$6,'Price projections'!$D$58:$X$58,"",0)*$C$39)+((1+Dashboard!$C$31)*$C$40),AZ49)</f>
        <v>0.91354776401679239</v>
      </c>
      <c r="BB49" s="125">
        <f>IFERROR((_xlfn.XLOOKUP(YEAR(BB$5),'Price projections'!$D$6:$X$6,'Price projections'!$D$58:$X$58,"",0)*$C$39)+((1+Dashboard!$C$31)*$C$40),BA49)</f>
        <v>0.91354776401679239</v>
      </c>
      <c r="BC49" s="125">
        <f>IFERROR((_xlfn.XLOOKUP(YEAR(BC$5),'Price projections'!$D$6:$X$6,'Price projections'!$D$58:$X$58,"",0)*$C$39)+((1+Dashboard!$C$31)*$C$40),BB49)</f>
        <v>0.91354776401679239</v>
      </c>
      <c r="BD49" s="125">
        <f>IFERROR((_xlfn.XLOOKUP(YEAR(BD$5),'Price projections'!$D$6:$X$6,'Price projections'!$D$58:$X$58,"",0)*$C$39)+((1+Dashboard!$C$31)*$C$40),BC49)</f>
        <v>0.91354776401679239</v>
      </c>
      <c r="BE49" s="125">
        <f>IFERROR((_xlfn.XLOOKUP(YEAR(BE$5),'Price projections'!$D$6:$X$6,'Price projections'!$D$58:$X$58,"",0)*$C$39)+((1+Dashboard!$C$31)*$C$40),BD49)</f>
        <v>0.91354776401679239</v>
      </c>
      <c r="BF49" s="125">
        <f>IFERROR((_xlfn.XLOOKUP(YEAR(BF$5),'Price projections'!$D$6:$X$6,'Price projections'!$D$58:$X$58,"",0)*$C$39)+((1+Dashboard!$C$31)*$C$40),BE49)</f>
        <v>0.91354776401679239</v>
      </c>
      <c r="BG49" s="125">
        <f>IFERROR((_xlfn.XLOOKUP(YEAR(BG$5),'Price projections'!$D$6:$X$6,'Price projections'!$D$58:$X$58,"",0)*$C$39)+((1+Dashboard!$C$31)*$C$40),BF49)</f>
        <v>0.91354776401679239</v>
      </c>
      <c r="BH49" s="125">
        <f>IFERROR((_xlfn.XLOOKUP(YEAR(BH$5),'Price projections'!$D$6:$X$6,'Price projections'!$D$58:$X$58,"",0)*$C$39)+((1+Dashboard!$C$31)*$C$40),BG49)</f>
        <v>0.91354776401679239</v>
      </c>
      <c r="BI49" s="125">
        <f>IFERROR((_xlfn.XLOOKUP(YEAR(BI$5),'Price projections'!$D$6:$X$6,'Price projections'!$D$58:$X$58,"",0)*$C$39)+((1+Dashboard!$C$31)*$C$40),BH49)</f>
        <v>0.91354776401679239</v>
      </c>
      <c r="BJ49" s="125">
        <f>IFERROR((_xlfn.XLOOKUP(YEAR(BJ$5),'Price projections'!$D$6:$X$6,'Price projections'!$D$58:$X$58,"",0)*$C$39)+((1+Dashboard!$C$31)*$C$40),BI49)</f>
        <v>0.91354776401679239</v>
      </c>
      <c r="BK49" s="125">
        <f>IFERROR((_xlfn.XLOOKUP(YEAR(BK$5),'Price projections'!$D$6:$X$6,'Price projections'!$D$58:$X$58,"",0)*$C$39)+((1+Dashboard!$C$31)*$C$40),BJ49)</f>
        <v>0.91354776401679239</v>
      </c>
      <c r="BL49" s="125">
        <f>IFERROR((_xlfn.XLOOKUP(YEAR(BL$5),'Price projections'!$D$6:$X$6,'Price projections'!$D$58:$X$58,"",0)*$C$39)+((1+Dashboard!$C$31)*$C$40),BK49)</f>
        <v>0.91354776401679239</v>
      </c>
    </row>
    <row r="50" spans="2:64" x14ac:dyDescent="0.2">
      <c r="B50" s="54" t="s">
        <v>271</v>
      </c>
      <c r="E50" s="125">
        <f>IFERROR((_xlfn.XLOOKUP(YEAR(E$5),'Price projections'!$D$6:$X$6,'Price projections'!$D$59:$X$59,"",0)*$C$39)+((1+Dashboard!$C$31)*$C$40),D50)</f>
        <v>1.0016460253011878</v>
      </c>
      <c r="F50" s="125">
        <f>IFERROR((_xlfn.XLOOKUP(YEAR(F$5),'Price projections'!$D$6:$X$6,'Price projections'!$D$59:$X$59,"",0)*$C$39)+((1+Dashboard!$C$31)*$C$40),E50)</f>
        <v>0.97825340616518208</v>
      </c>
      <c r="G50" s="125">
        <f>IFERROR((_xlfn.XLOOKUP(YEAR(G$5),'Price projections'!$D$6:$X$6,'Price projections'!$D$59:$X$59,"",0)*$C$39)+((1+Dashboard!$C$31)*$C$40),F50)</f>
        <v>0.96964720704013796</v>
      </c>
      <c r="H50" s="125">
        <f>IFERROR((_xlfn.XLOOKUP(YEAR(H$5),'Price projections'!$D$6:$X$6,'Price projections'!$D$59:$X$59,"",0)*$C$39)+((1+Dashboard!$C$31)*$C$40),G50)</f>
        <v>0.98215539337602664</v>
      </c>
      <c r="I50" s="125">
        <f>IFERROR((_xlfn.XLOOKUP(YEAR(I$5),'Price projections'!$D$6:$X$6,'Price projections'!$D$59:$X$59,"",0)*$C$39)+((1+Dashboard!$C$31)*$C$40),H50)</f>
        <v>0.98771250152416845</v>
      </c>
      <c r="J50" s="125">
        <f>IFERROR((_xlfn.XLOOKUP(YEAR(J$5),'Price projections'!$D$6:$X$6,'Price projections'!$D$59:$X$59,"",0)*$C$39)+((1+Dashboard!$C$31)*$C$40),I50)</f>
        <v>0.97356428501398862</v>
      </c>
      <c r="K50" s="125">
        <f>IFERROR((_xlfn.XLOOKUP(YEAR(K$5),'Price projections'!$D$6:$X$6,'Price projections'!$D$59:$X$59,"",0)*$C$39)+((1+Dashboard!$C$31)*$C$40),J50)</f>
        <v>0.95141163182544208</v>
      </c>
      <c r="L50" s="125">
        <f>IFERROR((_xlfn.XLOOKUP(YEAR(L$5),'Price projections'!$D$6:$X$6,'Price projections'!$D$59:$X$59,"",0)*$C$39)+((1+Dashboard!$C$31)*$C$40),K50)</f>
        <v>0.93106072525573602</v>
      </c>
      <c r="M50" s="125">
        <f>IFERROR((_xlfn.XLOOKUP(YEAR(M$5),'Price projections'!$D$6:$X$6,'Price projections'!$D$59:$X$59,"",0)*$C$39)+((1+Dashboard!$C$31)*$C$40),L50)</f>
        <v>0.92188436127049878</v>
      </c>
      <c r="N50" s="125">
        <f>IFERROR((_xlfn.XLOOKUP(YEAR(N$5),'Price projections'!$D$6:$X$6,'Price projections'!$D$59:$X$59,"",0)*$C$39)+((1+Dashboard!$C$31)*$C$40),M50)</f>
        <v>0.91564220566456</v>
      </c>
      <c r="O50" s="125">
        <f>IFERROR((_xlfn.XLOOKUP(YEAR(O$5),'Price projections'!$D$6:$X$6,'Price projections'!$D$59:$X$59,"",0)*$C$39)+((1+Dashboard!$C$31)*$C$40),N50)</f>
        <v>0.90259855188519733</v>
      </c>
      <c r="P50" s="125">
        <f>IFERROR((_xlfn.XLOOKUP(YEAR(P$5),'Price projections'!$D$6:$X$6,'Price projections'!$D$59:$X$59,"",0)*$C$39)+((1+Dashboard!$C$31)*$C$40),O50)</f>
        <v>0.90979839543802199</v>
      </c>
      <c r="Q50" s="125">
        <f>IFERROR((_xlfn.XLOOKUP(YEAR(Q$5),'Price projections'!$D$6:$X$6,'Price projections'!$D$59:$X$59,"",0)*$C$39)+((1+Dashboard!$C$31)*$C$40),P50)</f>
        <v>0.90577087012549107</v>
      </c>
      <c r="R50" s="125">
        <f>IFERROR((_xlfn.XLOOKUP(YEAR(R$5),'Price projections'!$D$6:$X$6,'Price projections'!$D$59:$X$59,"",0)*$C$39)+((1+Dashboard!$C$31)*$C$40),Q50)</f>
        <v>0.89716178579190409</v>
      </c>
      <c r="S50" s="125">
        <f>IFERROR((_xlfn.XLOOKUP(YEAR(S$5),'Price projections'!$D$6:$X$6,'Price projections'!$D$59:$X$59,"",0)*$C$39)+((1+Dashboard!$C$31)*$C$40),R50)</f>
        <v>0.89716178579190409</v>
      </c>
      <c r="T50" s="125">
        <f>IFERROR((_xlfn.XLOOKUP(YEAR(T$5),'Price projections'!$D$6:$X$6,'Price projections'!$D$59:$X$59,"",0)*$C$39)+((1+Dashboard!$C$31)*$C$40),S50)</f>
        <v>0.89716178579190409</v>
      </c>
      <c r="U50" s="125">
        <f>IFERROR((_xlfn.XLOOKUP(YEAR(U$5),'Price projections'!$D$6:$X$6,'Price projections'!$D$59:$X$59,"",0)*$C$39)+((1+Dashboard!$C$31)*$C$40),T50)</f>
        <v>0.89716178579190409</v>
      </c>
      <c r="V50" s="125">
        <f>IFERROR((_xlfn.XLOOKUP(YEAR(V$5),'Price projections'!$D$6:$X$6,'Price projections'!$D$59:$X$59,"",0)*$C$39)+((1+Dashboard!$C$31)*$C$40),U50)</f>
        <v>0.89716178579190409</v>
      </c>
      <c r="W50" s="125">
        <f>IFERROR((_xlfn.XLOOKUP(YEAR(W$5),'Price projections'!$D$6:$X$6,'Price projections'!$D$59:$X$59,"",0)*$C$39)+((1+Dashboard!$C$31)*$C$40),V50)</f>
        <v>0.89716178579190409</v>
      </c>
      <c r="X50" s="125">
        <f>IFERROR((_xlfn.XLOOKUP(YEAR(X$5),'Price projections'!$D$6:$X$6,'Price projections'!$D$59:$X$59,"",0)*$C$39)+((1+Dashboard!$C$31)*$C$40),W50)</f>
        <v>0.89716178579190409</v>
      </c>
      <c r="Y50" s="125">
        <f>IFERROR((_xlfn.XLOOKUP(YEAR(Y$5),'Price projections'!$D$6:$X$6,'Price projections'!$D$59:$X$59,"",0)*$C$39)+((1+Dashboard!$C$31)*$C$40),X50)</f>
        <v>0.89716178579190409</v>
      </c>
      <c r="Z50" s="125">
        <f>IFERROR((_xlfn.XLOOKUP(YEAR(Z$5),'Price projections'!$D$6:$X$6,'Price projections'!$D$59:$X$59,"",0)*$C$39)+((1+Dashboard!$C$31)*$C$40),Y50)</f>
        <v>0.89716178579190409</v>
      </c>
      <c r="AA50" s="125">
        <f>IFERROR((_xlfn.XLOOKUP(YEAR(AA$5),'Price projections'!$D$6:$X$6,'Price projections'!$D$59:$X$59,"",0)*$C$39)+((1+Dashboard!$C$31)*$C$40),Z50)</f>
        <v>0.89716178579190409</v>
      </c>
      <c r="AB50" s="125">
        <f>IFERROR((_xlfn.XLOOKUP(YEAR(AB$5),'Price projections'!$D$6:$X$6,'Price projections'!$D$59:$X$59,"",0)*$C$39)+((1+Dashboard!$C$31)*$C$40),AA50)</f>
        <v>0.89716178579190409</v>
      </c>
      <c r="AC50" s="125">
        <f>IFERROR((_xlfn.XLOOKUP(YEAR(AC$5),'Price projections'!$D$6:$X$6,'Price projections'!$D$59:$X$59,"",0)*$C$39)+((1+Dashboard!$C$31)*$C$40),AB50)</f>
        <v>0.89716178579190409</v>
      </c>
      <c r="AD50" s="125">
        <f>IFERROR((_xlfn.XLOOKUP(YEAR(AD$5),'Price projections'!$D$6:$X$6,'Price projections'!$D$59:$X$59,"",0)*$C$39)+((1+Dashboard!$C$31)*$C$40),AC50)</f>
        <v>0.89716178579190409</v>
      </c>
      <c r="AE50" s="125">
        <f>IFERROR((_xlfn.XLOOKUP(YEAR(AE$5),'Price projections'!$D$6:$X$6,'Price projections'!$D$59:$X$59,"",0)*$C$39)+((1+Dashboard!$C$31)*$C$40),AD50)</f>
        <v>0.89716178579190409</v>
      </c>
      <c r="AF50" s="125">
        <f>IFERROR((_xlfn.XLOOKUP(YEAR(AF$5),'Price projections'!$D$6:$X$6,'Price projections'!$D$59:$X$59,"",0)*$C$39)+((1+Dashboard!$C$31)*$C$40),AE50)</f>
        <v>0.89716178579190409</v>
      </c>
      <c r="AG50" s="125">
        <f>IFERROR((_xlfn.XLOOKUP(YEAR(AG$5),'Price projections'!$D$6:$X$6,'Price projections'!$D$59:$X$59,"",0)*$C$39)+((1+Dashboard!$C$31)*$C$40),AF50)</f>
        <v>0.89716178579190409</v>
      </c>
      <c r="AH50" s="125">
        <f>IFERROR((_xlfn.XLOOKUP(YEAR(AH$5),'Price projections'!$D$6:$X$6,'Price projections'!$D$59:$X$59,"",0)*$C$39)+((1+Dashboard!$C$31)*$C$40),AG50)</f>
        <v>0.89716178579190409</v>
      </c>
      <c r="AI50" s="125">
        <f>IFERROR((_xlfn.XLOOKUP(YEAR(AI$5),'Price projections'!$D$6:$X$6,'Price projections'!$D$59:$X$59,"",0)*$C$39)+((1+Dashboard!$C$31)*$C$40),AH50)</f>
        <v>0.89716178579190409</v>
      </c>
      <c r="AJ50" s="125">
        <f>IFERROR((_xlfn.XLOOKUP(YEAR(AJ$5),'Price projections'!$D$6:$X$6,'Price projections'!$D$59:$X$59,"",0)*$C$39)+((1+Dashboard!$C$31)*$C$40),AI50)</f>
        <v>0.89716178579190409</v>
      </c>
      <c r="AK50" s="125">
        <f>IFERROR((_xlfn.XLOOKUP(YEAR(AK$5),'Price projections'!$D$6:$X$6,'Price projections'!$D$59:$X$59,"",0)*$C$39)+((1+Dashboard!$C$31)*$C$40),AJ50)</f>
        <v>0.89716178579190409</v>
      </c>
      <c r="AL50" s="125">
        <f>IFERROR((_xlfn.XLOOKUP(YEAR(AL$5),'Price projections'!$D$6:$X$6,'Price projections'!$D$59:$X$59,"",0)*$C$39)+((1+Dashboard!$C$31)*$C$40),AK50)</f>
        <v>0.89716178579190409</v>
      </c>
      <c r="AM50" s="125">
        <f>IFERROR((_xlfn.XLOOKUP(YEAR(AM$5),'Price projections'!$D$6:$X$6,'Price projections'!$D$59:$X$59,"",0)*$C$39)+((1+Dashboard!$C$31)*$C$40),AL50)</f>
        <v>0.89716178579190409</v>
      </c>
      <c r="AN50" s="125">
        <f>IFERROR((_xlfn.XLOOKUP(YEAR(AN$5),'Price projections'!$D$6:$X$6,'Price projections'!$D$59:$X$59,"",0)*$C$39)+((1+Dashboard!$C$31)*$C$40),AM50)</f>
        <v>0.89716178579190409</v>
      </c>
      <c r="AO50" s="125">
        <f>IFERROR((_xlfn.XLOOKUP(YEAR(AO$5),'Price projections'!$D$6:$X$6,'Price projections'!$D$59:$X$59,"",0)*$C$39)+((1+Dashboard!$C$31)*$C$40),AN50)</f>
        <v>0.89716178579190409</v>
      </c>
      <c r="AP50" s="125">
        <f>IFERROR((_xlfn.XLOOKUP(YEAR(AP$5),'Price projections'!$D$6:$X$6,'Price projections'!$D$59:$X$59,"",0)*$C$39)+((1+Dashboard!$C$31)*$C$40),AO50)</f>
        <v>0.89716178579190409</v>
      </c>
      <c r="AQ50" s="125">
        <f>IFERROR((_xlfn.XLOOKUP(YEAR(AQ$5),'Price projections'!$D$6:$X$6,'Price projections'!$D$59:$X$59,"",0)*$C$39)+((1+Dashboard!$C$31)*$C$40),AP50)</f>
        <v>0.89716178579190409</v>
      </c>
      <c r="AR50" s="125">
        <f>IFERROR((_xlfn.XLOOKUP(YEAR(AR$5),'Price projections'!$D$6:$X$6,'Price projections'!$D$59:$X$59,"",0)*$C$39)+((1+Dashboard!$C$31)*$C$40),AQ50)</f>
        <v>0.89716178579190409</v>
      </c>
      <c r="AS50" s="125">
        <f>IFERROR((_xlfn.XLOOKUP(YEAR(AS$5),'Price projections'!$D$6:$X$6,'Price projections'!$D$59:$X$59,"",0)*$C$39)+((1+Dashboard!$C$31)*$C$40),AR50)</f>
        <v>0.89716178579190409</v>
      </c>
      <c r="AT50" s="125">
        <f>IFERROR((_xlfn.XLOOKUP(YEAR(AT$5),'Price projections'!$D$6:$X$6,'Price projections'!$D$59:$X$59,"",0)*$C$39)+((1+Dashboard!$C$31)*$C$40),AS50)</f>
        <v>0.89716178579190409</v>
      </c>
      <c r="AU50" s="125">
        <f>IFERROR((_xlfn.XLOOKUP(YEAR(AU$5),'Price projections'!$D$6:$X$6,'Price projections'!$D$59:$X$59,"",0)*$C$39)+((1+Dashboard!$C$31)*$C$40),AT50)</f>
        <v>0.89716178579190409</v>
      </c>
      <c r="AV50" s="125">
        <f>IFERROR((_xlfn.XLOOKUP(YEAR(AV$5),'Price projections'!$D$6:$X$6,'Price projections'!$D$59:$X$59,"",0)*$C$39)+((1+Dashboard!$C$31)*$C$40),AU50)</f>
        <v>0.89716178579190409</v>
      </c>
      <c r="AW50" s="125">
        <f>IFERROR((_xlfn.XLOOKUP(YEAR(AW$5),'Price projections'!$D$6:$X$6,'Price projections'!$D$59:$X$59,"",0)*$C$39)+((1+Dashboard!$C$31)*$C$40),AV50)</f>
        <v>0.89716178579190409</v>
      </c>
      <c r="AX50" s="125">
        <f>IFERROR((_xlfn.XLOOKUP(YEAR(AX$5),'Price projections'!$D$6:$X$6,'Price projections'!$D$59:$X$59,"",0)*$C$39)+((1+Dashboard!$C$31)*$C$40),AW50)</f>
        <v>0.89716178579190409</v>
      </c>
      <c r="AY50" s="125">
        <f>IFERROR((_xlfn.XLOOKUP(YEAR(AY$5),'Price projections'!$D$6:$X$6,'Price projections'!$D$59:$X$59,"",0)*$C$39)+((1+Dashboard!$C$31)*$C$40),AX50)</f>
        <v>0.89716178579190409</v>
      </c>
      <c r="AZ50" s="125">
        <f>IFERROR((_xlfn.XLOOKUP(YEAR(AZ$5),'Price projections'!$D$6:$X$6,'Price projections'!$D$59:$X$59,"",0)*$C$39)+((1+Dashboard!$C$31)*$C$40),AY50)</f>
        <v>0.89716178579190409</v>
      </c>
      <c r="BA50" s="125">
        <f>IFERROR((_xlfn.XLOOKUP(YEAR(BA$5),'Price projections'!$D$6:$X$6,'Price projections'!$D$59:$X$59,"",0)*$C$39)+((1+Dashboard!$C$31)*$C$40),AZ50)</f>
        <v>0.89716178579190409</v>
      </c>
      <c r="BB50" s="125">
        <f>IFERROR((_xlfn.XLOOKUP(YEAR(BB$5),'Price projections'!$D$6:$X$6,'Price projections'!$D$59:$X$59,"",0)*$C$39)+((1+Dashboard!$C$31)*$C$40),BA50)</f>
        <v>0.89716178579190409</v>
      </c>
      <c r="BC50" s="125">
        <f>IFERROR((_xlfn.XLOOKUP(YEAR(BC$5),'Price projections'!$D$6:$X$6,'Price projections'!$D$59:$X$59,"",0)*$C$39)+((1+Dashboard!$C$31)*$C$40),BB50)</f>
        <v>0.89716178579190409</v>
      </c>
      <c r="BD50" s="125">
        <f>IFERROR((_xlfn.XLOOKUP(YEAR(BD$5),'Price projections'!$D$6:$X$6,'Price projections'!$D$59:$X$59,"",0)*$C$39)+((1+Dashboard!$C$31)*$C$40),BC50)</f>
        <v>0.89716178579190409</v>
      </c>
      <c r="BE50" s="125">
        <f>IFERROR((_xlfn.XLOOKUP(YEAR(BE$5),'Price projections'!$D$6:$X$6,'Price projections'!$D$59:$X$59,"",0)*$C$39)+((1+Dashboard!$C$31)*$C$40),BD50)</f>
        <v>0.89716178579190409</v>
      </c>
      <c r="BF50" s="125">
        <f>IFERROR((_xlfn.XLOOKUP(YEAR(BF$5),'Price projections'!$D$6:$X$6,'Price projections'!$D$59:$X$59,"",0)*$C$39)+((1+Dashboard!$C$31)*$C$40),BE50)</f>
        <v>0.89716178579190409</v>
      </c>
      <c r="BG50" s="125">
        <f>IFERROR((_xlfn.XLOOKUP(YEAR(BG$5),'Price projections'!$D$6:$X$6,'Price projections'!$D$59:$X$59,"",0)*$C$39)+((1+Dashboard!$C$31)*$C$40),BF50)</f>
        <v>0.89716178579190409</v>
      </c>
      <c r="BH50" s="125">
        <f>IFERROR((_xlfn.XLOOKUP(YEAR(BH$5),'Price projections'!$D$6:$X$6,'Price projections'!$D$59:$X$59,"",0)*$C$39)+((1+Dashboard!$C$31)*$C$40),BG50)</f>
        <v>0.89716178579190409</v>
      </c>
      <c r="BI50" s="125">
        <f>IFERROR((_xlfn.XLOOKUP(YEAR(BI$5),'Price projections'!$D$6:$X$6,'Price projections'!$D$59:$X$59,"",0)*$C$39)+((1+Dashboard!$C$31)*$C$40),BH50)</f>
        <v>0.89716178579190409</v>
      </c>
      <c r="BJ50" s="125">
        <f>IFERROR((_xlfn.XLOOKUP(YEAR(BJ$5),'Price projections'!$D$6:$X$6,'Price projections'!$D$59:$X$59,"",0)*$C$39)+((1+Dashboard!$C$31)*$C$40),BI50)</f>
        <v>0.89716178579190409</v>
      </c>
      <c r="BK50" s="125">
        <f>IFERROR((_xlfn.XLOOKUP(YEAR(BK$5),'Price projections'!$D$6:$X$6,'Price projections'!$D$59:$X$59,"",0)*$C$39)+((1+Dashboard!$C$31)*$C$40),BJ50)</f>
        <v>0.89716178579190409</v>
      </c>
      <c r="BL50" s="125">
        <f>IFERROR((_xlfn.XLOOKUP(YEAR(BL$5),'Price projections'!$D$6:$X$6,'Price projections'!$D$59:$X$59,"",0)*$C$39)+((1+Dashboard!$C$31)*$C$40),BK50)</f>
        <v>0.89716178579190409</v>
      </c>
    </row>
    <row r="53" spans="2:64" x14ac:dyDescent="0.2">
      <c r="B53" s="35" t="s">
        <v>273</v>
      </c>
    </row>
    <row r="54" spans="2:64" x14ac:dyDescent="0.2">
      <c r="B54" s="54" t="s">
        <v>43</v>
      </c>
      <c r="D54" s="126">
        <f>IF(D3&lt;30,Dashboard!$C$22,3%)</f>
        <v>3.5000000000000003E-2</v>
      </c>
      <c r="E54" s="126">
        <f>IF(E3&lt;30,Dashboard!$C$22,3%)</f>
        <v>3.5000000000000003E-2</v>
      </c>
      <c r="F54" s="126">
        <f>IF(F3&lt;30,Dashboard!$C$22,3%)</f>
        <v>3.5000000000000003E-2</v>
      </c>
      <c r="G54" s="126">
        <f>IF(G3&lt;30,Dashboard!$C$22,3%)</f>
        <v>3.5000000000000003E-2</v>
      </c>
      <c r="H54" s="126">
        <f>IF(H3&lt;30,Dashboard!$C$22,3%)</f>
        <v>3.5000000000000003E-2</v>
      </c>
      <c r="I54" s="126">
        <f>IF(I3&lt;30,Dashboard!$C$22,3%)</f>
        <v>3.5000000000000003E-2</v>
      </c>
      <c r="J54" s="126">
        <f>IF(J3&lt;30,Dashboard!$C$22,3%)</f>
        <v>3.5000000000000003E-2</v>
      </c>
      <c r="K54" s="126">
        <f>IF(K3&lt;30,Dashboard!$C$22,3%)</f>
        <v>3.5000000000000003E-2</v>
      </c>
      <c r="L54" s="126">
        <f>IF(L3&lt;30,Dashboard!$C$22,3%)</f>
        <v>3.5000000000000003E-2</v>
      </c>
      <c r="M54" s="126">
        <f>IF(M3&lt;30,Dashboard!$C$22,3%)</f>
        <v>3.5000000000000003E-2</v>
      </c>
      <c r="N54" s="126">
        <f>IF(N3&lt;30,Dashboard!$C$22,3%)</f>
        <v>3.5000000000000003E-2</v>
      </c>
      <c r="O54" s="126">
        <f>IF(O3&lt;30,Dashboard!$C$22,3%)</f>
        <v>3.5000000000000003E-2</v>
      </c>
      <c r="P54" s="126">
        <f>IF(P3&lt;30,Dashboard!$C$22,3%)</f>
        <v>3.5000000000000003E-2</v>
      </c>
      <c r="Q54" s="126">
        <f>IF(Q3&lt;30,Dashboard!$C$22,3%)</f>
        <v>3.5000000000000003E-2</v>
      </c>
      <c r="R54" s="126">
        <f>IF(R3&lt;30,Dashboard!$C$22,3%)</f>
        <v>3.5000000000000003E-2</v>
      </c>
      <c r="S54" s="126">
        <f>IF(S3&lt;30,Dashboard!$C$22,3%)</f>
        <v>3.5000000000000003E-2</v>
      </c>
      <c r="T54" s="126">
        <f>IF(T3&lt;30,Dashboard!$C$22,3%)</f>
        <v>3.5000000000000003E-2</v>
      </c>
      <c r="U54" s="126">
        <f>IF(U3&lt;30,Dashboard!$C$22,3%)</f>
        <v>3.5000000000000003E-2</v>
      </c>
      <c r="V54" s="126">
        <f>IF(V3&lt;30,Dashboard!$C$22,3%)</f>
        <v>3.5000000000000003E-2</v>
      </c>
      <c r="W54" s="126">
        <f>IF(W3&lt;30,Dashboard!$C$22,3%)</f>
        <v>3.5000000000000003E-2</v>
      </c>
      <c r="X54" s="126">
        <f>IF(X3&lt;30,Dashboard!$C$22,3%)</f>
        <v>3.5000000000000003E-2</v>
      </c>
      <c r="Y54" s="126">
        <f>IF(Y3&lt;30,Dashboard!$C$22,3%)</f>
        <v>3.5000000000000003E-2</v>
      </c>
      <c r="Z54" s="126">
        <f>IF(Z3&lt;30,Dashboard!$C$22,3%)</f>
        <v>3.5000000000000003E-2</v>
      </c>
      <c r="AA54" s="126">
        <f>IF(AA3&lt;30,Dashboard!$C$22,3%)</f>
        <v>3.5000000000000003E-2</v>
      </c>
      <c r="AB54" s="126">
        <f>IF(AB3&lt;30,Dashboard!$C$22,3%)</f>
        <v>3.5000000000000003E-2</v>
      </c>
      <c r="AC54" s="126">
        <f>IF(AC3&lt;30,Dashboard!$C$22,3%)</f>
        <v>3.5000000000000003E-2</v>
      </c>
      <c r="AD54" s="126">
        <f>IF(AD3&lt;30,Dashboard!$C$22,3%)</f>
        <v>3.5000000000000003E-2</v>
      </c>
      <c r="AE54" s="126">
        <f>IF(AE3&lt;30,Dashboard!$C$22,3%)</f>
        <v>3.5000000000000003E-2</v>
      </c>
      <c r="AF54" s="126">
        <f>IF(AF3&lt;30,Dashboard!$C$22,3%)</f>
        <v>3.5000000000000003E-2</v>
      </c>
      <c r="AG54" s="126">
        <f>IF(AG3&lt;30,Dashboard!$C$22,3%)</f>
        <v>3.5000000000000003E-2</v>
      </c>
      <c r="AH54" s="126">
        <f>IF(AH3&lt;30,Dashboard!$C$22,3%)</f>
        <v>0.03</v>
      </c>
      <c r="AI54" s="126">
        <f>IF(AI3&lt;30,Dashboard!$C$22,3%)</f>
        <v>0.03</v>
      </c>
      <c r="AJ54" s="126">
        <f>IF(AJ3&lt;30,Dashboard!$C$22,3%)</f>
        <v>0.03</v>
      </c>
      <c r="AK54" s="126">
        <f>IF(AK3&lt;30,Dashboard!$C$22,3%)</f>
        <v>0.03</v>
      </c>
      <c r="AL54" s="126">
        <f>IF(AL3&lt;30,Dashboard!$C$22,3%)</f>
        <v>0.03</v>
      </c>
      <c r="AM54" s="126">
        <f>IF(AM3&lt;30,Dashboard!$C$22,3%)</f>
        <v>0.03</v>
      </c>
      <c r="AN54" s="126">
        <f>IF(AN3&lt;30,Dashboard!$C$22,3%)</f>
        <v>0.03</v>
      </c>
      <c r="AO54" s="126">
        <f>IF(AO3&lt;30,Dashboard!$C$22,3%)</f>
        <v>0.03</v>
      </c>
      <c r="AP54" s="126">
        <f>IF(AP3&lt;30,Dashboard!$C$22,3%)</f>
        <v>0.03</v>
      </c>
      <c r="AQ54" s="126">
        <f>IF(AQ3&lt;30,Dashboard!$C$22,3%)</f>
        <v>0.03</v>
      </c>
      <c r="AR54" s="126">
        <f>IF(AR3&lt;30,Dashboard!$C$22,3%)</f>
        <v>0.03</v>
      </c>
      <c r="AS54" s="126">
        <f>IF(AS3&lt;30,Dashboard!$C$22,3%)</f>
        <v>0.03</v>
      </c>
      <c r="AT54" s="126">
        <f>IF(AT3&lt;30,Dashboard!$C$22,3%)</f>
        <v>0.03</v>
      </c>
      <c r="AU54" s="126">
        <f>IF(AU3&lt;30,Dashboard!$C$22,3%)</f>
        <v>0.03</v>
      </c>
      <c r="AV54" s="126">
        <f>IF(AV3&lt;30,Dashboard!$C$22,3%)</f>
        <v>0.03</v>
      </c>
      <c r="AW54" s="126">
        <f>IF(AW3&lt;30,Dashboard!$C$22,3%)</f>
        <v>0.03</v>
      </c>
      <c r="AX54" s="126">
        <f>IF(AX3&lt;30,Dashboard!$C$22,3%)</f>
        <v>0.03</v>
      </c>
      <c r="AY54" s="126">
        <f>IF(AY3&lt;30,Dashboard!$C$22,3%)</f>
        <v>0.03</v>
      </c>
      <c r="AZ54" s="126">
        <f>IF(AZ3&lt;30,Dashboard!$C$22,3%)</f>
        <v>0.03</v>
      </c>
      <c r="BA54" s="126">
        <f>IF(BA3&lt;30,Dashboard!$C$22,3%)</f>
        <v>0.03</v>
      </c>
      <c r="BB54" s="126">
        <f>IF(BB3&lt;30,Dashboard!$C$22,3%)</f>
        <v>0.03</v>
      </c>
      <c r="BC54" s="126">
        <f>IF(BC3&lt;30,Dashboard!$C$22,3%)</f>
        <v>0.03</v>
      </c>
      <c r="BD54" s="126">
        <f>IF(BD3&lt;30,Dashboard!$C$22,3%)</f>
        <v>0.03</v>
      </c>
      <c r="BE54" s="126">
        <f>IF(BE3&lt;30,Dashboard!$C$22,3%)</f>
        <v>0.03</v>
      </c>
      <c r="BF54" s="126">
        <f>IF(BF3&lt;30,Dashboard!$C$22,3%)</f>
        <v>0.03</v>
      </c>
      <c r="BG54" s="126">
        <f>IF(BG3&lt;30,Dashboard!$C$22,3%)</f>
        <v>0.03</v>
      </c>
      <c r="BH54" s="126">
        <f>IF(BH3&lt;30,Dashboard!$C$22,3%)</f>
        <v>0.03</v>
      </c>
      <c r="BI54" s="126">
        <f>IF(BI3&lt;30,Dashboard!$C$22,3%)</f>
        <v>0.03</v>
      </c>
      <c r="BJ54" s="126">
        <f>IF(BJ3&lt;30,Dashboard!$C$22,3%)</f>
        <v>0.03</v>
      </c>
      <c r="BK54" s="126">
        <f>IF(BK3&lt;30,Dashboard!$C$22,3%)</f>
        <v>0.03</v>
      </c>
      <c r="BL54" s="126">
        <f>IF(BL3&lt;30,Dashboard!$C$22,3%)</f>
        <v>0.03</v>
      </c>
    </row>
    <row r="55" spans="2:64" x14ac:dyDescent="0.2">
      <c r="B55" s="54" t="s">
        <v>274</v>
      </c>
      <c r="D55" s="125">
        <f t="shared" ref="D55:AI55" si="58">1/(1+D54)^D3</f>
        <v>1</v>
      </c>
      <c r="E55" s="125">
        <f t="shared" si="58"/>
        <v>0.96618357487922713</v>
      </c>
      <c r="F55" s="125">
        <f t="shared" si="58"/>
        <v>0.93351070036640305</v>
      </c>
      <c r="G55" s="125">
        <f t="shared" si="58"/>
        <v>0.90194270566802237</v>
      </c>
      <c r="H55" s="125">
        <f t="shared" si="58"/>
        <v>0.87144222769857238</v>
      </c>
      <c r="I55" s="125">
        <f t="shared" si="58"/>
        <v>0.84197316685852419</v>
      </c>
      <c r="J55" s="125">
        <f t="shared" si="58"/>
        <v>0.81350064430775282</v>
      </c>
      <c r="K55" s="125">
        <f t="shared" si="58"/>
        <v>0.78599096068381913</v>
      </c>
      <c r="L55" s="125">
        <f t="shared" si="58"/>
        <v>0.75941155621625056</v>
      </c>
      <c r="M55" s="125">
        <f t="shared" si="58"/>
        <v>0.73373097218961414</v>
      </c>
      <c r="N55" s="125">
        <f t="shared" si="58"/>
        <v>0.70891881370977217</v>
      </c>
      <c r="O55" s="125">
        <f t="shared" si="58"/>
        <v>0.68494571372924851</v>
      </c>
      <c r="P55" s="125">
        <f t="shared" si="58"/>
        <v>0.66178329828912896</v>
      </c>
      <c r="Q55" s="125">
        <f t="shared" si="58"/>
        <v>0.63940415293635666</v>
      </c>
      <c r="R55" s="125">
        <f t="shared" si="58"/>
        <v>0.61778179027667302</v>
      </c>
      <c r="S55" s="125">
        <f t="shared" si="58"/>
        <v>0.59689061862480497</v>
      </c>
      <c r="T55" s="125">
        <f t="shared" si="58"/>
        <v>0.57670591171478747</v>
      </c>
      <c r="U55" s="125">
        <f t="shared" si="58"/>
        <v>0.55720377943457733</v>
      </c>
      <c r="V55" s="125">
        <f t="shared" si="58"/>
        <v>0.53836113955031628</v>
      </c>
      <c r="W55" s="125">
        <f t="shared" si="58"/>
        <v>0.52015569038677911</v>
      </c>
      <c r="X55" s="125">
        <f t="shared" si="58"/>
        <v>0.50256588443167061</v>
      </c>
      <c r="Y55" s="125">
        <f t="shared" si="58"/>
        <v>0.48557090283253213</v>
      </c>
      <c r="Z55" s="125">
        <f t="shared" si="58"/>
        <v>0.46915063075606966</v>
      </c>
      <c r="AA55" s="125">
        <f t="shared" si="58"/>
        <v>0.45328563358074364</v>
      </c>
      <c r="AB55" s="125">
        <f t="shared" si="58"/>
        <v>0.43795713389443841</v>
      </c>
      <c r="AC55" s="125">
        <f t="shared" si="58"/>
        <v>0.42314698926998884</v>
      </c>
      <c r="AD55" s="125">
        <f t="shared" si="58"/>
        <v>0.40883767079225974</v>
      </c>
      <c r="AE55" s="125">
        <f t="shared" si="58"/>
        <v>0.39501224231136206</v>
      </c>
      <c r="AF55" s="125">
        <f t="shared" si="58"/>
        <v>0.38165434039745127</v>
      </c>
      <c r="AG55" s="125">
        <f t="shared" si="58"/>
        <v>0.36874815497338298</v>
      </c>
      <c r="AH55" s="125">
        <f t="shared" si="58"/>
        <v>0.41198675951590691</v>
      </c>
      <c r="AI55" s="125">
        <f t="shared" si="58"/>
        <v>0.39998714516107459</v>
      </c>
      <c r="AJ55" s="125">
        <f t="shared" ref="AJ55:BO55" si="59">1/(1+AJ54)^AJ3</f>
        <v>0.38833703413696569</v>
      </c>
      <c r="AK55" s="125">
        <f t="shared" si="59"/>
        <v>0.37702624673491814</v>
      </c>
      <c r="AL55" s="125">
        <f t="shared" si="59"/>
        <v>0.36604489974263904</v>
      </c>
      <c r="AM55" s="125">
        <f t="shared" si="59"/>
        <v>0.35538339780838735</v>
      </c>
      <c r="AN55" s="125">
        <f t="shared" si="59"/>
        <v>0.34503242505668674</v>
      </c>
      <c r="AO55" s="125">
        <f t="shared" si="59"/>
        <v>0.33498293694823961</v>
      </c>
      <c r="AP55" s="125">
        <f t="shared" si="59"/>
        <v>0.3252261523769317</v>
      </c>
      <c r="AQ55" s="125">
        <f t="shared" si="59"/>
        <v>0.31575354599702099</v>
      </c>
      <c r="AR55" s="125">
        <f t="shared" si="59"/>
        <v>0.30655684077380685</v>
      </c>
      <c r="AS55" s="125">
        <f t="shared" si="59"/>
        <v>0.29762800075126877</v>
      </c>
      <c r="AT55" s="125">
        <f t="shared" si="59"/>
        <v>0.28895922403035801</v>
      </c>
      <c r="AU55" s="125">
        <f t="shared" si="59"/>
        <v>0.28054293595180391</v>
      </c>
      <c r="AV55" s="125">
        <f t="shared" si="59"/>
        <v>0.27237178247747956</v>
      </c>
      <c r="AW55" s="125">
        <f t="shared" si="59"/>
        <v>0.26443862376454325</v>
      </c>
      <c r="AX55" s="125">
        <f t="shared" si="59"/>
        <v>0.25673652792674101</v>
      </c>
      <c r="AY55" s="125">
        <f t="shared" si="59"/>
        <v>0.24925876497741845</v>
      </c>
      <c r="AZ55" s="125">
        <f t="shared" si="59"/>
        <v>0.24199880094894996</v>
      </c>
      <c r="BA55" s="125">
        <f t="shared" si="59"/>
        <v>0.2349502921834466</v>
      </c>
      <c r="BB55" s="125">
        <f t="shared" si="59"/>
        <v>0.22810707978975397</v>
      </c>
      <c r="BC55" s="125">
        <f t="shared" si="59"/>
        <v>0.22146318426189707</v>
      </c>
      <c r="BD55" s="125">
        <f t="shared" si="59"/>
        <v>0.215012800254269</v>
      </c>
      <c r="BE55" s="125">
        <f t="shared" si="59"/>
        <v>0.20875029150899907</v>
      </c>
      <c r="BF55" s="125">
        <f t="shared" si="59"/>
        <v>0.20267018593106703</v>
      </c>
      <c r="BG55" s="125">
        <f t="shared" si="59"/>
        <v>0.19676717080686118</v>
      </c>
      <c r="BH55" s="125">
        <f t="shared" si="59"/>
        <v>0.19103608816200118</v>
      </c>
      <c r="BI55" s="125">
        <f t="shared" si="59"/>
        <v>0.18547193025437006</v>
      </c>
      <c r="BJ55" s="125">
        <f t="shared" si="59"/>
        <v>0.18006983519841754</v>
      </c>
      <c r="BK55" s="125">
        <f t="shared" si="59"/>
        <v>0.17482508271691022</v>
      </c>
      <c r="BL55" s="125">
        <f t="shared" si="59"/>
        <v>0.1697330900164177</v>
      </c>
    </row>
    <row r="56" spans="2:64" x14ac:dyDescent="0.2">
      <c r="B56" s="54"/>
      <c r="D56" s="125"/>
      <c r="E56" s="125"/>
      <c r="F56" s="125"/>
      <c r="G56" s="125"/>
      <c r="H56" s="125"/>
      <c r="I56" s="125"/>
      <c r="J56" s="125"/>
      <c r="K56" s="125"/>
      <c r="L56" s="125"/>
      <c r="M56" s="125"/>
      <c r="N56" s="125"/>
      <c r="O56" s="125"/>
      <c r="P56" s="125"/>
      <c r="Q56" s="125"/>
      <c r="R56" s="125"/>
      <c r="S56" s="125"/>
      <c r="T56" s="125"/>
      <c r="U56" s="125"/>
      <c r="V56" s="125"/>
      <c r="W56" s="125"/>
      <c r="X56" s="125"/>
      <c r="Y56" s="125"/>
      <c r="Z56" s="125"/>
      <c r="AA56" s="125"/>
      <c r="AB56" s="125"/>
      <c r="AC56" s="125"/>
      <c r="AD56" s="125"/>
      <c r="AE56" s="125"/>
      <c r="AF56" s="125"/>
      <c r="AG56" s="125"/>
      <c r="AH56" s="125"/>
      <c r="AI56" s="125"/>
      <c r="AJ56" s="125"/>
      <c r="AK56" s="125"/>
      <c r="AL56" s="125"/>
      <c r="AM56" s="125"/>
      <c r="AN56" s="125"/>
      <c r="AO56" s="125"/>
      <c r="AP56" s="125"/>
      <c r="AQ56" s="125"/>
      <c r="AR56" s="125"/>
      <c r="AS56" s="125"/>
      <c r="AT56" s="125"/>
      <c r="AU56" s="125"/>
      <c r="AV56" s="125"/>
      <c r="AW56" s="125"/>
      <c r="AX56" s="125"/>
      <c r="AY56" s="125"/>
      <c r="AZ56" s="125"/>
      <c r="BA56" s="125"/>
      <c r="BB56" s="125"/>
      <c r="BC56" s="125"/>
      <c r="BD56" s="125"/>
      <c r="BE56" s="125"/>
      <c r="BF56" s="125"/>
      <c r="BG56" s="125"/>
      <c r="BH56" s="125"/>
      <c r="BI56" s="125"/>
      <c r="BJ56" s="125"/>
      <c r="BK56" s="125"/>
      <c r="BL56" s="125"/>
    </row>
    <row r="58" spans="2:64" x14ac:dyDescent="0.2">
      <c r="B58" s="35" t="s">
        <v>275</v>
      </c>
    </row>
    <row r="59" spans="2:64" x14ac:dyDescent="0.2">
      <c r="B59" s="53" t="s">
        <v>157</v>
      </c>
    </row>
    <row r="60" spans="2:64" x14ac:dyDescent="0.2">
      <c r="B60" s="54" t="s">
        <v>2024</v>
      </c>
      <c r="E60" s="242">
        <f>(OPEX!$C$30*(E$6-E$7)
+OPEX!$D$30*(E$7-E$8)
+OPEX!$E$30*E$8) *E50</f>
        <v>6486451.2748789107</v>
      </c>
      <c r="F60" s="242">
        <f>(OPEX!$C$30*(F$6-F$7)
+OPEX!$D$30*(F$7-F$8)
+OPEX!$E$30*F$8) *F50</f>
        <v>6334965.5400137668</v>
      </c>
      <c r="G60" s="242">
        <f>(OPEX!$C$30*(G$6-G$7)
+OPEX!$D$30*(G$7-G$8)
+OPEX!$E$30*G$8) *G50</f>
        <v>6279233.5849354062</v>
      </c>
      <c r="H60" s="242">
        <f>(OPEX!$C$30*(H$6-H$7)
+OPEX!$D$30*(H$7-H$8)
+OPEX!$E$30*H$8) *H50</f>
        <v>6360233.9974119114</v>
      </c>
      <c r="I60" s="242">
        <f>(OPEX!$C$30*(I$6-I$7)
+OPEX!$D$30*(I$7-I$8)
+OPEX!$E$30*I$8) *I50</f>
        <v>6396220.6736644479</v>
      </c>
      <c r="J60" s="242">
        <f>(OPEX!$C$30*(J$6-J$7)
+OPEX!$D$30*(J$7-J$8)
+OPEX!$E$30*J$8) *J50</f>
        <v>6304599.7669752575</v>
      </c>
      <c r="K60" s="242">
        <f>(OPEX!$C$30*(K$6-K$7)
+OPEX!$D$30*(K$7-K$8)
+OPEX!$E$30*K$8) *K50</f>
        <v>6161143.7936202083</v>
      </c>
      <c r="L60" s="242">
        <f>(OPEX!$C$30*(L$6-L$7)
+OPEX!$D$30*(L$7-L$8)
+OPEX!$E$30*L$8) *L50</f>
        <v>6029355.5565288486</v>
      </c>
      <c r="M60" s="242">
        <f>(OPEX!$C$30*(M$6-M$7)
+OPEX!$D$30*(M$7-M$8)
+OPEX!$E$30*M$8) *M50</f>
        <v>5969931.3324344158</v>
      </c>
      <c r="N60" s="242">
        <f>(OPEX!$C$30*(N$6-N$7)
+OPEX!$D$30*(N$7-N$8)
+OPEX!$E$30*N$8) *N50</f>
        <v>5929508.4313641908</v>
      </c>
      <c r="O60" s="242">
        <f>(OPEX!$C$30*(O$6-O$7)
+OPEX!$D$30*(O$7-O$8)
+OPEX!$E$30*O$8) *O50</f>
        <v>5845040.4431237495</v>
      </c>
      <c r="P60" s="242">
        <f>(OPEX!$C$30*(P$6-P$7)
+OPEX!$D$30*(P$7-P$8)
+OPEX!$E$30*P$8) *P50</f>
        <v>5891665.1320981849</v>
      </c>
      <c r="Q60" s="242">
        <f>(OPEX!$C$30*(Q$6-Q$7)
+OPEX!$D$30*(Q$7-Q$8)
+OPEX!$E$30*Q$8) *Q50</f>
        <v>5865583.7160707843</v>
      </c>
      <c r="R60" s="242">
        <f>(OPEX!$C$30*(R$6-R$7)
+OPEX!$D$30*(R$7-R$8)
+OPEX!$E$30*R$8) *R50</f>
        <v>5809833.0769821461</v>
      </c>
      <c r="S60" s="242">
        <f>(OPEX!$C$30*(S$6-S$7)
+OPEX!$D$30*(S$7-S$8)
+OPEX!$E$30*S$8) *S50</f>
        <v>5809833.0769821461</v>
      </c>
      <c r="T60" s="242">
        <f>(OPEX!$C$30*(T$6-T$7)
+OPEX!$D$30*(T$7-T$8)
+OPEX!$E$30*T$8) *T50</f>
        <v>5809833.0769821461</v>
      </c>
      <c r="U60" s="242">
        <f>(OPEX!$C$30*(U$6-U$7)
+OPEX!$D$30*(U$7-U$8)
+OPEX!$E$30*U$8) *U50</f>
        <v>5809833.0769821461</v>
      </c>
      <c r="V60" s="242">
        <f>(OPEX!$C$30*(V$6-V$7)
+OPEX!$D$30*(V$7-V$8)
+OPEX!$E$30*V$8) *V50</f>
        <v>5809833.0769821461</v>
      </c>
      <c r="W60" s="242">
        <f>(OPEX!$C$30*(W$6-W$7)
+OPEX!$D$30*(W$7-W$8)
+OPEX!$E$30*W$8) *W50</f>
        <v>5809833.0769821461</v>
      </c>
      <c r="X60" s="242">
        <f>(OPEX!$C$30*(X$6-X$7)
+OPEX!$D$30*(X$7-X$8)
+OPEX!$E$30*X$8) *X50</f>
        <v>5809833.0769821461</v>
      </c>
      <c r="Y60" s="242">
        <f>(OPEX!$C$30*(Y$6-Y$7)
+OPEX!$D$30*(Y$7-Y$8)
+OPEX!$E$30*Y$8) *Y50</f>
        <v>5809833.0769821461</v>
      </c>
      <c r="Z60" s="242">
        <f>(OPEX!$C$30*(Z$6-Z$7)
+OPEX!$D$30*(Z$7-Z$8)
+OPEX!$E$30*Z$8) *Z50</f>
        <v>5809833.0769821461</v>
      </c>
      <c r="AA60" s="242">
        <f>(OPEX!$C$30*(AA$6-AA$7)
+OPEX!$D$30*(AA$7-AA$8)
+OPEX!$E$30*AA$8) *AA50</f>
        <v>5809833.0769821461</v>
      </c>
      <c r="AB60" s="242">
        <f>(OPEX!$C$30*(AB$6-AB$7)
+OPEX!$D$30*(AB$7-AB$8)
+OPEX!$E$30*AB$8) *AB50</f>
        <v>5809833.0769821461</v>
      </c>
      <c r="AC60" s="242">
        <f>(OPEX!$C$30*(AC$6-AC$7)
+OPEX!$D$30*(AC$7-AC$8)
+OPEX!$E$30*AC$8) *AC50</f>
        <v>5809833.0769821461</v>
      </c>
      <c r="AD60" s="242">
        <f>(OPEX!$C$30*(AD$6-AD$7)
+OPEX!$D$30*(AD$7-AD$8)
+OPEX!$E$30*AD$8) *AD50</f>
        <v>5809833.0769821461</v>
      </c>
      <c r="AE60" s="242">
        <f>(OPEX!$C$30*(AE$6-AE$7)
+OPEX!$D$30*(AE$7-AE$8)
+OPEX!$E$30*AE$8) *AE50</f>
        <v>5809833.0769821461</v>
      </c>
      <c r="AF60" s="242">
        <f>(OPEX!$C$30*(AF$6-AF$7)
+OPEX!$D$30*(AF$7-AF$8)
+OPEX!$E$30*AF$8) *AF50</f>
        <v>5809833.0769821461</v>
      </c>
      <c r="AG60" s="242">
        <f>(OPEX!$C$30*(AG$6-AG$7)
+OPEX!$D$30*(AG$7-AG$8)
+OPEX!$E$30*AG$8) *AG50</f>
        <v>5809833.0769821461</v>
      </c>
      <c r="AH60" s="242">
        <f>(OPEX!$C$30*(AH$6-AH$7)
+OPEX!$D$30*(AH$7-AH$8)
+OPEX!$E$30*AH$8) *AH50</f>
        <v>5809833.0769821461</v>
      </c>
      <c r="AI60" s="242">
        <f>(OPEX!$C$30*(AI$6-AI$7)
+OPEX!$D$30*(AI$7-AI$8)
+OPEX!$E$30*AI$8) *AI50</f>
        <v>5809833.0769821461</v>
      </c>
      <c r="AJ60" s="242">
        <f>(OPEX!$C$30*(AJ$6-AJ$7)
+OPEX!$D$30*(AJ$7-AJ$8)
+OPEX!$E$30*AJ$8) *AJ50</f>
        <v>5809833.0769821461</v>
      </c>
      <c r="AK60" s="242">
        <f>(OPEX!$C$30*(AK$6-AK$7)
+OPEX!$D$30*(AK$7-AK$8)
+OPEX!$E$30*AK$8) *AK50</f>
        <v>5809833.0769821461</v>
      </c>
      <c r="AL60" s="242">
        <f>(OPEX!$C$30*(AL$6-AL$7)
+OPEX!$D$30*(AL$7-AL$8)
+OPEX!$E$30*AL$8) *AL50</f>
        <v>5809833.0769821461</v>
      </c>
      <c r="AM60" s="242">
        <f>(OPEX!$C$30*(AM$6-AM$7)
+OPEX!$D$30*(AM$7-AM$8)
+OPEX!$E$30*AM$8) *AM50</f>
        <v>5809833.0769821461</v>
      </c>
      <c r="AN60" s="242">
        <f>(OPEX!$C$30*(AN$6-AN$7)
+OPEX!$D$30*(AN$7-AN$8)
+OPEX!$E$30*AN$8) *AN50</f>
        <v>5809833.0769821461</v>
      </c>
      <c r="AO60" s="242">
        <f>(OPEX!$C$30*(AO$6-AO$7)
+OPEX!$D$30*(AO$7-AO$8)
+OPEX!$E$30*AO$8) *AO50</f>
        <v>5809833.0769821461</v>
      </c>
      <c r="AP60" s="242">
        <f>(OPEX!$C$30*(AP$6-AP$7)
+OPEX!$D$30*(AP$7-AP$8)
+OPEX!$E$30*AP$8) *AP50</f>
        <v>5809833.0769821461</v>
      </c>
      <c r="AQ60" s="242">
        <f>(OPEX!$C$30*(AQ$6-AQ$7)
+OPEX!$D$30*(AQ$7-AQ$8)
+OPEX!$E$30*AQ$8) *AQ50</f>
        <v>5809833.0769821461</v>
      </c>
      <c r="AR60" s="242">
        <f>(OPEX!$C$30*(AR$6-AR$7)
+OPEX!$D$30*(AR$7-AR$8)
+OPEX!$E$30*AR$8) *AR50</f>
        <v>5809833.0769821461</v>
      </c>
      <c r="AS60" s="242">
        <f>(OPEX!$C$30*(AS$6-AS$7)
+OPEX!$D$30*(AS$7-AS$8)
+OPEX!$E$30*AS$8) *AS50</f>
        <v>5809833.0769821461</v>
      </c>
      <c r="AT60" s="242">
        <f>(OPEX!$C$30*(AT$6-AT$7)
+OPEX!$D$30*(AT$7-AT$8)
+OPEX!$E$30*AT$8) *AT50</f>
        <v>5809833.0769821461</v>
      </c>
      <c r="AU60" s="242">
        <f>(OPEX!$C$30*(AU$6-AU$7)
+OPEX!$D$30*(AU$7-AU$8)
+OPEX!$E$30*AU$8) *AU50</f>
        <v>5809833.0769821461</v>
      </c>
      <c r="AV60" s="242">
        <f>(OPEX!$C$30*(AV$6-AV$7)
+OPEX!$D$30*(AV$7-AV$8)
+OPEX!$E$30*AV$8) *AV50</f>
        <v>5809833.0769821461</v>
      </c>
      <c r="AW60" s="242">
        <f>(OPEX!$C$30*(AW$6-AW$7)
+OPEX!$D$30*(AW$7-AW$8)
+OPEX!$E$30*AW$8) *AW50</f>
        <v>5809833.0769821461</v>
      </c>
      <c r="AX60" s="242">
        <f>(OPEX!$C$30*(AX$6-AX$7)
+OPEX!$D$30*(AX$7-AX$8)
+OPEX!$E$30*AX$8) *AX50</f>
        <v>5809833.0769821461</v>
      </c>
      <c r="AY60" s="242">
        <f>(OPEX!$C$30*(AY$6-AY$7)
+OPEX!$D$30*(AY$7-AY$8)
+OPEX!$E$30*AY$8) *AY50</f>
        <v>5809833.0769821461</v>
      </c>
      <c r="AZ60" s="242">
        <f>(OPEX!$C$30*(AZ$6-AZ$7)
+OPEX!$D$30*(AZ$7-AZ$8)
+OPEX!$E$30*AZ$8) *AZ50</f>
        <v>5809833.0769821461</v>
      </c>
      <c r="BA60" s="242">
        <f>(OPEX!$C$30*(BA$6-BA$7)
+OPEX!$D$30*(BA$7-BA$8)
+OPEX!$E$30*BA$8) *BA50</f>
        <v>5809833.0769821461</v>
      </c>
      <c r="BB60" s="242">
        <f>(OPEX!$C$30*(BB$6-BB$7)
+OPEX!$D$30*(BB$7-BB$8)
+OPEX!$E$30*BB$8) *BB50</f>
        <v>5809833.0769821461</v>
      </c>
      <c r="BC60" s="242">
        <f>(OPEX!$C$30*(BC$6-BC$7)
+OPEX!$D$30*(BC$7-BC$8)
+OPEX!$E$30*BC$8) *BC50</f>
        <v>5809833.0769821461</v>
      </c>
      <c r="BD60" s="242">
        <f>(OPEX!$C$30*(BD$6-BD$7)
+OPEX!$D$30*(BD$7-BD$8)
+OPEX!$E$30*BD$8) *BD50</f>
        <v>5809833.0769821461</v>
      </c>
      <c r="BE60" s="242">
        <f>(OPEX!$C$30*(BE$6-BE$7)
+OPEX!$D$30*(BE$7-BE$8)
+OPEX!$E$30*BE$8) *BE50</f>
        <v>5809833.0769821461</v>
      </c>
      <c r="BF60" s="242">
        <f>(OPEX!$C$30*(BF$6-BF$7)
+OPEX!$D$30*(BF$7-BF$8)
+OPEX!$E$30*BF$8) *BF50</f>
        <v>5809833.0769821461</v>
      </c>
      <c r="BG60" s="242">
        <f>(OPEX!$C$30*(BG$6-BG$7)
+OPEX!$D$30*(BG$7-BG$8)
+OPEX!$E$30*BG$8) *BG50</f>
        <v>5809833.0769821461</v>
      </c>
      <c r="BH60" s="242">
        <f>(OPEX!$C$30*(BH$6-BH$7)
+OPEX!$D$30*(BH$7-BH$8)
+OPEX!$E$30*BH$8) *BH50</f>
        <v>5809833.0769821461</v>
      </c>
      <c r="BI60" s="242">
        <f>(OPEX!$C$30*(BI$6-BI$7)
+OPEX!$D$30*(BI$7-BI$8)
+OPEX!$E$30*BI$8) *BI50</f>
        <v>5809833.0769821461</v>
      </c>
      <c r="BJ60" s="242">
        <f>(OPEX!$C$30*(BJ$6-BJ$7)
+OPEX!$D$30*(BJ$7-BJ$8)
+OPEX!$E$30*BJ$8) *BJ50</f>
        <v>5809833.0769821461</v>
      </c>
      <c r="BK60" s="242">
        <f>(OPEX!$C$30*(BK$6-BK$7)
+OPEX!$D$30*(BK$7-BK$8)
+OPEX!$E$30*BK$8) *BK50</f>
        <v>5809833.0769821461</v>
      </c>
      <c r="BL60" s="242">
        <f>(OPEX!$C$30*(BL$6-BL$7)
+OPEX!$D$30*(BL$7-BL$8)
+OPEX!$E$30*BL$8) *BL50</f>
        <v>5809833.0769821461</v>
      </c>
    </row>
    <row r="61" spans="2:64" ht="6" customHeight="1" x14ac:dyDescent="0.2">
      <c r="B61" s="54"/>
      <c r="E61" s="242"/>
      <c r="F61" s="242"/>
      <c r="G61" s="242"/>
      <c r="H61" s="242"/>
      <c r="I61" s="242"/>
      <c r="J61" s="242"/>
      <c r="K61" s="242"/>
      <c r="L61" s="242"/>
      <c r="M61" s="242"/>
      <c r="N61" s="242"/>
      <c r="O61" s="242"/>
      <c r="P61" s="242"/>
      <c r="Q61" s="242"/>
      <c r="R61" s="242"/>
      <c r="S61" s="242"/>
      <c r="T61" s="242"/>
      <c r="U61" s="242"/>
      <c r="V61" s="242"/>
      <c r="W61" s="242"/>
      <c r="X61" s="242"/>
      <c r="Y61" s="242"/>
      <c r="Z61" s="242"/>
      <c r="AA61" s="242"/>
      <c r="AB61" s="242"/>
      <c r="AC61" s="242"/>
      <c r="AD61" s="242"/>
      <c r="AE61" s="242"/>
      <c r="AF61" s="242"/>
      <c r="AG61" s="242"/>
      <c r="AH61" s="242"/>
      <c r="AI61" s="242"/>
      <c r="AJ61" s="242"/>
      <c r="AK61" s="242"/>
      <c r="AL61" s="242"/>
      <c r="AM61" s="242"/>
      <c r="AN61" s="242"/>
      <c r="AO61" s="242"/>
      <c r="AP61" s="242"/>
      <c r="AQ61" s="242"/>
      <c r="AR61" s="242"/>
      <c r="AS61" s="242"/>
      <c r="AT61" s="242"/>
      <c r="AU61" s="242"/>
      <c r="AV61" s="242"/>
      <c r="AW61" s="242"/>
      <c r="AX61" s="242"/>
      <c r="AY61" s="242"/>
      <c r="AZ61" s="242"/>
      <c r="BA61" s="242"/>
      <c r="BB61" s="242"/>
      <c r="BC61" s="242"/>
      <c r="BD61" s="242"/>
      <c r="BE61" s="242"/>
      <c r="BF61" s="242"/>
      <c r="BG61" s="242"/>
      <c r="BH61" s="242"/>
      <c r="BI61" s="242"/>
      <c r="BJ61" s="242"/>
      <c r="BK61" s="242"/>
      <c r="BL61" s="242"/>
    </row>
    <row r="62" spans="2:64" x14ac:dyDescent="0.2">
      <c r="B62" s="54" t="s">
        <v>2023</v>
      </c>
      <c r="E62" s="242">
        <f>OPEX!$C$31*(E$6-E$7)
+OPEX!$D$31*(E$7-E$8)
+OPEX!$E$31*E$8</f>
        <v>2079812.9425866967</v>
      </c>
      <c r="F62" s="242">
        <f>OPEX!$C$31*(F$6-F$7)+OPEX!$D$31*(F$7-F$8)+OPEX!$E$31*F$8</f>
        <v>2079812.9425866967</v>
      </c>
      <c r="G62" s="242">
        <f>OPEX!$C$31*(G$6-G$7)+OPEX!$D$31*(G$7-G$8)+OPEX!$E$31*G$8</f>
        <v>2079812.9425866967</v>
      </c>
      <c r="H62" s="242">
        <f>OPEX!$C$31*(H$6-H$7)+OPEX!$D$31*(H$7-H$8)+OPEX!$E$31*H$8</f>
        <v>2079812.9425866967</v>
      </c>
      <c r="I62" s="242">
        <f>OPEX!$C$31*(I$6-I$7)+OPEX!$D$31*(I$7-I$8)+OPEX!$E$31*I$8</f>
        <v>2079812.9425866967</v>
      </c>
      <c r="J62" s="242">
        <f>OPEX!$C$31*(J$6-J$7)+OPEX!$D$31*(J$7-J$8)+OPEX!$E$31*J$8</f>
        <v>2079812.9425866967</v>
      </c>
      <c r="K62" s="242">
        <f>OPEX!$C$31*(K$6-K$7)+OPEX!$D$31*(K$7-K$8)+OPEX!$E$31*K$8</f>
        <v>2079812.9425866967</v>
      </c>
      <c r="L62" s="242">
        <f>OPEX!$C$31*(L$6-L$7)+OPEX!$D$31*(L$7-L$8)+OPEX!$E$31*L$8</f>
        <v>2079812.9425866967</v>
      </c>
      <c r="M62" s="242">
        <f>OPEX!$C$31*(M$6-M$7)+OPEX!$D$31*(M$7-M$8)+OPEX!$E$31*M$8</f>
        <v>2079812.9425866967</v>
      </c>
      <c r="N62" s="242">
        <f>OPEX!$C$31*(N$6-N$7)+OPEX!$D$31*(N$7-N$8)+OPEX!$E$31*N$8</f>
        <v>2079812.9425866967</v>
      </c>
      <c r="O62" s="242">
        <f>OPEX!$C$31*(O$6-O$7)+OPEX!$D$31*(O$7-O$8)+OPEX!$E$31*O$8</f>
        <v>2079812.9425866967</v>
      </c>
      <c r="P62" s="242">
        <f>OPEX!$C$31*(P$6-P$7)+OPEX!$D$31*(P$7-P$8)+OPEX!$E$31*P$8</f>
        <v>2079812.9425866967</v>
      </c>
      <c r="Q62" s="242">
        <f>OPEX!$C$31*(Q$6-Q$7)+OPEX!$D$31*(Q$7-Q$8)+OPEX!$E$31*Q$8</f>
        <v>2079812.9425866967</v>
      </c>
      <c r="R62" s="242">
        <f>OPEX!$C$31*(R$6-R$7)+OPEX!$D$31*(R$7-R$8)+OPEX!$E$31*R$8</f>
        <v>2079812.9425866967</v>
      </c>
      <c r="S62" s="242">
        <f>OPEX!$C$31*(S$6-S$7)+OPEX!$D$31*(S$7-S$8)+OPEX!$E$31*S$8</f>
        <v>2079812.9425866967</v>
      </c>
      <c r="T62" s="242">
        <f>OPEX!$C$31*(T$6-T$7)+OPEX!$D$31*(T$7-T$8)+OPEX!$E$31*T$8</f>
        <v>2079812.9425866967</v>
      </c>
      <c r="U62" s="242">
        <f>OPEX!$C$31*(U$6-U$7)+OPEX!$D$31*(U$7-U$8)+OPEX!$E$31*U$8</f>
        <v>2079812.9425866967</v>
      </c>
      <c r="V62" s="242">
        <f>OPEX!$C$31*(V$6-V$7)+OPEX!$D$31*(V$7-V$8)+OPEX!$E$31*V$8</f>
        <v>2079812.9425866967</v>
      </c>
      <c r="W62" s="242">
        <f>OPEX!$C$31*(W$6-W$7)+OPEX!$D$31*(W$7-W$8)+OPEX!$E$31*W$8</f>
        <v>2079812.9425866967</v>
      </c>
      <c r="X62" s="242">
        <f>OPEX!$C$31*(X$6-X$7)+OPEX!$D$31*(X$7-X$8)+OPEX!$E$31*X$8</f>
        <v>2079812.9425866967</v>
      </c>
      <c r="Y62" s="242">
        <f>OPEX!$C$31*(Y$6-Y$7)+OPEX!$D$31*(Y$7-Y$8)+OPEX!$E$31*Y$8</f>
        <v>2079812.9425866967</v>
      </c>
      <c r="Z62" s="242">
        <f>OPEX!$C$31*(Z$6-Z$7)+OPEX!$D$31*(Z$7-Z$8)+OPEX!$E$31*Z$8</f>
        <v>2079812.9425866967</v>
      </c>
      <c r="AA62" s="242">
        <f>OPEX!$C$31*(AA$6-AA$7)+OPEX!$D$31*(AA$7-AA$8)+OPEX!$E$31*AA$8</f>
        <v>2079812.9425866967</v>
      </c>
      <c r="AB62" s="242">
        <f>OPEX!$C$31*(AB$6-AB$7)+OPEX!$D$31*(AB$7-AB$8)+OPEX!$E$31*AB$8</f>
        <v>2079812.9425866967</v>
      </c>
      <c r="AC62" s="242">
        <f>OPEX!$C$31*(AC$6-AC$7)+OPEX!$D$31*(AC$7-AC$8)+OPEX!$E$31*AC$8</f>
        <v>2079812.9425866967</v>
      </c>
      <c r="AD62" s="242">
        <f>OPEX!$C$31*(AD$6-AD$7)+OPEX!$D$31*(AD$7-AD$8)+OPEX!$E$31*AD$8</f>
        <v>2079812.9425866967</v>
      </c>
      <c r="AE62" s="242">
        <f>OPEX!$C$31*(AE$6-AE$7)+OPEX!$D$31*(AE$7-AE$8)+OPEX!$E$31*AE$8</f>
        <v>2079812.9425866967</v>
      </c>
      <c r="AF62" s="242">
        <f>OPEX!$C$31*(AF$6-AF$7)+OPEX!$D$31*(AF$7-AF$8)+OPEX!$E$31*AF$8</f>
        <v>2079812.9425866967</v>
      </c>
      <c r="AG62" s="242">
        <f>OPEX!$C$31*(AG$6-AG$7)+OPEX!$D$31*(AG$7-AG$8)+OPEX!$E$31*AG$8</f>
        <v>2079812.9425866967</v>
      </c>
      <c r="AH62" s="242">
        <f>OPEX!$C$31*(AH$6-AH$7)+OPEX!$D$31*(AH$7-AH$8)+OPEX!$E$31*AH$8</f>
        <v>2079812.9425866967</v>
      </c>
      <c r="AI62" s="242">
        <f>OPEX!$C$31*(AI$6-AI$7)+OPEX!$D$31*(AI$7-AI$8)+OPEX!$E$31*AI$8</f>
        <v>2079812.9425866967</v>
      </c>
      <c r="AJ62" s="242">
        <f>OPEX!$C$31*(AJ$6-AJ$7)+OPEX!$D$31*(AJ$7-AJ$8)+OPEX!$E$31*AJ$8</f>
        <v>2079812.9425866967</v>
      </c>
      <c r="AK62" s="242">
        <f>OPEX!$C$31*(AK$6-AK$7)+OPEX!$D$31*(AK$7-AK$8)+OPEX!$E$31*AK$8</f>
        <v>2079812.9425866967</v>
      </c>
      <c r="AL62" s="242">
        <f>OPEX!$C$31*(AL$6-AL$7)+OPEX!$D$31*(AL$7-AL$8)+OPEX!$E$31*AL$8</f>
        <v>2079812.9425866967</v>
      </c>
      <c r="AM62" s="242">
        <f>OPEX!$C$31*(AM$6-AM$7)+OPEX!$D$31*(AM$7-AM$8)+OPEX!$E$31*AM$8</f>
        <v>2079812.9425866967</v>
      </c>
      <c r="AN62" s="242">
        <f>OPEX!$C$31*(AN$6-AN$7)+OPEX!$D$31*(AN$7-AN$8)+OPEX!$E$31*AN$8</f>
        <v>2079812.9425866967</v>
      </c>
      <c r="AO62" s="242">
        <f>OPEX!$C$31*(AO$6-AO$7)+OPEX!$D$31*(AO$7-AO$8)+OPEX!$E$31*AO$8</f>
        <v>2079812.9425866967</v>
      </c>
      <c r="AP62" s="242">
        <f>OPEX!$C$31*(AP$6-AP$7)+OPEX!$D$31*(AP$7-AP$8)+OPEX!$E$31*AP$8</f>
        <v>2079812.9425866967</v>
      </c>
      <c r="AQ62" s="242">
        <f>OPEX!$C$31*(AQ$6-AQ$7)+OPEX!$D$31*(AQ$7-AQ$8)+OPEX!$E$31*AQ$8</f>
        <v>2079812.9425866967</v>
      </c>
      <c r="AR62" s="242">
        <f>OPEX!$C$31*(AR$6-AR$7)+OPEX!$D$31*(AR$7-AR$8)+OPEX!$E$31*AR$8</f>
        <v>2079812.9425866967</v>
      </c>
      <c r="AS62" s="242">
        <f>OPEX!$C$31*(AS$6-AS$7)+OPEX!$D$31*(AS$7-AS$8)+OPEX!$E$31*AS$8</f>
        <v>2079812.9425866967</v>
      </c>
      <c r="AT62" s="242">
        <f>OPEX!$C$31*(AT$6-AT$7)+OPEX!$D$31*(AT$7-AT$8)+OPEX!$E$31*AT$8</f>
        <v>2079812.9425866967</v>
      </c>
      <c r="AU62" s="242">
        <f>OPEX!$C$31*(AU$6-AU$7)+OPEX!$D$31*(AU$7-AU$8)+OPEX!$E$31*AU$8</f>
        <v>2079812.9425866967</v>
      </c>
      <c r="AV62" s="242">
        <f>OPEX!$C$31*(AV$6-AV$7)+OPEX!$D$31*(AV$7-AV$8)+OPEX!$E$31*AV$8</f>
        <v>2079812.9425866967</v>
      </c>
      <c r="AW62" s="242">
        <f>OPEX!$C$31*(AW$6-AW$7)+OPEX!$D$31*(AW$7-AW$8)+OPEX!$E$31*AW$8</f>
        <v>2079812.9425866967</v>
      </c>
      <c r="AX62" s="242">
        <f>OPEX!$C$31*(AX$6-AX$7)+OPEX!$D$31*(AX$7-AX$8)+OPEX!$E$31*AX$8</f>
        <v>2079812.9425866967</v>
      </c>
      <c r="AY62" s="242">
        <f>OPEX!$C$31*(AY$6-AY$7)+OPEX!$D$31*(AY$7-AY$8)+OPEX!$E$31*AY$8</f>
        <v>2079812.9425866967</v>
      </c>
      <c r="AZ62" s="242">
        <f>OPEX!$C$31*(AZ$6-AZ$7)+OPEX!$D$31*(AZ$7-AZ$8)+OPEX!$E$31*AZ$8</f>
        <v>2079812.9425866967</v>
      </c>
      <c r="BA62" s="242">
        <f>OPEX!$C$31*(BA$6-BA$7)+OPEX!$D$31*(BA$7-BA$8)+OPEX!$E$31*BA$8</f>
        <v>2079812.9425866967</v>
      </c>
      <c r="BB62" s="242">
        <f>OPEX!$C$31*(BB$6-BB$7)+OPEX!$D$31*(BB$7-BB$8)+OPEX!$E$31*BB$8</f>
        <v>2079812.9425866967</v>
      </c>
      <c r="BC62" s="242">
        <f>OPEX!$C$31*(BC$6-BC$7)+OPEX!$D$31*(BC$7-BC$8)+OPEX!$E$31*BC$8</f>
        <v>2079812.9425866967</v>
      </c>
      <c r="BD62" s="242">
        <f>OPEX!$C$31*(BD$6-BD$7)+OPEX!$D$31*(BD$7-BD$8)+OPEX!$E$31*BD$8</f>
        <v>2079812.9425866967</v>
      </c>
      <c r="BE62" s="242">
        <f>OPEX!$C$31*(BE$6-BE$7)+OPEX!$D$31*(BE$7-BE$8)+OPEX!$E$31*BE$8</f>
        <v>2079812.9425866967</v>
      </c>
      <c r="BF62" s="242">
        <f>OPEX!$C$31*(BF$6-BF$7)+OPEX!$D$31*(BF$7-BF$8)+OPEX!$E$31*BF$8</f>
        <v>2079812.9425866967</v>
      </c>
      <c r="BG62" s="242">
        <f>OPEX!$C$31*(BG$6-BG$7)+OPEX!$D$31*(BG$7-BG$8)+OPEX!$E$31*BG$8</f>
        <v>2079812.9425866967</v>
      </c>
      <c r="BH62" s="242">
        <f>OPEX!$C$31*(BH$6-BH$7)+OPEX!$D$31*(BH$7-BH$8)+OPEX!$E$31*BH$8</f>
        <v>2079812.9425866967</v>
      </c>
      <c r="BI62" s="242">
        <f>OPEX!$C$31*(BI$6-BI$7)+OPEX!$D$31*(BI$7-BI$8)+OPEX!$E$31*BI$8</f>
        <v>2079812.9425866967</v>
      </c>
      <c r="BJ62" s="242">
        <f>OPEX!$C$31*(BJ$6-BJ$7)+OPEX!$D$31*(BJ$7-BJ$8)+OPEX!$E$31*BJ$8</f>
        <v>2079812.9425866967</v>
      </c>
      <c r="BK62" s="242">
        <f>OPEX!$C$31*(BK$6-BK$7)+OPEX!$D$31*(BK$7-BK$8)+OPEX!$E$31*BK$8</f>
        <v>2079812.9425866967</v>
      </c>
      <c r="BL62" s="242">
        <f>OPEX!$C$31*(BL$6-BL$7)+OPEX!$D$31*(BL$7-BL$8)+OPEX!$E$31*BL$8</f>
        <v>2079812.9425866967</v>
      </c>
    </row>
    <row r="63" spans="2:64" x14ac:dyDescent="0.2">
      <c r="B63" s="54" t="s">
        <v>216</v>
      </c>
      <c r="E63" s="242">
        <f>OPEX!$C$32*(E$6-E$7)
+OPEX!$D$32*(E$7-E$8)
+OPEX!$E$32*E$8</f>
        <v>124323.19529678</v>
      </c>
      <c r="F63" s="242">
        <f>OPEX!$C$32*(F$6-F$7)+OPEX!$D$32*(F$7-F$8)+OPEX!$E$32*F$8</f>
        <v>124323.19529678</v>
      </c>
      <c r="G63" s="242">
        <f>OPEX!$C$32*(G$6-G$7)+OPEX!$D$32*(G$7-G$8)+OPEX!$E$32*G$8</f>
        <v>124323.19529678</v>
      </c>
      <c r="H63" s="242">
        <f>OPEX!$C$32*(H$6-H$7)+OPEX!$D$32*(H$7-H$8)+OPEX!$E$32*H$8</f>
        <v>124323.19529678</v>
      </c>
      <c r="I63" s="242">
        <f>OPEX!$C$32*(I$6-I$7)+OPEX!$D$32*(I$7-I$8)+OPEX!$E$32*I$8</f>
        <v>124323.19529678</v>
      </c>
      <c r="J63" s="242">
        <f>OPEX!$C$32*(J$6-J$7)+OPEX!$D$32*(J$7-J$8)+OPEX!$E$32*J$8</f>
        <v>124323.19529678</v>
      </c>
      <c r="K63" s="242">
        <f>OPEX!$C$32*(K$6-K$7)+OPEX!$D$32*(K$7-K$8)+OPEX!$E$32*K$8</f>
        <v>124323.19529678</v>
      </c>
      <c r="L63" s="242">
        <f>OPEX!$C$32*(L$6-L$7)+OPEX!$D$32*(L$7-L$8)+OPEX!$E$32*L$8</f>
        <v>124323.19529678</v>
      </c>
      <c r="M63" s="242">
        <f>OPEX!$C$32*(M$6-M$7)+OPEX!$D$32*(M$7-M$8)+OPEX!$E$32*M$8</f>
        <v>124323.19529678</v>
      </c>
      <c r="N63" s="242">
        <f>OPEX!$C$32*(N$6-N$7)+OPEX!$D$32*(N$7-N$8)+OPEX!$E$32*N$8</f>
        <v>124323.19529678</v>
      </c>
      <c r="O63" s="242">
        <f>OPEX!$C$32*(O$6-O$7)+OPEX!$D$32*(O$7-O$8)+OPEX!$E$32*O$8</f>
        <v>124323.19529678</v>
      </c>
      <c r="P63" s="242">
        <f>OPEX!$C$32*(P$6-P$7)+OPEX!$D$32*(P$7-P$8)+OPEX!$E$32*P$8</f>
        <v>124323.19529678</v>
      </c>
      <c r="Q63" s="242">
        <f>OPEX!$C$32*(Q$6-Q$7)+OPEX!$D$32*(Q$7-Q$8)+OPEX!$E$32*Q$8</f>
        <v>124323.19529678</v>
      </c>
      <c r="R63" s="242">
        <f>OPEX!$C$32*(R$6-R$7)+OPEX!$D$32*(R$7-R$8)+OPEX!$E$32*R$8</f>
        <v>124323.19529678</v>
      </c>
      <c r="S63" s="242">
        <f>OPEX!$C$32*(S$6-S$7)+OPEX!$D$32*(S$7-S$8)+OPEX!$E$32*S$8</f>
        <v>124323.19529678</v>
      </c>
      <c r="T63" s="242">
        <f>OPEX!$C$32*(T$6-T$7)+OPEX!$D$32*(T$7-T$8)+OPEX!$E$32*T$8</f>
        <v>124323.19529678</v>
      </c>
      <c r="U63" s="242">
        <f>OPEX!$C$32*(U$6-U$7)+OPEX!$D$32*(U$7-U$8)+OPEX!$E$32*U$8</f>
        <v>124323.19529678</v>
      </c>
      <c r="V63" s="242">
        <f>OPEX!$C$32*(V$6-V$7)+OPEX!$D$32*(V$7-V$8)+OPEX!$E$32*V$8</f>
        <v>124323.19529678</v>
      </c>
      <c r="W63" s="242">
        <f>OPEX!$C$32*(W$6-W$7)+OPEX!$D$32*(W$7-W$8)+OPEX!$E$32*W$8</f>
        <v>124323.19529678</v>
      </c>
      <c r="X63" s="242">
        <f>OPEX!$C$32*(X$6-X$7)+OPEX!$D$32*(X$7-X$8)+OPEX!$E$32*X$8</f>
        <v>124323.19529678</v>
      </c>
      <c r="Y63" s="242">
        <f>OPEX!$C$32*(Y$6-Y$7)+OPEX!$D$32*(Y$7-Y$8)+OPEX!$E$32*Y$8</f>
        <v>124323.19529678</v>
      </c>
      <c r="Z63" s="242">
        <f>OPEX!$C$32*(Z$6-Z$7)+OPEX!$D$32*(Z$7-Z$8)+OPEX!$E$32*Z$8</f>
        <v>124323.19529678</v>
      </c>
      <c r="AA63" s="242">
        <f>OPEX!$C$32*(AA$6-AA$7)+OPEX!$D$32*(AA$7-AA$8)+OPEX!$E$32*AA$8</f>
        <v>124323.19529678</v>
      </c>
      <c r="AB63" s="242">
        <f>OPEX!$C$32*(AB$6-AB$7)+OPEX!$D$32*(AB$7-AB$8)+OPEX!$E$32*AB$8</f>
        <v>124323.19529678</v>
      </c>
      <c r="AC63" s="242">
        <f>OPEX!$C$32*(AC$6-AC$7)+OPEX!$D$32*(AC$7-AC$8)+OPEX!$E$32*AC$8</f>
        <v>124323.19529678</v>
      </c>
      <c r="AD63" s="242">
        <f>OPEX!$C$32*(AD$6-AD$7)+OPEX!$D$32*(AD$7-AD$8)+OPEX!$E$32*AD$8</f>
        <v>124323.19529678</v>
      </c>
      <c r="AE63" s="242">
        <f>OPEX!$C$32*(AE$6-AE$7)+OPEX!$D$32*(AE$7-AE$8)+OPEX!$E$32*AE$8</f>
        <v>124323.19529678</v>
      </c>
      <c r="AF63" s="242">
        <f>OPEX!$C$32*(AF$6-AF$7)+OPEX!$D$32*(AF$7-AF$8)+OPEX!$E$32*AF$8</f>
        <v>124323.19529678</v>
      </c>
      <c r="AG63" s="242">
        <f>OPEX!$C$32*(AG$6-AG$7)+OPEX!$D$32*(AG$7-AG$8)+OPEX!$E$32*AG$8</f>
        <v>124323.19529678</v>
      </c>
      <c r="AH63" s="242">
        <f>OPEX!$C$32*(AH$6-AH$7)+OPEX!$D$32*(AH$7-AH$8)+OPEX!$E$32*AH$8</f>
        <v>124323.19529678</v>
      </c>
      <c r="AI63" s="242">
        <f>OPEX!$C$32*(AI$6-AI$7)+OPEX!$D$32*(AI$7-AI$8)+OPEX!$E$32*AI$8</f>
        <v>124323.19529678</v>
      </c>
      <c r="AJ63" s="242">
        <f>OPEX!$C$32*(AJ$6-AJ$7)+OPEX!$D$32*(AJ$7-AJ$8)+OPEX!$E$32*AJ$8</f>
        <v>124323.19529678</v>
      </c>
      <c r="AK63" s="242">
        <f>OPEX!$C$32*(AK$6-AK$7)+OPEX!$D$32*(AK$7-AK$8)+OPEX!$E$32*AK$8</f>
        <v>124323.19529678</v>
      </c>
      <c r="AL63" s="242">
        <f>OPEX!$C$32*(AL$6-AL$7)+OPEX!$D$32*(AL$7-AL$8)+OPEX!$E$32*AL$8</f>
        <v>124323.19529678</v>
      </c>
      <c r="AM63" s="242">
        <f>OPEX!$C$32*(AM$6-AM$7)+OPEX!$D$32*(AM$7-AM$8)+OPEX!$E$32*AM$8</f>
        <v>124323.19529678</v>
      </c>
      <c r="AN63" s="242">
        <f>OPEX!$C$32*(AN$6-AN$7)+OPEX!$D$32*(AN$7-AN$8)+OPEX!$E$32*AN$8</f>
        <v>124323.19529678</v>
      </c>
      <c r="AO63" s="242">
        <f>OPEX!$C$32*(AO$6-AO$7)+OPEX!$D$32*(AO$7-AO$8)+OPEX!$E$32*AO$8</f>
        <v>124323.19529678</v>
      </c>
      <c r="AP63" s="242">
        <f>OPEX!$C$32*(AP$6-AP$7)+OPEX!$D$32*(AP$7-AP$8)+OPEX!$E$32*AP$8</f>
        <v>124323.19529678</v>
      </c>
      <c r="AQ63" s="242">
        <f>OPEX!$C$32*(AQ$6-AQ$7)+OPEX!$D$32*(AQ$7-AQ$8)+OPEX!$E$32*AQ$8</f>
        <v>124323.19529678</v>
      </c>
      <c r="AR63" s="242">
        <f>OPEX!$C$32*(AR$6-AR$7)+OPEX!$D$32*(AR$7-AR$8)+OPEX!$E$32*AR$8</f>
        <v>124323.19529678</v>
      </c>
      <c r="AS63" s="242">
        <f>OPEX!$C$32*(AS$6-AS$7)+OPEX!$D$32*(AS$7-AS$8)+OPEX!$E$32*AS$8</f>
        <v>124323.19529678</v>
      </c>
      <c r="AT63" s="242">
        <f>OPEX!$C$32*(AT$6-AT$7)+OPEX!$D$32*(AT$7-AT$8)+OPEX!$E$32*AT$8</f>
        <v>124323.19529678</v>
      </c>
      <c r="AU63" s="242">
        <f>OPEX!$C$32*(AU$6-AU$7)+OPEX!$D$32*(AU$7-AU$8)+OPEX!$E$32*AU$8</f>
        <v>124323.19529678</v>
      </c>
      <c r="AV63" s="242">
        <f>OPEX!$C$32*(AV$6-AV$7)+OPEX!$D$32*(AV$7-AV$8)+OPEX!$E$32*AV$8</f>
        <v>124323.19529678</v>
      </c>
      <c r="AW63" s="242">
        <f>OPEX!$C$32*(AW$6-AW$7)+OPEX!$D$32*(AW$7-AW$8)+OPEX!$E$32*AW$8</f>
        <v>124323.19529678</v>
      </c>
      <c r="AX63" s="242">
        <f>OPEX!$C$32*(AX$6-AX$7)+OPEX!$D$32*(AX$7-AX$8)+OPEX!$E$32*AX$8</f>
        <v>124323.19529678</v>
      </c>
      <c r="AY63" s="242">
        <f>OPEX!$C$32*(AY$6-AY$7)+OPEX!$D$32*(AY$7-AY$8)+OPEX!$E$32*AY$8</f>
        <v>124323.19529678</v>
      </c>
      <c r="AZ63" s="242">
        <f>OPEX!$C$32*(AZ$6-AZ$7)+OPEX!$D$32*(AZ$7-AZ$8)+OPEX!$E$32*AZ$8</f>
        <v>124323.19529678</v>
      </c>
      <c r="BA63" s="242">
        <f>OPEX!$C$32*(BA$6-BA$7)+OPEX!$D$32*(BA$7-BA$8)+OPEX!$E$32*BA$8</f>
        <v>124323.19529678</v>
      </c>
      <c r="BB63" s="242">
        <f>OPEX!$C$32*(BB$6-BB$7)+OPEX!$D$32*(BB$7-BB$8)+OPEX!$E$32*BB$8</f>
        <v>124323.19529678</v>
      </c>
      <c r="BC63" s="242">
        <f>OPEX!$C$32*(BC$6-BC$7)+OPEX!$D$32*(BC$7-BC$8)+OPEX!$E$32*BC$8</f>
        <v>124323.19529678</v>
      </c>
      <c r="BD63" s="242">
        <f>OPEX!$C$32*(BD$6-BD$7)+OPEX!$D$32*(BD$7-BD$8)+OPEX!$E$32*BD$8</f>
        <v>124323.19529678</v>
      </c>
      <c r="BE63" s="242">
        <f>OPEX!$C$32*(BE$6-BE$7)+OPEX!$D$32*(BE$7-BE$8)+OPEX!$E$32*BE$8</f>
        <v>124323.19529678</v>
      </c>
      <c r="BF63" s="242">
        <f>OPEX!$C$32*(BF$6-BF$7)+OPEX!$D$32*(BF$7-BF$8)+OPEX!$E$32*BF$8</f>
        <v>124323.19529678</v>
      </c>
      <c r="BG63" s="242">
        <f>OPEX!$C$32*(BG$6-BG$7)+OPEX!$D$32*(BG$7-BG$8)+OPEX!$E$32*BG$8</f>
        <v>124323.19529678</v>
      </c>
      <c r="BH63" s="242">
        <f>OPEX!$C$32*(BH$6-BH$7)+OPEX!$D$32*(BH$7-BH$8)+OPEX!$E$32*BH$8</f>
        <v>124323.19529678</v>
      </c>
      <c r="BI63" s="242">
        <f>OPEX!$C$32*(BI$6-BI$7)+OPEX!$D$32*(BI$7-BI$8)+OPEX!$E$32*BI$8</f>
        <v>124323.19529678</v>
      </c>
      <c r="BJ63" s="242">
        <f>OPEX!$C$32*(BJ$6-BJ$7)+OPEX!$D$32*(BJ$7-BJ$8)+OPEX!$E$32*BJ$8</f>
        <v>124323.19529678</v>
      </c>
      <c r="BK63" s="242">
        <f>OPEX!$C$32*(BK$6-BK$7)+OPEX!$D$32*(BK$7-BK$8)+OPEX!$E$32*BK$8</f>
        <v>124323.19529678</v>
      </c>
      <c r="BL63" s="242">
        <f>OPEX!$C$32*(BL$6-BL$7)+OPEX!$D$32*(BL$7-BL$8)+OPEX!$E$32*BL$8</f>
        <v>124323.19529678</v>
      </c>
    </row>
    <row r="64" spans="2:64" x14ac:dyDescent="0.2">
      <c r="B64" s="54" t="s">
        <v>441</v>
      </c>
      <c r="E64" s="242">
        <f>OPEX!$C$33*(E$6-E$7)
+OPEX!$D$33*(E$7-E$8)
+OPEX!$E$33*E$8</f>
        <v>632979.66752999986</v>
      </c>
      <c r="F64" s="242">
        <f>OPEX!$C$33*(F$6-F$7)+OPEX!$D$33*(F$7-F$8)+OPEX!$E$33*F$8</f>
        <v>632979.66752999986</v>
      </c>
      <c r="G64" s="242">
        <f>OPEX!$C$33*(G$6-G$7)+OPEX!$D$33*(G$7-G$8)+OPEX!$E$33*G$8</f>
        <v>632979.66752999986</v>
      </c>
      <c r="H64" s="242">
        <f>OPEX!$C$33*(H$6-H$7)+OPEX!$D$33*(H$7-H$8)+OPEX!$E$33*H$8</f>
        <v>632979.66752999986</v>
      </c>
      <c r="I64" s="242">
        <f>OPEX!$C$33*(I$6-I$7)+OPEX!$D$33*(I$7-I$8)+OPEX!$E$33*I$8</f>
        <v>632979.66752999986</v>
      </c>
      <c r="J64" s="242">
        <f>OPEX!$C$33*(J$6-J$7)+OPEX!$D$33*(J$7-J$8)+OPEX!$E$33*J$8</f>
        <v>632979.66752999986</v>
      </c>
      <c r="K64" s="242">
        <f>OPEX!$C$33*(K$6-K$7)+OPEX!$D$33*(K$7-K$8)+OPEX!$E$33*K$8</f>
        <v>632979.66752999986</v>
      </c>
      <c r="L64" s="242">
        <f>OPEX!$C$33*(L$6-L$7)+OPEX!$D$33*(L$7-L$8)+OPEX!$E$33*L$8</f>
        <v>632979.66752999986</v>
      </c>
      <c r="M64" s="242">
        <f>OPEX!$C$33*(M$6-M$7)+OPEX!$D$33*(M$7-M$8)+OPEX!$E$33*M$8</f>
        <v>632979.66752999986</v>
      </c>
      <c r="N64" s="242">
        <f>OPEX!$C$33*(N$6-N$7)+OPEX!$D$33*(N$7-N$8)+OPEX!$E$33*N$8</f>
        <v>632979.66752999986</v>
      </c>
      <c r="O64" s="242">
        <f>OPEX!$C$33*(O$6-O$7)+OPEX!$D$33*(O$7-O$8)+OPEX!$E$33*O$8</f>
        <v>632979.66752999986</v>
      </c>
      <c r="P64" s="242">
        <f>OPEX!$C$33*(P$6-P$7)+OPEX!$D$33*(P$7-P$8)+OPEX!$E$33*P$8</f>
        <v>632979.66752999986</v>
      </c>
      <c r="Q64" s="242">
        <f>OPEX!$C$33*(Q$6-Q$7)+OPEX!$D$33*(Q$7-Q$8)+OPEX!$E$33*Q$8</f>
        <v>632979.66752999986</v>
      </c>
      <c r="R64" s="242">
        <f>OPEX!$C$33*(R$6-R$7)+OPEX!$D$33*(R$7-R$8)+OPEX!$E$33*R$8</f>
        <v>632979.66752999986</v>
      </c>
      <c r="S64" s="242">
        <f>OPEX!$C$33*(S$6-S$7)+OPEX!$D$33*(S$7-S$8)+OPEX!$E$33*S$8</f>
        <v>632979.66752999986</v>
      </c>
      <c r="T64" s="242">
        <f>OPEX!$C$33*(T$6-T$7)+OPEX!$D$33*(T$7-T$8)+OPEX!$E$33*T$8</f>
        <v>632979.66752999986</v>
      </c>
      <c r="U64" s="242">
        <f>OPEX!$C$33*(U$6-U$7)+OPEX!$D$33*(U$7-U$8)+OPEX!$E$33*U$8</f>
        <v>632979.66752999986</v>
      </c>
      <c r="V64" s="242">
        <f>OPEX!$C$33*(V$6-V$7)+OPEX!$D$33*(V$7-V$8)+OPEX!$E$33*V$8</f>
        <v>632979.66752999986</v>
      </c>
      <c r="W64" s="242">
        <f>OPEX!$C$33*(W$6-W$7)+OPEX!$D$33*(W$7-W$8)+OPEX!$E$33*W$8</f>
        <v>632979.66752999986</v>
      </c>
      <c r="X64" s="242">
        <f>OPEX!$C$33*(X$6-X$7)+OPEX!$D$33*(X$7-X$8)+OPEX!$E$33*X$8</f>
        <v>632979.66752999986</v>
      </c>
      <c r="Y64" s="242">
        <f>OPEX!$C$33*(Y$6-Y$7)+OPEX!$D$33*(Y$7-Y$8)+OPEX!$E$33*Y$8</f>
        <v>632979.66752999986</v>
      </c>
      <c r="Z64" s="242">
        <f>OPEX!$C$33*(Z$6-Z$7)+OPEX!$D$33*(Z$7-Z$8)+OPEX!$E$33*Z$8</f>
        <v>632979.66752999986</v>
      </c>
      <c r="AA64" s="242">
        <f>OPEX!$C$33*(AA$6-AA$7)+OPEX!$D$33*(AA$7-AA$8)+OPEX!$E$33*AA$8</f>
        <v>632979.66752999986</v>
      </c>
      <c r="AB64" s="242">
        <f>OPEX!$C$33*(AB$6-AB$7)+OPEX!$D$33*(AB$7-AB$8)+OPEX!$E$33*AB$8</f>
        <v>632979.66752999986</v>
      </c>
      <c r="AC64" s="242">
        <f>OPEX!$C$33*(AC$6-AC$7)+OPEX!$D$33*(AC$7-AC$8)+OPEX!$E$33*AC$8</f>
        <v>632979.66752999986</v>
      </c>
      <c r="AD64" s="242">
        <f>OPEX!$C$33*(AD$6-AD$7)+OPEX!$D$33*(AD$7-AD$8)+OPEX!$E$33*AD$8</f>
        <v>632979.66752999986</v>
      </c>
      <c r="AE64" s="242">
        <f>OPEX!$C$33*(AE$6-AE$7)+OPEX!$D$33*(AE$7-AE$8)+OPEX!$E$33*AE$8</f>
        <v>632979.66752999986</v>
      </c>
      <c r="AF64" s="242">
        <f>OPEX!$C$33*(AF$6-AF$7)+OPEX!$D$33*(AF$7-AF$8)+OPEX!$E$33*AF$8</f>
        <v>632979.66752999986</v>
      </c>
      <c r="AG64" s="242">
        <f>OPEX!$C$33*(AG$6-AG$7)+OPEX!$D$33*(AG$7-AG$8)+OPEX!$E$33*AG$8</f>
        <v>632979.66752999986</v>
      </c>
      <c r="AH64" s="242">
        <f>OPEX!$C$33*(AH$6-AH$7)+OPEX!$D$33*(AH$7-AH$8)+OPEX!$E$33*AH$8</f>
        <v>632979.66752999986</v>
      </c>
      <c r="AI64" s="242">
        <f>OPEX!$C$33*(AI$6-AI$7)+OPEX!$D$33*(AI$7-AI$8)+OPEX!$E$33*AI$8</f>
        <v>632979.66752999986</v>
      </c>
      <c r="AJ64" s="242">
        <f>OPEX!$C$33*(AJ$6-AJ$7)+OPEX!$D$33*(AJ$7-AJ$8)+OPEX!$E$33*AJ$8</f>
        <v>632979.66752999986</v>
      </c>
      <c r="AK64" s="242">
        <f>OPEX!$C$33*(AK$6-AK$7)+OPEX!$D$33*(AK$7-AK$8)+OPEX!$E$33*AK$8</f>
        <v>632979.66752999986</v>
      </c>
      <c r="AL64" s="242">
        <f>OPEX!$C$33*(AL$6-AL$7)+OPEX!$D$33*(AL$7-AL$8)+OPEX!$E$33*AL$8</f>
        <v>632979.66752999986</v>
      </c>
      <c r="AM64" s="242">
        <f>OPEX!$C$33*(AM$6-AM$7)+OPEX!$D$33*(AM$7-AM$8)+OPEX!$E$33*AM$8</f>
        <v>632979.66752999986</v>
      </c>
      <c r="AN64" s="242">
        <f>OPEX!$C$33*(AN$6-AN$7)+OPEX!$D$33*(AN$7-AN$8)+OPEX!$E$33*AN$8</f>
        <v>632979.66752999986</v>
      </c>
      <c r="AO64" s="242">
        <f>OPEX!$C$33*(AO$6-AO$7)+OPEX!$D$33*(AO$7-AO$8)+OPEX!$E$33*AO$8</f>
        <v>632979.66752999986</v>
      </c>
      <c r="AP64" s="242">
        <f>OPEX!$C$33*(AP$6-AP$7)+OPEX!$D$33*(AP$7-AP$8)+OPEX!$E$33*AP$8</f>
        <v>632979.66752999986</v>
      </c>
      <c r="AQ64" s="242">
        <f>OPEX!$C$33*(AQ$6-AQ$7)+OPEX!$D$33*(AQ$7-AQ$8)+OPEX!$E$33*AQ$8</f>
        <v>632979.66752999986</v>
      </c>
      <c r="AR64" s="242">
        <f>OPEX!$C$33*(AR$6-AR$7)+OPEX!$D$33*(AR$7-AR$8)+OPEX!$E$33*AR$8</f>
        <v>632979.66752999986</v>
      </c>
      <c r="AS64" s="242">
        <f>OPEX!$C$33*(AS$6-AS$7)+OPEX!$D$33*(AS$7-AS$8)+OPEX!$E$33*AS$8</f>
        <v>632979.66752999986</v>
      </c>
      <c r="AT64" s="242">
        <f>OPEX!$C$33*(AT$6-AT$7)+OPEX!$D$33*(AT$7-AT$8)+OPEX!$E$33*AT$8</f>
        <v>632979.66752999986</v>
      </c>
      <c r="AU64" s="242">
        <f>OPEX!$C$33*(AU$6-AU$7)+OPEX!$D$33*(AU$7-AU$8)+OPEX!$E$33*AU$8</f>
        <v>632979.66752999986</v>
      </c>
      <c r="AV64" s="242">
        <f>OPEX!$C$33*(AV$6-AV$7)+OPEX!$D$33*(AV$7-AV$8)+OPEX!$E$33*AV$8</f>
        <v>632979.66752999986</v>
      </c>
      <c r="AW64" s="242">
        <f>OPEX!$C$33*(AW$6-AW$7)+OPEX!$D$33*(AW$7-AW$8)+OPEX!$E$33*AW$8</f>
        <v>632979.66752999986</v>
      </c>
      <c r="AX64" s="242">
        <f>OPEX!$C$33*(AX$6-AX$7)+OPEX!$D$33*(AX$7-AX$8)+OPEX!$E$33*AX$8</f>
        <v>632979.66752999986</v>
      </c>
      <c r="AY64" s="242">
        <f>OPEX!$C$33*(AY$6-AY$7)+OPEX!$D$33*(AY$7-AY$8)+OPEX!$E$33*AY$8</f>
        <v>632979.66752999986</v>
      </c>
      <c r="AZ64" s="242">
        <f>OPEX!$C$33*(AZ$6-AZ$7)+OPEX!$D$33*(AZ$7-AZ$8)+OPEX!$E$33*AZ$8</f>
        <v>632979.66752999986</v>
      </c>
      <c r="BA64" s="242">
        <f>OPEX!$C$33*(BA$6-BA$7)+OPEX!$D$33*(BA$7-BA$8)+OPEX!$E$33*BA$8</f>
        <v>632979.66752999986</v>
      </c>
      <c r="BB64" s="242">
        <f>OPEX!$C$33*(BB$6-BB$7)+OPEX!$D$33*(BB$7-BB$8)+OPEX!$E$33*BB$8</f>
        <v>632979.66752999986</v>
      </c>
      <c r="BC64" s="242">
        <f>OPEX!$C$33*(BC$6-BC$7)+OPEX!$D$33*(BC$7-BC$8)+OPEX!$E$33*BC$8</f>
        <v>632979.66752999986</v>
      </c>
      <c r="BD64" s="242">
        <f>OPEX!$C$33*(BD$6-BD$7)+OPEX!$D$33*(BD$7-BD$8)+OPEX!$E$33*BD$8</f>
        <v>632979.66752999986</v>
      </c>
      <c r="BE64" s="242">
        <f>OPEX!$C$33*(BE$6-BE$7)+OPEX!$D$33*(BE$7-BE$8)+OPEX!$E$33*BE$8</f>
        <v>632979.66752999986</v>
      </c>
      <c r="BF64" s="242">
        <f>OPEX!$C$33*(BF$6-BF$7)+OPEX!$D$33*(BF$7-BF$8)+OPEX!$E$33*BF$8</f>
        <v>632979.66752999986</v>
      </c>
      <c r="BG64" s="242">
        <f>OPEX!$C$33*(BG$6-BG$7)+OPEX!$D$33*(BG$7-BG$8)+OPEX!$E$33*BG$8</f>
        <v>632979.66752999986</v>
      </c>
      <c r="BH64" s="242">
        <f>OPEX!$C$33*(BH$6-BH$7)+OPEX!$D$33*(BH$7-BH$8)+OPEX!$E$33*BH$8</f>
        <v>632979.66752999986</v>
      </c>
      <c r="BI64" s="242">
        <f>OPEX!$C$33*(BI$6-BI$7)+OPEX!$D$33*(BI$7-BI$8)+OPEX!$E$33*BI$8</f>
        <v>632979.66752999986</v>
      </c>
      <c r="BJ64" s="242">
        <f>OPEX!$C$33*(BJ$6-BJ$7)+OPEX!$D$33*(BJ$7-BJ$8)+OPEX!$E$33*BJ$8</f>
        <v>632979.66752999986</v>
      </c>
      <c r="BK64" s="242">
        <f>OPEX!$C$33*(BK$6-BK$7)+OPEX!$D$33*(BK$7-BK$8)+OPEX!$E$33*BK$8</f>
        <v>632979.66752999986</v>
      </c>
      <c r="BL64" s="242">
        <f>OPEX!$C$33*(BL$6-BL$7)+OPEX!$D$33*(BL$7-BL$8)+OPEX!$E$33*BL$8</f>
        <v>632979.66752999986</v>
      </c>
    </row>
    <row r="65" spans="2:64" x14ac:dyDescent="0.2">
      <c r="B65" s="54" t="s">
        <v>445</v>
      </c>
      <c r="E65" s="242">
        <f>OPEX!$C$34*(E$6-E$7)
+OPEX!$D$34*(E$7-E$8)
+OPEX!$E$34*E$8</f>
        <v>652106.22489293781</v>
      </c>
      <c r="F65" s="242">
        <f>OPEX!$C$34*(F$6-F$7)+OPEX!$D$34*(F$7-F$8)+OPEX!$E$34*F$8</f>
        <v>652106.22489293781</v>
      </c>
      <c r="G65" s="242">
        <f>OPEX!$C$34*(G$6-G$7)+OPEX!$D$34*(G$7-G$8)+OPEX!$E$34*G$8</f>
        <v>652106.22489293781</v>
      </c>
      <c r="H65" s="242">
        <f>OPEX!$C$34*(H$6-H$7)+OPEX!$D$34*(H$7-H$8)+OPEX!$E$34*H$8</f>
        <v>652106.22489293781</v>
      </c>
      <c r="I65" s="242">
        <f>OPEX!$C$34*(I$6-I$7)+OPEX!$D$34*(I$7-I$8)+OPEX!$E$34*I$8</f>
        <v>652106.22489293781</v>
      </c>
      <c r="J65" s="242">
        <f>OPEX!$C$34*(J$6-J$7)+OPEX!$D$34*(J$7-J$8)+OPEX!$E$34*J$8</f>
        <v>652106.22489293781</v>
      </c>
      <c r="K65" s="242">
        <f>OPEX!$C$34*(K$6-K$7)+OPEX!$D$34*(K$7-K$8)+OPEX!$E$34*K$8</f>
        <v>652106.22489293781</v>
      </c>
      <c r="L65" s="242">
        <f>OPEX!$C$34*(L$6-L$7)+OPEX!$D$34*(L$7-L$8)+OPEX!$E$34*L$8</f>
        <v>652106.22489293781</v>
      </c>
      <c r="M65" s="242">
        <f>OPEX!$C$34*(M$6-M$7)+OPEX!$D$34*(M$7-M$8)+OPEX!$E$34*M$8</f>
        <v>652106.22489293781</v>
      </c>
      <c r="N65" s="242">
        <f>OPEX!$C$34*(N$6-N$7)+OPEX!$D$34*(N$7-N$8)+OPEX!$E$34*N$8</f>
        <v>652106.22489293781</v>
      </c>
      <c r="O65" s="242">
        <f>OPEX!$C$34*(O$6-O$7)+OPEX!$D$34*(O$7-O$8)+OPEX!$E$34*O$8</f>
        <v>652106.22489293781</v>
      </c>
      <c r="P65" s="242">
        <f>OPEX!$C$34*(P$6-P$7)+OPEX!$D$34*(P$7-P$8)+OPEX!$E$34*P$8</f>
        <v>652106.22489293781</v>
      </c>
      <c r="Q65" s="242">
        <f>OPEX!$C$34*(Q$6-Q$7)+OPEX!$D$34*(Q$7-Q$8)+OPEX!$E$34*Q$8</f>
        <v>652106.22489293781</v>
      </c>
      <c r="R65" s="242">
        <f>OPEX!$C$34*(R$6-R$7)+OPEX!$D$34*(R$7-R$8)+OPEX!$E$34*R$8</f>
        <v>652106.22489293781</v>
      </c>
      <c r="S65" s="242">
        <f>OPEX!$C$34*(S$6-S$7)+OPEX!$D$34*(S$7-S$8)+OPEX!$E$34*S$8</f>
        <v>652106.22489293781</v>
      </c>
      <c r="T65" s="242">
        <f>OPEX!$C$34*(T$6-T$7)+OPEX!$D$34*(T$7-T$8)+OPEX!$E$34*T$8</f>
        <v>652106.22489293781</v>
      </c>
      <c r="U65" s="242">
        <f>OPEX!$C$34*(U$6-U$7)+OPEX!$D$34*(U$7-U$8)+OPEX!$E$34*U$8</f>
        <v>652106.22489293781</v>
      </c>
      <c r="V65" s="242">
        <f>OPEX!$C$34*(V$6-V$7)+OPEX!$D$34*(V$7-V$8)+OPEX!$E$34*V$8</f>
        <v>652106.22489293781</v>
      </c>
      <c r="W65" s="242">
        <f>OPEX!$C$34*(W$6-W$7)+OPEX!$D$34*(W$7-W$8)+OPEX!$E$34*W$8</f>
        <v>652106.22489293781</v>
      </c>
      <c r="X65" s="242">
        <f>OPEX!$C$34*(X$6-X$7)+OPEX!$D$34*(X$7-X$8)+OPEX!$E$34*X$8</f>
        <v>652106.22489293781</v>
      </c>
      <c r="Y65" s="242">
        <f>OPEX!$C$34*(Y$6-Y$7)+OPEX!$D$34*(Y$7-Y$8)+OPEX!$E$34*Y$8</f>
        <v>652106.22489293781</v>
      </c>
      <c r="Z65" s="242">
        <f>OPEX!$C$34*(Z$6-Z$7)+OPEX!$D$34*(Z$7-Z$8)+OPEX!$E$34*Z$8</f>
        <v>652106.22489293781</v>
      </c>
      <c r="AA65" s="242">
        <f>OPEX!$C$34*(AA$6-AA$7)+OPEX!$D$34*(AA$7-AA$8)+OPEX!$E$34*AA$8</f>
        <v>652106.22489293781</v>
      </c>
      <c r="AB65" s="242">
        <f>OPEX!$C$34*(AB$6-AB$7)+OPEX!$D$34*(AB$7-AB$8)+OPEX!$E$34*AB$8</f>
        <v>652106.22489293781</v>
      </c>
      <c r="AC65" s="242">
        <f>OPEX!$C$34*(AC$6-AC$7)+OPEX!$D$34*(AC$7-AC$8)+OPEX!$E$34*AC$8</f>
        <v>652106.22489293781</v>
      </c>
      <c r="AD65" s="242">
        <f>OPEX!$C$34*(AD$6-AD$7)+OPEX!$D$34*(AD$7-AD$8)+OPEX!$E$34*AD$8</f>
        <v>652106.22489293781</v>
      </c>
      <c r="AE65" s="242">
        <f>OPEX!$C$34*(AE$6-AE$7)+OPEX!$D$34*(AE$7-AE$8)+OPEX!$E$34*AE$8</f>
        <v>652106.22489293781</v>
      </c>
      <c r="AF65" s="242">
        <f>OPEX!$C$34*(AF$6-AF$7)+OPEX!$D$34*(AF$7-AF$8)+OPEX!$E$34*AF$8</f>
        <v>652106.22489293781</v>
      </c>
      <c r="AG65" s="242">
        <f>OPEX!$C$34*(AG$6-AG$7)+OPEX!$D$34*(AG$7-AG$8)+OPEX!$E$34*AG$8</f>
        <v>652106.22489293781</v>
      </c>
      <c r="AH65" s="242">
        <f>OPEX!$C$34*(AH$6-AH$7)+OPEX!$D$34*(AH$7-AH$8)+OPEX!$E$34*AH$8</f>
        <v>652106.22489293781</v>
      </c>
      <c r="AI65" s="242">
        <f>OPEX!$C$34*(AI$6-AI$7)+OPEX!$D$34*(AI$7-AI$8)+OPEX!$E$34*AI$8</f>
        <v>652106.22489293781</v>
      </c>
      <c r="AJ65" s="242">
        <f>OPEX!$C$34*(AJ$6-AJ$7)+OPEX!$D$34*(AJ$7-AJ$8)+OPEX!$E$34*AJ$8</f>
        <v>652106.22489293781</v>
      </c>
      <c r="AK65" s="242">
        <f>OPEX!$C$34*(AK$6-AK$7)+OPEX!$D$34*(AK$7-AK$8)+OPEX!$E$34*AK$8</f>
        <v>652106.22489293781</v>
      </c>
      <c r="AL65" s="242">
        <f>OPEX!$C$34*(AL$6-AL$7)+OPEX!$D$34*(AL$7-AL$8)+OPEX!$E$34*AL$8</f>
        <v>652106.22489293781</v>
      </c>
      <c r="AM65" s="242">
        <f>OPEX!$C$34*(AM$6-AM$7)+OPEX!$D$34*(AM$7-AM$8)+OPEX!$E$34*AM$8</f>
        <v>652106.22489293781</v>
      </c>
      <c r="AN65" s="242">
        <f>OPEX!$C$34*(AN$6-AN$7)+OPEX!$D$34*(AN$7-AN$8)+OPEX!$E$34*AN$8</f>
        <v>652106.22489293781</v>
      </c>
      <c r="AO65" s="242">
        <f>OPEX!$C$34*(AO$6-AO$7)+OPEX!$D$34*(AO$7-AO$8)+OPEX!$E$34*AO$8</f>
        <v>652106.22489293781</v>
      </c>
      <c r="AP65" s="242">
        <f>OPEX!$C$34*(AP$6-AP$7)+OPEX!$D$34*(AP$7-AP$8)+OPEX!$E$34*AP$8</f>
        <v>652106.22489293781</v>
      </c>
      <c r="AQ65" s="242">
        <f>OPEX!$C$34*(AQ$6-AQ$7)+OPEX!$D$34*(AQ$7-AQ$8)+OPEX!$E$34*AQ$8</f>
        <v>652106.22489293781</v>
      </c>
      <c r="AR65" s="242">
        <f>OPEX!$C$34*(AR$6-AR$7)+OPEX!$D$34*(AR$7-AR$8)+OPEX!$E$34*AR$8</f>
        <v>652106.22489293781</v>
      </c>
      <c r="AS65" s="242">
        <f>OPEX!$C$34*(AS$6-AS$7)+OPEX!$D$34*(AS$7-AS$8)+OPEX!$E$34*AS$8</f>
        <v>652106.22489293781</v>
      </c>
      <c r="AT65" s="242">
        <f>OPEX!$C$34*(AT$6-AT$7)+OPEX!$D$34*(AT$7-AT$8)+OPEX!$E$34*AT$8</f>
        <v>652106.22489293781</v>
      </c>
      <c r="AU65" s="242">
        <f>OPEX!$C$34*(AU$6-AU$7)+OPEX!$D$34*(AU$7-AU$8)+OPEX!$E$34*AU$8</f>
        <v>652106.22489293781</v>
      </c>
      <c r="AV65" s="242">
        <f>OPEX!$C$34*(AV$6-AV$7)+OPEX!$D$34*(AV$7-AV$8)+OPEX!$E$34*AV$8</f>
        <v>652106.22489293781</v>
      </c>
      <c r="AW65" s="242">
        <f>OPEX!$C$34*(AW$6-AW$7)+OPEX!$D$34*(AW$7-AW$8)+OPEX!$E$34*AW$8</f>
        <v>652106.22489293781</v>
      </c>
      <c r="AX65" s="242">
        <f>OPEX!$C$34*(AX$6-AX$7)+OPEX!$D$34*(AX$7-AX$8)+OPEX!$E$34*AX$8</f>
        <v>652106.22489293781</v>
      </c>
      <c r="AY65" s="242">
        <f>OPEX!$C$34*(AY$6-AY$7)+OPEX!$D$34*(AY$7-AY$8)+OPEX!$E$34*AY$8</f>
        <v>652106.22489293781</v>
      </c>
      <c r="AZ65" s="242">
        <f>OPEX!$C$34*(AZ$6-AZ$7)+OPEX!$D$34*(AZ$7-AZ$8)+OPEX!$E$34*AZ$8</f>
        <v>652106.22489293781</v>
      </c>
      <c r="BA65" s="242">
        <f>OPEX!$C$34*(BA$6-BA$7)+OPEX!$D$34*(BA$7-BA$8)+OPEX!$E$34*BA$8</f>
        <v>652106.22489293781</v>
      </c>
      <c r="BB65" s="242">
        <f>OPEX!$C$34*(BB$6-BB$7)+OPEX!$D$34*(BB$7-BB$8)+OPEX!$E$34*BB$8</f>
        <v>652106.22489293781</v>
      </c>
      <c r="BC65" s="242">
        <f>OPEX!$C$34*(BC$6-BC$7)+OPEX!$D$34*(BC$7-BC$8)+OPEX!$E$34*BC$8</f>
        <v>652106.22489293781</v>
      </c>
      <c r="BD65" s="242">
        <f>OPEX!$C$34*(BD$6-BD$7)+OPEX!$D$34*(BD$7-BD$8)+OPEX!$E$34*BD$8</f>
        <v>652106.22489293781</v>
      </c>
      <c r="BE65" s="242">
        <f>OPEX!$C$34*(BE$6-BE$7)+OPEX!$D$34*(BE$7-BE$8)+OPEX!$E$34*BE$8</f>
        <v>652106.22489293781</v>
      </c>
      <c r="BF65" s="242">
        <f>OPEX!$C$34*(BF$6-BF$7)+OPEX!$D$34*(BF$7-BF$8)+OPEX!$E$34*BF$8</f>
        <v>652106.22489293781</v>
      </c>
      <c r="BG65" s="242">
        <f>OPEX!$C$34*(BG$6-BG$7)+OPEX!$D$34*(BG$7-BG$8)+OPEX!$E$34*BG$8</f>
        <v>652106.22489293781</v>
      </c>
      <c r="BH65" s="242">
        <f>OPEX!$C$34*(BH$6-BH$7)+OPEX!$D$34*(BH$7-BH$8)+OPEX!$E$34*BH$8</f>
        <v>652106.22489293781</v>
      </c>
      <c r="BI65" s="242">
        <f>OPEX!$C$34*(BI$6-BI$7)+OPEX!$D$34*(BI$7-BI$8)+OPEX!$E$34*BI$8</f>
        <v>652106.22489293781</v>
      </c>
      <c r="BJ65" s="242">
        <f>OPEX!$C$34*(BJ$6-BJ$7)+OPEX!$D$34*(BJ$7-BJ$8)+OPEX!$E$34*BJ$8</f>
        <v>652106.22489293781</v>
      </c>
      <c r="BK65" s="242">
        <f>OPEX!$C$34*(BK$6-BK$7)+OPEX!$D$34*(BK$7-BK$8)+OPEX!$E$34*BK$8</f>
        <v>652106.22489293781</v>
      </c>
      <c r="BL65" s="242">
        <f>OPEX!$C$34*(BL$6-BL$7)+OPEX!$D$34*(BL$7-BL$8)+OPEX!$E$34*BL$8</f>
        <v>652106.22489293781</v>
      </c>
    </row>
    <row r="66" spans="2:64" x14ac:dyDescent="0.2">
      <c r="B66" s="59" t="s">
        <v>276</v>
      </c>
      <c r="E66" s="243">
        <f>SUM(E60:E65)</f>
        <v>9975673.3051853254</v>
      </c>
      <c r="F66" s="243">
        <f>SUM(F60:F65)</f>
        <v>9824187.5703201815</v>
      </c>
      <c r="G66" s="243">
        <f t="shared" ref="G66:AJ66" si="60">SUM(G60:G65)</f>
        <v>9768455.6152418219</v>
      </c>
      <c r="H66" s="243">
        <f t="shared" si="60"/>
        <v>9849456.0277183261</v>
      </c>
      <c r="I66" s="243">
        <f t="shared" si="60"/>
        <v>9885442.7039708626</v>
      </c>
      <c r="J66" s="243">
        <f t="shared" si="60"/>
        <v>9793821.7972816732</v>
      </c>
      <c r="K66" s="243">
        <f t="shared" si="60"/>
        <v>9650365.8239266239</v>
      </c>
      <c r="L66" s="243">
        <f t="shared" si="60"/>
        <v>9518577.5868352633</v>
      </c>
      <c r="M66" s="243">
        <f t="shared" si="60"/>
        <v>9459153.3627408314</v>
      </c>
      <c r="N66" s="243">
        <f t="shared" si="60"/>
        <v>9418730.4616706055</v>
      </c>
      <c r="O66" s="243">
        <f t="shared" si="60"/>
        <v>9334262.4734301642</v>
      </c>
      <c r="P66" s="243">
        <f t="shared" si="60"/>
        <v>9380887.1624046005</v>
      </c>
      <c r="Q66" s="243">
        <f t="shared" si="60"/>
        <v>9354805.7463771999</v>
      </c>
      <c r="R66" s="243">
        <f t="shared" si="60"/>
        <v>9299055.1072885618</v>
      </c>
      <c r="S66" s="243">
        <f t="shared" si="60"/>
        <v>9299055.1072885618</v>
      </c>
      <c r="T66" s="243">
        <f t="shared" si="60"/>
        <v>9299055.1072885618</v>
      </c>
      <c r="U66" s="243">
        <f t="shared" si="60"/>
        <v>9299055.1072885618</v>
      </c>
      <c r="V66" s="243">
        <f t="shared" si="60"/>
        <v>9299055.1072885618</v>
      </c>
      <c r="W66" s="243">
        <f t="shared" si="60"/>
        <v>9299055.1072885618</v>
      </c>
      <c r="X66" s="243">
        <f t="shared" si="60"/>
        <v>9299055.1072885618</v>
      </c>
      <c r="Y66" s="243">
        <f t="shared" si="60"/>
        <v>9299055.1072885618</v>
      </c>
      <c r="Z66" s="243">
        <f t="shared" si="60"/>
        <v>9299055.1072885618</v>
      </c>
      <c r="AA66" s="243">
        <f t="shared" si="60"/>
        <v>9299055.1072885618</v>
      </c>
      <c r="AB66" s="243">
        <f t="shared" si="60"/>
        <v>9299055.1072885618</v>
      </c>
      <c r="AC66" s="243">
        <f t="shared" si="60"/>
        <v>9299055.1072885618</v>
      </c>
      <c r="AD66" s="243">
        <f t="shared" si="60"/>
        <v>9299055.1072885618</v>
      </c>
      <c r="AE66" s="243">
        <f t="shared" si="60"/>
        <v>9299055.1072885618</v>
      </c>
      <c r="AF66" s="243">
        <f t="shared" si="60"/>
        <v>9299055.1072885618</v>
      </c>
      <c r="AG66" s="243">
        <f t="shared" si="60"/>
        <v>9299055.1072885618</v>
      </c>
      <c r="AH66" s="243">
        <f t="shared" si="60"/>
        <v>9299055.1072885618</v>
      </c>
      <c r="AI66" s="243">
        <f t="shared" si="60"/>
        <v>9299055.1072885618</v>
      </c>
      <c r="AJ66" s="243">
        <f t="shared" si="60"/>
        <v>9299055.1072885618</v>
      </c>
      <c r="AK66" s="243">
        <f t="shared" ref="AK66:BL66" si="61">SUM(AK60:AK65)</f>
        <v>9299055.1072885618</v>
      </c>
      <c r="AL66" s="243">
        <f t="shared" si="61"/>
        <v>9299055.1072885618</v>
      </c>
      <c r="AM66" s="243">
        <f t="shared" si="61"/>
        <v>9299055.1072885618</v>
      </c>
      <c r="AN66" s="243">
        <f t="shared" si="61"/>
        <v>9299055.1072885618</v>
      </c>
      <c r="AO66" s="243">
        <f t="shared" si="61"/>
        <v>9299055.1072885618</v>
      </c>
      <c r="AP66" s="243">
        <f t="shared" si="61"/>
        <v>9299055.1072885618</v>
      </c>
      <c r="AQ66" s="243">
        <f t="shared" si="61"/>
        <v>9299055.1072885618</v>
      </c>
      <c r="AR66" s="243">
        <f t="shared" si="61"/>
        <v>9299055.1072885618</v>
      </c>
      <c r="AS66" s="243">
        <f t="shared" si="61"/>
        <v>9299055.1072885618</v>
      </c>
      <c r="AT66" s="243">
        <f t="shared" si="61"/>
        <v>9299055.1072885618</v>
      </c>
      <c r="AU66" s="243">
        <f t="shared" si="61"/>
        <v>9299055.1072885618</v>
      </c>
      <c r="AV66" s="243">
        <f t="shared" si="61"/>
        <v>9299055.1072885618</v>
      </c>
      <c r="AW66" s="243">
        <f t="shared" si="61"/>
        <v>9299055.1072885618</v>
      </c>
      <c r="AX66" s="243">
        <f t="shared" si="61"/>
        <v>9299055.1072885618</v>
      </c>
      <c r="AY66" s="243">
        <f t="shared" si="61"/>
        <v>9299055.1072885618</v>
      </c>
      <c r="AZ66" s="243">
        <f t="shared" si="61"/>
        <v>9299055.1072885618</v>
      </c>
      <c r="BA66" s="243">
        <f t="shared" si="61"/>
        <v>9299055.1072885618</v>
      </c>
      <c r="BB66" s="243">
        <f t="shared" si="61"/>
        <v>9299055.1072885618</v>
      </c>
      <c r="BC66" s="243">
        <f t="shared" si="61"/>
        <v>9299055.1072885618</v>
      </c>
      <c r="BD66" s="243">
        <f t="shared" si="61"/>
        <v>9299055.1072885618</v>
      </c>
      <c r="BE66" s="243">
        <f t="shared" si="61"/>
        <v>9299055.1072885618</v>
      </c>
      <c r="BF66" s="243">
        <f t="shared" si="61"/>
        <v>9299055.1072885618</v>
      </c>
      <c r="BG66" s="243">
        <f t="shared" si="61"/>
        <v>9299055.1072885618</v>
      </c>
      <c r="BH66" s="243">
        <f t="shared" si="61"/>
        <v>9299055.1072885618</v>
      </c>
      <c r="BI66" s="243">
        <f t="shared" si="61"/>
        <v>9299055.1072885618</v>
      </c>
      <c r="BJ66" s="243">
        <f t="shared" si="61"/>
        <v>9299055.1072885618</v>
      </c>
      <c r="BK66" s="243">
        <f t="shared" si="61"/>
        <v>9299055.1072885618</v>
      </c>
      <c r="BL66" s="243">
        <f t="shared" si="61"/>
        <v>9299055.1072885618</v>
      </c>
    </row>
    <row r="67" spans="2:64" x14ac:dyDescent="0.2">
      <c r="B67" s="54"/>
    </row>
    <row r="68" spans="2:64" x14ac:dyDescent="0.2">
      <c r="B68" s="53" t="s">
        <v>185</v>
      </c>
    </row>
    <row r="69" spans="2:64" x14ac:dyDescent="0.2">
      <c r="B69" s="54" t="s">
        <v>277</v>
      </c>
      <c r="E69" s="247">
        <f>(E33*Dashboard!$C$32/100)+(E34*Dashboard!$C$33/100)</f>
        <v>7804451.1494187489</v>
      </c>
      <c r="F69" s="247">
        <f>(F33*Dashboard!$C$32/100)+(F34*Dashboard!$C$33/100)</f>
        <v>7804451.1494187489</v>
      </c>
      <c r="G69" s="247">
        <f>(G33*Dashboard!$C$32/100)+(G34*Dashboard!$C$33/100)</f>
        <v>7804451.1494187489</v>
      </c>
      <c r="H69" s="247">
        <f>(H33*Dashboard!$C$32/100)+(H34*Dashboard!$C$33/100)</f>
        <v>7804451.1494187489</v>
      </c>
      <c r="I69" s="247">
        <f>(I33*Dashboard!$C$32/100)+(I34*Dashboard!$C$33/100)</f>
        <v>7804451.1494187489</v>
      </c>
      <c r="J69" s="247">
        <f>(J33*Dashboard!$C$32/100)+(J34*Dashboard!$C$33/100)</f>
        <v>7804451.1494187489</v>
      </c>
      <c r="K69" s="247">
        <f>(K33*Dashboard!$C$32/100)+(K34*Dashboard!$C$33/100)</f>
        <v>7804451.1494187489</v>
      </c>
      <c r="L69" s="247">
        <f>(L33*Dashboard!$C$32/100)+(L34*Dashboard!$C$33/100)</f>
        <v>7804451.1494187489</v>
      </c>
      <c r="M69" s="247">
        <f>(M33*Dashboard!$C$32/100)+(M34*Dashboard!$C$33/100)</f>
        <v>7804451.1494187489</v>
      </c>
      <c r="N69" s="247">
        <f>(N33*Dashboard!$C$32/100)+(N34*Dashboard!$C$33/100)</f>
        <v>7804451.1494187489</v>
      </c>
      <c r="O69" s="247">
        <f>(O33*Dashboard!$C$32/100)+(O34*Dashboard!$C$33/100)</f>
        <v>7804451.1494187489</v>
      </c>
      <c r="P69" s="247">
        <f>(P33*Dashboard!$C$32/100)+(P34*Dashboard!$C$33/100)</f>
        <v>7804451.1494187489</v>
      </c>
      <c r="Q69" s="247">
        <f>(Q33*Dashboard!$C$32/100)+(Q34*Dashboard!$C$33/100)</f>
        <v>7804451.1494187489</v>
      </c>
      <c r="R69" s="247">
        <f>(R33*Dashboard!$C$32/100)+(R34*Dashboard!$C$33/100)</f>
        <v>7804451.1494187489</v>
      </c>
      <c r="S69" s="247">
        <f>(S33*Dashboard!$C$32/100)+(S34*Dashboard!$C$33/100)</f>
        <v>7804451.1494187489</v>
      </c>
      <c r="T69" s="247">
        <f>(T33*Dashboard!$C$32/100)+(T34*Dashboard!$C$33/100)</f>
        <v>7804451.1494187489</v>
      </c>
      <c r="U69" s="247">
        <f>(U33*Dashboard!$C$32/100)+(U34*Dashboard!$C$33/100)</f>
        <v>7804451.1494187489</v>
      </c>
      <c r="V69" s="247">
        <f>(V33*Dashboard!$C$32/100)+(V34*Dashboard!$C$33/100)</f>
        <v>7804451.1494187489</v>
      </c>
      <c r="W69" s="247">
        <f>(W33*Dashboard!$C$32/100)+(W34*Dashboard!$C$33/100)</f>
        <v>7804451.1494187489</v>
      </c>
      <c r="X69" s="247">
        <f>(X33*Dashboard!$C$32/100)+(X34*Dashboard!$C$33/100)</f>
        <v>7804451.1494187489</v>
      </c>
      <c r="Y69" s="247">
        <f>(Y33*Dashboard!$C$32/100)+(Y34*Dashboard!$C$33/100)</f>
        <v>7804451.1494187489</v>
      </c>
      <c r="Z69" s="247">
        <f>(Z33*Dashboard!$C$32/100)+(Z34*Dashboard!$C$33/100)</f>
        <v>7804451.1494187489</v>
      </c>
      <c r="AA69" s="247">
        <f>(AA33*Dashboard!$C$32/100)+(AA34*Dashboard!$C$33/100)</f>
        <v>7804451.1494187489</v>
      </c>
      <c r="AB69" s="247">
        <f>(AB33*Dashboard!$C$32/100)+(AB34*Dashboard!$C$33/100)</f>
        <v>7804451.1494187489</v>
      </c>
      <c r="AC69" s="247">
        <f>(AC33*Dashboard!$C$32/100)+(AC34*Dashboard!$C$33/100)</f>
        <v>7804451.1494187489</v>
      </c>
      <c r="AD69" s="247">
        <f>(AD33*Dashboard!$C$32/100)+(AD34*Dashboard!$C$33/100)</f>
        <v>7804451.1494187489</v>
      </c>
      <c r="AE69" s="247">
        <f>(AE33*Dashboard!$C$32/100)+(AE34*Dashboard!$C$33/100)</f>
        <v>7804451.1494187489</v>
      </c>
      <c r="AF69" s="247">
        <f>(AF33*Dashboard!$C$32/100)+(AF34*Dashboard!$C$33/100)</f>
        <v>7804451.1494187489</v>
      </c>
      <c r="AG69" s="247">
        <f>(AG33*Dashboard!$C$32/100)+(AG34*Dashboard!$C$33/100)</f>
        <v>7804451.1494187489</v>
      </c>
      <c r="AH69" s="247">
        <f>(AH33*Dashboard!$C$32/100)+(AH34*Dashboard!$C$33/100)</f>
        <v>7804451.1494187489</v>
      </c>
      <c r="AI69" s="247">
        <f>(AI33*Dashboard!$C$32/100)+(AI34*Dashboard!$C$33/100)</f>
        <v>7804451.1494187489</v>
      </c>
      <c r="AJ69" s="247">
        <f>(AJ33*Dashboard!$C$32/100)+(AJ34*Dashboard!$C$33/100)</f>
        <v>7804451.1494187489</v>
      </c>
      <c r="AK69" s="247">
        <f>(AK33*Dashboard!$C$32/100)+(AK34*Dashboard!$C$33/100)</f>
        <v>7804451.1494187489</v>
      </c>
      <c r="AL69" s="247">
        <f>(AL33*Dashboard!$C$32/100)+(AL34*Dashboard!$C$33/100)</f>
        <v>7804451.1494187489</v>
      </c>
      <c r="AM69" s="247">
        <f>(AM33*Dashboard!$C$32/100)+(AM34*Dashboard!$C$33/100)</f>
        <v>7804451.1494187489</v>
      </c>
      <c r="AN69" s="247">
        <f>(AN33*Dashboard!$C$32/100)+(AN34*Dashboard!$C$33/100)</f>
        <v>7804451.1494187489</v>
      </c>
      <c r="AO69" s="247">
        <f>(AO33*Dashboard!$C$32/100)+(AO34*Dashboard!$C$33/100)</f>
        <v>7804451.1494187489</v>
      </c>
      <c r="AP69" s="247">
        <f>(AP33*Dashboard!$C$32/100)+(AP34*Dashboard!$C$33/100)</f>
        <v>7804451.1494187489</v>
      </c>
      <c r="AQ69" s="247">
        <f>(AQ33*Dashboard!$C$32/100)+(AQ34*Dashboard!$C$33/100)</f>
        <v>7804451.1494187489</v>
      </c>
      <c r="AR69" s="247">
        <f>(AR33*Dashboard!$C$32/100)+(AR34*Dashboard!$C$33/100)</f>
        <v>7804451.1494187489</v>
      </c>
      <c r="AS69" s="247">
        <f>(AS33*Dashboard!$C$32/100)+(AS34*Dashboard!$C$33/100)</f>
        <v>7804451.1494187489</v>
      </c>
      <c r="AT69" s="247">
        <f>(AT33*Dashboard!$C$32/100)+(AT34*Dashboard!$C$33/100)</f>
        <v>7804451.1494187489</v>
      </c>
      <c r="AU69" s="247">
        <f>(AU33*Dashboard!$C$32/100)+(AU34*Dashboard!$C$33/100)</f>
        <v>7804451.1494187489</v>
      </c>
      <c r="AV69" s="247">
        <f>(AV33*Dashboard!$C$32/100)+(AV34*Dashboard!$C$33/100)</f>
        <v>7804451.1494187489</v>
      </c>
      <c r="AW69" s="247">
        <f>(AW33*Dashboard!$C$32/100)+(AW34*Dashboard!$C$33/100)</f>
        <v>7804451.1494187489</v>
      </c>
      <c r="AX69" s="247">
        <f>(AX33*Dashboard!$C$32/100)+(AX34*Dashboard!$C$33/100)</f>
        <v>7804451.1494187489</v>
      </c>
      <c r="AY69" s="247">
        <f>(AY33*Dashboard!$C$32/100)+(AY34*Dashboard!$C$33/100)</f>
        <v>7804451.1494187489</v>
      </c>
      <c r="AZ69" s="247">
        <f>(AZ33*Dashboard!$C$32/100)+(AZ34*Dashboard!$C$33/100)</f>
        <v>7804451.1494187489</v>
      </c>
      <c r="BA69" s="247">
        <f>(BA33*Dashboard!$C$32/100)+(BA34*Dashboard!$C$33/100)</f>
        <v>7804451.1494187489</v>
      </c>
      <c r="BB69" s="247">
        <f>(BB33*Dashboard!$C$32/100)+(BB34*Dashboard!$C$33/100)</f>
        <v>7804451.1494187489</v>
      </c>
      <c r="BC69" s="247">
        <f>(BC33*Dashboard!$C$32/100)+(BC34*Dashboard!$C$33/100)</f>
        <v>7804451.1494187489</v>
      </c>
      <c r="BD69" s="247">
        <f>(BD33*Dashboard!$C$32/100)+(BD34*Dashboard!$C$33/100)</f>
        <v>7804451.1494187489</v>
      </c>
      <c r="BE69" s="247">
        <f>(BE33*Dashboard!$C$32/100)+(BE34*Dashboard!$C$33/100)</f>
        <v>7804451.1494187489</v>
      </c>
      <c r="BF69" s="247">
        <f>(BF33*Dashboard!$C$32/100)+(BF34*Dashboard!$C$33/100)</f>
        <v>7804451.1494187489</v>
      </c>
      <c r="BG69" s="247">
        <f>(BG33*Dashboard!$C$32/100)+(BG34*Dashboard!$C$33/100)</f>
        <v>7804451.1494187489</v>
      </c>
      <c r="BH69" s="247">
        <f>(BH33*Dashboard!$C$32/100)+(BH34*Dashboard!$C$33/100)</f>
        <v>7804451.1494187489</v>
      </c>
      <c r="BI69" s="247">
        <f>(BI33*Dashboard!$C$32/100)+(BI34*Dashboard!$C$33/100)</f>
        <v>7804451.1494187489</v>
      </c>
      <c r="BJ69" s="247">
        <f>(BJ33*Dashboard!$C$32/100)+(BJ34*Dashboard!$C$33/100)</f>
        <v>7804451.1494187489</v>
      </c>
      <c r="BK69" s="247">
        <f>(BK33*Dashboard!$C$32/100)+(BK34*Dashboard!$C$33/100)</f>
        <v>7804451.1494187489</v>
      </c>
      <c r="BL69" s="247">
        <f>(BL33*Dashboard!$C$32/100)+(BL34*Dashboard!$C$33/100)</f>
        <v>7804451.1494187489</v>
      </c>
    </row>
    <row r="70" spans="2:64" x14ac:dyDescent="0.2">
      <c r="B70" s="54" t="s">
        <v>217</v>
      </c>
      <c r="E70" s="248">
        <f>E33*Dashboard!$C$13/100</f>
        <v>401706.69619330205</v>
      </c>
      <c r="F70" s="248">
        <f>F33*Dashboard!$C$13/100</f>
        <v>401706.69619330205</v>
      </c>
      <c r="G70" s="248">
        <f>G33*Dashboard!$C$13/100</f>
        <v>401706.69619330205</v>
      </c>
      <c r="H70" s="248">
        <f>H33*Dashboard!$C$13/100</f>
        <v>401706.69619330205</v>
      </c>
      <c r="I70" s="248">
        <f>I33*Dashboard!$C$13/100</f>
        <v>401706.69619330205</v>
      </c>
      <c r="J70" s="248">
        <f>J33*Dashboard!$C$13/100</f>
        <v>401706.69619330205</v>
      </c>
      <c r="K70" s="248">
        <f>K33*Dashboard!$C$13/100</f>
        <v>401706.69619330205</v>
      </c>
      <c r="L70" s="248">
        <f>L33*Dashboard!$C$13/100</f>
        <v>401706.69619330205</v>
      </c>
      <c r="M70" s="248">
        <f>M33*Dashboard!$C$13/100</f>
        <v>401706.69619330205</v>
      </c>
      <c r="N70" s="248">
        <f>N33*Dashboard!$C$13/100</f>
        <v>401706.69619330205</v>
      </c>
      <c r="O70" s="248">
        <f>O33*Dashboard!$C$13/100</f>
        <v>401706.69619330205</v>
      </c>
      <c r="P70" s="248">
        <f>P33*Dashboard!$C$13/100</f>
        <v>401706.69619330205</v>
      </c>
      <c r="Q70" s="248">
        <f>Q33*Dashboard!$C$13/100</f>
        <v>401706.69619330205</v>
      </c>
      <c r="R70" s="248">
        <f>R33*Dashboard!$C$13/100</f>
        <v>401706.69619330205</v>
      </c>
      <c r="S70" s="248">
        <f>S33*Dashboard!$C$13/100</f>
        <v>401706.69619330205</v>
      </c>
      <c r="T70" s="248">
        <f>T33*Dashboard!$C$13/100</f>
        <v>401706.69619330205</v>
      </c>
      <c r="U70" s="248">
        <f>U33*Dashboard!$C$13/100</f>
        <v>401706.69619330205</v>
      </c>
      <c r="V70" s="248">
        <f>V33*Dashboard!$C$13/100</f>
        <v>401706.69619330205</v>
      </c>
      <c r="W70" s="248">
        <f>W33*Dashboard!$C$13/100</f>
        <v>401706.69619330205</v>
      </c>
      <c r="X70" s="248">
        <f>X33*Dashboard!$C$13/100</f>
        <v>401706.69619330205</v>
      </c>
      <c r="Y70" s="248">
        <f>Y33*Dashboard!$C$13/100</f>
        <v>401706.69619330205</v>
      </c>
      <c r="Z70" s="248">
        <f>Z33*Dashboard!$C$13/100</f>
        <v>401706.69619330205</v>
      </c>
      <c r="AA70" s="248">
        <f>AA33*Dashboard!$C$13/100</f>
        <v>401706.69619330205</v>
      </c>
      <c r="AB70" s="248">
        <f>AB33*Dashboard!$C$13/100</f>
        <v>401706.69619330205</v>
      </c>
      <c r="AC70" s="248">
        <f>AC33*Dashboard!$C$13/100</f>
        <v>401706.69619330205</v>
      </c>
      <c r="AD70" s="248">
        <f>AD33*Dashboard!$C$13/100</f>
        <v>401706.69619330205</v>
      </c>
      <c r="AE70" s="248">
        <f>AE33*Dashboard!$C$13/100</f>
        <v>401706.69619330205</v>
      </c>
      <c r="AF70" s="248">
        <f>AF33*Dashboard!$C$13/100</f>
        <v>401706.69619330205</v>
      </c>
      <c r="AG70" s="248">
        <f>AG33*Dashboard!$C$13/100</f>
        <v>401706.69619330205</v>
      </c>
      <c r="AH70" s="248">
        <f>AH33*Dashboard!$C$13/100</f>
        <v>401706.69619330205</v>
      </c>
      <c r="AI70" s="248">
        <f>AI33*Dashboard!$C$13/100</f>
        <v>401706.69619330205</v>
      </c>
      <c r="AJ70" s="248">
        <f>AJ33*Dashboard!$C$13/100</f>
        <v>401706.69619330205</v>
      </c>
      <c r="AK70" s="248">
        <f>AK33*Dashboard!$C$13/100</f>
        <v>401706.69619330205</v>
      </c>
      <c r="AL70" s="248">
        <f>AL33*Dashboard!$C$13/100</f>
        <v>401706.69619330205</v>
      </c>
      <c r="AM70" s="248">
        <f>AM33*Dashboard!$C$13/100</f>
        <v>401706.69619330205</v>
      </c>
      <c r="AN70" s="248">
        <f>AN33*Dashboard!$C$13/100</f>
        <v>401706.69619330205</v>
      </c>
      <c r="AO70" s="248">
        <f>AO33*Dashboard!$C$13/100</f>
        <v>401706.69619330205</v>
      </c>
      <c r="AP70" s="248">
        <f>AP33*Dashboard!$C$13/100</f>
        <v>401706.69619330205</v>
      </c>
      <c r="AQ70" s="248">
        <f>AQ33*Dashboard!$C$13/100</f>
        <v>401706.69619330205</v>
      </c>
      <c r="AR70" s="248">
        <f>AR33*Dashboard!$C$13/100</f>
        <v>401706.69619330205</v>
      </c>
      <c r="AS70" s="248">
        <f>AS33*Dashboard!$C$13/100</f>
        <v>401706.69619330205</v>
      </c>
      <c r="AT70" s="248">
        <f>AT33*Dashboard!$C$13/100</f>
        <v>401706.69619330205</v>
      </c>
      <c r="AU70" s="248">
        <f>AU33*Dashboard!$C$13/100</f>
        <v>401706.69619330205</v>
      </c>
      <c r="AV70" s="248">
        <f>AV33*Dashboard!$C$13/100</f>
        <v>401706.69619330205</v>
      </c>
      <c r="AW70" s="248">
        <f>AW33*Dashboard!$C$13/100</f>
        <v>401706.69619330205</v>
      </c>
      <c r="AX70" s="248">
        <f>AX33*Dashboard!$C$13/100</f>
        <v>401706.69619330205</v>
      </c>
      <c r="AY70" s="248">
        <f>AY33*Dashboard!$C$13/100</f>
        <v>401706.69619330205</v>
      </c>
      <c r="AZ70" s="248">
        <f>AZ33*Dashboard!$C$13/100</f>
        <v>401706.69619330205</v>
      </c>
      <c r="BA70" s="248">
        <f>BA33*Dashboard!$C$13/100</f>
        <v>401706.69619330205</v>
      </c>
      <c r="BB70" s="248">
        <f>BB33*Dashboard!$C$13/100</f>
        <v>401706.69619330205</v>
      </c>
      <c r="BC70" s="248">
        <f>BC33*Dashboard!$C$13/100</f>
        <v>401706.69619330205</v>
      </c>
      <c r="BD70" s="248">
        <f>BD33*Dashboard!$C$13/100</f>
        <v>401706.69619330205</v>
      </c>
      <c r="BE70" s="248">
        <f>BE33*Dashboard!$C$13/100</f>
        <v>401706.69619330205</v>
      </c>
      <c r="BF70" s="248">
        <f>BF33*Dashboard!$C$13/100</f>
        <v>401706.69619330205</v>
      </c>
      <c r="BG70" s="248">
        <f>BG33*Dashboard!$C$13/100</f>
        <v>401706.69619330205</v>
      </c>
      <c r="BH70" s="248">
        <f>BH33*Dashboard!$C$13/100</f>
        <v>401706.69619330205</v>
      </c>
      <c r="BI70" s="248">
        <f>BI33*Dashboard!$C$13/100</f>
        <v>401706.69619330205</v>
      </c>
      <c r="BJ70" s="248">
        <f>BJ33*Dashboard!$C$13/100</f>
        <v>401706.69619330205</v>
      </c>
      <c r="BK70" s="248">
        <f>BK33*Dashboard!$C$13/100</f>
        <v>401706.69619330205</v>
      </c>
      <c r="BL70" s="248">
        <f>BL33*Dashboard!$C$13/100</f>
        <v>401706.69619330205</v>
      </c>
    </row>
    <row r="71" spans="2:64" x14ac:dyDescent="0.2">
      <c r="B71" s="172" t="s">
        <v>215</v>
      </c>
      <c r="E71" s="247">
        <f>OPEX!$C$37*(E6-E7)+OPEX!$D$37*(E7-E8)+OPEX!$E$37*(E8)</f>
        <v>3149217.4049499994</v>
      </c>
      <c r="F71" s="247">
        <f>OPEX!$C$37*(F6-F7)+OPEX!$D$37*(F7-F8)+OPEX!$E$37*(F8)</f>
        <v>3149217.4049499994</v>
      </c>
      <c r="G71" s="247">
        <f>OPEX!$C$37*(G6-G7)+OPEX!$D$37*(G7-G8)+OPEX!$E$37*(G8)</f>
        <v>3149217.4049499994</v>
      </c>
      <c r="H71" s="247">
        <f>OPEX!$C$37*(H6-H7)+OPEX!$D$37*(H7-H8)+OPEX!$E$37*(H8)</f>
        <v>3149217.4049499994</v>
      </c>
      <c r="I71" s="247">
        <f>OPEX!$C$37*(I6-I7)+OPEX!$D$37*(I7-I8)+OPEX!$E$37*(I8)</f>
        <v>3149217.4049499994</v>
      </c>
      <c r="J71" s="247">
        <f>OPEX!$C$37*(J6-J7)+OPEX!$D$37*(J7-J8)+OPEX!$E$37*(J8)</f>
        <v>3149217.4049499994</v>
      </c>
      <c r="K71" s="247">
        <f>OPEX!$C$37*(K6-K7)+OPEX!$D$37*(K7-K8)+OPEX!$E$37*(K8)</f>
        <v>3149217.4049499994</v>
      </c>
      <c r="L71" s="247">
        <f>OPEX!$C$37*(L6-L7)+OPEX!$D$37*(L7-L8)+OPEX!$E$37*(L8)</f>
        <v>3149217.4049499994</v>
      </c>
      <c r="M71" s="247">
        <f>OPEX!$C$37*(M6-M7)+OPEX!$D$37*(M7-M8)+OPEX!$E$37*(M8)</f>
        <v>3149217.4049499994</v>
      </c>
      <c r="N71" s="247">
        <f>OPEX!$C$37*(N6-N7)+OPEX!$D$37*(N7-N8)+OPEX!$E$37*(N8)</f>
        <v>3149217.4049499994</v>
      </c>
      <c r="O71" s="247">
        <f>OPEX!$C$37*(O6-O7)+OPEX!$D$37*(O7-O8)+OPEX!$E$37*(O8)</f>
        <v>3149217.4049499994</v>
      </c>
      <c r="P71" s="247">
        <f>OPEX!$C$37*(P6-P7)+OPEX!$D$37*(P7-P8)+OPEX!$E$37*(P8)</f>
        <v>3149217.4049499994</v>
      </c>
      <c r="Q71" s="247">
        <f>OPEX!$C$37*(Q6-Q7)+OPEX!$D$37*(Q7-Q8)+OPEX!$E$37*(Q8)</f>
        <v>3149217.4049499994</v>
      </c>
      <c r="R71" s="247">
        <f>OPEX!$C$37*(R6-R7)+OPEX!$D$37*(R7-R8)+OPEX!$E$37*(R8)</f>
        <v>3149217.4049499994</v>
      </c>
      <c r="S71" s="247">
        <f>OPEX!$C$37*(S6-S7)+OPEX!$D$37*(S7-S8)+OPEX!$E$37*(S8)</f>
        <v>3149217.4049499994</v>
      </c>
      <c r="T71" s="247">
        <f>OPEX!$C$37*(T6-T7)+OPEX!$D$37*(T7-T8)+OPEX!$E$37*(T8)</f>
        <v>3149217.4049499994</v>
      </c>
      <c r="U71" s="247">
        <f>OPEX!$C$37*(U6-U7)+OPEX!$D$37*(U7-U8)+OPEX!$E$37*(U8)</f>
        <v>3149217.4049499994</v>
      </c>
      <c r="V71" s="247">
        <f>OPEX!$C$37*(V6-V7)+OPEX!$D$37*(V7-V8)+OPEX!$E$37*(V8)</f>
        <v>3149217.4049499994</v>
      </c>
      <c r="W71" s="247">
        <f>OPEX!$C$37*(W6-W7)+OPEX!$D$37*(W7-W8)+OPEX!$E$37*(W8)</f>
        <v>3149217.4049499994</v>
      </c>
      <c r="X71" s="247">
        <f>OPEX!$C$37*(X6-X7)+OPEX!$D$37*(X7-X8)+OPEX!$E$37*(X8)</f>
        <v>3149217.4049499994</v>
      </c>
      <c r="Y71" s="247">
        <f>OPEX!$C$37*(Y6-Y7)+OPEX!$D$37*(Y7-Y8)+OPEX!$E$37*(Y8)</f>
        <v>3149217.4049499994</v>
      </c>
      <c r="Z71" s="247">
        <f>OPEX!$C$37*(Z6-Z7)+OPEX!$D$37*(Z7-Z8)+OPEX!$E$37*(Z8)</f>
        <v>3149217.4049499994</v>
      </c>
      <c r="AA71" s="247">
        <f>OPEX!$C$37*(AA6-AA7)+OPEX!$D$37*(AA7-AA8)+OPEX!$E$37*(AA8)</f>
        <v>3149217.4049499994</v>
      </c>
      <c r="AB71" s="247">
        <f>OPEX!$C$37*(AB6-AB7)+OPEX!$D$37*(AB7-AB8)+OPEX!$E$37*(AB8)</f>
        <v>3149217.4049499994</v>
      </c>
      <c r="AC71" s="247">
        <f>OPEX!$C$37*(AC6-AC7)+OPEX!$D$37*(AC7-AC8)+OPEX!$E$37*(AC8)</f>
        <v>3149217.4049499994</v>
      </c>
      <c r="AD71" s="247">
        <f>OPEX!$C$37*(AD6-AD7)+OPEX!$D$37*(AD7-AD8)+OPEX!$E$37*(AD8)</f>
        <v>3149217.4049499994</v>
      </c>
      <c r="AE71" s="247">
        <f>OPEX!$C$37*(AE6-AE7)+OPEX!$D$37*(AE7-AE8)+OPEX!$E$37*(AE8)</f>
        <v>3149217.4049499994</v>
      </c>
      <c r="AF71" s="247">
        <f>OPEX!$C$37*(AF6-AF7)+OPEX!$D$37*(AF7-AF8)+OPEX!$E$37*(AF8)</f>
        <v>3149217.4049499994</v>
      </c>
      <c r="AG71" s="247">
        <f>OPEX!$C$37*(AG6-AG7)+OPEX!$D$37*(AG7-AG8)+OPEX!$E$37*(AG8)</f>
        <v>3149217.4049499994</v>
      </c>
      <c r="AH71" s="247">
        <f>OPEX!$C$37*(AH6-AH7)+OPEX!$D$37*(AH7-AH8)+OPEX!$E$37*(AH8)</f>
        <v>3149217.4049499994</v>
      </c>
      <c r="AI71" s="247">
        <f>OPEX!$C$37*(AI6-AI7)+OPEX!$D$37*(AI7-AI8)+OPEX!$E$37*(AI8)</f>
        <v>3149217.4049499994</v>
      </c>
      <c r="AJ71" s="247">
        <f>OPEX!$C$37*(AJ6-AJ7)+OPEX!$D$37*(AJ7-AJ8)+OPEX!$E$37*(AJ8)</f>
        <v>3149217.4049499994</v>
      </c>
      <c r="AK71" s="247">
        <f>OPEX!$C$37*(AK6-AK7)+OPEX!$D$37*(AK7-AK8)+OPEX!$E$37*(AK8)</f>
        <v>3149217.4049499994</v>
      </c>
      <c r="AL71" s="247">
        <f>OPEX!$C$37*(AL6-AL7)+OPEX!$D$37*(AL7-AL8)+OPEX!$E$37*(AL8)</f>
        <v>3149217.4049499994</v>
      </c>
      <c r="AM71" s="247">
        <f>OPEX!$C$37*(AM6-AM7)+OPEX!$D$37*(AM7-AM8)+OPEX!$E$37*(AM8)</f>
        <v>3149217.4049499994</v>
      </c>
      <c r="AN71" s="247">
        <f>OPEX!$C$37*(AN6-AN7)+OPEX!$D$37*(AN7-AN8)+OPEX!$E$37*(AN8)</f>
        <v>3149217.4049499994</v>
      </c>
      <c r="AO71" s="247">
        <f>OPEX!$C$37*(AO6-AO7)+OPEX!$D$37*(AO7-AO8)+OPEX!$E$37*(AO8)</f>
        <v>3149217.4049499994</v>
      </c>
      <c r="AP71" s="247">
        <f>OPEX!$C$37*(AP6-AP7)+OPEX!$D$37*(AP7-AP8)+OPEX!$E$37*(AP8)</f>
        <v>3149217.4049499994</v>
      </c>
      <c r="AQ71" s="247">
        <f>OPEX!$C$37*(AQ6-AQ7)+OPEX!$D$37*(AQ7-AQ8)+OPEX!$E$37*(AQ8)</f>
        <v>3149217.4049499994</v>
      </c>
      <c r="AR71" s="247">
        <f>OPEX!$C$37*(AR6-AR7)+OPEX!$D$37*(AR7-AR8)+OPEX!$E$37*(AR8)</f>
        <v>3149217.4049499994</v>
      </c>
      <c r="AS71" s="247">
        <f>OPEX!$C$37*(AS6-AS7)+OPEX!$D$37*(AS7-AS8)+OPEX!$E$37*(AS8)</f>
        <v>3149217.4049499994</v>
      </c>
      <c r="AT71" s="247">
        <f>OPEX!$C$37*(AT6-AT7)+OPEX!$D$37*(AT7-AT8)+OPEX!$E$37*(AT8)</f>
        <v>3149217.4049499994</v>
      </c>
      <c r="AU71" s="247">
        <f>OPEX!$C$37*(AU6-AU7)+OPEX!$D$37*(AU7-AU8)+OPEX!$E$37*(AU8)</f>
        <v>3149217.4049499994</v>
      </c>
      <c r="AV71" s="247">
        <f>OPEX!$C$37*(AV6-AV7)+OPEX!$D$37*(AV7-AV8)+OPEX!$E$37*(AV8)</f>
        <v>3149217.4049499994</v>
      </c>
      <c r="AW71" s="247">
        <f>OPEX!$C$37*(AW6-AW7)+OPEX!$D$37*(AW7-AW8)+OPEX!$E$37*(AW8)</f>
        <v>3149217.4049499994</v>
      </c>
      <c r="AX71" s="247">
        <f>OPEX!$C$37*(AX6-AX7)+OPEX!$D$37*(AX7-AX8)+OPEX!$E$37*(AX8)</f>
        <v>3149217.4049499994</v>
      </c>
      <c r="AY71" s="247">
        <f>OPEX!$C$37*(AY6-AY7)+OPEX!$D$37*(AY7-AY8)+OPEX!$E$37*(AY8)</f>
        <v>3149217.4049499994</v>
      </c>
      <c r="AZ71" s="247">
        <f>OPEX!$C$37*(AZ6-AZ7)+OPEX!$D$37*(AZ7-AZ8)+OPEX!$E$37*(AZ8)</f>
        <v>3149217.4049499994</v>
      </c>
      <c r="BA71" s="247">
        <f>OPEX!$C$37*(BA6-BA7)+OPEX!$D$37*(BA7-BA8)+OPEX!$E$37*(BA8)</f>
        <v>3149217.4049499994</v>
      </c>
      <c r="BB71" s="247">
        <f>OPEX!$C$37*(BB6-BB7)+OPEX!$D$37*(BB7-BB8)+OPEX!$E$37*(BB8)</f>
        <v>3149217.4049499994</v>
      </c>
      <c r="BC71" s="247">
        <f>OPEX!$C$37*(BC6-BC7)+OPEX!$D$37*(BC7-BC8)+OPEX!$E$37*(BC8)</f>
        <v>3149217.4049499994</v>
      </c>
      <c r="BD71" s="247">
        <f>OPEX!$C$37*(BD6-BD7)+OPEX!$D$37*(BD7-BD8)+OPEX!$E$37*(BD8)</f>
        <v>3149217.4049499994</v>
      </c>
      <c r="BE71" s="247">
        <f>OPEX!$C$37*(BE6-BE7)+OPEX!$D$37*(BE7-BE8)+OPEX!$E$37*(BE8)</f>
        <v>3149217.4049499994</v>
      </c>
      <c r="BF71" s="247">
        <f>OPEX!$C$37*(BF6-BF7)+OPEX!$D$37*(BF7-BF8)+OPEX!$E$37*(BF8)</f>
        <v>3149217.4049499994</v>
      </c>
      <c r="BG71" s="247">
        <f>OPEX!$C$37*(BG6-BG7)+OPEX!$D$37*(BG7-BG8)+OPEX!$E$37*(BG8)</f>
        <v>3149217.4049499994</v>
      </c>
      <c r="BH71" s="247">
        <f>OPEX!$C$37*(BH6-BH7)+OPEX!$D$37*(BH7-BH8)+OPEX!$E$37*(BH8)</f>
        <v>3149217.4049499994</v>
      </c>
      <c r="BI71" s="247">
        <f>OPEX!$C$37*(BI6-BI7)+OPEX!$D$37*(BI7-BI8)+OPEX!$E$37*(BI8)</f>
        <v>3149217.4049499994</v>
      </c>
      <c r="BJ71" s="247">
        <f>OPEX!$C$37*(BJ6-BJ7)+OPEX!$D$37*(BJ7-BJ8)+OPEX!$E$37*(BJ8)</f>
        <v>3149217.4049499994</v>
      </c>
      <c r="BK71" s="247">
        <f>OPEX!$C$37*(BK6-BK7)+OPEX!$D$37*(BK7-BK8)+OPEX!$E$37*(BK8)</f>
        <v>3149217.4049499994</v>
      </c>
      <c r="BL71" s="247">
        <f>OPEX!$C$37*(BL6-BL7)+OPEX!$D$37*(BL7-BL8)+OPEX!$E$37*(BL8)</f>
        <v>3149217.4049499994</v>
      </c>
    </row>
    <row r="72" spans="2:64" x14ac:dyDescent="0.2">
      <c r="B72" s="59" t="s">
        <v>276</v>
      </c>
      <c r="E72" s="249">
        <f t="shared" ref="E72:AJ72" si="62">SUM(E69:E71)</f>
        <v>11355375.250562049</v>
      </c>
      <c r="F72" s="249">
        <f t="shared" si="62"/>
        <v>11355375.250562049</v>
      </c>
      <c r="G72" s="249">
        <f t="shared" si="62"/>
        <v>11355375.250562049</v>
      </c>
      <c r="H72" s="249">
        <f t="shared" si="62"/>
        <v>11355375.250562049</v>
      </c>
      <c r="I72" s="249">
        <f t="shared" si="62"/>
        <v>11355375.250562049</v>
      </c>
      <c r="J72" s="249">
        <f t="shared" si="62"/>
        <v>11355375.250562049</v>
      </c>
      <c r="K72" s="249">
        <f t="shared" si="62"/>
        <v>11355375.250562049</v>
      </c>
      <c r="L72" s="249">
        <f t="shared" si="62"/>
        <v>11355375.250562049</v>
      </c>
      <c r="M72" s="249">
        <f t="shared" si="62"/>
        <v>11355375.250562049</v>
      </c>
      <c r="N72" s="249">
        <f t="shared" si="62"/>
        <v>11355375.250562049</v>
      </c>
      <c r="O72" s="249">
        <f t="shared" si="62"/>
        <v>11355375.250562049</v>
      </c>
      <c r="P72" s="249">
        <f t="shared" si="62"/>
        <v>11355375.250562049</v>
      </c>
      <c r="Q72" s="249">
        <f t="shared" si="62"/>
        <v>11355375.250562049</v>
      </c>
      <c r="R72" s="249">
        <f t="shared" si="62"/>
        <v>11355375.250562049</v>
      </c>
      <c r="S72" s="249">
        <f t="shared" si="62"/>
        <v>11355375.250562049</v>
      </c>
      <c r="T72" s="249">
        <f t="shared" si="62"/>
        <v>11355375.250562049</v>
      </c>
      <c r="U72" s="249">
        <f t="shared" si="62"/>
        <v>11355375.250562049</v>
      </c>
      <c r="V72" s="249">
        <f t="shared" si="62"/>
        <v>11355375.250562049</v>
      </c>
      <c r="W72" s="249">
        <f t="shared" si="62"/>
        <v>11355375.250562049</v>
      </c>
      <c r="X72" s="249">
        <f t="shared" si="62"/>
        <v>11355375.250562049</v>
      </c>
      <c r="Y72" s="249">
        <f t="shared" si="62"/>
        <v>11355375.250562049</v>
      </c>
      <c r="Z72" s="249">
        <f t="shared" si="62"/>
        <v>11355375.250562049</v>
      </c>
      <c r="AA72" s="249">
        <f t="shared" si="62"/>
        <v>11355375.250562049</v>
      </c>
      <c r="AB72" s="249">
        <f t="shared" si="62"/>
        <v>11355375.250562049</v>
      </c>
      <c r="AC72" s="249">
        <f t="shared" si="62"/>
        <v>11355375.250562049</v>
      </c>
      <c r="AD72" s="249">
        <f t="shared" si="62"/>
        <v>11355375.250562049</v>
      </c>
      <c r="AE72" s="249">
        <f t="shared" si="62"/>
        <v>11355375.250562049</v>
      </c>
      <c r="AF72" s="249">
        <f t="shared" si="62"/>
        <v>11355375.250562049</v>
      </c>
      <c r="AG72" s="249">
        <f t="shared" si="62"/>
        <v>11355375.250562049</v>
      </c>
      <c r="AH72" s="249">
        <f t="shared" si="62"/>
        <v>11355375.250562049</v>
      </c>
      <c r="AI72" s="249">
        <f t="shared" si="62"/>
        <v>11355375.250562049</v>
      </c>
      <c r="AJ72" s="249">
        <f t="shared" si="62"/>
        <v>11355375.250562049</v>
      </c>
      <c r="AK72" s="249">
        <f t="shared" ref="AK72:BP72" si="63">SUM(AK69:AK71)</f>
        <v>11355375.250562049</v>
      </c>
      <c r="AL72" s="249">
        <f t="shared" si="63"/>
        <v>11355375.250562049</v>
      </c>
      <c r="AM72" s="249">
        <f t="shared" si="63"/>
        <v>11355375.250562049</v>
      </c>
      <c r="AN72" s="249">
        <f t="shared" si="63"/>
        <v>11355375.250562049</v>
      </c>
      <c r="AO72" s="249">
        <f t="shared" si="63"/>
        <v>11355375.250562049</v>
      </c>
      <c r="AP72" s="249">
        <f t="shared" si="63"/>
        <v>11355375.250562049</v>
      </c>
      <c r="AQ72" s="249">
        <f t="shared" si="63"/>
        <v>11355375.250562049</v>
      </c>
      <c r="AR72" s="249">
        <f t="shared" si="63"/>
        <v>11355375.250562049</v>
      </c>
      <c r="AS72" s="249">
        <f t="shared" si="63"/>
        <v>11355375.250562049</v>
      </c>
      <c r="AT72" s="249">
        <f t="shared" si="63"/>
        <v>11355375.250562049</v>
      </c>
      <c r="AU72" s="249">
        <f t="shared" si="63"/>
        <v>11355375.250562049</v>
      </c>
      <c r="AV72" s="249">
        <f t="shared" si="63"/>
        <v>11355375.250562049</v>
      </c>
      <c r="AW72" s="249">
        <f t="shared" si="63"/>
        <v>11355375.250562049</v>
      </c>
      <c r="AX72" s="249">
        <f t="shared" si="63"/>
        <v>11355375.250562049</v>
      </c>
      <c r="AY72" s="249">
        <f t="shared" si="63"/>
        <v>11355375.250562049</v>
      </c>
      <c r="AZ72" s="249">
        <f t="shared" si="63"/>
        <v>11355375.250562049</v>
      </c>
      <c r="BA72" s="249">
        <f t="shared" si="63"/>
        <v>11355375.250562049</v>
      </c>
      <c r="BB72" s="249">
        <f t="shared" si="63"/>
        <v>11355375.250562049</v>
      </c>
      <c r="BC72" s="249">
        <f t="shared" si="63"/>
        <v>11355375.250562049</v>
      </c>
      <c r="BD72" s="249">
        <f t="shared" si="63"/>
        <v>11355375.250562049</v>
      </c>
      <c r="BE72" s="249">
        <f t="shared" si="63"/>
        <v>11355375.250562049</v>
      </c>
      <c r="BF72" s="249">
        <f t="shared" si="63"/>
        <v>11355375.250562049</v>
      </c>
      <c r="BG72" s="249">
        <f t="shared" si="63"/>
        <v>11355375.250562049</v>
      </c>
      <c r="BH72" s="249">
        <f t="shared" si="63"/>
        <v>11355375.250562049</v>
      </c>
      <c r="BI72" s="249">
        <f t="shared" si="63"/>
        <v>11355375.250562049</v>
      </c>
      <c r="BJ72" s="249">
        <f t="shared" si="63"/>
        <v>11355375.250562049</v>
      </c>
      <c r="BK72" s="249">
        <f t="shared" si="63"/>
        <v>11355375.250562049</v>
      </c>
      <c r="BL72" s="249">
        <f t="shared" si="63"/>
        <v>11355375.250562049</v>
      </c>
    </row>
    <row r="74" spans="2:64" x14ac:dyDescent="0.2">
      <c r="B74" s="56" t="s">
        <v>278</v>
      </c>
      <c r="C74" s="136"/>
    </row>
    <row r="75" spans="2:64" x14ac:dyDescent="0.2">
      <c r="B75" s="57" t="s">
        <v>447</v>
      </c>
      <c r="E75" s="245">
        <f>IF(Dashboard!$C$35=Lists!$B$4,
SUM(Revenue!$C$7:$C$9)*(E$6-E$7)
+SUM(Revenue!$D$7:$D$9)*(E$7-E$8)
+SUM(Revenue!$E$7:$E$9)*E$8,0)*E50</f>
        <v>17528004.804802116</v>
      </c>
      <c r="F75" s="245">
        <f>IF(Dashboard!$C$35=Lists!$B$4,
SUM(Revenue!$C$7:$C$9)*(F$6-F$7)
+SUM(Revenue!$D$7:$D$9)*(F$7-F$8)
+SUM(Revenue!$E$7:$E$9)*F$8,0)*F50</f>
        <v>17118652.668163303</v>
      </c>
      <c r="G75" s="245">
        <f>IF(Dashboard!$C$35=Lists!$B$4,
SUM(Revenue!$C$7:$C$9)*(G$6-G$7)
+SUM(Revenue!$D$7:$D$9)*(G$7-G$8)
+SUM(Revenue!$E$7:$E$9)*G$8,0)*G50</f>
        <v>16968051.0626016</v>
      </c>
      <c r="H75" s="245">
        <f>IF(Dashboard!$C$35=Lists!$B$4,
SUM(Revenue!$C$7:$C$9)*(H$6-H$7)
+SUM(Revenue!$D$7:$D$9)*(H$7-H$8)
+SUM(Revenue!$E$7:$E$9)*H$8,0)*H50</f>
        <v>17186934.325407833</v>
      </c>
      <c r="I75" s="245">
        <f>IF(Dashboard!$C$35=Lists!$B$4,
SUM(Revenue!$C$7:$C$9)*(I$6-I$7)
+SUM(Revenue!$D$7:$D$9)*(I$7-I$8)
+SUM(Revenue!$E$7:$E$9)*I$8,0)*I50</f>
        <v>17284179.27608005</v>
      </c>
      <c r="J75" s="245">
        <f>IF(Dashboard!$C$35=Lists!$B$4,
SUM(Revenue!$C$7:$C$9)*(J$6-J$7)
+SUM(Revenue!$D$7:$D$9)*(J$7-J$8)
+SUM(Revenue!$E$7:$E$9)*J$8,0)*J50</f>
        <v>17036596.796136353</v>
      </c>
      <c r="K75" s="245">
        <f>IF(Dashboard!$C$35=Lists!$B$4,
SUM(Revenue!$C$7:$C$9)*(K$6-K$7)
+SUM(Revenue!$D$7:$D$9)*(K$7-K$8)
+SUM(Revenue!$E$7:$E$9)*K$8,0)*K50</f>
        <v>16648943.072445689</v>
      </c>
      <c r="L75" s="245">
        <f>IF(Dashboard!$C$35=Lists!$B$4,
SUM(Revenue!$C$7:$C$9)*(L$6-L$7)
+SUM(Revenue!$D$7:$D$9)*(L$7-L$8)
+SUM(Revenue!$E$7:$E$9)*L$8,0)*L50</f>
        <v>16292818.474408546</v>
      </c>
      <c r="M75" s="245">
        <f>IF(Dashboard!$C$35=Lists!$B$4,
SUM(Revenue!$C$7:$C$9)*(M$6-M$7)
+SUM(Revenue!$D$7:$D$9)*(M$7-M$8)
+SUM(Revenue!$E$7:$E$9)*M$8,0)*M50</f>
        <v>16132239.439538931</v>
      </c>
      <c r="N75" s="245">
        <f>IF(Dashboard!$C$35=Lists!$B$4,
SUM(Revenue!$C$7:$C$9)*(N$6-N$7)
+SUM(Revenue!$D$7:$D$9)*(N$7-N$8)
+SUM(Revenue!$E$7:$E$9)*N$8,0)*N50</f>
        <v>16023006.705928953</v>
      </c>
      <c r="O75" s="245">
        <f>IF(Dashboard!$C$35=Lists!$B$4,
SUM(Revenue!$C$7:$C$9)*(O$6-O$7)
+SUM(Revenue!$D$7:$D$9)*(O$7-O$8)
+SUM(Revenue!$E$7:$E$9)*O$8,0)*O50</f>
        <v>15794753.190872977</v>
      </c>
      <c r="P75" s="245">
        <f>IF(Dashboard!$C$35=Lists!$B$4,
SUM(Revenue!$C$7:$C$9)*(P$6-P$7)
+SUM(Revenue!$D$7:$D$9)*(P$7-P$8)
+SUM(Revenue!$E$7:$E$9)*P$8,0)*P50</f>
        <v>15920744.698052159</v>
      </c>
      <c r="Q75" s="245">
        <f>IF(Dashboard!$C$35=Lists!$B$4,
SUM(Revenue!$C$7:$C$9)*(Q$6-Q$7)
+SUM(Revenue!$D$7:$D$9)*(Q$7-Q$8)
+SUM(Revenue!$E$7:$E$9)*Q$8,0)*Q50</f>
        <v>15850266.224373519</v>
      </c>
      <c r="R75" s="245">
        <f>IF(Dashboard!$C$35=Lists!$B$4,
SUM(Revenue!$C$7:$C$9)*(R$6-R$7)
+SUM(Revenue!$D$7:$D$9)*(R$7-R$8)
+SUM(Revenue!$E$7:$E$9)*R$8,0)*R50</f>
        <v>15699614.129968528</v>
      </c>
      <c r="S75" s="245">
        <f>IF(Dashboard!$C$35=Lists!$B$4,
SUM(Revenue!$C$7:$C$9)*(S$6-S$7)
+SUM(Revenue!$D$7:$D$9)*(S$7-S$8)
+SUM(Revenue!$E$7:$E$9)*S$8,0)*S50</f>
        <v>15699614.129968528</v>
      </c>
      <c r="T75" s="245">
        <f>IF(Dashboard!$C$35=Lists!$B$4,
SUM(Revenue!$C$7:$C$9)*(T$6-T$7)
+SUM(Revenue!$D$7:$D$9)*(T$7-T$8)
+SUM(Revenue!$E$7:$E$9)*T$8,0)*T50</f>
        <v>15699614.129968528</v>
      </c>
      <c r="U75" s="245">
        <f>IF(Dashboard!$C$35=Lists!$B$4,
SUM(Revenue!$C$7:$C$9)*(U$6-U$7)
+SUM(Revenue!$D$7:$D$9)*(U$7-U$8)
+SUM(Revenue!$E$7:$E$9)*U$8,0)*U50</f>
        <v>15699614.129968528</v>
      </c>
      <c r="V75" s="245">
        <f>IF(Dashboard!$C$35=Lists!$B$4,
SUM(Revenue!$C$7:$C$9)*(V$6-V$7)
+SUM(Revenue!$D$7:$D$9)*(V$7-V$8)
+SUM(Revenue!$E$7:$E$9)*V$8,0)*V50</f>
        <v>15699614.129968528</v>
      </c>
      <c r="W75" s="245">
        <f>IF(Dashboard!$C$35=Lists!$B$4,
SUM(Revenue!$C$7:$C$9)*(W$6-W$7)
+SUM(Revenue!$D$7:$D$9)*(W$7-W$8)
+SUM(Revenue!$E$7:$E$9)*W$8,0)*W50</f>
        <v>15699614.129968528</v>
      </c>
      <c r="X75" s="245">
        <f>IF(Dashboard!$C$35=Lists!$B$4,
SUM(Revenue!$C$7:$C$9)*(X$6-X$7)
+SUM(Revenue!$D$7:$D$9)*(X$7-X$8)
+SUM(Revenue!$E$7:$E$9)*X$8,0)*X50</f>
        <v>15699614.129968528</v>
      </c>
      <c r="Y75" s="245">
        <f>IF(Dashboard!$C$35=Lists!$B$4,
SUM(Revenue!$C$7:$C$9)*(Y$6-Y$7)
+SUM(Revenue!$D$7:$D$9)*(Y$7-Y$8)
+SUM(Revenue!$E$7:$E$9)*Y$8,0)*Y50</f>
        <v>15699614.129968528</v>
      </c>
      <c r="Z75" s="245">
        <f>IF(Dashboard!$C$35=Lists!$B$4,
SUM(Revenue!$C$7:$C$9)*(Z$6-Z$7)
+SUM(Revenue!$D$7:$D$9)*(Z$7-Z$8)
+SUM(Revenue!$E$7:$E$9)*Z$8,0)*Z50</f>
        <v>15699614.129968528</v>
      </c>
      <c r="AA75" s="245">
        <f>IF(Dashboard!$C$35=Lists!$B$4,
SUM(Revenue!$C$7:$C$9)*(AA$6-AA$7)
+SUM(Revenue!$D$7:$D$9)*(AA$7-AA$8)
+SUM(Revenue!$E$7:$E$9)*AA$8,0)*AA50</f>
        <v>15699614.129968528</v>
      </c>
      <c r="AB75" s="245">
        <f>IF(Dashboard!$C$35=Lists!$B$4,
SUM(Revenue!$C$7:$C$9)*(AB$6-AB$7)
+SUM(Revenue!$D$7:$D$9)*(AB$7-AB$8)
+SUM(Revenue!$E$7:$E$9)*AB$8,0)*AB50</f>
        <v>15699614.129968528</v>
      </c>
      <c r="AC75" s="245">
        <f>IF(Dashboard!$C$35=Lists!$B$4,
SUM(Revenue!$C$7:$C$9)*(AC$6-AC$7)
+SUM(Revenue!$D$7:$D$9)*(AC$7-AC$8)
+SUM(Revenue!$E$7:$E$9)*AC$8,0)*AC50</f>
        <v>15699614.129968528</v>
      </c>
      <c r="AD75" s="245">
        <f>IF(Dashboard!$C$35=Lists!$B$4,
SUM(Revenue!$C$7:$C$9)*(AD$6-AD$7)
+SUM(Revenue!$D$7:$D$9)*(AD$7-AD$8)
+SUM(Revenue!$E$7:$E$9)*AD$8,0)*AD50</f>
        <v>15699614.129968528</v>
      </c>
      <c r="AE75" s="245">
        <f>IF(Dashboard!$C$35=Lists!$B$4,
SUM(Revenue!$C$7:$C$9)*(AE$6-AE$7)
+SUM(Revenue!$D$7:$D$9)*(AE$7-AE$8)
+SUM(Revenue!$E$7:$E$9)*AE$8,0)*AE50</f>
        <v>15699614.129968528</v>
      </c>
      <c r="AF75" s="245">
        <f>IF(Dashboard!$C$35=Lists!$B$4,
SUM(Revenue!$C$7:$C$9)*(AF$6-AF$7)
+SUM(Revenue!$D$7:$D$9)*(AF$7-AF$8)
+SUM(Revenue!$E$7:$E$9)*AF$8,0)*AF50</f>
        <v>15699614.129968528</v>
      </c>
      <c r="AG75" s="245">
        <f>IF(Dashboard!$C$35=Lists!$B$4,
SUM(Revenue!$C$7:$C$9)*(AG$6-AG$7)
+SUM(Revenue!$D$7:$D$9)*(AG$7-AG$8)
+SUM(Revenue!$E$7:$E$9)*AG$8,0)*AG50</f>
        <v>15699614.129968528</v>
      </c>
      <c r="AH75" s="245">
        <f>IF(Dashboard!$C$35=Lists!$B$4,
SUM(Revenue!$C$7:$C$9)*(AH$6-AH$7)
+SUM(Revenue!$D$7:$D$9)*(AH$7-AH$8)
+SUM(Revenue!$E$7:$E$9)*AH$8,0)*AH50</f>
        <v>15699614.129968528</v>
      </c>
      <c r="AI75" s="245">
        <f>IF(Dashboard!$C$35=Lists!$B$4,
SUM(Revenue!$C$7:$C$9)*(AI$6-AI$7)
+SUM(Revenue!$D$7:$D$9)*(AI$7-AI$8)
+SUM(Revenue!$E$7:$E$9)*AI$8,0)*AI50</f>
        <v>15699614.129968528</v>
      </c>
      <c r="AJ75" s="245">
        <f>IF(Dashboard!$C$35=Lists!$B$4,
SUM(Revenue!$C$7:$C$9)*(AJ$6-AJ$7)
+SUM(Revenue!$D$7:$D$9)*(AJ$7-AJ$8)
+SUM(Revenue!$E$7:$E$9)*AJ$8,0)*AJ50</f>
        <v>15699614.129968528</v>
      </c>
      <c r="AK75" s="245">
        <f>IF(Dashboard!$C$35=Lists!$B$4,
SUM(Revenue!$C$7:$C$9)*(AK$6-AK$7)
+SUM(Revenue!$D$7:$D$9)*(AK$7-AK$8)
+SUM(Revenue!$E$7:$E$9)*AK$8,0)*AK50</f>
        <v>15699614.129968528</v>
      </c>
      <c r="AL75" s="245">
        <f>IF(Dashboard!$C$35=Lists!$B$4,
SUM(Revenue!$C$7:$C$9)*(AL$6-AL$7)
+SUM(Revenue!$D$7:$D$9)*(AL$7-AL$8)
+SUM(Revenue!$E$7:$E$9)*AL$8,0)*AL50</f>
        <v>15699614.129968528</v>
      </c>
      <c r="AM75" s="245">
        <f>IF(Dashboard!$C$35=Lists!$B$4,
SUM(Revenue!$C$7:$C$9)*(AM$6-AM$7)
+SUM(Revenue!$D$7:$D$9)*(AM$7-AM$8)
+SUM(Revenue!$E$7:$E$9)*AM$8,0)*AM50</f>
        <v>15699614.129968528</v>
      </c>
      <c r="AN75" s="245">
        <f>IF(Dashboard!$C$35=Lists!$B$4,
SUM(Revenue!$C$7:$C$9)*(AN$6-AN$7)
+SUM(Revenue!$D$7:$D$9)*(AN$7-AN$8)
+SUM(Revenue!$E$7:$E$9)*AN$8,0)*AN50</f>
        <v>15699614.129968528</v>
      </c>
      <c r="AO75" s="245">
        <f>IF(Dashboard!$C$35=Lists!$B$4,
SUM(Revenue!$C$7:$C$9)*(AO$6-AO$7)
+SUM(Revenue!$D$7:$D$9)*(AO$7-AO$8)
+SUM(Revenue!$E$7:$E$9)*AO$8,0)*AO50</f>
        <v>15699614.129968528</v>
      </c>
      <c r="AP75" s="245">
        <f>IF(Dashboard!$C$35=Lists!$B$4,
SUM(Revenue!$C$7:$C$9)*(AP$6-AP$7)
+SUM(Revenue!$D$7:$D$9)*(AP$7-AP$8)
+SUM(Revenue!$E$7:$E$9)*AP$8,0)*AP50</f>
        <v>15699614.129968528</v>
      </c>
      <c r="AQ75" s="245">
        <f>IF(Dashboard!$C$35=Lists!$B$4,
SUM(Revenue!$C$7:$C$9)*(AQ$6-AQ$7)
+SUM(Revenue!$D$7:$D$9)*(AQ$7-AQ$8)
+SUM(Revenue!$E$7:$E$9)*AQ$8,0)*AQ50</f>
        <v>15699614.129968528</v>
      </c>
      <c r="AR75" s="245">
        <f>IF(Dashboard!$C$35=Lists!$B$4,
SUM(Revenue!$C$7:$C$9)*(AR$6-AR$7)
+SUM(Revenue!$D$7:$D$9)*(AR$7-AR$8)
+SUM(Revenue!$E$7:$E$9)*AR$8,0)*AR50</f>
        <v>15699614.129968528</v>
      </c>
      <c r="AS75" s="245">
        <f>IF(Dashboard!$C$35=Lists!$B$4,
SUM(Revenue!$C$7:$C$9)*(AS$6-AS$7)
+SUM(Revenue!$D$7:$D$9)*(AS$7-AS$8)
+SUM(Revenue!$E$7:$E$9)*AS$8,0)*AS50</f>
        <v>15699614.129968528</v>
      </c>
      <c r="AT75" s="245">
        <f>IF(Dashboard!$C$35=Lists!$B$4,
SUM(Revenue!$C$7:$C$9)*(AT$6-AT$7)
+SUM(Revenue!$D$7:$D$9)*(AT$7-AT$8)
+SUM(Revenue!$E$7:$E$9)*AT$8,0)*AT50</f>
        <v>15699614.129968528</v>
      </c>
      <c r="AU75" s="245">
        <f>IF(Dashboard!$C$35=Lists!$B$4,
SUM(Revenue!$C$7:$C$9)*(AU$6-AU$7)
+SUM(Revenue!$D$7:$D$9)*(AU$7-AU$8)
+SUM(Revenue!$E$7:$E$9)*AU$8,0)*AU50</f>
        <v>15699614.129968528</v>
      </c>
      <c r="AV75" s="245">
        <f>IF(Dashboard!$C$35=Lists!$B$4,
SUM(Revenue!$C$7:$C$9)*(AV$6-AV$7)
+SUM(Revenue!$D$7:$D$9)*(AV$7-AV$8)
+SUM(Revenue!$E$7:$E$9)*AV$8,0)*AV50</f>
        <v>15699614.129968528</v>
      </c>
      <c r="AW75" s="245">
        <f>IF(Dashboard!$C$35=Lists!$B$4,
SUM(Revenue!$C$7:$C$9)*(AW$6-AW$7)
+SUM(Revenue!$D$7:$D$9)*(AW$7-AW$8)
+SUM(Revenue!$E$7:$E$9)*AW$8,0)*AW50</f>
        <v>15699614.129968528</v>
      </c>
      <c r="AX75" s="245">
        <f>IF(Dashboard!$C$35=Lists!$B$4,
SUM(Revenue!$C$7:$C$9)*(AX$6-AX$7)
+SUM(Revenue!$D$7:$D$9)*(AX$7-AX$8)
+SUM(Revenue!$E$7:$E$9)*AX$8,0)*AX50</f>
        <v>15699614.129968528</v>
      </c>
      <c r="AY75" s="245">
        <f>IF(Dashboard!$C$35=Lists!$B$4,
SUM(Revenue!$C$7:$C$9)*(AY$6-AY$7)
+SUM(Revenue!$D$7:$D$9)*(AY$7-AY$8)
+SUM(Revenue!$E$7:$E$9)*AY$8,0)*AY50</f>
        <v>15699614.129968528</v>
      </c>
      <c r="AZ75" s="245">
        <f>IF(Dashboard!$C$35=Lists!$B$4,
SUM(Revenue!$C$7:$C$9)*(AZ$6-AZ$7)
+SUM(Revenue!$D$7:$D$9)*(AZ$7-AZ$8)
+SUM(Revenue!$E$7:$E$9)*AZ$8,0)*AZ50</f>
        <v>15699614.129968528</v>
      </c>
      <c r="BA75" s="245">
        <f>IF(Dashboard!$C$35=Lists!$B$4,
SUM(Revenue!$C$7:$C$9)*(BA$6-BA$7)
+SUM(Revenue!$D$7:$D$9)*(BA$7-BA$8)
+SUM(Revenue!$E$7:$E$9)*BA$8,0)*BA50</f>
        <v>15699614.129968528</v>
      </c>
      <c r="BB75" s="245">
        <f>IF(Dashboard!$C$35=Lists!$B$4,
SUM(Revenue!$C$7:$C$9)*(BB$6-BB$7)
+SUM(Revenue!$D$7:$D$9)*(BB$7-BB$8)
+SUM(Revenue!$E$7:$E$9)*BB$8,0)*BB50</f>
        <v>15699614.129968528</v>
      </c>
      <c r="BC75" s="245">
        <f>IF(Dashboard!$C$35=Lists!$B$4,
SUM(Revenue!$C$7:$C$9)*(BC$6-BC$7)
+SUM(Revenue!$D$7:$D$9)*(BC$7-BC$8)
+SUM(Revenue!$E$7:$E$9)*BC$8,0)*BC50</f>
        <v>15699614.129968528</v>
      </c>
      <c r="BD75" s="245">
        <f>IF(Dashboard!$C$35=Lists!$B$4,
SUM(Revenue!$C$7:$C$9)*(BD$6-BD$7)
+SUM(Revenue!$D$7:$D$9)*(BD$7-BD$8)
+SUM(Revenue!$E$7:$E$9)*BD$8,0)*BD50</f>
        <v>15699614.129968528</v>
      </c>
      <c r="BE75" s="245">
        <f>IF(Dashboard!$C$35=Lists!$B$4,
SUM(Revenue!$C$7:$C$9)*(BE$6-BE$7)
+SUM(Revenue!$D$7:$D$9)*(BE$7-BE$8)
+SUM(Revenue!$E$7:$E$9)*BE$8,0)*BE50</f>
        <v>15699614.129968528</v>
      </c>
      <c r="BF75" s="245">
        <f>IF(Dashboard!$C$35=Lists!$B$4,
SUM(Revenue!$C$7:$C$9)*(BF$6-BF$7)
+SUM(Revenue!$D$7:$D$9)*(BF$7-BF$8)
+SUM(Revenue!$E$7:$E$9)*BF$8,0)*BF50</f>
        <v>15699614.129968528</v>
      </c>
      <c r="BG75" s="245">
        <f>IF(Dashboard!$C$35=Lists!$B$4,
SUM(Revenue!$C$7:$C$9)*(BG$6-BG$7)
+SUM(Revenue!$D$7:$D$9)*(BG$7-BG$8)
+SUM(Revenue!$E$7:$E$9)*BG$8,0)*BG50</f>
        <v>15699614.129968528</v>
      </c>
      <c r="BH75" s="245">
        <f>IF(Dashboard!$C$35=Lists!$B$4,
SUM(Revenue!$C$7:$C$9)*(BH$6-BH$7)
+SUM(Revenue!$D$7:$D$9)*(BH$7-BH$8)
+SUM(Revenue!$E$7:$E$9)*BH$8,0)*BH50</f>
        <v>15699614.129968528</v>
      </c>
      <c r="BI75" s="245">
        <f>IF(Dashboard!$C$35=Lists!$B$4,
SUM(Revenue!$C$7:$C$9)*(BI$6-BI$7)
+SUM(Revenue!$D$7:$D$9)*(BI$7-BI$8)
+SUM(Revenue!$E$7:$E$9)*BI$8,0)*BI50</f>
        <v>15699614.129968528</v>
      </c>
      <c r="BJ75" s="245">
        <f>IF(Dashboard!$C$35=Lists!$B$4,
SUM(Revenue!$C$7:$C$9)*(BJ$6-BJ$7)
+SUM(Revenue!$D$7:$D$9)*(BJ$7-BJ$8)
+SUM(Revenue!$E$7:$E$9)*BJ$8,0)*BJ50</f>
        <v>15699614.129968528</v>
      </c>
      <c r="BK75" s="245">
        <f>IF(Dashboard!$C$35=Lists!$B$4,
SUM(Revenue!$C$7:$C$9)*(BK$6-BK$7)
+SUM(Revenue!$D$7:$D$9)*(BK$7-BK$8)
+SUM(Revenue!$E$7:$E$9)*BK$8,0)*BK50</f>
        <v>15699614.129968528</v>
      </c>
      <c r="BL75" s="245">
        <f>IF(Dashboard!$C$35=Lists!$B$4,
SUM(Revenue!$C$7:$C$9)*(BL$6-BL$7)
+SUM(Revenue!$D$7:$D$9)*(BL$7-BL$8)
+SUM(Revenue!$E$7:$E$9)*BL$8,0)*BL50</f>
        <v>15699614.129968528</v>
      </c>
    </row>
    <row r="76" spans="2:64" x14ac:dyDescent="0.2">
      <c r="B76" s="57" t="s">
        <v>448</v>
      </c>
      <c r="E76" s="246">
        <f>Revenue!$C$10*(E$6-E$7)
+Revenue!$D$10*(E$7-E$8)
+Revenue!$E$10*E$8</f>
        <v>1265959.3350600004</v>
      </c>
      <c r="F76" s="246">
        <f>Revenue!$C$10*(F$6-F$7)
+Revenue!$D$10*(F$7-F$8)
+Revenue!$E$10*F$8</f>
        <v>1265959.3350600004</v>
      </c>
      <c r="G76" s="246">
        <f>Revenue!$C$10*(G$6-G$7)
+Revenue!$D$10*(G$7-G$8)
+Revenue!$E$10*G$8</f>
        <v>1265959.3350600004</v>
      </c>
      <c r="H76" s="246">
        <f>Revenue!$C$10*(H$6-H$7)
+Revenue!$D$10*(H$7-H$8)
+Revenue!$E$10*H$8</f>
        <v>1265959.3350600004</v>
      </c>
      <c r="I76" s="246">
        <f>Revenue!$C$10*(I$6-I$7)
+Revenue!$D$10*(I$7-I$8)
+Revenue!$E$10*I$8</f>
        <v>1265959.3350600004</v>
      </c>
      <c r="J76" s="246">
        <f>Revenue!$C$10*(J$6-J$7)
+Revenue!$D$10*(J$7-J$8)
+Revenue!$E$10*J$8</f>
        <v>1265959.3350600004</v>
      </c>
      <c r="K76" s="246">
        <f>Revenue!$C$10*(K$6-K$7)
+Revenue!$D$10*(K$7-K$8)
+Revenue!$E$10*K$8</f>
        <v>1265959.3350600004</v>
      </c>
      <c r="L76" s="246">
        <f>Revenue!$C$10*(L$6-L$7)
+Revenue!$D$10*(L$7-L$8)
+Revenue!$E$10*L$8</f>
        <v>1265959.3350600004</v>
      </c>
      <c r="M76" s="246">
        <f>Revenue!$C$10*(M$6-M$7)
+Revenue!$D$10*(M$7-M$8)
+Revenue!$E$10*M$8</f>
        <v>1265959.3350600004</v>
      </c>
      <c r="N76" s="246">
        <f>Revenue!$C$10*(N$6-N$7)
+Revenue!$D$10*(N$7-N$8)
+Revenue!$E$10*N$8</f>
        <v>1265959.3350600004</v>
      </c>
      <c r="O76" s="246">
        <f>Revenue!$C$10*(O$6-O$7)
+Revenue!$D$10*(O$7-O$8)
+Revenue!$E$10*O$8</f>
        <v>1265959.3350600004</v>
      </c>
      <c r="P76" s="246">
        <f>Revenue!$C$10*(P$6-P$7)
+Revenue!$D$10*(P$7-P$8)
+Revenue!$E$10*P$8</f>
        <v>1265959.3350600004</v>
      </c>
      <c r="Q76" s="246">
        <f>Revenue!$C$10*(Q$6-Q$7)
+Revenue!$D$10*(Q$7-Q$8)
+Revenue!$E$10*Q$8</f>
        <v>1265959.3350600004</v>
      </c>
      <c r="R76" s="246">
        <f>Revenue!$C$10*(R$6-R$7)
+Revenue!$D$10*(R$7-R$8)
+Revenue!$E$10*R$8</f>
        <v>1265959.3350600004</v>
      </c>
      <c r="S76" s="246">
        <f>Revenue!$C$10*(S$6-S$7)
+Revenue!$D$10*(S$7-S$8)
+Revenue!$E$10*S$8</f>
        <v>1265959.3350600004</v>
      </c>
      <c r="T76" s="246">
        <f>Revenue!$C$10*(T$6-T$7)
+Revenue!$D$10*(T$7-T$8)
+Revenue!$E$10*T$8</f>
        <v>1265959.3350600004</v>
      </c>
      <c r="U76" s="246">
        <f>Revenue!$C$10*(U$6-U$7)
+Revenue!$D$10*(U$7-U$8)
+Revenue!$E$10*U$8</f>
        <v>1265959.3350600004</v>
      </c>
      <c r="V76" s="246">
        <f>Revenue!$C$10*(V$6-V$7)
+Revenue!$D$10*(V$7-V$8)
+Revenue!$E$10*V$8</f>
        <v>1265959.3350600004</v>
      </c>
      <c r="W76" s="246">
        <f>Revenue!$C$10*(W$6-W$7)
+Revenue!$D$10*(W$7-W$8)
+Revenue!$E$10*W$8</f>
        <v>1265959.3350600004</v>
      </c>
      <c r="X76" s="246">
        <f>Revenue!$C$10*(X$6-X$7)
+Revenue!$D$10*(X$7-X$8)
+Revenue!$E$10*X$8</f>
        <v>1265959.3350600004</v>
      </c>
      <c r="Y76" s="246">
        <f>Revenue!$C$10*(Y$6-Y$7)
+Revenue!$D$10*(Y$7-Y$8)
+Revenue!$E$10*Y$8</f>
        <v>1265959.3350600004</v>
      </c>
      <c r="Z76" s="246">
        <f>Revenue!$C$10*(Z$6-Z$7)
+Revenue!$D$10*(Z$7-Z$8)
+Revenue!$E$10*Z$8</f>
        <v>1265959.3350600004</v>
      </c>
      <c r="AA76" s="246">
        <f>Revenue!$C$10*(AA$6-AA$7)
+Revenue!$D$10*(AA$7-AA$8)
+Revenue!$E$10*AA$8</f>
        <v>1265959.3350600004</v>
      </c>
      <c r="AB76" s="246">
        <f>Revenue!$C$10*(AB$6-AB$7)
+Revenue!$D$10*(AB$7-AB$8)
+Revenue!$E$10*AB$8</f>
        <v>1265959.3350600004</v>
      </c>
      <c r="AC76" s="246">
        <f>Revenue!$C$10*(AC$6-AC$7)
+Revenue!$D$10*(AC$7-AC$8)
+Revenue!$E$10*AC$8</f>
        <v>1265959.3350600004</v>
      </c>
      <c r="AD76" s="246">
        <f>Revenue!$C$10*(AD$6-AD$7)
+Revenue!$D$10*(AD$7-AD$8)
+Revenue!$E$10*AD$8</f>
        <v>1265959.3350600004</v>
      </c>
      <c r="AE76" s="246">
        <f>Revenue!$C$10*(AE$6-AE$7)
+Revenue!$D$10*(AE$7-AE$8)
+Revenue!$E$10*AE$8</f>
        <v>1265959.3350600004</v>
      </c>
      <c r="AF76" s="246">
        <f>Revenue!$C$10*(AF$6-AF$7)
+Revenue!$D$10*(AF$7-AF$8)
+Revenue!$E$10*AF$8</f>
        <v>1265959.3350600004</v>
      </c>
      <c r="AG76" s="246">
        <f>Revenue!$C$10*(AG$6-AG$7)
+Revenue!$D$10*(AG$7-AG$8)
+Revenue!$E$10*AG$8</f>
        <v>1265959.3350600004</v>
      </c>
      <c r="AH76" s="246">
        <f>Revenue!$C$10*(AH$6-AH$7)
+Revenue!$D$10*(AH$7-AH$8)
+Revenue!$E$10*AH$8</f>
        <v>1265959.3350600004</v>
      </c>
      <c r="AI76" s="246">
        <f>Revenue!$C$10*(AI$6-AI$7)
+Revenue!$D$10*(AI$7-AI$8)
+Revenue!$E$10*AI$8</f>
        <v>1265959.3350600004</v>
      </c>
      <c r="AJ76" s="246">
        <f>Revenue!$C$10*(AJ$6-AJ$7)
+Revenue!$D$10*(AJ$7-AJ$8)
+Revenue!$E$10*AJ$8</f>
        <v>1265959.3350600004</v>
      </c>
      <c r="AK76" s="246">
        <f>Revenue!$C$10*(AK$6-AK$7)
+Revenue!$D$10*(AK$7-AK$8)
+Revenue!$E$10*AK$8</f>
        <v>1265959.3350600004</v>
      </c>
      <c r="AL76" s="246">
        <f>Revenue!$C$10*(AL$6-AL$7)
+Revenue!$D$10*(AL$7-AL$8)
+Revenue!$E$10*AL$8</f>
        <v>1265959.3350600004</v>
      </c>
      <c r="AM76" s="246">
        <f>Revenue!$C$10*(AM$6-AM$7)
+Revenue!$D$10*(AM$7-AM$8)
+Revenue!$E$10*AM$8</f>
        <v>1265959.3350600004</v>
      </c>
      <c r="AN76" s="246">
        <f>Revenue!$C$10*(AN$6-AN$7)
+Revenue!$D$10*(AN$7-AN$8)
+Revenue!$E$10*AN$8</f>
        <v>1265959.3350600004</v>
      </c>
      <c r="AO76" s="246">
        <f>Revenue!$C$10*(AO$6-AO$7)
+Revenue!$D$10*(AO$7-AO$8)
+Revenue!$E$10*AO$8</f>
        <v>1265959.3350600004</v>
      </c>
      <c r="AP76" s="246">
        <f>Revenue!$C$10*(AP$6-AP$7)
+Revenue!$D$10*(AP$7-AP$8)
+Revenue!$E$10*AP$8</f>
        <v>1265959.3350600004</v>
      </c>
      <c r="AQ76" s="246">
        <f>Revenue!$C$10*(AQ$6-AQ$7)
+Revenue!$D$10*(AQ$7-AQ$8)
+Revenue!$E$10*AQ$8</f>
        <v>1265959.3350600004</v>
      </c>
      <c r="AR76" s="246">
        <f>Revenue!$C$10*(AR$6-AR$7)
+Revenue!$D$10*(AR$7-AR$8)
+Revenue!$E$10*AR$8</f>
        <v>1265959.3350600004</v>
      </c>
      <c r="AS76" s="246">
        <f>Revenue!$C$10*(AS$6-AS$7)
+Revenue!$D$10*(AS$7-AS$8)
+Revenue!$E$10*AS$8</f>
        <v>1265959.3350600004</v>
      </c>
      <c r="AT76" s="246">
        <f>Revenue!$C$10*(AT$6-AT$7)
+Revenue!$D$10*(AT$7-AT$8)
+Revenue!$E$10*AT$8</f>
        <v>1265959.3350600004</v>
      </c>
      <c r="AU76" s="246">
        <f>Revenue!$C$10*(AU$6-AU$7)
+Revenue!$D$10*(AU$7-AU$8)
+Revenue!$E$10*AU$8</f>
        <v>1265959.3350600004</v>
      </c>
      <c r="AV76" s="246">
        <f>Revenue!$C$10*(AV$6-AV$7)
+Revenue!$D$10*(AV$7-AV$8)
+Revenue!$E$10*AV$8</f>
        <v>1265959.3350600004</v>
      </c>
      <c r="AW76" s="246">
        <f>Revenue!$C$10*(AW$6-AW$7)
+Revenue!$D$10*(AW$7-AW$8)
+Revenue!$E$10*AW$8</f>
        <v>1265959.3350600004</v>
      </c>
      <c r="AX76" s="246">
        <f>Revenue!$C$10*(AX$6-AX$7)
+Revenue!$D$10*(AX$7-AX$8)
+Revenue!$E$10*AX$8</f>
        <v>1265959.3350600004</v>
      </c>
      <c r="AY76" s="246">
        <f>Revenue!$C$10*(AY$6-AY$7)
+Revenue!$D$10*(AY$7-AY$8)
+Revenue!$E$10*AY$8</f>
        <v>1265959.3350600004</v>
      </c>
      <c r="AZ76" s="246">
        <f>Revenue!$C$10*(AZ$6-AZ$7)
+Revenue!$D$10*(AZ$7-AZ$8)
+Revenue!$E$10*AZ$8</f>
        <v>1265959.3350600004</v>
      </c>
      <c r="BA76" s="246">
        <f>Revenue!$C$10*(BA$6-BA$7)
+Revenue!$D$10*(BA$7-BA$8)
+Revenue!$E$10*BA$8</f>
        <v>1265959.3350600004</v>
      </c>
      <c r="BB76" s="246">
        <f>Revenue!$C$10*(BB$6-BB$7)
+Revenue!$D$10*(BB$7-BB$8)
+Revenue!$E$10*BB$8</f>
        <v>1265959.3350600004</v>
      </c>
      <c r="BC76" s="246">
        <f>Revenue!$C$10*(BC$6-BC$7)
+Revenue!$D$10*(BC$7-BC$8)
+Revenue!$E$10*BC$8</f>
        <v>1265959.3350600004</v>
      </c>
      <c r="BD76" s="246">
        <f>Revenue!$C$10*(BD$6-BD$7)
+Revenue!$D$10*(BD$7-BD$8)
+Revenue!$E$10*BD$8</f>
        <v>1265959.3350600004</v>
      </c>
      <c r="BE76" s="246">
        <f>Revenue!$C$10*(BE$6-BE$7)
+Revenue!$D$10*(BE$7-BE$8)
+Revenue!$E$10*BE$8</f>
        <v>1265959.3350600004</v>
      </c>
      <c r="BF76" s="246">
        <f>Revenue!$C$10*(BF$6-BF$7)
+Revenue!$D$10*(BF$7-BF$8)
+Revenue!$E$10*BF$8</f>
        <v>1265959.3350600004</v>
      </c>
      <c r="BG76" s="246">
        <f>Revenue!$C$10*(BG$6-BG$7)
+Revenue!$D$10*(BG$7-BG$8)
+Revenue!$E$10*BG$8</f>
        <v>1265959.3350600004</v>
      </c>
      <c r="BH76" s="246">
        <f>Revenue!$C$10*(BH$6-BH$7)
+Revenue!$D$10*(BH$7-BH$8)
+Revenue!$E$10*BH$8</f>
        <v>1265959.3350600004</v>
      </c>
      <c r="BI76" s="246">
        <f>Revenue!$C$10*(BI$6-BI$7)
+Revenue!$D$10*(BI$7-BI$8)
+Revenue!$E$10*BI$8</f>
        <v>1265959.3350600004</v>
      </c>
      <c r="BJ76" s="246">
        <f>Revenue!$C$10*(BJ$6-BJ$7)
+Revenue!$D$10*(BJ$7-BJ$8)
+Revenue!$E$10*BJ$8</f>
        <v>1265959.3350600004</v>
      </c>
      <c r="BK76" s="246">
        <f>Revenue!$C$10*(BK$6-BK$7)
+Revenue!$D$10*(BK$7-BK$8)
+Revenue!$E$10*BK$8</f>
        <v>1265959.3350600004</v>
      </c>
      <c r="BL76" s="246">
        <f>Revenue!$C$10*(BL$6-BL$7)
+Revenue!$D$10*(BL$7-BL$8)
+Revenue!$E$10*BL$8</f>
        <v>1265959.3350600004</v>
      </c>
    </row>
    <row r="77" spans="2:64" x14ac:dyDescent="0.2">
      <c r="B77" s="149" t="s">
        <v>279</v>
      </c>
      <c r="D77" s="60"/>
      <c r="E77" s="244">
        <f t="shared" ref="E77:AJ77" si="64">SUM(E75:E76)</f>
        <v>18793964.139862116</v>
      </c>
      <c r="F77" s="244">
        <f t="shared" si="64"/>
        <v>18384612.003223304</v>
      </c>
      <c r="G77" s="244">
        <f t="shared" si="64"/>
        <v>18234010.3976616</v>
      </c>
      <c r="H77" s="244">
        <f t="shared" si="64"/>
        <v>18452893.660467833</v>
      </c>
      <c r="I77" s="244">
        <f t="shared" si="64"/>
        <v>18550138.61114005</v>
      </c>
      <c r="J77" s="244">
        <f t="shared" si="64"/>
        <v>18302556.131196354</v>
      </c>
      <c r="K77" s="244">
        <f t="shared" si="64"/>
        <v>17914902.407505691</v>
      </c>
      <c r="L77" s="244">
        <f t="shared" si="64"/>
        <v>17558777.809468545</v>
      </c>
      <c r="M77" s="244">
        <f t="shared" si="64"/>
        <v>17398198.774598934</v>
      </c>
      <c r="N77" s="244">
        <f t="shared" si="64"/>
        <v>17288966.040988952</v>
      </c>
      <c r="O77" s="244">
        <f t="shared" si="64"/>
        <v>17060712.525932975</v>
      </c>
      <c r="P77" s="244">
        <f t="shared" si="64"/>
        <v>17186704.033112161</v>
      </c>
      <c r="Q77" s="244">
        <f t="shared" si="64"/>
        <v>17116225.55943352</v>
      </c>
      <c r="R77" s="244">
        <f t="shared" si="64"/>
        <v>16965573.465028528</v>
      </c>
      <c r="S77" s="244">
        <f t="shared" si="64"/>
        <v>16965573.465028528</v>
      </c>
      <c r="T77" s="244">
        <f t="shared" si="64"/>
        <v>16965573.465028528</v>
      </c>
      <c r="U77" s="244">
        <f t="shared" si="64"/>
        <v>16965573.465028528</v>
      </c>
      <c r="V77" s="244">
        <f t="shared" si="64"/>
        <v>16965573.465028528</v>
      </c>
      <c r="W77" s="244">
        <f t="shared" si="64"/>
        <v>16965573.465028528</v>
      </c>
      <c r="X77" s="244">
        <f t="shared" si="64"/>
        <v>16965573.465028528</v>
      </c>
      <c r="Y77" s="244">
        <f t="shared" si="64"/>
        <v>16965573.465028528</v>
      </c>
      <c r="Z77" s="244">
        <f t="shared" si="64"/>
        <v>16965573.465028528</v>
      </c>
      <c r="AA77" s="244">
        <f t="shared" si="64"/>
        <v>16965573.465028528</v>
      </c>
      <c r="AB77" s="244">
        <f t="shared" si="64"/>
        <v>16965573.465028528</v>
      </c>
      <c r="AC77" s="244">
        <f t="shared" si="64"/>
        <v>16965573.465028528</v>
      </c>
      <c r="AD77" s="244">
        <f t="shared" si="64"/>
        <v>16965573.465028528</v>
      </c>
      <c r="AE77" s="244">
        <f t="shared" si="64"/>
        <v>16965573.465028528</v>
      </c>
      <c r="AF77" s="244">
        <f t="shared" si="64"/>
        <v>16965573.465028528</v>
      </c>
      <c r="AG77" s="244">
        <f t="shared" si="64"/>
        <v>16965573.465028528</v>
      </c>
      <c r="AH77" s="244">
        <f t="shared" si="64"/>
        <v>16965573.465028528</v>
      </c>
      <c r="AI77" s="244">
        <f t="shared" si="64"/>
        <v>16965573.465028528</v>
      </c>
      <c r="AJ77" s="244">
        <f t="shared" si="64"/>
        <v>16965573.465028528</v>
      </c>
      <c r="AK77" s="244">
        <f t="shared" ref="AK77:BL77" si="65">SUM(AK75:AK76)</f>
        <v>16965573.465028528</v>
      </c>
      <c r="AL77" s="244">
        <f t="shared" si="65"/>
        <v>16965573.465028528</v>
      </c>
      <c r="AM77" s="244">
        <f t="shared" si="65"/>
        <v>16965573.465028528</v>
      </c>
      <c r="AN77" s="244">
        <f t="shared" si="65"/>
        <v>16965573.465028528</v>
      </c>
      <c r="AO77" s="244">
        <f t="shared" si="65"/>
        <v>16965573.465028528</v>
      </c>
      <c r="AP77" s="244">
        <f t="shared" si="65"/>
        <v>16965573.465028528</v>
      </c>
      <c r="AQ77" s="244">
        <f t="shared" si="65"/>
        <v>16965573.465028528</v>
      </c>
      <c r="AR77" s="244">
        <f t="shared" si="65"/>
        <v>16965573.465028528</v>
      </c>
      <c r="AS77" s="244">
        <f t="shared" si="65"/>
        <v>16965573.465028528</v>
      </c>
      <c r="AT77" s="244">
        <f t="shared" si="65"/>
        <v>16965573.465028528</v>
      </c>
      <c r="AU77" s="244">
        <f t="shared" si="65"/>
        <v>16965573.465028528</v>
      </c>
      <c r="AV77" s="244">
        <f t="shared" si="65"/>
        <v>16965573.465028528</v>
      </c>
      <c r="AW77" s="244">
        <f t="shared" si="65"/>
        <v>16965573.465028528</v>
      </c>
      <c r="AX77" s="244">
        <f t="shared" si="65"/>
        <v>16965573.465028528</v>
      </c>
      <c r="AY77" s="244">
        <f t="shared" si="65"/>
        <v>16965573.465028528</v>
      </c>
      <c r="AZ77" s="244">
        <f t="shared" si="65"/>
        <v>16965573.465028528</v>
      </c>
      <c r="BA77" s="244">
        <f t="shared" si="65"/>
        <v>16965573.465028528</v>
      </c>
      <c r="BB77" s="244">
        <f t="shared" si="65"/>
        <v>16965573.465028528</v>
      </c>
      <c r="BC77" s="244">
        <f t="shared" si="65"/>
        <v>16965573.465028528</v>
      </c>
      <c r="BD77" s="244">
        <f t="shared" si="65"/>
        <v>16965573.465028528</v>
      </c>
      <c r="BE77" s="244">
        <f t="shared" si="65"/>
        <v>16965573.465028528</v>
      </c>
      <c r="BF77" s="244">
        <f t="shared" si="65"/>
        <v>16965573.465028528</v>
      </c>
      <c r="BG77" s="244">
        <f t="shared" si="65"/>
        <v>16965573.465028528</v>
      </c>
      <c r="BH77" s="244">
        <f t="shared" si="65"/>
        <v>16965573.465028528</v>
      </c>
      <c r="BI77" s="244">
        <f t="shared" si="65"/>
        <v>16965573.465028528</v>
      </c>
      <c r="BJ77" s="244">
        <f t="shared" si="65"/>
        <v>16965573.465028528</v>
      </c>
      <c r="BK77" s="244">
        <f t="shared" si="65"/>
        <v>16965573.465028528</v>
      </c>
      <c r="BL77" s="244">
        <f t="shared" si="65"/>
        <v>16965573.465028528</v>
      </c>
    </row>
    <row r="78" spans="2:64" x14ac:dyDescent="0.2">
      <c r="B78" s="149"/>
      <c r="E78" s="128"/>
      <c r="F78" s="128"/>
      <c r="G78" s="128"/>
      <c r="H78" s="128"/>
      <c r="I78" s="128"/>
      <c r="J78" s="128"/>
      <c r="K78" s="128"/>
      <c r="L78" s="128"/>
      <c r="M78" s="128"/>
      <c r="N78" s="128"/>
      <c r="O78" s="128"/>
      <c r="P78" s="128"/>
      <c r="Q78" s="128"/>
      <c r="R78" s="128"/>
      <c r="S78" s="128"/>
      <c r="T78" s="128"/>
      <c r="U78" s="128"/>
      <c r="V78" s="128"/>
      <c r="W78" s="128"/>
      <c r="X78" s="128"/>
      <c r="Y78" s="128"/>
      <c r="Z78" s="128"/>
      <c r="AA78" s="128"/>
      <c r="AB78" s="128"/>
      <c r="AC78" s="128"/>
      <c r="AD78" s="128"/>
      <c r="AE78" s="128"/>
      <c r="AF78" s="128"/>
      <c r="AG78" s="128"/>
      <c r="AH78" s="128"/>
      <c r="AI78" s="128"/>
      <c r="AJ78" s="128"/>
      <c r="AK78" s="128"/>
      <c r="AL78" s="128"/>
      <c r="AM78" s="128"/>
      <c r="AN78" s="128"/>
      <c r="AO78" s="128"/>
      <c r="AP78" s="128"/>
      <c r="AQ78" s="128"/>
      <c r="AR78" s="128"/>
      <c r="AS78" s="128"/>
      <c r="AT78" s="128"/>
      <c r="AU78" s="128"/>
      <c r="AV78" s="128"/>
      <c r="AW78" s="128"/>
      <c r="AX78" s="128"/>
      <c r="AY78" s="128"/>
      <c r="AZ78" s="128"/>
      <c r="BA78" s="128"/>
      <c r="BB78" s="128"/>
      <c r="BC78" s="128"/>
      <c r="BD78" s="128"/>
      <c r="BE78" s="128"/>
      <c r="BF78" s="128"/>
      <c r="BG78" s="128"/>
      <c r="BH78" s="128"/>
      <c r="BI78" s="128"/>
      <c r="BJ78" s="128"/>
      <c r="BK78" s="128"/>
      <c r="BL78" s="128"/>
    </row>
    <row r="80" spans="2:64" x14ac:dyDescent="0.2">
      <c r="B80" s="35" t="s">
        <v>280</v>
      </c>
      <c r="D80" s="174">
        <f>(CAPEX!$J$27*D9+CAPEX!$K$27*D10+CAPEX!$L$27*D11)</f>
        <v>0</v>
      </c>
      <c r="E80" s="174">
        <f>(CAPEX!$J$27*E9+CAPEX!$K$27*E10+CAPEX!$L$27*E11)</f>
        <v>0</v>
      </c>
      <c r="F80" s="174">
        <f>(CAPEX!$J$27*F9+CAPEX!$K$27*F10+CAPEX!$L$27*F11)</f>
        <v>0</v>
      </c>
      <c r="G80" s="174">
        <f>(CAPEX!$J$27*G9+CAPEX!$K$27*G10+CAPEX!$L$27*G11)</f>
        <v>0</v>
      </c>
      <c r="H80" s="174">
        <f>(CAPEX!$J$27*H9+CAPEX!$K$27*H10+CAPEX!$L$27*H11)</f>
        <v>0</v>
      </c>
      <c r="I80" s="174">
        <f>(CAPEX!$J$27*I9+CAPEX!$K$27*I10+CAPEX!$L$27*I11)</f>
        <v>0</v>
      </c>
      <c r="J80" s="174">
        <f>(CAPEX!$J$27*J9+CAPEX!$K$27*J10+CAPEX!$L$27*J11)</f>
        <v>0</v>
      </c>
      <c r="K80" s="174">
        <f>(CAPEX!$J$27*K9+CAPEX!$K$27*K10+CAPEX!$L$27*K11)</f>
        <v>0</v>
      </c>
      <c r="L80" s="174">
        <f>(CAPEX!$J$27*L9+CAPEX!$K$27*L10+CAPEX!$L$27*L11)</f>
        <v>0</v>
      </c>
      <c r="M80" s="174">
        <f>(CAPEX!$J$27*M9+CAPEX!$K$27*M10+CAPEX!$L$27*M11)</f>
        <v>0</v>
      </c>
      <c r="N80" s="174">
        <f>(CAPEX!$J$27*N9+CAPEX!$K$27*N10+CAPEX!$L$27*N11)</f>
        <v>0</v>
      </c>
      <c r="O80" s="174">
        <f>(CAPEX!$J$27*O9+CAPEX!$K$27*O10+CAPEX!$L$27*O11)</f>
        <v>0</v>
      </c>
      <c r="P80" s="174">
        <f>(CAPEX!$J$27*P9+CAPEX!$K$27*P10+CAPEX!$L$27*P11)</f>
        <v>0</v>
      </c>
      <c r="Q80" s="174">
        <f>(CAPEX!$J$27*Q9+CAPEX!$K$27*Q10+CAPEX!$L$27*Q11)</f>
        <v>0</v>
      </c>
      <c r="R80" s="174">
        <f>(CAPEX!$J$27*R9+CAPEX!$K$27*R10+CAPEX!$L$27*R11)</f>
        <v>0</v>
      </c>
      <c r="S80" s="174">
        <f>(CAPEX!$J$27*S9+CAPEX!$K$27*S10+CAPEX!$L$27*S11)</f>
        <v>0</v>
      </c>
      <c r="T80" s="174">
        <f>(CAPEX!$J$27*T9+CAPEX!$K$27*T10+CAPEX!$L$27*T11)</f>
        <v>0</v>
      </c>
      <c r="U80" s="174">
        <f>(CAPEX!$J$27*U9+CAPEX!$K$27*U10+CAPEX!$L$27*U11)</f>
        <v>0</v>
      </c>
      <c r="V80" s="174">
        <f>(CAPEX!$J$27*V9+CAPEX!$K$27*V10+CAPEX!$L$27*V11)</f>
        <v>0</v>
      </c>
      <c r="W80" s="174">
        <f>(CAPEX!$J$27*W9+CAPEX!$K$27*W10+CAPEX!$L$27*W11)</f>
        <v>0</v>
      </c>
      <c r="X80" s="174">
        <f>(CAPEX!$J$27*X9+CAPEX!$K$27*X10+CAPEX!$L$27*X11)</f>
        <v>0</v>
      </c>
      <c r="Y80" s="174">
        <f>(CAPEX!$J$27*Y9+CAPEX!$K$27*Y10+CAPEX!$L$27*Y11)</f>
        <v>0</v>
      </c>
      <c r="Z80" s="174">
        <f>(CAPEX!$J$27*Z9+CAPEX!$K$27*Z10+CAPEX!$L$27*Z11)</f>
        <v>0</v>
      </c>
      <c r="AA80" s="174">
        <f>(CAPEX!$J$27*AA9+CAPEX!$K$27*AA10+CAPEX!$L$27*AA11)</f>
        <v>0</v>
      </c>
      <c r="AB80" s="174">
        <f>(CAPEX!$J$27*AB9+CAPEX!$K$27*AB10+CAPEX!$L$27*AB11)</f>
        <v>0</v>
      </c>
      <c r="AC80" s="174">
        <f>(CAPEX!$J$27*AC9+CAPEX!$K$27*AC10+CAPEX!$L$27*AC11)</f>
        <v>0</v>
      </c>
      <c r="AD80" s="174">
        <f>(CAPEX!$J$27*AD9+CAPEX!$K$27*AD10+CAPEX!$L$27*AD11)</f>
        <v>0</v>
      </c>
      <c r="AE80" s="174">
        <f>(CAPEX!$J$27*AE9+CAPEX!$K$27*AE10+CAPEX!$L$27*AE11)</f>
        <v>0</v>
      </c>
      <c r="AF80" s="174">
        <f>(CAPEX!$J$27*AF9+CAPEX!$K$27*AF10+CAPEX!$L$27*AF11)</f>
        <v>0</v>
      </c>
      <c r="AG80" s="174">
        <f>(CAPEX!$J$27*AG9+CAPEX!$K$27*AG10+CAPEX!$L$27*AG11)</f>
        <v>0</v>
      </c>
      <c r="AH80" s="174">
        <f>(CAPEX!$J$27*AH9+CAPEX!$K$27*AH10+CAPEX!$L$27*AH11)</f>
        <v>0</v>
      </c>
      <c r="AI80" s="174">
        <f>(CAPEX!$J$27*AI9+CAPEX!$K$27*AI10+CAPEX!$L$27*AI11)</f>
        <v>0</v>
      </c>
      <c r="AJ80" s="174">
        <f>(CAPEX!$J$27*AJ9+CAPEX!$K$27*AJ10+CAPEX!$L$27*AJ11)</f>
        <v>0</v>
      </c>
      <c r="AK80" s="174">
        <f>(CAPEX!$J$27*AK9+CAPEX!$K$27*AK10+CAPEX!$L$27*AK11)</f>
        <v>0</v>
      </c>
      <c r="AL80" s="174">
        <f>(CAPEX!$J$27*AL9+CAPEX!$K$27*AL10+CAPEX!$L$27*AL11)</f>
        <v>0</v>
      </c>
      <c r="AM80" s="174">
        <f>(CAPEX!$J$27*AM9+CAPEX!$K$27*AM10+CAPEX!$L$27*AM11)</f>
        <v>0</v>
      </c>
      <c r="AN80" s="174">
        <f>(CAPEX!$J$27*AN9+CAPEX!$K$27*AN10+CAPEX!$L$27*AN11)</f>
        <v>0</v>
      </c>
      <c r="AO80" s="174">
        <f>(CAPEX!$J$27*AO9+CAPEX!$K$27*AO10+CAPEX!$L$27*AO11)</f>
        <v>0</v>
      </c>
      <c r="AP80" s="174">
        <f>(CAPEX!$J$27*AP9+CAPEX!$K$27*AP10+CAPEX!$L$27*AP11)</f>
        <v>0</v>
      </c>
      <c r="AQ80" s="174">
        <f>(CAPEX!$J$27*AQ9+CAPEX!$K$27*AQ10+CAPEX!$L$27*AQ11)</f>
        <v>0</v>
      </c>
      <c r="AR80" s="174">
        <f>(CAPEX!$J$27*AR9+CAPEX!$K$27*AR10+CAPEX!$L$27*AR11)</f>
        <v>0</v>
      </c>
      <c r="AS80" s="174">
        <f>(CAPEX!$J$27*AS9+CAPEX!$K$27*AS10+CAPEX!$L$27*AS11)</f>
        <v>0</v>
      </c>
      <c r="AT80" s="174">
        <f>(CAPEX!$J$27*AT9+CAPEX!$K$27*AT10+CAPEX!$L$27*AT11)</f>
        <v>0</v>
      </c>
      <c r="AU80" s="174">
        <f>(CAPEX!$J$27*AU9+CAPEX!$K$27*AU10+CAPEX!$L$27*AU11)</f>
        <v>0</v>
      </c>
      <c r="AV80" s="174">
        <f>(CAPEX!$J$27*AV9+CAPEX!$K$27*AV10+CAPEX!$L$27*AV11)</f>
        <v>0</v>
      </c>
      <c r="AW80" s="174">
        <f>(CAPEX!$J$27*AW9+CAPEX!$K$27*AW10+CAPEX!$L$27*AW11)</f>
        <v>0</v>
      </c>
      <c r="AX80" s="174">
        <f>(CAPEX!$J$27*AX9+CAPEX!$K$27*AX10+CAPEX!$L$27*AX11)</f>
        <v>0</v>
      </c>
      <c r="AY80" s="174">
        <f>(CAPEX!$J$27*AY9+CAPEX!$K$27*AY10+CAPEX!$L$27*AY11)</f>
        <v>0</v>
      </c>
      <c r="AZ80" s="174">
        <f>(CAPEX!$J$27*AZ9+CAPEX!$K$27*AZ10+CAPEX!$L$27*AZ11)</f>
        <v>0</v>
      </c>
      <c r="BA80" s="174">
        <f>(CAPEX!$J$27*BA9+CAPEX!$K$27*BA10+CAPEX!$L$27*BA11)</f>
        <v>0</v>
      </c>
      <c r="BB80" s="174">
        <f>(CAPEX!$J$27*BB9+CAPEX!$K$27*BB10+CAPEX!$L$27*BB11)</f>
        <v>0</v>
      </c>
      <c r="BC80" s="174">
        <f>(CAPEX!$J$27*BC9+CAPEX!$K$27*BC10+CAPEX!$L$27*BC11)</f>
        <v>0</v>
      </c>
      <c r="BD80" s="174">
        <f>(CAPEX!$J$27*BD9+CAPEX!$K$27*BD10+CAPEX!$L$27*BD11)</f>
        <v>0</v>
      </c>
      <c r="BE80" s="174">
        <f>(CAPEX!$J$27*BE9+CAPEX!$K$27*BE10+CAPEX!$L$27*BE11)</f>
        <v>0</v>
      </c>
      <c r="BF80" s="174">
        <f>(CAPEX!$J$27*BF9+CAPEX!$K$27*BF10+CAPEX!$L$27*BF11)</f>
        <v>0</v>
      </c>
      <c r="BG80" s="174">
        <f>(CAPEX!$J$27*BG9+CAPEX!$K$27*BG10+CAPEX!$L$27*BG11)</f>
        <v>0</v>
      </c>
      <c r="BH80" s="174">
        <f>(CAPEX!$J$27*BH9+CAPEX!$K$27*BH10+CAPEX!$L$27*BH11)</f>
        <v>0</v>
      </c>
      <c r="BI80" s="174">
        <f>(CAPEX!$J$27*BI9+CAPEX!$K$27*BI10+CAPEX!$L$27*BI11)</f>
        <v>0</v>
      </c>
      <c r="BJ80" s="174">
        <f>(CAPEX!$J$27*BJ9+CAPEX!$K$27*BJ10+CAPEX!$L$27*BJ11)</f>
        <v>0</v>
      </c>
      <c r="BK80" s="174">
        <f>(CAPEX!$J$27*BK9+CAPEX!$K$27*BK10+CAPEX!$L$27*BK11)</f>
        <v>0</v>
      </c>
      <c r="BL80" s="174">
        <f>(CAPEX!$J$27*BL9+CAPEX!$K$27*BL10+CAPEX!$L$27*BL11)</f>
        <v>0</v>
      </c>
    </row>
    <row r="83" spans="2:64" x14ac:dyDescent="0.2">
      <c r="B83" s="35" t="s">
        <v>281</v>
      </c>
    </row>
    <row r="84" spans="2:64" x14ac:dyDescent="0.2">
      <c r="B84" s="53" t="s">
        <v>157</v>
      </c>
    </row>
    <row r="85" spans="2:64" x14ac:dyDescent="0.2">
      <c r="B85" s="54" t="s">
        <v>282</v>
      </c>
      <c r="D85" s="128">
        <f>IF(Dashboard!$C$19=Lists!$B$4,CAPEX!$O$29*D9+(CAPEX!$P$29-CAPEX!$O$29)*D10+(CAPEX!$Q$29-CAPEX!$P$29)*D11,
CAPEX!$J$29*D9+(CAPEX!$K$29-CAPEX!$J$29)*D10+(CAPEX!$L$29-CAPEX!$K$29)*D11)</f>
        <v>65210622.489293784</v>
      </c>
      <c r="E85" s="128">
        <f>IF(Dashboard!$C$19=Lists!$B$4,CAPEX!$O$29*E9+(CAPEX!$P$29-CAPEX!$O$29)*E10+(CAPEX!$Q$29-CAPEX!$P$29)*E11,
CAPEX!$J$29*E9+(CAPEX!$K$29-CAPEX!$J$29)*E10+(CAPEX!$L$29-CAPEX!$K$29)*E11)</f>
        <v>0</v>
      </c>
      <c r="F85" s="128">
        <f>IF(Dashboard!$C$19=Lists!$B$4,CAPEX!$O$29*F9+(CAPEX!$P$29-CAPEX!$O$29)*F10+(CAPEX!$Q$29-CAPEX!$P$29)*F11,
CAPEX!$J$29*F9+(CAPEX!$K$29-CAPEX!$J$29)*F10+(CAPEX!$L$29-CAPEX!$K$29)*F11)</f>
        <v>0</v>
      </c>
      <c r="G85" s="128">
        <f>IF(Dashboard!$C$19=Lists!$B$4,CAPEX!$O$29*G9+(CAPEX!$P$29-CAPEX!$O$29)*G10+(CAPEX!$Q$29-CAPEX!$P$29)*G11,
CAPEX!$J$29*G9+(CAPEX!$K$29-CAPEX!$J$29)*G10+(CAPEX!$L$29-CAPEX!$K$29)*G11)</f>
        <v>0</v>
      </c>
      <c r="H85" s="128">
        <f>IF(Dashboard!$C$19=Lists!$B$4,CAPEX!$O$29*H9+(CAPEX!$P$29-CAPEX!$O$29)*H10+(CAPEX!$Q$29-CAPEX!$P$29)*H11,
CAPEX!$J$29*H9+(CAPEX!$K$29-CAPEX!$J$29)*H10+(CAPEX!$L$29-CAPEX!$K$29)*H11)</f>
        <v>0</v>
      </c>
      <c r="I85" s="128">
        <f>IF(Dashboard!$C$19=Lists!$B$4,CAPEX!$O$29*I9+(CAPEX!$P$29-CAPEX!$O$29)*I10+(CAPEX!$Q$29-CAPEX!$P$29)*I11,
CAPEX!$J$29*I9+(CAPEX!$K$29-CAPEX!$J$29)*I10+(CAPEX!$L$29-CAPEX!$K$29)*I11)</f>
        <v>0</v>
      </c>
      <c r="J85" s="128">
        <f>IF(Dashboard!$C$19=Lists!$B$4,CAPEX!$O$29*J9+(CAPEX!$P$29-CAPEX!$O$29)*J10+(CAPEX!$Q$29-CAPEX!$P$29)*J11,
CAPEX!$J$29*J9+(CAPEX!$K$29-CAPEX!$J$29)*J10+(CAPEX!$L$29-CAPEX!$K$29)*J11)</f>
        <v>0</v>
      </c>
      <c r="K85" s="128">
        <f>IF(Dashboard!$C$19=Lists!$B$4,CAPEX!$O$29*K9+(CAPEX!$P$29-CAPEX!$O$29)*K10+(CAPEX!$Q$29-CAPEX!$P$29)*K11,
CAPEX!$J$29*K9+(CAPEX!$K$29-CAPEX!$J$29)*K10+(CAPEX!$L$29-CAPEX!$K$29)*K11)</f>
        <v>0</v>
      </c>
      <c r="L85" s="128">
        <f>IF(Dashboard!$C$19=Lists!$B$4,CAPEX!$O$29*L9+(CAPEX!$P$29-CAPEX!$O$29)*L10+(CAPEX!$Q$29-CAPEX!$P$29)*L11,
CAPEX!$J$29*L9+(CAPEX!$K$29-CAPEX!$J$29)*L10+(CAPEX!$L$29-CAPEX!$K$29)*L11)</f>
        <v>0</v>
      </c>
      <c r="M85" s="128">
        <f>IF(Dashboard!$C$19=Lists!$B$4,CAPEX!$O$29*M9+(CAPEX!$P$29-CAPEX!$O$29)*M10+(CAPEX!$Q$29-CAPEX!$P$29)*M11,
CAPEX!$J$29*M9+(CAPEX!$K$29-CAPEX!$J$29)*M10+(CAPEX!$L$29-CAPEX!$K$29)*M11)</f>
        <v>0</v>
      </c>
      <c r="N85" s="128">
        <f>IF(Dashboard!$C$19=Lists!$B$4,CAPEX!$O$29*N9+(CAPEX!$P$29-CAPEX!$O$29)*N10+(CAPEX!$Q$29-CAPEX!$P$29)*N11,
CAPEX!$J$29*N9+(CAPEX!$K$29-CAPEX!$J$29)*N10+(CAPEX!$L$29-CAPEX!$K$29)*N11)</f>
        <v>0</v>
      </c>
      <c r="O85" s="128">
        <f>IF(Dashboard!$C$19=Lists!$B$4,CAPEX!$O$29*O9+(CAPEX!$P$29-CAPEX!$O$29)*O10+(CAPEX!$Q$29-CAPEX!$P$29)*O11,
CAPEX!$J$29*O9+(CAPEX!$K$29-CAPEX!$J$29)*O10+(CAPEX!$L$29-CAPEX!$K$29)*O11)</f>
        <v>0</v>
      </c>
      <c r="P85" s="128">
        <f>IF(Dashboard!$C$19=Lists!$B$4,CAPEX!$O$29*P9+(CAPEX!$P$29-CAPEX!$O$29)*P10+(CAPEX!$Q$29-CAPEX!$P$29)*P11,
CAPEX!$J$29*P9+(CAPEX!$K$29-CAPEX!$J$29)*P10+(CAPEX!$L$29-CAPEX!$K$29)*P11)</f>
        <v>0</v>
      </c>
      <c r="Q85" s="128">
        <f>IF(Dashboard!$C$19=Lists!$B$4,CAPEX!$O$29*Q9+(CAPEX!$P$29-CAPEX!$O$29)*Q10+(CAPEX!$Q$29-CAPEX!$P$29)*Q11,
CAPEX!$J$29*Q9+(CAPEX!$K$29-CAPEX!$J$29)*Q10+(CAPEX!$L$29-CAPEX!$K$29)*Q11)</f>
        <v>0</v>
      </c>
      <c r="R85" s="128">
        <f>IF(Dashboard!$C$19=Lists!$B$4,CAPEX!$O$29*R9+(CAPEX!$P$29-CAPEX!$O$29)*R10+(CAPEX!$Q$29-CAPEX!$P$29)*R11,
CAPEX!$J$29*R9+(CAPEX!$K$29-CAPEX!$J$29)*R10+(CAPEX!$L$29-CAPEX!$K$29)*R11)</f>
        <v>0</v>
      </c>
      <c r="S85" s="128">
        <f>IF(Dashboard!$C$19=Lists!$B$4,CAPEX!$O$29*S9+(CAPEX!$P$29-CAPEX!$O$29)*S10+(CAPEX!$Q$29-CAPEX!$P$29)*S11,
CAPEX!$J$29*S9+(CAPEX!$K$29-CAPEX!$J$29)*S10+(CAPEX!$L$29-CAPEX!$K$29)*S11)</f>
        <v>0</v>
      </c>
      <c r="T85" s="128">
        <f>IF(Dashboard!$C$19=Lists!$B$4,CAPEX!$O$29*T9+(CAPEX!$P$29-CAPEX!$O$29)*T10+(CAPEX!$Q$29-CAPEX!$P$29)*T11,
CAPEX!$J$29*T9+(CAPEX!$K$29-CAPEX!$J$29)*T10+(CAPEX!$L$29-CAPEX!$K$29)*T11)</f>
        <v>0</v>
      </c>
      <c r="U85" s="128">
        <f>IF(Dashboard!$C$19=Lists!$B$4,CAPEX!$O$29*U9+(CAPEX!$P$29-CAPEX!$O$29)*U10+(CAPEX!$Q$29-CAPEX!$P$29)*U11,
CAPEX!$J$29*U9+(CAPEX!$K$29-CAPEX!$J$29)*U10+(CAPEX!$L$29-CAPEX!$K$29)*U11)</f>
        <v>0</v>
      </c>
      <c r="V85" s="128">
        <f>IF(Dashboard!$C$19=Lists!$B$4,CAPEX!$O$29*V9+(CAPEX!$P$29-CAPEX!$O$29)*V10+(CAPEX!$Q$29-CAPEX!$P$29)*V11,
CAPEX!$J$29*V9+(CAPEX!$K$29-CAPEX!$J$29)*V10+(CAPEX!$L$29-CAPEX!$K$29)*V11)</f>
        <v>0</v>
      </c>
      <c r="W85" s="128">
        <f>IF(Dashboard!$C$19=Lists!$B$4,CAPEX!$O$29*W9+(CAPEX!$P$29-CAPEX!$O$29)*W10+(CAPEX!$Q$29-CAPEX!$P$29)*W11,
CAPEX!$J$29*W9+(CAPEX!$K$29-CAPEX!$J$29)*W10+(CAPEX!$L$29-CAPEX!$K$29)*W11)</f>
        <v>0</v>
      </c>
      <c r="X85" s="128">
        <f>IF(Dashboard!$C$19=Lists!$B$4,CAPEX!$O$29*X9+(CAPEX!$P$29-CAPEX!$O$29)*X10+(CAPEX!$Q$29-CAPEX!$P$29)*X11,
CAPEX!$J$29*X9+(CAPEX!$K$29-CAPEX!$J$29)*X10+(CAPEX!$L$29-CAPEX!$K$29)*X11)</f>
        <v>0</v>
      </c>
      <c r="Y85" s="128">
        <f>IF(Dashboard!$C$19=Lists!$B$4,CAPEX!$O$29*Y9+(CAPEX!$P$29-CAPEX!$O$29)*Y10+(CAPEX!$Q$29-CAPEX!$P$29)*Y11,
CAPEX!$J$29*Y9+(CAPEX!$K$29-CAPEX!$J$29)*Y10+(CAPEX!$L$29-CAPEX!$K$29)*Y11)</f>
        <v>0</v>
      </c>
      <c r="Z85" s="128">
        <f>IF(Dashboard!$C$19=Lists!$B$4,CAPEX!$O$29*Z9+(CAPEX!$P$29-CAPEX!$O$29)*Z10+(CAPEX!$Q$29-CAPEX!$P$29)*Z11,
CAPEX!$J$29*Z9+(CAPEX!$K$29-CAPEX!$J$29)*Z10+(CAPEX!$L$29-CAPEX!$K$29)*Z11)</f>
        <v>0</v>
      </c>
      <c r="AA85" s="128">
        <f>IF(Dashboard!$C$19=Lists!$B$4,CAPEX!$O$29*AA9+(CAPEX!$P$29-CAPEX!$O$29)*AA10+(CAPEX!$Q$29-CAPEX!$P$29)*AA11,
CAPEX!$J$29*AA9+(CAPEX!$K$29-CAPEX!$J$29)*AA10+(CAPEX!$L$29-CAPEX!$K$29)*AA11)</f>
        <v>0</v>
      </c>
      <c r="AB85" s="128">
        <f>IF(Dashboard!$C$19=Lists!$B$4,CAPEX!$O$29*AB9+(CAPEX!$P$29-CAPEX!$O$29)*AB10+(CAPEX!$Q$29-CAPEX!$P$29)*AB11,
CAPEX!$J$29*AB9+(CAPEX!$K$29-CAPEX!$J$29)*AB10+(CAPEX!$L$29-CAPEX!$K$29)*AB11)</f>
        <v>0</v>
      </c>
      <c r="AC85" s="128">
        <f>IF(Dashboard!$C$19=Lists!$B$4,CAPEX!$O$29*AC9+(CAPEX!$P$29-CAPEX!$O$29)*AC10+(CAPEX!$Q$29-CAPEX!$P$29)*AC11,
CAPEX!$J$29*AC9+(CAPEX!$K$29-CAPEX!$J$29)*AC10+(CAPEX!$L$29-CAPEX!$K$29)*AC11)</f>
        <v>0</v>
      </c>
      <c r="AD85" s="128">
        <f>IF(Dashboard!$C$19=Lists!$B$4,CAPEX!$O$29*AD9+(CAPEX!$P$29-CAPEX!$O$29)*AD10+(CAPEX!$Q$29-CAPEX!$P$29)*AD11,
CAPEX!$J$29*AD9+(CAPEX!$K$29-CAPEX!$J$29)*AD10+(CAPEX!$L$29-CAPEX!$K$29)*AD11)</f>
        <v>0</v>
      </c>
      <c r="AE85" s="128">
        <f>IF(Dashboard!$C$19=Lists!$B$4,CAPEX!$O$29*AE9+(CAPEX!$P$29-CAPEX!$O$29)*AE10+(CAPEX!$Q$29-CAPEX!$P$29)*AE11,
CAPEX!$J$29*AE9+(CAPEX!$K$29-CAPEX!$J$29)*AE10+(CAPEX!$L$29-CAPEX!$K$29)*AE11)</f>
        <v>0</v>
      </c>
      <c r="AF85" s="128">
        <f>IF(Dashboard!$C$19=Lists!$B$4,CAPEX!$O$29*AF9+(CAPEX!$P$29-CAPEX!$O$29)*AF10+(CAPEX!$Q$29-CAPEX!$P$29)*AF11,
CAPEX!$J$29*AF9+(CAPEX!$K$29-CAPEX!$J$29)*AF10+(CAPEX!$L$29-CAPEX!$K$29)*AF11)</f>
        <v>0</v>
      </c>
      <c r="AG85" s="128">
        <f>IF(Dashboard!$C$19=Lists!$B$4,CAPEX!$O$29*AG9+(CAPEX!$P$29-CAPEX!$O$29)*AG10+(CAPEX!$Q$29-CAPEX!$P$29)*AG11,
CAPEX!$J$29*AG9+(CAPEX!$K$29-CAPEX!$J$29)*AG10+(CAPEX!$L$29-CAPEX!$K$29)*AG11)</f>
        <v>0</v>
      </c>
      <c r="AH85" s="128">
        <f>IF(Dashboard!$C$19=Lists!$B$4,CAPEX!$O$29*AH9+(CAPEX!$P$29-CAPEX!$O$29)*AH10+(CAPEX!$Q$29-CAPEX!$P$29)*AH11,
CAPEX!$J$29*AH9+(CAPEX!$K$29-CAPEX!$J$29)*AH10+(CAPEX!$L$29-CAPEX!$K$29)*AH11)</f>
        <v>0</v>
      </c>
      <c r="AI85" s="128">
        <f>IF(Dashboard!$C$19=Lists!$B$4,CAPEX!$O$29*AI9+(CAPEX!$P$29-CAPEX!$O$29)*AI10+(CAPEX!$Q$29-CAPEX!$P$29)*AI11,
CAPEX!$J$29*AI9+(CAPEX!$K$29-CAPEX!$J$29)*AI10+(CAPEX!$L$29-CAPEX!$K$29)*AI11)</f>
        <v>0</v>
      </c>
      <c r="AJ85" s="128">
        <f>IF(Dashboard!$C$19=Lists!$B$4,CAPEX!$O$29*AJ9+(CAPEX!$P$29-CAPEX!$O$29)*AJ10+(CAPEX!$Q$29-CAPEX!$P$29)*AJ11,
CAPEX!$J$29*AJ9+(CAPEX!$K$29-CAPEX!$J$29)*AJ10+(CAPEX!$L$29-CAPEX!$K$29)*AJ11)</f>
        <v>0</v>
      </c>
      <c r="AK85" s="128">
        <f>IF(Dashboard!$C$19=Lists!$B$4,CAPEX!$O$29*AK9+(CAPEX!$P$29-CAPEX!$O$29)*AK10+(CAPEX!$Q$29-CAPEX!$P$29)*AK11,
CAPEX!$J$29*AK9+(CAPEX!$K$29-CAPEX!$J$29)*AK10+(CAPEX!$L$29-CAPEX!$K$29)*AK11)</f>
        <v>0</v>
      </c>
      <c r="AL85" s="128">
        <f>IF(Dashboard!$C$19=Lists!$B$4,CAPEX!$O$29*AL9+(CAPEX!$P$29-CAPEX!$O$29)*AL10+(CAPEX!$Q$29-CAPEX!$P$29)*AL11,
CAPEX!$J$29*AL9+(CAPEX!$K$29-CAPEX!$J$29)*AL10+(CAPEX!$L$29-CAPEX!$K$29)*AL11)</f>
        <v>0</v>
      </c>
      <c r="AM85" s="128">
        <f>IF(Dashboard!$C$19=Lists!$B$4,CAPEX!$O$29*AM9+(CAPEX!$P$29-CAPEX!$O$29)*AM10+(CAPEX!$Q$29-CAPEX!$P$29)*AM11,
CAPEX!$J$29*AM9+(CAPEX!$K$29-CAPEX!$J$29)*AM10+(CAPEX!$L$29-CAPEX!$K$29)*AM11)</f>
        <v>0</v>
      </c>
      <c r="AN85" s="128">
        <f>IF(Dashboard!$C$19=Lists!$B$4,CAPEX!$O$29*AN9+(CAPEX!$P$29-CAPEX!$O$29)*AN10+(CAPEX!$Q$29-CAPEX!$P$29)*AN11,
CAPEX!$J$29*AN9+(CAPEX!$K$29-CAPEX!$J$29)*AN10+(CAPEX!$L$29-CAPEX!$K$29)*AN11)</f>
        <v>0</v>
      </c>
      <c r="AO85" s="128">
        <f>IF(Dashboard!$C$19=Lists!$B$4,CAPEX!$O$29*AO9+(CAPEX!$P$29-CAPEX!$O$29)*AO10+(CAPEX!$Q$29-CAPEX!$P$29)*AO11,
CAPEX!$J$29*AO9+(CAPEX!$K$29-CAPEX!$J$29)*AO10+(CAPEX!$L$29-CAPEX!$K$29)*AO11)</f>
        <v>0</v>
      </c>
      <c r="AP85" s="128">
        <f>IF(Dashboard!$C$19=Lists!$B$4,CAPEX!$O$29*AP9+(CAPEX!$P$29-CAPEX!$O$29)*AP10+(CAPEX!$Q$29-CAPEX!$P$29)*AP11,
CAPEX!$J$29*AP9+(CAPEX!$K$29-CAPEX!$J$29)*AP10+(CAPEX!$L$29-CAPEX!$K$29)*AP11)</f>
        <v>0</v>
      </c>
      <c r="AQ85" s="128">
        <f>IF(Dashboard!$C$19=Lists!$B$4,CAPEX!$O$29*AQ9+(CAPEX!$P$29-CAPEX!$O$29)*AQ10+(CAPEX!$Q$29-CAPEX!$P$29)*AQ11,
CAPEX!$J$29*AQ9+(CAPEX!$K$29-CAPEX!$J$29)*AQ10+(CAPEX!$L$29-CAPEX!$K$29)*AQ11)</f>
        <v>0</v>
      </c>
      <c r="AR85" s="128">
        <f>IF(Dashboard!$C$19=Lists!$B$4,CAPEX!$O$29*AR9+(CAPEX!$P$29-CAPEX!$O$29)*AR10+(CAPEX!$Q$29-CAPEX!$P$29)*AR11,
CAPEX!$J$29*AR9+(CAPEX!$K$29-CAPEX!$J$29)*AR10+(CAPEX!$L$29-CAPEX!$K$29)*AR11)</f>
        <v>0</v>
      </c>
      <c r="AS85" s="128">
        <f>IF(Dashboard!$C$19=Lists!$B$4,CAPEX!$O$29*AS9+(CAPEX!$P$29-CAPEX!$O$29)*AS10+(CAPEX!$Q$29-CAPEX!$P$29)*AS11,
CAPEX!$J$29*AS9+(CAPEX!$K$29-CAPEX!$J$29)*AS10+(CAPEX!$L$29-CAPEX!$K$29)*AS11)</f>
        <v>0</v>
      </c>
      <c r="AT85" s="128">
        <f>IF(Dashboard!$C$19=Lists!$B$4,CAPEX!$O$29*AT9+(CAPEX!$P$29-CAPEX!$O$29)*AT10+(CAPEX!$Q$29-CAPEX!$P$29)*AT11,
CAPEX!$J$29*AT9+(CAPEX!$K$29-CAPEX!$J$29)*AT10+(CAPEX!$L$29-CAPEX!$K$29)*AT11)</f>
        <v>0</v>
      </c>
      <c r="AU85" s="128">
        <f>IF(Dashboard!$C$19=Lists!$B$4,CAPEX!$O$29*AU9+(CAPEX!$P$29-CAPEX!$O$29)*AU10+(CAPEX!$Q$29-CAPEX!$P$29)*AU11,
CAPEX!$J$29*AU9+(CAPEX!$K$29-CAPEX!$J$29)*AU10+(CAPEX!$L$29-CAPEX!$K$29)*AU11)</f>
        <v>0</v>
      </c>
      <c r="AV85" s="128">
        <f>IF(Dashboard!$C$19=Lists!$B$4,CAPEX!$O$29*AV9+(CAPEX!$P$29-CAPEX!$O$29)*AV10+(CAPEX!$Q$29-CAPEX!$P$29)*AV11,
CAPEX!$J$29*AV9+(CAPEX!$K$29-CAPEX!$J$29)*AV10+(CAPEX!$L$29-CAPEX!$K$29)*AV11)</f>
        <v>0</v>
      </c>
      <c r="AW85" s="128">
        <f>IF(Dashboard!$C$19=Lists!$B$4,CAPEX!$O$29*AW9+(CAPEX!$P$29-CAPEX!$O$29)*AW10+(CAPEX!$Q$29-CAPEX!$P$29)*AW11,
CAPEX!$J$29*AW9+(CAPEX!$K$29-CAPEX!$J$29)*AW10+(CAPEX!$L$29-CAPEX!$K$29)*AW11)</f>
        <v>0</v>
      </c>
      <c r="AX85" s="128">
        <f>IF(Dashboard!$C$19=Lists!$B$4,CAPEX!$O$29*AX9+(CAPEX!$P$29-CAPEX!$O$29)*AX10+(CAPEX!$Q$29-CAPEX!$P$29)*AX11,
CAPEX!$J$29*AX9+(CAPEX!$K$29-CAPEX!$J$29)*AX10+(CAPEX!$L$29-CAPEX!$K$29)*AX11)</f>
        <v>0</v>
      </c>
      <c r="AY85" s="128">
        <f>IF(Dashboard!$C$19=Lists!$B$4,CAPEX!$O$29*AY9+(CAPEX!$P$29-CAPEX!$O$29)*AY10+(CAPEX!$Q$29-CAPEX!$P$29)*AY11,
CAPEX!$J$29*AY9+(CAPEX!$K$29-CAPEX!$J$29)*AY10+(CAPEX!$L$29-CAPEX!$K$29)*AY11)</f>
        <v>0</v>
      </c>
      <c r="AZ85" s="128">
        <f>IF(Dashboard!$C$19=Lists!$B$4,CAPEX!$O$29*AZ9+(CAPEX!$P$29-CAPEX!$O$29)*AZ10+(CAPEX!$Q$29-CAPEX!$P$29)*AZ11,
CAPEX!$J$29*AZ9+(CAPEX!$K$29-CAPEX!$J$29)*AZ10+(CAPEX!$L$29-CAPEX!$K$29)*AZ11)</f>
        <v>0</v>
      </c>
      <c r="BA85" s="128">
        <f>IF(Dashboard!$C$19=Lists!$B$4,CAPEX!$O$29*BA9+(CAPEX!$P$29-CAPEX!$O$29)*BA10+(CAPEX!$Q$29-CAPEX!$P$29)*BA11,
CAPEX!$J$29*BA9+(CAPEX!$K$29-CAPEX!$J$29)*BA10+(CAPEX!$L$29-CAPEX!$K$29)*BA11)</f>
        <v>0</v>
      </c>
      <c r="BB85" s="128">
        <f>IF(Dashboard!$C$19=Lists!$B$4,CAPEX!$O$29*BB9+(CAPEX!$P$29-CAPEX!$O$29)*BB10+(CAPEX!$Q$29-CAPEX!$P$29)*BB11,
CAPEX!$J$29*BB9+(CAPEX!$K$29-CAPEX!$J$29)*BB10+(CAPEX!$L$29-CAPEX!$K$29)*BB11)</f>
        <v>0</v>
      </c>
      <c r="BC85" s="128">
        <f>IF(Dashboard!$C$19=Lists!$B$4,CAPEX!$O$29*BC9+(CAPEX!$P$29-CAPEX!$O$29)*BC10+(CAPEX!$Q$29-CAPEX!$P$29)*BC11,
CAPEX!$J$29*BC9+(CAPEX!$K$29-CAPEX!$J$29)*BC10+(CAPEX!$L$29-CAPEX!$K$29)*BC11)</f>
        <v>0</v>
      </c>
      <c r="BD85" s="128">
        <f>IF(Dashboard!$C$19=Lists!$B$4,CAPEX!$O$29*BD9+(CAPEX!$P$29-CAPEX!$O$29)*BD10+(CAPEX!$Q$29-CAPEX!$P$29)*BD11,
CAPEX!$J$29*BD9+(CAPEX!$K$29-CAPEX!$J$29)*BD10+(CAPEX!$L$29-CAPEX!$K$29)*BD11)</f>
        <v>0</v>
      </c>
      <c r="BE85" s="128">
        <f>IF(Dashboard!$C$19=Lists!$B$4,CAPEX!$O$29*BE9+(CAPEX!$P$29-CAPEX!$O$29)*BE10+(CAPEX!$Q$29-CAPEX!$P$29)*BE11,
CAPEX!$J$29*BE9+(CAPEX!$K$29-CAPEX!$J$29)*BE10+(CAPEX!$L$29-CAPEX!$K$29)*BE11)</f>
        <v>0</v>
      </c>
      <c r="BF85" s="128">
        <f>IF(Dashboard!$C$19=Lists!$B$4,CAPEX!$O$29*BF9+(CAPEX!$P$29-CAPEX!$O$29)*BF10+(CAPEX!$Q$29-CAPEX!$P$29)*BF11,
CAPEX!$J$29*BF9+(CAPEX!$K$29-CAPEX!$J$29)*BF10+(CAPEX!$L$29-CAPEX!$K$29)*BF11)</f>
        <v>0</v>
      </c>
      <c r="BG85" s="128">
        <f>IF(Dashboard!$C$19=Lists!$B$4,CAPEX!$O$29*BG9+(CAPEX!$P$29-CAPEX!$O$29)*BG10+(CAPEX!$Q$29-CAPEX!$P$29)*BG11,
CAPEX!$J$29*BG9+(CAPEX!$K$29-CAPEX!$J$29)*BG10+(CAPEX!$L$29-CAPEX!$K$29)*BG11)</f>
        <v>0</v>
      </c>
      <c r="BH85" s="128">
        <f>IF(Dashboard!$C$19=Lists!$B$4,CAPEX!$O$29*BH9+(CAPEX!$P$29-CAPEX!$O$29)*BH10+(CAPEX!$Q$29-CAPEX!$P$29)*BH11,
CAPEX!$J$29*BH9+(CAPEX!$K$29-CAPEX!$J$29)*BH10+(CAPEX!$L$29-CAPEX!$K$29)*BH11)</f>
        <v>0</v>
      </c>
      <c r="BI85" s="128">
        <f>IF(Dashboard!$C$19=Lists!$B$4,CAPEX!$O$29*BI9+(CAPEX!$P$29-CAPEX!$O$29)*BI10+(CAPEX!$Q$29-CAPEX!$P$29)*BI11,
CAPEX!$J$29*BI9+(CAPEX!$K$29-CAPEX!$J$29)*BI10+(CAPEX!$L$29-CAPEX!$K$29)*BI11)</f>
        <v>0</v>
      </c>
      <c r="BJ85" s="128">
        <f>IF(Dashboard!$C$19=Lists!$B$4,CAPEX!$O$29*BJ9+(CAPEX!$P$29-CAPEX!$O$29)*BJ10+(CAPEX!$Q$29-CAPEX!$P$29)*BJ11,
CAPEX!$J$29*BJ9+(CAPEX!$K$29-CAPEX!$J$29)*BJ10+(CAPEX!$L$29-CAPEX!$K$29)*BJ11)</f>
        <v>0</v>
      </c>
      <c r="BK85" s="128">
        <f>IF(Dashboard!$C$19=Lists!$B$4,CAPEX!$O$29*BK9+(CAPEX!$P$29-CAPEX!$O$29)*BK10+(CAPEX!$Q$29-CAPEX!$P$29)*BK11,
CAPEX!$J$29*BK9+(CAPEX!$K$29-CAPEX!$J$29)*BK10+(CAPEX!$L$29-CAPEX!$K$29)*BK11)</f>
        <v>0</v>
      </c>
      <c r="BL85" s="128">
        <f>IF(Dashboard!$C$19=Lists!$B$4,CAPEX!$O$29*BL9+(CAPEX!$P$29-CAPEX!$O$29)*BL10+(CAPEX!$Q$29-CAPEX!$P$29)*BL11,
CAPEX!$J$29*BL9+(CAPEX!$K$29-CAPEX!$J$29)*BL10+(CAPEX!$L$29-CAPEX!$K$29)*BL11)</f>
        <v>0</v>
      </c>
    </row>
    <row r="86" spans="2:64" x14ac:dyDescent="0.2">
      <c r="B86" s="54" t="s">
        <v>283</v>
      </c>
      <c r="D86" s="128">
        <f>IF(Dashboard!$C$19=Lists!$B$4,
CAPEX!$O$26*D9+(CAPEX!$P$26-CAPEX!$O$26)*D10+(CAPEX!$Q$26-CAPEX!$P$26)*D11,
CAPEX!$J$26*D9+(CAPEX!$K$26-CAPEX!$J$26)*D10+(CAPEX!$L$26-CAPEX!$K$26)*D11)</f>
        <v>65210622.489293784</v>
      </c>
      <c r="E86" s="128">
        <f>IF(Dashboard!$C$19=Lists!$B$4,
CAPEX!$O$26*E9+(CAPEX!$P$26-CAPEX!$O$26)*E10+(CAPEX!$Q$26-CAPEX!$P$26)*E11,
CAPEX!$J$26*E9+(CAPEX!$K$26-CAPEX!$J$26)*E10+(CAPEX!$L$26-CAPEX!$K$26)*E11)</f>
        <v>0</v>
      </c>
      <c r="F86" s="128">
        <f>IF(Dashboard!$C$19=Lists!$B$4,
CAPEX!$O$26*F9+(CAPEX!$P$26-CAPEX!$O$26)*F10+(CAPEX!$Q$26-CAPEX!$P$26)*F11,
CAPEX!$J$26*F9+(CAPEX!$K$26-CAPEX!$J$26)*F10+(CAPEX!$L$26-CAPEX!$K$26)*F11)</f>
        <v>0</v>
      </c>
      <c r="G86" s="128">
        <f>IF(Dashboard!$C$19=Lists!$B$4,
CAPEX!$O$26*G9+(CAPEX!$P$26-CAPEX!$O$26)*G10+(CAPEX!$Q$26-CAPEX!$P$26)*G11,
CAPEX!$J$26*G9+(CAPEX!$K$26-CAPEX!$J$26)*G10+(CAPEX!$L$26-CAPEX!$K$26)*G11)</f>
        <v>0</v>
      </c>
      <c r="H86" s="128">
        <f>IF(Dashboard!$C$19=Lists!$B$4,
CAPEX!$O$26*H9+(CAPEX!$P$26-CAPEX!$O$26)*H10+(CAPEX!$Q$26-CAPEX!$P$26)*H11,
CAPEX!$J$26*H9+(CAPEX!$K$26-CAPEX!$J$26)*H10+(CAPEX!$L$26-CAPEX!$K$26)*H11)</f>
        <v>0</v>
      </c>
      <c r="I86" s="128">
        <f>IF(Dashboard!$C$19=Lists!$B$4,
CAPEX!$O$26*I9+(CAPEX!$P$26-CAPEX!$O$26)*I10+(CAPEX!$Q$26-CAPEX!$P$26)*I11,
CAPEX!$J$26*I9+(CAPEX!$K$26-CAPEX!$J$26)*I10+(CAPEX!$L$26-CAPEX!$K$26)*I11)</f>
        <v>0</v>
      </c>
      <c r="J86" s="128">
        <f>IF(Dashboard!$C$19=Lists!$B$4,
CAPEX!$O$26*J9+(CAPEX!$P$26-CAPEX!$O$26)*J10+(CAPEX!$Q$26-CAPEX!$P$26)*J11,
CAPEX!$J$26*J9+(CAPEX!$K$26-CAPEX!$J$26)*J10+(CAPEX!$L$26-CAPEX!$K$26)*J11)</f>
        <v>0</v>
      </c>
      <c r="K86" s="128">
        <f>IF(Dashboard!$C$19=Lists!$B$4,
CAPEX!$O$26*K9+(CAPEX!$P$26-CAPEX!$O$26)*K10+(CAPEX!$Q$26-CAPEX!$P$26)*K11,
CAPEX!$J$26*K9+(CAPEX!$K$26-CAPEX!$J$26)*K10+(CAPEX!$L$26-CAPEX!$K$26)*K11)</f>
        <v>0</v>
      </c>
      <c r="L86" s="128">
        <f>IF(Dashboard!$C$19=Lists!$B$4,
CAPEX!$O$26*L9+(CAPEX!$P$26-CAPEX!$O$26)*L10+(CAPEX!$Q$26-CAPEX!$P$26)*L11,
CAPEX!$J$26*L9+(CAPEX!$K$26-CAPEX!$J$26)*L10+(CAPEX!$L$26-CAPEX!$K$26)*L11)</f>
        <v>0</v>
      </c>
      <c r="M86" s="128">
        <f>IF(Dashboard!$C$19=Lists!$B$4,
CAPEX!$O$26*M9+(CAPEX!$P$26-CAPEX!$O$26)*M10+(CAPEX!$Q$26-CAPEX!$P$26)*M11,
CAPEX!$J$26*M9+(CAPEX!$K$26-CAPEX!$J$26)*M10+(CAPEX!$L$26-CAPEX!$K$26)*M11)</f>
        <v>0</v>
      </c>
      <c r="N86" s="128">
        <f>IF(Dashboard!$C$19=Lists!$B$4,
CAPEX!$O$26*N9+(CAPEX!$P$26-CAPEX!$O$26)*N10+(CAPEX!$Q$26-CAPEX!$P$26)*N11,
CAPEX!$J$26*N9+(CAPEX!$K$26-CAPEX!$J$26)*N10+(CAPEX!$L$26-CAPEX!$K$26)*N11)</f>
        <v>0</v>
      </c>
      <c r="O86" s="128">
        <f>IF(Dashboard!$C$19=Lists!$B$4,
CAPEX!$O$26*O9+(CAPEX!$P$26-CAPEX!$O$26)*O10+(CAPEX!$Q$26-CAPEX!$P$26)*O11,
CAPEX!$J$26*O9+(CAPEX!$K$26-CAPEX!$J$26)*O10+(CAPEX!$L$26-CAPEX!$K$26)*O11)</f>
        <v>0</v>
      </c>
      <c r="P86" s="128">
        <f>IF(Dashboard!$C$19=Lists!$B$4,
CAPEX!$O$26*P9+(CAPEX!$P$26-CAPEX!$O$26)*P10+(CAPEX!$Q$26-CAPEX!$P$26)*P11,
CAPEX!$J$26*P9+(CAPEX!$K$26-CAPEX!$J$26)*P10+(CAPEX!$L$26-CAPEX!$K$26)*P11)</f>
        <v>0</v>
      </c>
      <c r="Q86" s="128">
        <f>IF(Dashboard!$C$19=Lists!$B$4,
CAPEX!$O$26*Q9+(CAPEX!$P$26-CAPEX!$O$26)*Q10+(CAPEX!$Q$26-CAPEX!$P$26)*Q11,
CAPEX!$J$26*Q9+(CAPEX!$K$26-CAPEX!$J$26)*Q10+(CAPEX!$L$26-CAPEX!$K$26)*Q11)</f>
        <v>0</v>
      </c>
      <c r="R86" s="128">
        <f>IF(Dashboard!$C$19=Lists!$B$4,
CAPEX!$O$26*R9+(CAPEX!$P$26-CAPEX!$O$26)*R10+(CAPEX!$Q$26-CAPEX!$P$26)*R11,
CAPEX!$J$26*R9+(CAPEX!$K$26-CAPEX!$J$26)*R10+(CAPEX!$L$26-CAPEX!$K$26)*R11)</f>
        <v>0</v>
      </c>
      <c r="S86" s="128">
        <f>IF(Dashboard!$C$19=Lists!$B$4,
CAPEX!$O$26*S9+(CAPEX!$P$26-CAPEX!$O$26)*S10+(CAPEX!$Q$26-CAPEX!$P$26)*S11,
CAPEX!$J$26*S9+(CAPEX!$K$26-CAPEX!$J$26)*S10+(CAPEX!$L$26-CAPEX!$K$26)*S11)</f>
        <v>0</v>
      </c>
      <c r="T86" s="128">
        <f>IF(Dashboard!$C$19=Lists!$B$4,
CAPEX!$O$26*T9+(CAPEX!$P$26-CAPEX!$O$26)*T10+(CAPEX!$Q$26-CAPEX!$P$26)*T11,
CAPEX!$J$26*T9+(CAPEX!$K$26-CAPEX!$J$26)*T10+(CAPEX!$L$26-CAPEX!$K$26)*T11)</f>
        <v>0</v>
      </c>
      <c r="U86" s="128">
        <f>IF(Dashboard!$C$19=Lists!$B$4,
CAPEX!$O$26*U9+(CAPEX!$P$26-CAPEX!$O$26)*U10+(CAPEX!$Q$26-CAPEX!$P$26)*U11,
CAPEX!$J$26*U9+(CAPEX!$K$26-CAPEX!$J$26)*U10+(CAPEX!$L$26-CAPEX!$K$26)*U11)</f>
        <v>0</v>
      </c>
      <c r="V86" s="128">
        <f>IF(Dashboard!$C$19=Lists!$B$4,
CAPEX!$O$26*V9+(CAPEX!$P$26-CAPEX!$O$26)*V10+(CAPEX!$Q$26-CAPEX!$P$26)*V11,
CAPEX!$J$26*V9+(CAPEX!$K$26-CAPEX!$J$26)*V10+(CAPEX!$L$26-CAPEX!$K$26)*V11)</f>
        <v>0</v>
      </c>
      <c r="W86" s="128">
        <f>IF(Dashboard!$C$19=Lists!$B$4,
CAPEX!$O$26*W9+(CAPEX!$P$26-CAPEX!$O$26)*W10+(CAPEX!$Q$26-CAPEX!$P$26)*W11,
CAPEX!$J$26*W9+(CAPEX!$K$26-CAPEX!$J$26)*W10+(CAPEX!$L$26-CAPEX!$K$26)*W11)</f>
        <v>0</v>
      </c>
      <c r="X86" s="128">
        <f>IF(Dashboard!$C$19=Lists!$B$4,
CAPEX!$O$26*X9+(CAPEX!$P$26-CAPEX!$O$26)*X10+(CAPEX!$Q$26-CAPEX!$P$26)*X11,
CAPEX!$J$26*X9+(CAPEX!$K$26-CAPEX!$J$26)*X10+(CAPEX!$L$26-CAPEX!$K$26)*X11)</f>
        <v>0</v>
      </c>
      <c r="Y86" s="128">
        <f>IF(Dashboard!$C$19=Lists!$B$4,
CAPEX!$O$26*Y9+(CAPEX!$P$26-CAPEX!$O$26)*Y10+(CAPEX!$Q$26-CAPEX!$P$26)*Y11,
CAPEX!$J$26*Y9+(CAPEX!$K$26-CAPEX!$J$26)*Y10+(CAPEX!$L$26-CAPEX!$K$26)*Y11)</f>
        <v>0</v>
      </c>
      <c r="Z86" s="128">
        <f>IF(Dashboard!$C$19=Lists!$B$4,
CAPEX!$O$26*Z9+(CAPEX!$P$26-CAPEX!$O$26)*Z10+(CAPEX!$Q$26-CAPEX!$P$26)*Z11,
CAPEX!$J$26*Z9+(CAPEX!$K$26-CAPEX!$J$26)*Z10+(CAPEX!$L$26-CAPEX!$K$26)*Z11)</f>
        <v>0</v>
      </c>
      <c r="AA86" s="128">
        <f>IF(Dashboard!$C$19=Lists!$B$4,
CAPEX!$O$26*AA9+(CAPEX!$P$26-CAPEX!$O$26)*AA10+(CAPEX!$Q$26-CAPEX!$P$26)*AA11,
CAPEX!$J$26*AA9+(CAPEX!$K$26-CAPEX!$J$26)*AA10+(CAPEX!$L$26-CAPEX!$K$26)*AA11)</f>
        <v>0</v>
      </c>
      <c r="AB86" s="128">
        <f>IF(Dashboard!$C$19=Lists!$B$4,
CAPEX!$O$26*AB9+(CAPEX!$P$26-CAPEX!$O$26)*AB10+(CAPEX!$Q$26-CAPEX!$P$26)*AB11,
CAPEX!$J$26*AB9+(CAPEX!$K$26-CAPEX!$J$26)*AB10+(CAPEX!$L$26-CAPEX!$K$26)*AB11)</f>
        <v>0</v>
      </c>
      <c r="AC86" s="128">
        <f>IF(Dashboard!$C$19=Lists!$B$4,
CAPEX!$O$26*AC9+(CAPEX!$P$26-CAPEX!$O$26)*AC10+(CAPEX!$Q$26-CAPEX!$P$26)*AC11,
CAPEX!$J$26*AC9+(CAPEX!$K$26-CAPEX!$J$26)*AC10+(CAPEX!$L$26-CAPEX!$K$26)*AC11)</f>
        <v>0</v>
      </c>
      <c r="AD86" s="128">
        <f>IF(Dashboard!$C$19=Lists!$B$4,
CAPEX!$O$26*AD9+(CAPEX!$P$26-CAPEX!$O$26)*AD10+(CAPEX!$Q$26-CAPEX!$P$26)*AD11,
CAPEX!$J$26*AD9+(CAPEX!$K$26-CAPEX!$J$26)*AD10+(CAPEX!$L$26-CAPEX!$K$26)*AD11)</f>
        <v>0</v>
      </c>
      <c r="AE86" s="128">
        <f>IF(Dashboard!$C$19=Lists!$B$4,
CAPEX!$O$26*AE9+(CAPEX!$P$26-CAPEX!$O$26)*AE10+(CAPEX!$Q$26-CAPEX!$P$26)*AE11,
CAPEX!$J$26*AE9+(CAPEX!$K$26-CAPEX!$J$26)*AE10+(CAPEX!$L$26-CAPEX!$K$26)*AE11)</f>
        <v>0</v>
      </c>
      <c r="AF86" s="128">
        <f>IF(Dashboard!$C$19=Lists!$B$4,
CAPEX!$O$26*AF9+(CAPEX!$P$26-CAPEX!$O$26)*AF10+(CAPEX!$Q$26-CAPEX!$P$26)*AF11,
CAPEX!$J$26*AF9+(CAPEX!$K$26-CAPEX!$J$26)*AF10+(CAPEX!$L$26-CAPEX!$K$26)*AF11)</f>
        <v>0</v>
      </c>
      <c r="AG86" s="128">
        <f>IF(Dashboard!$C$19=Lists!$B$4,
CAPEX!$O$26*AG9+(CAPEX!$P$26-CAPEX!$O$26)*AG10+(CAPEX!$Q$26-CAPEX!$P$26)*AG11,
CAPEX!$J$26*AG9+(CAPEX!$K$26-CAPEX!$J$26)*AG10+(CAPEX!$L$26-CAPEX!$K$26)*AG11)</f>
        <v>0</v>
      </c>
      <c r="AH86" s="128">
        <f>IF(Dashboard!$C$19=Lists!$B$4,
CAPEX!$O$26*AH9+(CAPEX!$P$26-CAPEX!$O$26)*AH10+(CAPEX!$Q$26-CAPEX!$P$26)*AH11,
CAPEX!$J$26*AH9+(CAPEX!$K$26-CAPEX!$J$26)*AH10+(CAPEX!$L$26-CAPEX!$K$26)*AH11)</f>
        <v>0</v>
      </c>
      <c r="AI86" s="128">
        <f>IF(Dashboard!$C$19=Lists!$B$4,
CAPEX!$O$26*AI9+(CAPEX!$P$26-CAPEX!$O$26)*AI10+(CAPEX!$Q$26-CAPEX!$P$26)*AI11,
CAPEX!$J$26*AI9+(CAPEX!$K$26-CAPEX!$J$26)*AI10+(CAPEX!$L$26-CAPEX!$K$26)*AI11)</f>
        <v>0</v>
      </c>
      <c r="AJ86" s="128">
        <f>IF(Dashboard!$C$19=Lists!$B$4,
CAPEX!$O$26*AJ9+(CAPEX!$P$26-CAPEX!$O$26)*AJ10+(CAPEX!$Q$26-CAPEX!$P$26)*AJ11,
CAPEX!$J$26*AJ9+(CAPEX!$K$26-CAPEX!$J$26)*AJ10+(CAPEX!$L$26-CAPEX!$K$26)*AJ11)</f>
        <v>0</v>
      </c>
      <c r="AK86" s="128">
        <f>IF(Dashboard!$C$19=Lists!$B$4,
CAPEX!$O$26*AK9+(CAPEX!$P$26-CAPEX!$O$26)*AK10+(CAPEX!$Q$26-CAPEX!$P$26)*AK11,
CAPEX!$J$26*AK9+(CAPEX!$K$26-CAPEX!$J$26)*AK10+(CAPEX!$L$26-CAPEX!$K$26)*AK11)</f>
        <v>0</v>
      </c>
      <c r="AL86" s="128">
        <f>IF(Dashboard!$C$19=Lists!$B$4,
CAPEX!$O$26*AL9+(CAPEX!$P$26-CAPEX!$O$26)*AL10+(CAPEX!$Q$26-CAPEX!$P$26)*AL11,
CAPEX!$J$26*AL9+(CAPEX!$K$26-CAPEX!$J$26)*AL10+(CAPEX!$L$26-CAPEX!$K$26)*AL11)</f>
        <v>0</v>
      </c>
      <c r="AM86" s="128">
        <f>IF(Dashboard!$C$19=Lists!$B$4,
CAPEX!$O$26*AM9+(CAPEX!$P$26-CAPEX!$O$26)*AM10+(CAPEX!$Q$26-CAPEX!$P$26)*AM11,
CAPEX!$J$26*AM9+(CAPEX!$K$26-CAPEX!$J$26)*AM10+(CAPEX!$L$26-CAPEX!$K$26)*AM11)</f>
        <v>0</v>
      </c>
      <c r="AN86" s="128">
        <f>IF(Dashboard!$C$19=Lists!$B$4,
CAPEX!$O$26*AN9+(CAPEX!$P$26-CAPEX!$O$26)*AN10+(CAPEX!$Q$26-CAPEX!$P$26)*AN11,
CAPEX!$J$26*AN9+(CAPEX!$K$26-CAPEX!$J$26)*AN10+(CAPEX!$L$26-CAPEX!$K$26)*AN11)</f>
        <v>0</v>
      </c>
      <c r="AO86" s="128">
        <f>IF(Dashboard!$C$19=Lists!$B$4,
CAPEX!$O$26*AO9+(CAPEX!$P$26-CAPEX!$O$26)*AO10+(CAPEX!$Q$26-CAPEX!$P$26)*AO11,
CAPEX!$J$26*AO9+(CAPEX!$K$26-CAPEX!$J$26)*AO10+(CAPEX!$L$26-CAPEX!$K$26)*AO11)</f>
        <v>0</v>
      </c>
      <c r="AP86" s="128">
        <f>IF(Dashboard!$C$19=Lists!$B$4,
CAPEX!$O$26*AP9+(CAPEX!$P$26-CAPEX!$O$26)*AP10+(CAPEX!$Q$26-CAPEX!$P$26)*AP11,
CAPEX!$J$26*AP9+(CAPEX!$K$26-CAPEX!$J$26)*AP10+(CAPEX!$L$26-CAPEX!$K$26)*AP11)</f>
        <v>0</v>
      </c>
      <c r="AQ86" s="128">
        <f>IF(Dashboard!$C$19=Lists!$B$4,
CAPEX!$O$26*AQ9+(CAPEX!$P$26-CAPEX!$O$26)*AQ10+(CAPEX!$Q$26-CAPEX!$P$26)*AQ11,
CAPEX!$J$26*AQ9+(CAPEX!$K$26-CAPEX!$J$26)*AQ10+(CAPEX!$L$26-CAPEX!$K$26)*AQ11)</f>
        <v>0</v>
      </c>
      <c r="AR86" s="128">
        <f>IF(Dashboard!$C$19=Lists!$B$4,
CAPEX!$O$26*AR9+(CAPEX!$P$26-CAPEX!$O$26)*AR10+(CAPEX!$Q$26-CAPEX!$P$26)*AR11,
CAPEX!$J$26*AR9+(CAPEX!$K$26-CAPEX!$J$26)*AR10+(CAPEX!$L$26-CAPEX!$K$26)*AR11)</f>
        <v>0</v>
      </c>
      <c r="AS86" s="128">
        <f>IF(Dashboard!$C$19=Lists!$B$4,
CAPEX!$O$26*AS9+(CAPEX!$P$26-CAPEX!$O$26)*AS10+(CAPEX!$Q$26-CAPEX!$P$26)*AS11,
CAPEX!$J$26*AS9+(CAPEX!$K$26-CAPEX!$J$26)*AS10+(CAPEX!$L$26-CAPEX!$K$26)*AS11)</f>
        <v>0</v>
      </c>
      <c r="AT86" s="128">
        <f>IF(Dashboard!$C$19=Lists!$B$4,
CAPEX!$O$26*AT9+(CAPEX!$P$26-CAPEX!$O$26)*AT10+(CAPEX!$Q$26-CAPEX!$P$26)*AT11,
CAPEX!$J$26*AT9+(CAPEX!$K$26-CAPEX!$J$26)*AT10+(CAPEX!$L$26-CAPEX!$K$26)*AT11)</f>
        <v>0</v>
      </c>
      <c r="AU86" s="128">
        <f>IF(Dashboard!$C$19=Lists!$B$4,
CAPEX!$O$26*AU9+(CAPEX!$P$26-CAPEX!$O$26)*AU10+(CAPEX!$Q$26-CAPEX!$P$26)*AU11,
CAPEX!$J$26*AU9+(CAPEX!$K$26-CAPEX!$J$26)*AU10+(CAPEX!$L$26-CAPEX!$K$26)*AU11)</f>
        <v>0</v>
      </c>
      <c r="AV86" s="128">
        <f>IF(Dashboard!$C$19=Lists!$B$4,
CAPEX!$O$26*AV9+(CAPEX!$P$26-CAPEX!$O$26)*AV10+(CAPEX!$Q$26-CAPEX!$P$26)*AV11,
CAPEX!$J$26*AV9+(CAPEX!$K$26-CAPEX!$J$26)*AV10+(CAPEX!$L$26-CAPEX!$K$26)*AV11)</f>
        <v>0</v>
      </c>
      <c r="AW86" s="128">
        <f>IF(Dashboard!$C$19=Lists!$B$4,
CAPEX!$O$26*AW9+(CAPEX!$P$26-CAPEX!$O$26)*AW10+(CAPEX!$Q$26-CAPEX!$P$26)*AW11,
CAPEX!$J$26*AW9+(CAPEX!$K$26-CAPEX!$J$26)*AW10+(CAPEX!$L$26-CAPEX!$K$26)*AW11)</f>
        <v>0</v>
      </c>
      <c r="AX86" s="128">
        <f>IF(Dashboard!$C$19=Lists!$B$4,
CAPEX!$O$26*AX9+(CAPEX!$P$26-CAPEX!$O$26)*AX10+(CAPEX!$Q$26-CAPEX!$P$26)*AX11,
CAPEX!$J$26*AX9+(CAPEX!$K$26-CAPEX!$J$26)*AX10+(CAPEX!$L$26-CAPEX!$K$26)*AX11)</f>
        <v>0</v>
      </c>
      <c r="AY86" s="128">
        <f>IF(Dashboard!$C$19=Lists!$B$4,
CAPEX!$O$26*AY9+(CAPEX!$P$26-CAPEX!$O$26)*AY10+(CAPEX!$Q$26-CAPEX!$P$26)*AY11,
CAPEX!$J$26*AY9+(CAPEX!$K$26-CAPEX!$J$26)*AY10+(CAPEX!$L$26-CAPEX!$K$26)*AY11)</f>
        <v>0</v>
      </c>
      <c r="AZ86" s="128">
        <f>IF(Dashboard!$C$19=Lists!$B$4,
CAPEX!$O$26*AZ9+(CAPEX!$P$26-CAPEX!$O$26)*AZ10+(CAPEX!$Q$26-CAPEX!$P$26)*AZ11,
CAPEX!$J$26*AZ9+(CAPEX!$K$26-CAPEX!$J$26)*AZ10+(CAPEX!$L$26-CAPEX!$K$26)*AZ11)</f>
        <v>0</v>
      </c>
      <c r="BA86" s="128">
        <f>IF(Dashboard!$C$19=Lists!$B$4,
CAPEX!$O$26*BA9+(CAPEX!$P$26-CAPEX!$O$26)*BA10+(CAPEX!$Q$26-CAPEX!$P$26)*BA11,
CAPEX!$J$26*BA9+(CAPEX!$K$26-CAPEX!$J$26)*BA10+(CAPEX!$L$26-CAPEX!$K$26)*BA11)</f>
        <v>0</v>
      </c>
      <c r="BB86" s="128">
        <f>IF(Dashboard!$C$19=Lists!$B$4,
CAPEX!$O$26*BB9+(CAPEX!$P$26-CAPEX!$O$26)*BB10+(CAPEX!$Q$26-CAPEX!$P$26)*BB11,
CAPEX!$J$26*BB9+(CAPEX!$K$26-CAPEX!$J$26)*BB10+(CAPEX!$L$26-CAPEX!$K$26)*BB11)</f>
        <v>0</v>
      </c>
      <c r="BC86" s="128">
        <f>IF(Dashboard!$C$19=Lists!$B$4,
CAPEX!$O$26*BC9+(CAPEX!$P$26-CAPEX!$O$26)*BC10+(CAPEX!$Q$26-CAPEX!$P$26)*BC11,
CAPEX!$J$26*BC9+(CAPEX!$K$26-CAPEX!$J$26)*BC10+(CAPEX!$L$26-CAPEX!$K$26)*BC11)</f>
        <v>0</v>
      </c>
      <c r="BD86" s="128">
        <f>IF(Dashboard!$C$19=Lists!$B$4,
CAPEX!$O$26*BD9+(CAPEX!$P$26-CAPEX!$O$26)*BD10+(CAPEX!$Q$26-CAPEX!$P$26)*BD11,
CAPEX!$J$26*BD9+(CAPEX!$K$26-CAPEX!$J$26)*BD10+(CAPEX!$L$26-CAPEX!$K$26)*BD11)</f>
        <v>0</v>
      </c>
      <c r="BE86" s="128">
        <f>IF(Dashboard!$C$19=Lists!$B$4,
CAPEX!$O$26*BE9+(CAPEX!$P$26-CAPEX!$O$26)*BE10+(CAPEX!$Q$26-CAPEX!$P$26)*BE11,
CAPEX!$J$26*BE9+(CAPEX!$K$26-CAPEX!$J$26)*BE10+(CAPEX!$L$26-CAPEX!$K$26)*BE11)</f>
        <v>0</v>
      </c>
      <c r="BF86" s="128">
        <f>IF(Dashboard!$C$19=Lists!$B$4,
CAPEX!$O$26*BF9+(CAPEX!$P$26-CAPEX!$O$26)*BF10+(CAPEX!$Q$26-CAPEX!$P$26)*BF11,
CAPEX!$J$26*BF9+(CAPEX!$K$26-CAPEX!$J$26)*BF10+(CAPEX!$L$26-CAPEX!$K$26)*BF11)</f>
        <v>0</v>
      </c>
      <c r="BG86" s="128">
        <f>IF(Dashboard!$C$19=Lists!$B$4,
CAPEX!$O$26*BG9+(CAPEX!$P$26-CAPEX!$O$26)*BG10+(CAPEX!$Q$26-CAPEX!$P$26)*BG11,
CAPEX!$J$26*BG9+(CAPEX!$K$26-CAPEX!$J$26)*BG10+(CAPEX!$L$26-CAPEX!$K$26)*BG11)</f>
        <v>0</v>
      </c>
      <c r="BH86" s="128">
        <f>IF(Dashboard!$C$19=Lists!$B$4,
CAPEX!$O$26*BH9+(CAPEX!$P$26-CAPEX!$O$26)*BH10+(CAPEX!$Q$26-CAPEX!$P$26)*BH11,
CAPEX!$J$26*BH9+(CAPEX!$K$26-CAPEX!$J$26)*BH10+(CAPEX!$L$26-CAPEX!$K$26)*BH11)</f>
        <v>0</v>
      </c>
      <c r="BI86" s="128">
        <f>IF(Dashboard!$C$19=Lists!$B$4,
CAPEX!$O$26*BI9+(CAPEX!$P$26-CAPEX!$O$26)*BI10+(CAPEX!$Q$26-CAPEX!$P$26)*BI11,
CAPEX!$J$26*BI9+(CAPEX!$K$26-CAPEX!$J$26)*BI10+(CAPEX!$L$26-CAPEX!$K$26)*BI11)</f>
        <v>0</v>
      </c>
      <c r="BJ86" s="128">
        <f>IF(Dashboard!$C$19=Lists!$B$4,
CAPEX!$O$26*BJ9+(CAPEX!$P$26-CAPEX!$O$26)*BJ10+(CAPEX!$Q$26-CAPEX!$P$26)*BJ11,
CAPEX!$J$26*BJ9+(CAPEX!$K$26-CAPEX!$J$26)*BJ10+(CAPEX!$L$26-CAPEX!$K$26)*BJ11)</f>
        <v>0</v>
      </c>
      <c r="BK86" s="128">
        <f>IF(Dashboard!$C$19=Lists!$B$4,
CAPEX!$O$26*BK9+(CAPEX!$P$26-CAPEX!$O$26)*BK10+(CAPEX!$Q$26-CAPEX!$P$26)*BK11,
CAPEX!$J$26*BK9+(CAPEX!$K$26-CAPEX!$J$26)*BK10+(CAPEX!$L$26-CAPEX!$K$26)*BK11)</f>
        <v>0</v>
      </c>
      <c r="BL86" s="128">
        <f>IF(Dashboard!$C$19=Lists!$B$4,
CAPEX!$O$26*BL9+(CAPEX!$P$26-CAPEX!$O$26)*BL10+(CAPEX!$Q$26-CAPEX!$P$26)*BL11,
CAPEX!$J$26*BL9+(CAPEX!$K$26-CAPEX!$J$26)*BL10+(CAPEX!$L$26-CAPEX!$K$26)*BL11)</f>
        <v>0</v>
      </c>
    </row>
    <row r="87" spans="2:64" x14ac:dyDescent="0.2">
      <c r="B87" s="54"/>
    </row>
    <row r="88" spans="2:64" x14ac:dyDescent="0.2">
      <c r="B88" s="53" t="s">
        <v>185</v>
      </c>
      <c r="D88" s="140">
        <f>CAPEX!$E$42*D9+(CAPEX!$F$42-CAPEX!$E$42)*D10+(CAPEX!$G$42-CAPEX!$F$42)*D11</f>
        <v>62984348.098999985</v>
      </c>
      <c r="E88" s="140">
        <f>CAPEX!$E$42*E9+(CAPEX!$F$42-CAPEX!$E$42)*E10+(CAPEX!$G$42-CAPEX!$F$42)*E11</f>
        <v>0</v>
      </c>
      <c r="F88" s="140">
        <f>CAPEX!$E$42*F9+(CAPEX!$F$42-CAPEX!$E$42)*F10+(CAPEX!$G$42-CAPEX!$F$42)*F11</f>
        <v>0</v>
      </c>
      <c r="G88" s="140">
        <f>CAPEX!$E$42*G9+(CAPEX!$F$42-CAPEX!$E$42)*G10+(CAPEX!$G$42-CAPEX!$F$42)*G11</f>
        <v>0</v>
      </c>
      <c r="H88" s="140">
        <f>CAPEX!$E$42*H9+(CAPEX!$F$42-CAPEX!$E$42)*H10+(CAPEX!$G$42-CAPEX!$F$42)*H11</f>
        <v>0</v>
      </c>
      <c r="I88" s="140">
        <f>CAPEX!$E$42*I9+(CAPEX!$F$42-CAPEX!$E$42)*I10+(CAPEX!$G$42-CAPEX!$F$42)*I11</f>
        <v>0</v>
      </c>
      <c r="J88" s="140">
        <f>CAPEX!$E$42*J9+(CAPEX!$F$42-CAPEX!$E$42)*J10+(CAPEX!$G$42-CAPEX!$F$42)*J11</f>
        <v>0</v>
      </c>
      <c r="K88" s="140">
        <f>CAPEX!$E$42*K9+(CAPEX!$F$42-CAPEX!$E$42)*K10+(CAPEX!$G$42-CAPEX!$F$42)*K11</f>
        <v>0</v>
      </c>
      <c r="L88" s="140">
        <f>CAPEX!$E$42*L9+(CAPEX!$F$42-CAPEX!$E$42)*L10+(CAPEX!$G$42-CAPEX!$F$42)*L11</f>
        <v>0</v>
      </c>
      <c r="M88" s="140">
        <f>CAPEX!$E$42*M9+(CAPEX!$F$42-CAPEX!$E$42)*M10+(CAPEX!$G$42-CAPEX!$F$42)*M11</f>
        <v>0</v>
      </c>
      <c r="N88" s="140">
        <f>CAPEX!$E$42*N9+(CAPEX!$F$42-CAPEX!$E$42)*N10+(CAPEX!$G$42-CAPEX!$F$42)*N11</f>
        <v>0</v>
      </c>
      <c r="O88" s="140">
        <f>CAPEX!$E$42*O9+(CAPEX!$F$42-CAPEX!$E$42)*O10+(CAPEX!$G$42-CAPEX!$F$42)*O11</f>
        <v>0</v>
      </c>
      <c r="P88" s="140">
        <f>CAPEX!$E$42*P9+(CAPEX!$F$42-CAPEX!$E$42)*P10+(CAPEX!$G$42-CAPEX!$F$42)*P11</f>
        <v>0</v>
      </c>
      <c r="Q88" s="140">
        <f>CAPEX!$E$42*Q9+(CAPEX!$F$42-CAPEX!$E$42)*Q10+(CAPEX!$G$42-CAPEX!$F$42)*Q11</f>
        <v>0</v>
      </c>
      <c r="R88" s="140">
        <f>CAPEX!$E$42*R9+(CAPEX!$F$42-CAPEX!$E$42)*R10+(CAPEX!$G$42-CAPEX!$F$42)*R11</f>
        <v>0</v>
      </c>
      <c r="S88" s="140">
        <f>CAPEX!$E$42*S9+(CAPEX!$F$42-CAPEX!$E$42)*S10+(CAPEX!$G$42-CAPEX!$F$42)*S11</f>
        <v>0</v>
      </c>
      <c r="T88" s="140">
        <f>CAPEX!$E$42*T9+(CAPEX!$F$42-CAPEX!$E$42)*T10+(CAPEX!$G$42-CAPEX!$F$42)*T11</f>
        <v>0</v>
      </c>
      <c r="U88" s="140">
        <f>CAPEX!$E$42*U9+(CAPEX!$F$42-CAPEX!$E$42)*U10+(CAPEX!$G$42-CAPEX!$F$42)*U11</f>
        <v>0</v>
      </c>
      <c r="V88" s="140">
        <f>CAPEX!$E$42*V9+(CAPEX!$F$42-CAPEX!$E$42)*V10+(CAPEX!$G$42-CAPEX!$F$42)*V11</f>
        <v>0</v>
      </c>
      <c r="W88" s="140">
        <f>CAPEX!$E$42*W9+(CAPEX!$F$42-CAPEX!$E$42)*W10+(CAPEX!$G$42-CAPEX!$F$42)*W11</f>
        <v>0</v>
      </c>
      <c r="X88" s="140">
        <f>CAPEX!$E$42*X9+(CAPEX!$F$42-CAPEX!$E$42)*X10+(CAPEX!$G$42-CAPEX!$F$42)*X11</f>
        <v>0</v>
      </c>
      <c r="Y88" s="140">
        <f>CAPEX!$E$42*Y9+(CAPEX!$F$42-CAPEX!$E$42)*Y10+(CAPEX!$G$42-CAPEX!$F$42)*Y11</f>
        <v>0</v>
      </c>
      <c r="Z88" s="140">
        <f>CAPEX!$E$42*Z9+(CAPEX!$F$42-CAPEX!$E$42)*Z10+(CAPEX!$G$42-CAPEX!$F$42)*Z11</f>
        <v>0</v>
      </c>
      <c r="AA88" s="140">
        <f>CAPEX!$E$42*AA9+(CAPEX!$F$42-CAPEX!$E$42)*AA10+(CAPEX!$G$42-CAPEX!$F$42)*AA11</f>
        <v>0</v>
      </c>
      <c r="AB88" s="140">
        <f>CAPEX!$E$42*AB9+(CAPEX!$F$42-CAPEX!$E$42)*AB10+(CAPEX!$G$42-CAPEX!$F$42)*AB11</f>
        <v>0</v>
      </c>
      <c r="AC88" s="140">
        <f>CAPEX!$E$42*AC9+(CAPEX!$F$42-CAPEX!$E$42)*AC10+(CAPEX!$G$42-CAPEX!$F$42)*AC11</f>
        <v>0</v>
      </c>
      <c r="AD88" s="140">
        <f>CAPEX!$E$42*AD9+(CAPEX!$F$42-CAPEX!$E$42)*AD10+(CAPEX!$G$42-CAPEX!$F$42)*AD11</f>
        <v>0</v>
      </c>
      <c r="AE88" s="140">
        <f>CAPEX!$E$42*AE9+(CAPEX!$F$42-CAPEX!$E$42)*AE10+(CAPEX!$G$42-CAPEX!$F$42)*AE11</f>
        <v>0</v>
      </c>
      <c r="AF88" s="140">
        <f>CAPEX!$E$42*AF9+(CAPEX!$F$42-CAPEX!$E$42)*AF10+(CAPEX!$G$42-CAPEX!$F$42)*AF11</f>
        <v>0</v>
      </c>
      <c r="AG88" s="140">
        <f>CAPEX!$E$42*AG9+(CAPEX!$F$42-CAPEX!$E$42)*AG10+(CAPEX!$G$42-CAPEX!$F$42)*AG11</f>
        <v>0</v>
      </c>
      <c r="AH88" s="140">
        <f>CAPEX!$E$42*AH9+(CAPEX!$F$42-CAPEX!$E$42)*AH10+(CAPEX!$G$42-CAPEX!$F$42)*AH11</f>
        <v>0</v>
      </c>
      <c r="AI88" s="140">
        <f>CAPEX!$E$42*AI9+(CAPEX!$F$42-CAPEX!$E$42)*AI10+(CAPEX!$G$42-CAPEX!$F$42)*AI11</f>
        <v>0</v>
      </c>
      <c r="AJ88" s="140">
        <f>CAPEX!$E$42*AJ9+(CAPEX!$F$42-CAPEX!$E$42)*AJ10+(CAPEX!$G$42-CAPEX!$F$42)*AJ11</f>
        <v>0</v>
      </c>
      <c r="AK88" s="140">
        <f>CAPEX!$E$42*AK9+(CAPEX!$F$42-CAPEX!$E$42)*AK10+(CAPEX!$G$42-CAPEX!$F$42)*AK11</f>
        <v>0</v>
      </c>
      <c r="AL88" s="140">
        <f>CAPEX!$E$42*AL9+(CAPEX!$F$42-CAPEX!$E$42)*AL10+(CAPEX!$G$42-CAPEX!$F$42)*AL11</f>
        <v>0</v>
      </c>
      <c r="AM88" s="140">
        <f>CAPEX!$E$42*AM9+(CAPEX!$F$42-CAPEX!$E$42)*AM10+(CAPEX!$G$42-CAPEX!$F$42)*AM11</f>
        <v>0</v>
      </c>
      <c r="AN88" s="140">
        <f>CAPEX!$E$42*AN9+(CAPEX!$F$42-CAPEX!$E$42)*AN10+(CAPEX!$G$42-CAPEX!$F$42)*AN11</f>
        <v>0</v>
      </c>
      <c r="AO88" s="140">
        <f>CAPEX!$E$42*AO9+(CAPEX!$F$42-CAPEX!$E$42)*AO10+(CAPEX!$G$42-CAPEX!$F$42)*AO11</f>
        <v>0</v>
      </c>
      <c r="AP88" s="140">
        <f>CAPEX!$E$42*AP9+(CAPEX!$F$42-CAPEX!$E$42)*AP10+(CAPEX!$G$42-CAPEX!$F$42)*AP11</f>
        <v>0</v>
      </c>
      <c r="AQ88" s="140">
        <f>CAPEX!$E$42*AQ9+(CAPEX!$F$42-CAPEX!$E$42)*AQ10+(CAPEX!$G$42-CAPEX!$F$42)*AQ11</f>
        <v>0</v>
      </c>
      <c r="AR88" s="140">
        <f>CAPEX!$E$42*AR9+(CAPEX!$F$42-CAPEX!$E$42)*AR10+(CAPEX!$G$42-CAPEX!$F$42)*AR11</f>
        <v>0</v>
      </c>
      <c r="AS88" s="140">
        <f>CAPEX!$E$42*AS9+(CAPEX!$F$42-CAPEX!$E$42)*AS10+(CAPEX!$G$42-CAPEX!$F$42)*AS11</f>
        <v>0</v>
      </c>
      <c r="AT88" s="140">
        <f>CAPEX!$E$42*AT9+(CAPEX!$F$42-CAPEX!$E$42)*AT10+(CAPEX!$G$42-CAPEX!$F$42)*AT11</f>
        <v>0</v>
      </c>
      <c r="AU88" s="140">
        <f>CAPEX!$E$42*AU9+(CAPEX!$F$42-CAPEX!$E$42)*AU10+(CAPEX!$G$42-CAPEX!$F$42)*AU11</f>
        <v>0</v>
      </c>
      <c r="AV88" s="140">
        <f>CAPEX!$E$42*AV9+(CAPEX!$F$42-CAPEX!$E$42)*AV10+(CAPEX!$G$42-CAPEX!$F$42)*AV11</f>
        <v>0</v>
      </c>
      <c r="AW88" s="140">
        <f>CAPEX!$E$42*AW9+(CAPEX!$F$42-CAPEX!$E$42)*AW10+(CAPEX!$G$42-CAPEX!$F$42)*AW11</f>
        <v>0</v>
      </c>
      <c r="AX88" s="140">
        <f>CAPEX!$E$42*AX9+(CAPEX!$F$42-CAPEX!$E$42)*AX10+(CAPEX!$G$42-CAPEX!$F$42)*AX11</f>
        <v>0</v>
      </c>
      <c r="AY88" s="140">
        <f>CAPEX!$E$42*AY9+(CAPEX!$F$42-CAPEX!$E$42)*AY10+(CAPEX!$G$42-CAPEX!$F$42)*AY11</f>
        <v>0</v>
      </c>
      <c r="AZ88" s="140">
        <f>CAPEX!$E$42*AZ9+(CAPEX!$F$42-CAPEX!$E$42)*AZ10+(CAPEX!$G$42-CAPEX!$F$42)*AZ11</f>
        <v>0</v>
      </c>
      <c r="BA88" s="140">
        <f>CAPEX!$E$42*BA9+(CAPEX!$F$42-CAPEX!$E$42)*BA10+(CAPEX!$G$42-CAPEX!$F$42)*BA11</f>
        <v>0</v>
      </c>
      <c r="BB88" s="140">
        <f>CAPEX!$E$42*BB9+(CAPEX!$F$42-CAPEX!$E$42)*BB10+(CAPEX!$G$42-CAPEX!$F$42)*BB11</f>
        <v>0</v>
      </c>
      <c r="BC88" s="140">
        <f>CAPEX!$E$42*BC9+(CAPEX!$F$42-CAPEX!$E$42)*BC10+(CAPEX!$G$42-CAPEX!$F$42)*BC11</f>
        <v>0</v>
      </c>
      <c r="BD88" s="140">
        <f>CAPEX!$E$42*BD9+(CAPEX!$F$42-CAPEX!$E$42)*BD10+(CAPEX!$G$42-CAPEX!$F$42)*BD11</f>
        <v>0</v>
      </c>
      <c r="BE88" s="140">
        <f>CAPEX!$E$42*BE9+(CAPEX!$F$42-CAPEX!$E$42)*BE10+(CAPEX!$G$42-CAPEX!$F$42)*BE11</f>
        <v>0</v>
      </c>
      <c r="BF88" s="140">
        <f>CAPEX!$E$42*BF9+(CAPEX!$F$42-CAPEX!$E$42)*BF10+(CAPEX!$G$42-CAPEX!$F$42)*BF11</f>
        <v>0</v>
      </c>
      <c r="BG88" s="140">
        <f>CAPEX!$E$42*BG9+(CAPEX!$F$42-CAPEX!$E$42)*BG10+(CAPEX!$G$42-CAPEX!$F$42)*BG11</f>
        <v>0</v>
      </c>
      <c r="BH88" s="140">
        <f>CAPEX!$E$42*BH9+(CAPEX!$F$42-CAPEX!$E$42)*BH10+(CAPEX!$G$42-CAPEX!$F$42)*BH11</f>
        <v>0</v>
      </c>
      <c r="BI88" s="140">
        <f>CAPEX!$E$42*BI9+(CAPEX!$F$42-CAPEX!$E$42)*BI10+(CAPEX!$G$42-CAPEX!$F$42)*BI11</f>
        <v>0</v>
      </c>
      <c r="BJ88" s="140">
        <f>CAPEX!$E$42*BJ9+(CAPEX!$F$42-CAPEX!$E$42)*BJ10+(CAPEX!$G$42-CAPEX!$F$42)*BJ11</f>
        <v>0</v>
      </c>
      <c r="BK88" s="140">
        <f>CAPEX!$E$42*BK9+(CAPEX!$F$42-CAPEX!$E$42)*BK10+(CAPEX!$G$42-CAPEX!$F$42)*BK11</f>
        <v>0</v>
      </c>
      <c r="BL88" s="140">
        <f>CAPEX!$E$42*BL9+(CAPEX!$F$42-CAPEX!$E$42)*BL10+(CAPEX!$G$42-CAPEX!$F$42)*BL11</f>
        <v>0</v>
      </c>
    </row>
    <row r="91" spans="2:64" x14ac:dyDescent="0.2">
      <c r="B91" s="35" t="s">
        <v>284</v>
      </c>
    </row>
    <row r="92" spans="2:64" x14ac:dyDescent="0.2">
      <c r="B92" s="54" t="s">
        <v>157</v>
      </c>
      <c r="E92" s="140">
        <f>CAPEX!$C$48*(E$6-E$7)
+CAPEX!$D$48*(E$7-E$8)
+CAPEX!$E$48*E$8</f>
        <v>3260531.1244646893</v>
      </c>
      <c r="F92" s="140">
        <f>CAPEX!$C$48*(F$6-F$7)
+CAPEX!$D$48*(F$7-F$8)
+CAPEX!$E$48*F$8</f>
        <v>3260531.1244646893</v>
      </c>
      <c r="G92" s="140">
        <f>CAPEX!$C$48*(G$6-G$7)
+CAPEX!$D$48*(G$7-G$8)
+CAPEX!$E$48*G$8</f>
        <v>3260531.1244646893</v>
      </c>
      <c r="H92" s="140">
        <f>CAPEX!$C$48*(H$6-H$7)
+CAPEX!$D$48*(H$7-H$8)
+CAPEX!$E$48*H$8</f>
        <v>3260531.1244646893</v>
      </c>
      <c r="I92" s="140">
        <f>CAPEX!$C$48*(I$6-I$7)
+CAPEX!$D$48*(I$7-I$8)
+CAPEX!$E$48*I$8</f>
        <v>3260531.1244646893</v>
      </c>
      <c r="J92" s="140">
        <f>CAPEX!$C$48*(J$6-J$7)
+CAPEX!$D$48*(J$7-J$8)
+CAPEX!$E$48*J$8</f>
        <v>3260531.1244646893</v>
      </c>
      <c r="K92" s="140">
        <f>CAPEX!$C$48*(K$6-K$7)
+CAPEX!$D$48*(K$7-K$8)
+CAPEX!$E$48*K$8</f>
        <v>3260531.1244646893</v>
      </c>
      <c r="L92" s="140">
        <f>CAPEX!$C$48*(L$6-L$7)
+CAPEX!$D$48*(L$7-L$8)
+CAPEX!$E$48*L$8</f>
        <v>3260531.1244646893</v>
      </c>
      <c r="M92" s="140">
        <f>CAPEX!$C$48*(M$6-M$7)
+CAPEX!$D$48*(M$7-M$8)
+CAPEX!$E$48*M$8</f>
        <v>3260531.1244646893</v>
      </c>
      <c r="N92" s="140">
        <f>CAPEX!$C$48*(N$6-N$7)
+CAPEX!$D$48*(N$7-N$8)
+CAPEX!$E$48*N$8</f>
        <v>3260531.1244646893</v>
      </c>
      <c r="O92" s="140">
        <f>CAPEX!$C$48*(O$6-O$7)
+CAPEX!$D$48*(O$7-O$8)
+CAPEX!$E$48*O$8</f>
        <v>3260531.1244646893</v>
      </c>
      <c r="P92" s="140">
        <f>CAPEX!$C$48*(P$6-P$7)
+CAPEX!$D$48*(P$7-P$8)
+CAPEX!$E$48*P$8</f>
        <v>3260531.1244646893</v>
      </c>
      <c r="Q92" s="140">
        <f>CAPEX!$C$48*(Q$6-Q$7)
+CAPEX!$D$48*(Q$7-Q$8)
+CAPEX!$E$48*Q$8</f>
        <v>3260531.1244646893</v>
      </c>
      <c r="R92" s="140">
        <f>CAPEX!$C$48*(R$6-R$7)
+CAPEX!$D$48*(R$7-R$8)
+CAPEX!$E$48*R$8</f>
        <v>3260531.1244646893</v>
      </c>
      <c r="S92" s="140">
        <f>CAPEX!$C$48*(S$6-S$7)
+CAPEX!$D$48*(S$7-S$8)
+CAPEX!$E$48*S$8</f>
        <v>3260531.1244646893</v>
      </c>
      <c r="T92" s="140">
        <f>CAPEX!$C$48*(T$6-T$7)
+CAPEX!$D$48*(T$7-T$8)
+CAPEX!$E$48*T$8</f>
        <v>3260531.1244646893</v>
      </c>
      <c r="U92" s="140">
        <f>CAPEX!$C$48*(U$6-U$7)
+CAPEX!$D$48*(U$7-U$8)
+CAPEX!$E$48*U$8</f>
        <v>3260531.1244646893</v>
      </c>
      <c r="V92" s="140">
        <f>CAPEX!$C$48*(V$6-V$7)
+CAPEX!$D$48*(V$7-V$8)
+CAPEX!$E$48*V$8</f>
        <v>3260531.1244646893</v>
      </c>
      <c r="W92" s="140">
        <f>CAPEX!$C$48*(W$6-W$7)
+CAPEX!$D$48*(W$7-W$8)
+CAPEX!$E$48*W$8</f>
        <v>3260531.1244646893</v>
      </c>
      <c r="X92" s="140">
        <f>CAPEX!$C$48*(X$6-X$7)
+CAPEX!$D$48*(X$7-X$8)
+CAPEX!$E$48*X$8</f>
        <v>3260531.1244646893</v>
      </c>
      <c r="Y92" s="140">
        <f>CAPEX!$C$48*(Y$6-Y$7)
+CAPEX!$D$48*(Y$7-Y$8)
+CAPEX!$E$48*Y$8</f>
        <v>3260531.1244646893</v>
      </c>
      <c r="Z92" s="140">
        <f>CAPEX!$C$48*(Z$6-Z$7)
+CAPEX!$D$48*(Z$7-Z$8)
+CAPEX!$E$48*Z$8</f>
        <v>3260531.1244646893</v>
      </c>
      <c r="AA92" s="140">
        <f>CAPEX!$C$48*(AA$6-AA$7)
+CAPEX!$D$48*(AA$7-AA$8)
+CAPEX!$E$48*AA$8</f>
        <v>3260531.1244646893</v>
      </c>
      <c r="AB92" s="140">
        <f>CAPEX!$C$48*(AB$6-AB$7)
+CAPEX!$D$48*(AB$7-AB$8)
+CAPEX!$E$48*AB$8</f>
        <v>3260531.1244646893</v>
      </c>
      <c r="AC92" s="140">
        <f>CAPEX!$C$48*(AC$6-AC$7)
+CAPEX!$D$48*(AC$7-AC$8)
+CAPEX!$E$48*AC$8</f>
        <v>3260531.1244646893</v>
      </c>
      <c r="AD92" s="140">
        <f>CAPEX!$C$48*(AD$6-AD$7)
+CAPEX!$D$48*(AD$7-AD$8)
+CAPEX!$E$48*AD$8</f>
        <v>3260531.1244646893</v>
      </c>
      <c r="AE92" s="140">
        <f>CAPEX!$C$48*(AE$6-AE$7)
+CAPEX!$D$48*(AE$7-AE$8)
+CAPEX!$E$48*AE$8</f>
        <v>3260531.1244646893</v>
      </c>
      <c r="AF92" s="140">
        <f>CAPEX!$C$48*(AF$6-AF$7)
+CAPEX!$D$48*(AF$7-AF$8)
+CAPEX!$E$48*AF$8</f>
        <v>3260531.1244646893</v>
      </c>
      <c r="AG92" s="140">
        <f>CAPEX!$C$48*(AG$6-AG$7)
+CAPEX!$D$48*(AG$7-AG$8)
+CAPEX!$E$48*AG$8</f>
        <v>3260531.1244646893</v>
      </c>
      <c r="AH92" s="140">
        <f>CAPEX!$C$48*(AH$6-AH$7)
+CAPEX!$D$48*(AH$7-AH$8)
+CAPEX!$E$48*AH$8</f>
        <v>3260531.1244646893</v>
      </c>
      <c r="AI92" s="140">
        <f>CAPEX!$C$48*(AI$6-AI$7)
+CAPEX!$D$48*(AI$7-AI$8)
+CAPEX!$E$48*AI$8</f>
        <v>3260531.1244646893</v>
      </c>
      <c r="AJ92" s="140">
        <f>CAPEX!$C$48*(AJ$6-AJ$7)
+CAPEX!$D$48*(AJ$7-AJ$8)
+CAPEX!$E$48*AJ$8</f>
        <v>3260531.1244646893</v>
      </c>
      <c r="AK92" s="140">
        <f>CAPEX!$C$48*(AK$6-AK$7)
+CAPEX!$D$48*(AK$7-AK$8)
+CAPEX!$E$48*AK$8</f>
        <v>3260531.1244646893</v>
      </c>
      <c r="AL92" s="140">
        <f>CAPEX!$C$48*(AL$6-AL$7)
+CAPEX!$D$48*(AL$7-AL$8)
+CAPEX!$E$48*AL$8</f>
        <v>3260531.1244646893</v>
      </c>
      <c r="AM92" s="140">
        <f>CAPEX!$C$48*(AM$6-AM$7)
+CAPEX!$D$48*(AM$7-AM$8)
+CAPEX!$E$48*AM$8</f>
        <v>3260531.1244646893</v>
      </c>
      <c r="AN92" s="140">
        <f>CAPEX!$C$48*(AN$6-AN$7)
+CAPEX!$D$48*(AN$7-AN$8)
+CAPEX!$E$48*AN$8</f>
        <v>3260531.1244646893</v>
      </c>
      <c r="AO92" s="140">
        <f>CAPEX!$C$48*(AO$6-AO$7)
+CAPEX!$D$48*(AO$7-AO$8)
+CAPEX!$E$48*AO$8</f>
        <v>3260531.1244646893</v>
      </c>
      <c r="AP92" s="140">
        <f>CAPEX!$C$48*(AP$6-AP$7)
+CAPEX!$D$48*(AP$7-AP$8)
+CAPEX!$E$48*AP$8</f>
        <v>3260531.1244646893</v>
      </c>
      <c r="AQ92" s="140">
        <f>CAPEX!$C$48*(AQ$6-AQ$7)
+CAPEX!$D$48*(AQ$7-AQ$8)
+CAPEX!$E$48*AQ$8</f>
        <v>3260531.1244646893</v>
      </c>
      <c r="AR92" s="140">
        <f>CAPEX!$C$48*(AR$6-AR$7)
+CAPEX!$D$48*(AR$7-AR$8)
+CAPEX!$E$48*AR$8</f>
        <v>3260531.1244646893</v>
      </c>
      <c r="AS92" s="140">
        <f>CAPEX!$C$48*(AS$6-AS$7)
+CAPEX!$D$48*(AS$7-AS$8)
+CAPEX!$E$48*AS$8</f>
        <v>3260531.1244646893</v>
      </c>
      <c r="AT92" s="140">
        <f>CAPEX!$C$48*(AT$6-AT$7)
+CAPEX!$D$48*(AT$7-AT$8)
+CAPEX!$E$48*AT$8</f>
        <v>3260531.1244646893</v>
      </c>
      <c r="AU92" s="140">
        <f>CAPEX!$C$48*(AU$6-AU$7)
+CAPEX!$D$48*(AU$7-AU$8)
+CAPEX!$E$48*AU$8</f>
        <v>3260531.1244646893</v>
      </c>
      <c r="AV92" s="140">
        <f>CAPEX!$C$48*(AV$6-AV$7)
+CAPEX!$D$48*(AV$7-AV$8)
+CAPEX!$E$48*AV$8</f>
        <v>3260531.1244646893</v>
      </c>
      <c r="AW92" s="140">
        <f>CAPEX!$C$48*(AW$6-AW$7)
+CAPEX!$D$48*(AW$7-AW$8)
+CAPEX!$E$48*AW$8</f>
        <v>3260531.1244646893</v>
      </c>
      <c r="AX92" s="140">
        <f>CAPEX!$C$48*(AX$6-AX$7)
+CAPEX!$D$48*(AX$7-AX$8)
+CAPEX!$E$48*AX$8</f>
        <v>3260531.1244646893</v>
      </c>
      <c r="AY92" s="140">
        <f>CAPEX!$C$48*(AY$6-AY$7)
+CAPEX!$D$48*(AY$7-AY$8)
+CAPEX!$E$48*AY$8</f>
        <v>3260531.1244646893</v>
      </c>
      <c r="AZ92" s="140">
        <f>CAPEX!$C$48*(AZ$6-AZ$7)
+CAPEX!$D$48*(AZ$7-AZ$8)
+CAPEX!$E$48*AZ$8</f>
        <v>3260531.1244646893</v>
      </c>
      <c r="BA92" s="140">
        <f>CAPEX!$C$48*(BA$6-BA$7)
+CAPEX!$D$48*(BA$7-BA$8)
+CAPEX!$E$48*BA$8</f>
        <v>3260531.1244646893</v>
      </c>
      <c r="BB92" s="140">
        <f>CAPEX!$C$48*(BB$6-BB$7)
+CAPEX!$D$48*(BB$7-BB$8)
+CAPEX!$E$48*BB$8</f>
        <v>3260531.1244646893</v>
      </c>
      <c r="BC92" s="140">
        <f>CAPEX!$C$48*(BC$6-BC$7)
+CAPEX!$D$48*(BC$7-BC$8)
+CAPEX!$E$48*BC$8</f>
        <v>3260531.1244646893</v>
      </c>
      <c r="BD92" s="140">
        <f>CAPEX!$C$48*(BD$6-BD$7)
+CAPEX!$D$48*(BD$7-BD$8)
+CAPEX!$E$48*BD$8</f>
        <v>3260531.1244646893</v>
      </c>
      <c r="BE92" s="140">
        <f>CAPEX!$C$48*(BE$6-BE$7)
+CAPEX!$D$48*(BE$7-BE$8)
+CAPEX!$E$48*BE$8</f>
        <v>3260531.1244646893</v>
      </c>
      <c r="BF92" s="140">
        <f>CAPEX!$C$48*(BF$6-BF$7)
+CAPEX!$D$48*(BF$7-BF$8)
+CAPEX!$E$48*BF$8</f>
        <v>3260531.1244646893</v>
      </c>
      <c r="BG92" s="140">
        <f>CAPEX!$C$48*(BG$6-BG$7)
+CAPEX!$D$48*(BG$7-BG$8)
+CAPEX!$E$48*BG$8</f>
        <v>3260531.1244646893</v>
      </c>
      <c r="BH92" s="140">
        <f>CAPEX!$C$48*(BH$6-BH$7)
+CAPEX!$D$48*(BH$7-BH$8)
+CAPEX!$E$48*BH$8</f>
        <v>3260531.1244646893</v>
      </c>
      <c r="BI92" s="140">
        <f>CAPEX!$C$48*(BI$6-BI$7)
+CAPEX!$D$48*(BI$7-BI$8)
+CAPEX!$E$48*BI$8</f>
        <v>3260531.1244646893</v>
      </c>
      <c r="BJ92" s="140">
        <f>CAPEX!$C$48*(BJ$6-BJ$7)
+CAPEX!$D$48*(BJ$7-BJ$8)
+CAPEX!$E$48*BJ$8</f>
        <v>3260531.1244646893</v>
      </c>
      <c r="BK92" s="140">
        <f>CAPEX!$C$48*(BK$6-BK$7)
+CAPEX!$D$48*(BK$7-BK$8)
+CAPEX!$E$48*BK$8</f>
        <v>3260531.1244646893</v>
      </c>
      <c r="BL92" s="140">
        <f>CAPEX!$C$48*(BL$6-BL$7)
+CAPEX!$D$48*(BL$7-BL$8)
+CAPEX!$E$48*BL$8</f>
        <v>3260531.1244646893</v>
      </c>
    </row>
    <row r="93" spans="2:64" x14ac:dyDescent="0.2">
      <c r="B93" s="54" t="s">
        <v>185</v>
      </c>
      <c r="E93" s="140">
        <f>CAPEX!$C$50*(E$6-E$7)+CAPEX!$D$50*(E$7-E$8)+CAPEX!$E$50*E$8</f>
        <v>4198956.5399333322</v>
      </c>
      <c r="F93" s="140">
        <f>CAPEX!$C$50*(F$6-F$7)+CAPEX!$D$50*(F$7-F$8)+CAPEX!$E$50*F$8</f>
        <v>4198956.5399333322</v>
      </c>
      <c r="G93" s="140">
        <f>CAPEX!$C$50*(G$6-G$7)+CAPEX!$D$50*(G$7-G$8)+CAPEX!$E$50*G$8</f>
        <v>4198956.5399333322</v>
      </c>
      <c r="H93" s="140">
        <f>CAPEX!$C$50*(H$6-H$7)+CAPEX!$D$50*(H$7-H$8)+CAPEX!$E$50*H$8</f>
        <v>4198956.5399333322</v>
      </c>
      <c r="I93" s="140">
        <f>CAPEX!$C$50*(I$6-I$7)+CAPEX!$D$50*(I$7-I$8)+CAPEX!$E$50*I$8</f>
        <v>4198956.5399333322</v>
      </c>
      <c r="J93" s="140">
        <f>CAPEX!$C$50*(J$6-J$7)+CAPEX!$D$50*(J$7-J$8)+CAPEX!$E$50*J$8</f>
        <v>4198956.5399333322</v>
      </c>
      <c r="K93" s="140">
        <f>CAPEX!$C$50*(K$6-K$7)+CAPEX!$D$50*(K$7-K$8)+CAPEX!$E$50*K$8</f>
        <v>4198956.5399333322</v>
      </c>
      <c r="L93" s="140">
        <f>CAPEX!$C$50*(L$6-L$7)+CAPEX!$D$50*(L$7-L$8)+CAPEX!$E$50*L$8</f>
        <v>4198956.5399333322</v>
      </c>
      <c r="M93" s="140">
        <f>CAPEX!$C$50*(M$6-M$7)+CAPEX!$D$50*(M$7-M$8)+CAPEX!$E$50*M$8</f>
        <v>4198956.5399333322</v>
      </c>
      <c r="N93" s="140">
        <f>CAPEX!$C$50*(N$6-N$7)+CAPEX!$D$50*(N$7-N$8)+CAPEX!$E$50*N$8</f>
        <v>4198956.5399333322</v>
      </c>
      <c r="O93" s="140">
        <f>CAPEX!$C$50*(O$6-O$7)+CAPEX!$D$50*(O$7-O$8)+CAPEX!$E$50*O$8</f>
        <v>4198956.5399333322</v>
      </c>
      <c r="P93" s="140">
        <f>CAPEX!$C$50*(P$6-P$7)+CAPEX!$D$50*(P$7-P$8)+CAPEX!$E$50*P$8</f>
        <v>4198956.5399333322</v>
      </c>
      <c r="Q93" s="140">
        <f>CAPEX!$C$50*(Q$6-Q$7)+CAPEX!$D$50*(Q$7-Q$8)+CAPEX!$E$50*Q$8</f>
        <v>4198956.5399333322</v>
      </c>
      <c r="R93" s="140">
        <f>CAPEX!$C$50*(R$6-R$7)+CAPEX!$D$50*(R$7-R$8)+CAPEX!$E$50*R$8</f>
        <v>4198956.5399333322</v>
      </c>
      <c r="S93" s="140">
        <f>CAPEX!$C$50*(S$6-S$7)+CAPEX!$D$50*(S$7-S$8)+CAPEX!$E$50*S$8</f>
        <v>4198956.5399333322</v>
      </c>
      <c r="T93" s="140">
        <f>CAPEX!$C$50*(T$6-T$7)+CAPEX!$D$50*(T$7-T$8)+CAPEX!$E$50*T$8</f>
        <v>4198956.5399333322</v>
      </c>
      <c r="U93" s="140">
        <f>CAPEX!$C$50*(U$6-U$7)+CAPEX!$D$50*(U$7-U$8)+CAPEX!$E$50*U$8</f>
        <v>4198956.5399333322</v>
      </c>
      <c r="V93" s="140">
        <f>CAPEX!$C$50*(V$6-V$7)+CAPEX!$D$50*(V$7-V$8)+CAPEX!$E$50*V$8</f>
        <v>4198956.5399333322</v>
      </c>
      <c r="W93" s="140">
        <f>CAPEX!$C$50*(W$6-W$7)+CAPEX!$D$50*(W$7-W$8)+CAPEX!$E$50*W$8</f>
        <v>4198956.5399333322</v>
      </c>
      <c r="X93" s="140">
        <f>CAPEX!$C$50*(X$6-X$7)+CAPEX!$D$50*(X$7-X$8)+CAPEX!$E$50*X$8</f>
        <v>4198956.5399333322</v>
      </c>
      <c r="Y93" s="140">
        <f>CAPEX!$C$50*(Y$6-Y$7)+CAPEX!$D$50*(Y$7-Y$8)+CAPEX!$E$50*Y$8</f>
        <v>4198956.5399333322</v>
      </c>
      <c r="Z93" s="140">
        <f>CAPEX!$C$50*(Z$6-Z$7)+CAPEX!$D$50*(Z$7-Z$8)+CAPEX!$E$50*Z$8</f>
        <v>4198956.5399333322</v>
      </c>
      <c r="AA93" s="140">
        <f>CAPEX!$C$50*(AA$6-AA$7)+CAPEX!$D$50*(AA$7-AA$8)+CAPEX!$E$50*AA$8</f>
        <v>4198956.5399333322</v>
      </c>
      <c r="AB93" s="140">
        <f>CAPEX!$C$50*(AB$6-AB$7)+CAPEX!$D$50*(AB$7-AB$8)+CAPEX!$E$50*AB$8</f>
        <v>4198956.5399333322</v>
      </c>
      <c r="AC93" s="140">
        <f>CAPEX!$C$50*(AC$6-AC$7)+CAPEX!$D$50*(AC$7-AC$8)+CAPEX!$E$50*AC$8</f>
        <v>4198956.5399333322</v>
      </c>
      <c r="AD93" s="140">
        <f>CAPEX!$C$50*(AD$6-AD$7)+CAPEX!$D$50*(AD$7-AD$8)+CAPEX!$E$50*AD$8</f>
        <v>4198956.5399333322</v>
      </c>
      <c r="AE93" s="140">
        <f>CAPEX!$C$50*(AE$6-AE$7)+CAPEX!$D$50*(AE$7-AE$8)+CAPEX!$E$50*AE$8</f>
        <v>4198956.5399333322</v>
      </c>
      <c r="AF93" s="140">
        <f>CAPEX!$C$50*(AF$6-AF$7)+CAPEX!$D$50*(AF$7-AF$8)+CAPEX!$E$50*AF$8</f>
        <v>4198956.5399333322</v>
      </c>
      <c r="AG93" s="140">
        <f>CAPEX!$C$50*(AG$6-AG$7)+CAPEX!$D$50*(AG$7-AG$8)+CAPEX!$E$50*AG$8</f>
        <v>4198956.5399333322</v>
      </c>
      <c r="AH93" s="140">
        <f>CAPEX!$C$50*(AH$6-AH$7)+CAPEX!$D$50*(AH$7-AH$8)+CAPEX!$E$50*AH$8</f>
        <v>4198956.5399333322</v>
      </c>
      <c r="AI93" s="140">
        <f>CAPEX!$C$50*(AI$6-AI$7)+CAPEX!$D$50*(AI$7-AI$8)+CAPEX!$E$50*AI$8</f>
        <v>4198956.5399333322</v>
      </c>
      <c r="AJ93" s="140">
        <f>CAPEX!$C$50*(AJ$6-AJ$7)+CAPEX!$D$50*(AJ$7-AJ$8)+CAPEX!$E$50*AJ$8</f>
        <v>4198956.5399333322</v>
      </c>
      <c r="AK93" s="140">
        <f>CAPEX!$C$50*(AK$6-AK$7)+CAPEX!$D$50*(AK$7-AK$8)+CAPEX!$E$50*AK$8</f>
        <v>4198956.5399333322</v>
      </c>
      <c r="AL93" s="140">
        <f>CAPEX!$C$50*(AL$6-AL$7)+CAPEX!$D$50*(AL$7-AL$8)+CAPEX!$E$50*AL$8</f>
        <v>4198956.5399333322</v>
      </c>
      <c r="AM93" s="140">
        <f>CAPEX!$C$50*(AM$6-AM$7)+CAPEX!$D$50*(AM$7-AM$8)+CAPEX!$E$50*AM$8</f>
        <v>4198956.5399333322</v>
      </c>
      <c r="AN93" s="140">
        <f>CAPEX!$C$50*(AN$6-AN$7)+CAPEX!$D$50*(AN$7-AN$8)+CAPEX!$E$50*AN$8</f>
        <v>4198956.5399333322</v>
      </c>
      <c r="AO93" s="140">
        <f>CAPEX!$C$50*(AO$6-AO$7)+CAPEX!$D$50*(AO$7-AO$8)+CAPEX!$E$50*AO$8</f>
        <v>4198956.5399333322</v>
      </c>
      <c r="AP93" s="140">
        <f>CAPEX!$C$50*(AP$6-AP$7)+CAPEX!$D$50*(AP$7-AP$8)+CAPEX!$E$50*AP$8</f>
        <v>4198956.5399333322</v>
      </c>
      <c r="AQ93" s="140">
        <f>CAPEX!$C$50*(AQ$6-AQ$7)+CAPEX!$D$50*(AQ$7-AQ$8)+CAPEX!$E$50*AQ$8</f>
        <v>4198956.5399333322</v>
      </c>
      <c r="AR93" s="140">
        <f>CAPEX!$C$50*(AR$6-AR$7)+CAPEX!$D$50*(AR$7-AR$8)+CAPEX!$E$50*AR$8</f>
        <v>4198956.5399333322</v>
      </c>
      <c r="AS93" s="140">
        <f>CAPEX!$C$50*(AS$6-AS$7)+CAPEX!$D$50*(AS$7-AS$8)+CAPEX!$E$50*AS$8</f>
        <v>4198956.5399333322</v>
      </c>
      <c r="AT93" s="140">
        <f>CAPEX!$C$50*(AT$6-AT$7)+CAPEX!$D$50*(AT$7-AT$8)+CAPEX!$E$50*AT$8</f>
        <v>4198956.5399333322</v>
      </c>
      <c r="AU93" s="140">
        <f>CAPEX!$C$50*(AU$6-AU$7)+CAPEX!$D$50*(AU$7-AU$8)+CAPEX!$E$50*AU$8</f>
        <v>4198956.5399333322</v>
      </c>
      <c r="AV93" s="140">
        <f>CAPEX!$C$50*(AV$6-AV$7)+CAPEX!$D$50*(AV$7-AV$8)+CAPEX!$E$50*AV$8</f>
        <v>4198956.5399333322</v>
      </c>
      <c r="AW93" s="140">
        <f>CAPEX!$C$50*(AW$6-AW$7)+CAPEX!$D$50*(AW$7-AW$8)+CAPEX!$E$50*AW$8</f>
        <v>4198956.5399333322</v>
      </c>
      <c r="AX93" s="140">
        <f>CAPEX!$C$50*(AX$6-AX$7)+CAPEX!$D$50*(AX$7-AX$8)+CAPEX!$E$50*AX$8</f>
        <v>4198956.5399333322</v>
      </c>
      <c r="AY93" s="140">
        <f>CAPEX!$C$50*(AY$6-AY$7)+CAPEX!$D$50*(AY$7-AY$8)+CAPEX!$E$50*AY$8</f>
        <v>4198956.5399333322</v>
      </c>
      <c r="AZ93" s="140">
        <f>CAPEX!$C$50*(AZ$6-AZ$7)+CAPEX!$D$50*(AZ$7-AZ$8)+CAPEX!$E$50*AZ$8</f>
        <v>4198956.5399333322</v>
      </c>
      <c r="BA93" s="140">
        <f>CAPEX!$C$50*(BA$6-BA$7)+CAPEX!$D$50*(BA$7-BA$8)+CAPEX!$E$50*BA$8</f>
        <v>4198956.5399333322</v>
      </c>
      <c r="BB93" s="140">
        <f>CAPEX!$C$50*(BB$6-BB$7)+CAPEX!$D$50*(BB$7-BB$8)+CAPEX!$E$50*BB$8</f>
        <v>4198956.5399333322</v>
      </c>
      <c r="BC93" s="140">
        <f>CAPEX!$C$50*(BC$6-BC$7)+CAPEX!$D$50*(BC$7-BC$8)+CAPEX!$E$50*BC$8</f>
        <v>4198956.5399333322</v>
      </c>
      <c r="BD93" s="140">
        <f>CAPEX!$C$50*(BD$6-BD$7)+CAPEX!$D$50*(BD$7-BD$8)+CAPEX!$E$50*BD$8</f>
        <v>4198956.5399333322</v>
      </c>
      <c r="BE93" s="140">
        <f>CAPEX!$C$50*(BE$6-BE$7)+CAPEX!$D$50*(BE$7-BE$8)+CAPEX!$E$50*BE$8</f>
        <v>4198956.5399333322</v>
      </c>
      <c r="BF93" s="140">
        <f>CAPEX!$C$50*(BF$6-BF$7)+CAPEX!$D$50*(BF$7-BF$8)+CAPEX!$E$50*BF$8</f>
        <v>4198956.5399333322</v>
      </c>
      <c r="BG93" s="140">
        <f>CAPEX!$C$50*(BG$6-BG$7)+CAPEX!$D$50*(BG$7-BG$8)+CAPEX!$E$50*BG$8</f>
        <v>4198956.5399333322</v>
      </c>
      <c r="BH93" s="140">
        <f>CAPEX!$C$50*(BH$6-BH$7)+CAPEX!$D$50*(BH$7-BH$8)+CAPEX!$E$50*BH$8</f>
        <v>4198956.5399333322</v>
      </c>
      <c r="BI93" s="140">
        <f>CAPEX!$C$50*(BI$6-BI$7)+CAPEX!$D$50*(BI$7-BI$8)+CAPEX!$E$50*BI$8</f>
        <v>4198956.5399333322</v>
      </c>
      <c r="BJ93" s="140">
        <f>CAPEX!$C$50*(BJ$6-BJ$7)+CAPEX!$D$50*(BJ$7-BJ$8)+CAPEX!$E$50*BJ$8</f>
        <v>4198956.5399333322</v>
      </c>
      <c r="BK93" s="140">
        <f>CAPEX!$C$50*(BK$6-BK$7)+CAPEX!$D$50*(BK$7-BK$8)+CAPEX!$E$50*BK$8</f>
        <v>4198956.5399333322</v>
      </c>
      <c r="BL93" s="140">
        <f>CAPEX!$C$50*(BL$6-BL$7)+CAPEX!$D$50*(BL$7-BL$8)+CAPEX!$E$50*BL$8</f>
        <v>4198956.5399333322</v>
      </c>
    </row>
    <row r="96" spans="2:64" x14ac:dyDescent="0.2">
      <c r="B96" s="35" t="s">
        <v>285</v>
      </c>
    </row>
    <row r="97" spans="2:64" x14ac:dyDescent="0.2">
      <c r="B97" s="53" t="s">
        <v>254</v>
      </c>
    </row>
    <row r="98" spans="2:64" x14ac:dyDescent="0.2">
      <c r="B98" s="54" t="s">
        <v>286</v>
      </c>
      <c r="E98" s="80">
        <f t="shared" ref="E98:AJ98" si="66">E17*E55</f>
        <v>120420633.52917872</v>
      </c>
      <c r="F98" s="80">
        <f t="shared" si="66"/>
        <v>116348438.19244322</v>
      </c>
      <c r="G98" s="80">
        <f t="shared" si="66"/>
        <v>112413949.9443896</v>
      </c>
      <c r="H98" s="80">
        <f t="shared" si="66"/>
        <v>108612512.02356483</v>
      </c>
      <c r="I98" s="80">
        <f t="shared" si="66"/>
        <v>104939625.14354092</v>
      </c>
      <c r="J98" s="80">
        <f t="shared" si="66"/>
        <v>101390942.16767238</v>
      </c>
      <c r="K98" s="80">
        <f t="shared" si="66"/>
        <v>97962262.963934675</v>
      </c>
      <c r="L98" s="80">
        <f t="shared" si="66"/>
        <v>94649529.433753327</v>
      </c>
      <c r="M98" s="80">
        <f t="shared" si="66"/>
        <v>91448820.708940417</v>
      </c>
      <c r="N98" s="80">
        <f t="shared" si="66"/>
        <v>88356348.511053547</v>
      </c>
      <c r="O98" s="80">
        <f t="shared" si="66"/>
        <v>85368452.6676846</v>
      </c>
      <c r="P98" s="80">
        <f t="shared" si="66"/>
        <v>82481596.780371591</v>
      </c>
      <c r="Q98" s="80">
        <f t="shared" si="66"/>
        <v>79692364.039006382</v>
      </c>
      <c r="R98" s="80">
        <f t="shared" si="66"/>
        <v>76997453.177783936</v>
      </c>
      <c r="S98" s="80">
        <f t="shared" si="66"/>
        <v>74393674.567907199</v>
      </c>
      <c r="T98" s="80">
        <f t="shared" si="66"/>
        <v>71877946.44242242</v>
      </c>
      <c r="U98" s="80">
        <f t="shared" si="66"/>
        <v>69447291.248717323</v>
      </c>
      <c r="V98" s="80">
        <f t="shared" si="66"/>
        <v>67098832.12436457</v>
      </c>
      <c r="W98" s="80">
        <f t="shared" si="66"/>
        <v>64829789.49213969</v>
      </c>
      <c r="X98" s="80">
        <f t="shared" si="66"/>
        <v>62637477.770183273</v>
      </c>
      <c r="Y98" s="80">
        <f t="shared" si="66"/>
        <v>60519302.193413809</v>
      </c>
      <c r="Z98" s="80">
        <f t="shared" si="66"/>
        <v>58472755.742428795</v>
      </c>
      <c r="AA98" s="80">
        <f t="shared" si="66"/>
        <v>56495416.176259711</v>
      </c>
      <c r="AB98" s="80">
        <f t="shared" si="66"/>
        <v>54584943.165468328</v>
      </c>
      <c r="AC98" s="80">
        <f t="shared" si="66"/>
        <v>52739075.522191629</v>
      </c>
      <c r="AD98" s="80">
        <f t="shared" si="66"/>
        <v>50955628.523856647</v>
      </c>
      <c r="AE98" s="80">
        <f t="shared" si="66"/>
        <v>49232491.327397726</v>
      </c>
      <c r="AF98" s="80">
        <f t="shared" si="66"/>
        <v>47567624.470915675</v>
      </c>
      <c r="AG98" s="80">
        <f t="shared" si="66"/>
        <v>45959057.459821925</v>
      </c>
      <c r="AH98" s="80">
        <f t="shared" si="66"/>
        <v>51348116.317067772</v>
      </c>
      <c r="AI98" s="80">
        <f t="shared" si="66"/>
        <v>49852540.113658018</v>
      </c>
      <c r="AJ98" s="80">
        <f t="shared" si="66"/>
        <v>48400524.382192262</v>
      </c>
      <c r="AK98" s="80">
        <f t="shared" ref="AK98:BL98" si="67">AK17*AK55</f>
        <v>46990800.371060446</v>
      </c>
      <c r="AL98" s="80">
        <f t="shared" si="67"/>
        <v>45622136.282582968</v>
      </c>
      <c r="AM98" s="80">
        <f t="shared" si="67"/>
        <v>44293336.196682483</v>
      </c>
      <c r="AN98" s="80">
        <f t="shared" si="67"/>
        <v>43003239.025905326</v>
      </c>
      <c r="AO98" s="80">
        <f t="shared" si="67"/>
        <v>41750717.50087896</v>
      </c>
      <c r="AP98" s="80">
        <f t="shared" si="67"/>
        <v>40534677.185319386</v>
      </c>
      <c r="AQ98" s="80">
        <f t="shared" si="67"/>
        <v>39354055.51972755</v>
      </c>
      <c r="AR98" s="80">
        <f t="shared" si="67"/>
        <v>38207820.892939374</v>
      </c>
      <c r="AS98" s="80">
        <f t="shared" si="67"/>
        <v>37094971.740717836</v>
      </c>
      <c r="AT98" s="80">
        <f t="shared" si="67"/>
        <v>36014535.670599841</v>
      </c>
      <c r="AU98" s="80">
        <f t="shared" si="67"/>
        <v>34965568.612232856</v>
      </c>
      <c r="AV98" s="80">
        <f t="shared" si="67"/>
        <v>33947153.992459089</v>
      </c>
      <c r="AW98" s="80">
        <f t="shared" si="67"/>
        <v>32958401.934426297</v>
      </c>
      <c r="AX98" s="80">
        <f t="shared" si="67"/>
        <v>31998448.48002553</v>
      </c>
      <c r="AY98" s="80">
        <f t="shared" si="67"/>
        <v>31066454.834976241</v>
      </c>
      <c r="AZ98" s="80">
        <f t="shared" si="67"/>
        <v>30161606.635899268</v>
      </c>
      <c r="BA98" s="80">
        <f t="shared" si="67"/>
        <v>29283113.238737155</v>
      </c>
      <c r="BB98" s="80">
        <f t="shared" si="67"/>
        <v>28430207.027900152</v>
      </c>
      <c r="BC98" s="80">
        <f t="shared" si="67"/>
        <v>27602142.745534129</v>
      </c>
      <c r="BD98" s="80">
        <f t="shared" si="67"/>
        <v>26798196.840324394</v>
      </c>
      <c r="BE98" s="80">
        <f t="shared" si="67"/>
        <v>26017666.835266408</v>
      </c>
      <c r="BF98" s="80">
        <f t="shared" si="67"/>
        <v>25259870.713850878</v>
      </c>
      <c r="BG98" s="80">
        <f t="shared" si="67"/>
        <v>24524146.324127067</v>
      </c>
      <c r="BH98" s="80">
        <f t="shared" si="67"/>
        <v>23809850.800123367</v>
      </c>
      <c r="BI98" s="80">
        <f t="shared" si="67"/>
        <v>23116360.000119772</v>
      </c>
      <c r="BJ98" s="80">
        <f t="shared" si="67"/>
        <v>22443067.961281333</v>
      </c>
      <c r="BK98" s="80">
        <f t="shared" si="67"/>
        <v>21789386.370176051</v>
      </c>
      <c r="BL98" s="80">
        <f t="shared" si="67"/>
        <v>21154744.048714615</v>
      </c>
    </row>
    <row r="99" spans="2:64" x14ac:dyDescent="0.2">
      <c r="B99" s="54" t="s">
        <v>287</v>
      </c>
      <c r="E99" s="128">
        <f t="shared" ref="E99:AJ99" si="68">SUM(E75:E75)*E55</f>
        <v>16935270.342803977</v>
      </c>
      <c r="F99" s="128">
        <f t="shared" si="68"/>
        <v>15980445.441586319</v>
      </c>
      <c r="G99" s="128">
        <f t="shared" si="68"/>
        <v>15304209.88531605</v>
      </c>
      <c r="H99" s="128">
        <f t="shared" si="68"/>
        <v>14977420.335842462</v>
      </c>
      <c r="I99" s="128">
        <f t="shared" si="68"/>
        <v>14552815.161631593</v>
      </c>
      <c r="J99" s="128">
        <f t="shared" si="68"/>
        <v>13859282.47046832</v>
      </c>
      <c r="K99" s="128">
        <f t="shared" si="68"/>
        <v>13085918.759881802</v>
      </c>
      <c r="L99" s="128">
        <f t="shared" si="68"/>
        <v>12372954.632799471</v>
      </c>
      <c r="M99" s="128">
        <f t="shared" si="68"/>
        <v>11836723.727568537</v>
      </c>
      <c r="N99" s="128">
        <f t="shared" si="68"/>
        <v>11359010.906030878</v>
      </c>
      <c r="O99" s="128">
        <f t="shared" si="68"/>
        <v>10818548.497499816</v>
      </c>
      <c r="P99" s="128">
        <f t="shared" si="68"/>
        <v>10536082.93749612</v>
      </c>
      <c r="Q99" s="128">
        <f t="shared" si="68"/>
        <v>10134726.049011294</v>
      </c>
      <c r="R99" s="128">
        <f t="shared" si="68"/>
        <v>9698935.7238649093</v>
      </c>
      <c r="S99" s="128">
        <f t="shared" si="68"/>
        <v>9370952.3902076446</v>
      </c>
      <c r="T99" s="128">
        <f t="shared" si="68"/>
        <v>9054060.2803938594</v>
      </c>
      <c r="U99" s="128">
        <f t="shared" si="68"/>
        <v>8747884.3288829569</v>
      </c>
      <c r="V99" s="128">
        <f t="shared" si="68"/>
        <v>8452062.153510103</v>
      </c>
      <c r="W99" s="128">
        <f t="shared" si="68"/>
        <v>8166243.6265798118</v>
      </c>
      <c r="X99" s="128">
        <f t="shared" si="68"/>
        <v>7890090.4604635863</v>
      </c>
      <c r="Y99" s="128">
        <f t="shared" si="68"/>
        <v>7623275.8072111961</v>
      </c>
      <c r="Z99" s="128">
        <f t="shared" si="68"/>
        <v>7365483.8717016382</v>
      </c>
      <c r="AA99" s="128">
        <f t="shared" si="68"/>
        <v>7116409.5378759792</v>
      </c>
      <c r="AB99" s="128">
        <f t="shared" si="68"/>
        <v>6875758.007609644</v>
      </c>
      <c r="AC99" s="128">
        <f t="shared" si="68"/>
        <v>6643244.451796758</v>
      </c>
      <c r="AD99" s="128">
        <f t="shared" si="68"/>
        <v>6418593.6732335826</v>
      </c>
      <c r="AE99" s="128">
        <f t="shared" si="68"/>
        <v>6201539.7809020113</v>
      </c>
      <c r="AF99" s="128">
        <f t="shared" si="68"/>
        <v>5991825.8752676444</v>
      </c>
      <c r="AG99" s="128">
        <f t="shared" si="68"/>
        <v>5789203.7442199476</v>
      </c>
      <c r="AH99" s="128">
        <f t="shared" si="68"/>
        <v>6468033.151055878</v>
      </c>
      <c r="AI99" s="128">
        <f t="shared" si="68"/>
        <v>6279643.8359765792</v>
      </c>
      <c r="AJ99" s="128">
        <f t="shared" si="68"/>
        <v>6096741.5883267773</v>
      </c>
      <c r="AK99" s="128">
        <f t="shared" ref="AK99:BL99" si="69">SUM(AK75:AK75)*AK55</f>
        <v>5919166.5906085214</v>
      </c>
      <c r="AL99" s="128">
        <f t="shared" si="69"/>
        <v>5746763.6802024487</v>
      </c>
      <c r="AM99" s="128">
        <f t="shared" si="69"/>
        <v>5579382.2137887841</v>
      </c>
      <c r="AN99" s="128">
        <f t="shared" si="69"/>
        <v>5416875.9357172661</v>
      </c>
      <c r="AO99" s="128">
        <f t="shared" si="69"/>
        <v>5259102.8502109386</v>
      </c>
      <c r="AP99" s="128">
        <f t="shared" si="69"/>
        <v>5105925.0972921746</v>
      </c>
      <c r="AQ99" s="128">
        <f t="shared" si="69"/>
        <v>4957208.8323224979</v>
      </c>
      <c r="AR99" s="128">
        <f t="shared" si="69"/>
        <v>4812824.1090509705</v>
      </c>
      <c r="AS99" s="128">
        <f t="shared" si="69"/>
        <v>4672644.7660689028</v>
      </c>
      <c r="AT99" s="128">
        <f t="shared" si="69"/>
        <v>4536548.3165717497</v>
      </c>
      <c r="AU99" s="128">
        <f t="shared" si="69"/>
        <v>4404415.8413317967</v>
      </c>
      <c r="AV99" s="128">
        <f t="shared" si="69"/>
        <v>4276131.8847881528</v>
      </c>
      <c r="AW99" s="128">
        <f t="shared" si="69"/>
        <v>4151584.3541632546</v>
      </c>
      <c r="AX99" s="128">
        <f t="shared" si="69"/>
        <v>4030664.4215177228</v>
      </c>
      <c r="AY99" s="128">
        <f t="shared" si="69"/>
        <v>3913266.428657983</v>
      </c>
      <c r="AZ99" s="128">
        <f t="shared" si="69"/>
        <v>3799287.7948135762</v>
      </c>
      <c r="BA99" s="128">
        <f t="shared" si="69"/>
        <v>3688628.9270034721</v>
      </c>
      <c r="BB99" s="128">
        <f t="shared" si="69"/>
        <v>3581193.1330130799</v>
      </c>
      <c r="BC99" s="128">
        <f t="shared" si="69"/>
        <v>3476886.5369059029</v>
      </c>
      <c r="BD99" s="128">
        <f t="shared" si="69"/>
        <v>3375617.9969960223</v>
      </c>
      <c r="BE99" s="128">
        <f t="shared" si="69"/>
        <v>3277299.0262097311</v>
      </c>
      <c r="BF99" s="128">
        <f t="shared" si="69"/>
        <v>3181843.7147667287</v>
      </c>
      <c r="BG99" s="128">
        <f t="shared" si="69"/>
        <v>3089168.6551133287</v>
      </c>
      <c r="BH99" s="128">
        <f t="shared" si="69"/>
        <v>2999192.8690420673</v>
      </c>
      <c r="BI99" s="128">
        <f t="shared" si="69"/>
        <v>2911837.7369340453</v>
      </c>
      <c r="BJ99" s="128">
        <f t="shared" si="69"/>
        <v>2827026.9290621802</v>
      </c>
      <c r="BK99" s="128">
        <f t="shared" si="69"/>
        <v>2744686.3388953204</v>
      </c>
      <c r="BL99" s="128">
        <f t="shared" si="69"/>
        <v>2664744.0183449714</v>
      </c>
    </row>
    <row r="100" spans="2:64" x14ac:dyDescent="0.2">
      <c r="B100" s="54" t="s">
        <v>288</v>
      </c>
      <c r="E100" s="128">
        <f t="shared" ref="E100:AJ100" si="70">E76*E55</f>
        <v>1223149.1160000004</v>
      </c>
      <c r="F100" s="128">
        <f t="shared" si="70"/>
        <v>1181786.5855072469</v>
      </c>
      <c r="G100" s="128">
        <f t="shared" si="70"/>
        <v>1141822.7879297072</v>
      </c>
      <c r="H100" s="128">
        <f t="shared" si="70"/>
        <v>1103210.4231204903</v>
      </c>
      <c r="I100" s="128">
        <f t="shared" si="70"/>
        <v>1065903.79045458</v>
      </c>
      <c r="J100" s="128">
        <f t="shared" si="70"/>
        <v>1029858.7347387247</v>
      </c>
      <c r="K100" s="128">
        <f t="shared" si="70"/>
        <v>995032.59395045857</v>
      </c>
      <c r="L100" s="128">
        <f t="shared" si="70"/>
        <v>961384.14874440467</v>
      </c>
      <c r="M100" s="128">
        <f t="shared" si="70"/>
        <v>928873.57366609154</v>
      </c>
      <c r="N100" s="128">
        <f t="shared" si="70"/>
        <v>897462.39001554751</v>
      </c>
      <c r="O100" s="128">
        <f t="shared" si="70"/>
        <v>867113.42030487687</v>
      </c>
      <c r="P100" s="128">
        <f t="shared" si="70"/>
        <v>837790.74425591959</v>
      </c>
      <c r="Q100" s="128">
        <f t="shared" si="70"/>
        <v>809459.65628591285</v>
      </c>
      <c r="R100" s="128">
        <f t="shared" si="70"/>
        <v>782086.62443083362</v>
      </c>
      <c r="S100" s="128">
        <f t="shared" si="70"/>
        <v>755639.25065781036</v>
      </c>
      <c r="T100" s="128">
        <f t="shared" si="70"/>
        <v>730086.23251962359</v>
      </c>
      <c r="U100" s="128">
        <f t="shared" si="70"/>
        <v>705397.32610591664</v>
      </c>
      <c r="V100" s="128">
        <f t="shared" si="70"/>
        <v>681543.31024726247</v>
      </c>
      <c r="W100" s="128">
        <f t="shared" si="70"/>
        <v>658495.95192972233</v>
      </c>
      <c r="X100" s="128">
        <f t="shared" si="70"/>
        <v>636227.97287895868</v>
      </c>
      <c r="Y100" s="128">
        <f t="shared" si="70"/>
        <v>614713.01727435645</v>
      </c>
      <c r="Z100" s="128">
        <f t="shared" si="70"/>
        <v>593925.62055493379</v>
      </c>
      <c r="AA100" s="128">
        <f t="shared" si="70"/>
        <v>573841.17928012926</v>
      </c>
      <c r="AB100" s="128">
        <f t="shared" si="70"/>
        <v>554435.92200978682</v>
      </c>
      <c r="AC100" s="128">
        <f t="shared" si="70"/>
        <v>535686.88116887619</v>
      </c>
      <c r="AD100" s="128">
        <f t="shared" si="70"/>
        <v>517571.86586364848</v>
      </c>
      <c r="AE100" s="128">
        <f t="shared" si="70"/>
        <v>500069.43561705167</v>
      </c>
      <c r="AF100" s="128">
        <f t="shared" si="70"/>
        <v>483158.87499232049</v>
      </c>
      <c r="AG100" s="128">
        <f t="shared" si="70"/>
        <v>466820.16907470592</v>
      </c>
      <c r="AH100" s="128">
        <f t="shared" si="70"/>
        <v>521558.48413028184</v>
      </c>
      <c r="AI100" s="128">
        <f t="shared" si="70"/>
        <v>506367.46032066183</v>
      </c>
      <c r="AJ100" s="128">
        <f t="shared" si="70"/>
        <v>491618.89351520577</v>
      </c>
      <c r="AK100" s="128">
        <f t="shared" ref="AK100:BL100" si="71">AK76*AK55</f>
        <v>477299.89661670465</v>
      </c>
      <c r="AL100" s="128">
        <f t="shared" si="71"/>
        <v>463397.95788029581</v>
      </c>
      <c r="AM100" s="128">
        <f t="shared" si="71"/>
        <v>449900.92998086964</v>
      </c>
      <c r="AN100" s="128">
        <f t="shared" si="71"/>
        <v>436797.0193989026</v>
      </c>
      <c r="AO100" s="128">
        <f t="shared" si="71"/>
        <v>424074.77611543948</v>
      </c>
      <c r="AP100" s="128">
        <f t="shared" si="71"/>
        <v>411723.08360722283</v>
      </c>
      <c r="AQ100" s="128">
        <f t="shared" si="71"/>
        <v>399731.14913322596</v>
      </c>
      <c r="AR100" s="128">
        <f t="shared" si="71"/>
        <v>388088.49430410296</v>
      </c>
      <c r="AS100" s="128">
        <f t="shared" si="71"/>
        <v>376784.94592631352</v>
      </c>
      <c r="AT100" s="128">
        <f t="shared" si="71"/>
        <v>365810.62711292569</v>
      </c>
      <c r="AU100" s="128">
        <f t="shared" si="71"/>
        <v>355155.94865332596</v>
      </c>
      <c r="AV100" s="128">
        <f t="shared" si="71"/>
        <v>344811.60063429712</v>
      </c>
      <c r="AW100" s="128">
        <f t="shared" si="71"/>
        <v>334768.54430514277</v>
      </c>
      <c r="AX100" s="128">
        <f t="shared" si="71"/>
        <v>325018.00417975028</v>
      </c>
      <c r="AY100" s="128">
        <f t="shared" si="71"/>
        <v>315551.46036868956</v>
      </c>
      <c r="AZ100" s="128">
        <f t="shared" si="71"/>
        <v>306360.6411346501</v>
      </c>
      <c r="BA100" s="128">
        <f t="shared" si="71"/>
        <v>297437.51566470886</v>
      </c>
      <c r="BB100" s="128">
        <f t="shared" si="71"/>
        <v>288774.28705311537</v>
      </c>
      <c r="BC100" s="128">
        <f t="shared" si="71"/>
        <v>280363.38548846159</v>
      </c>
      <c r="BD100" s="128">
        <f t="shared" si="71"/>
        <v>272197.46163928305</v>
      </c>
      <c r="BE100" s="128">
        <f t="shared" si="71"/>
        <v>264269.38023231371</v>
      </c>
      <c r="BF100" s="128">
        <f t="shared" si="71"/>
        <v>256572.21381778028</v>
      </c>
      <c r="BG100" s="128">
        <f t="shared" si="71"/>
        <v>249099.23671629152</v>
      </c>
      <c r="BH100" s="128">
        <f t="shared" si="71"/>
        <v>241843.91914203065</v>
      </c>
      <c r="BI100" s="128">
        <f t="shared" si="71"/>
        <v>234799.92149711709</v>
      </c>
      <c r="BJ100" s="128">
        <f t="shared" si="71"/>
        <v>227961.08883215254</v>
      </c>
      <c r="BK100" s="128">
        <f t="shared" si="71"/>
        <v>221321.44546810922</v>
      </c>
      <c r="BL100" s="128">
        <f t="shared" si="71"/>
        <v>214875.18977486336</v>
      </c>
    </row>
    <row r="101" spans="2:64" x14ac:dyDescent="0.2">
      <c r="B101" s="54" t="s">
        <v>289</v>
      </c>
      <c r="D101" s="140">
        <f>IF(Dashboard!$C$20=Lists!$B$4,D85*D55,D86*D55)</f>
        <v>65210622.489293784</v>
      </c>
      <c r="E101" s="140">
        <f>IF(Dashboard!$C$20=Lists!$B$4,E85*E55,E86*E55)</f>
        <v>0</v>
      </c>
      <c r="F101" s="140">
        <f>IF(Dashboard!$C$20=Lists!$B$4,F85*F55,F86*F55)</f>
        <v>0</v>
      </c>
      <c r="G101" s="140">
        <f>IF(Dashboard!$C$20=Lists!$B$4,G85*G55,G86*G55)</f>
        <v>0</v>
      </c>
      <c r="H101" s="140">
        <f>IF(Dashboard!$C$20=Lists!$B$4,H85*H55,H86*H55)</f>
        <v>0</v>
      </c>
      <c r="I101" s="140">
        <f>IF(Dashboard!$C$20=Lists!$B$4,I85*I55,I86*I55)</f>
        <v>0</v>
      </c>
      <c r="J101" s="140">
        <f>IF(Dashboard!$C$20=Lists!$B$4,J85*J55,J86*J55)</f>
        <v>0</v>
      </c>
      <c r="K101" s="140">
        <f>IF(Dashboard!$C$20=Lists!$B$4,K85*K55,K86*K55)</f>
        <v>0</v>
      </c>
      <c r="L101" s="140">
        <f>IF(Dashboard!$C$20=Lists!$B$4,L85*L55,L86*L55)</f>
        <v>0</v>
      </c>
      <c r="M101" s="140">
        <f>IF(Dashboard!$C$20=Lists!$B$4,M85*M55,M86*M55)</f>
        <v>0</v>
      </c>
      <c r="N101" s="140">
        <f>IF(Dashboard!$C$20=Lists!$B$4,N85*N55,N86*N55)</f>
        <v>0</v>
      </c>
      <c r="O101" s="140">
        <f>IF(Dashboard!$C$20=Lists!$B$4,O85*O55,O86*O55)</f>
        <v>0</v>
      </c>
      <c r="P101" s="140">
        <f>IF(Dashboard!$C$20=Lists!$B$4,P85*P55,P86*P55)</f>
        <v>0</v>
      </c>
      <c r="Q101" s="140">
        <f>IF(Dashboard!$C$20=Lists!$B$4,Q85*Q55,Q86*Q55)</f>
        <v>0</v>
      </c>
      <c r="R101" s="140">
        <f>IF(Dashboard!$C$20=Lists!$B$4,R85*R55,R86*R55)</f>
        <v>0</v>
      </c>
      <c r="S101" s="140">
        <f>IF(Dashboard!$C$20=Lists!$B$4,S85*S55,S86*S55)</f>
        <v>0</v>
      </c>
      <c r="T101" s="140">
        <f>IF(Dashboard!$C$20=Lists!$B$4,T85*T55,T86*T55)</f>
        <v>0</v>
      </c>
      <c r="U101" s="140">
        <f>IF(Dashboard!$C$20=Lists!$B$4,U85*U55,U86*U55)</f>
        <v>0</v>
      </c>
      <c r="V101" s="140">
        <f>IF(Dashboard!$C$20=Lists!$B$4,V85*V55,V86*V55)</f>
        <v>0</v>
      </c>
      <c r="W101" s="140">
        <f>IF(Dashboard!$C$20=Lists!$B$4,W85*W55,W86*W55)</f>
        <v>0</v>
      </c>
      <c r="X101" s="140">
        <f>IF(Dashboard!$C$20=Lists!$B$4,X85*X55,X86*X55)</f>
        <v>0</v>
      </c>
      <c r="Y101" s="140">
        <f>IF(Dashboard!$C$20=Lists!$B$4,Y85*Y55,Y86*Y55)</f>
        <v>0</v>
      </c>
      <c r="Z101" s="140">
        <f>IF(Dashboard!$C$20=Lists!$B$4,Z85*Z55,Z86*Z55)</f>
        <v>0</v>
      </c>
      <c r="AA101" s="140">
        <f>IF(Dashboard!$C$20=Lists!$B$4,AA85*AA55,AA86*AA55)</f>
        <v>0</v>
      </c>
      <c r="AB101" s="140">
        <f>IF(Dashboard!$C$20=Lists!$B$4,AB85*AB55,AB86*AB55)</f>
        <v>0</v>
      </c>
      <c r="AC101" s="140">
        <f>IF(Dashboard!$C$20=Lists!$B$4,AC85*AC55,AC86*AC55)</f>
        <v>0</v>
      </c>
      <c r="AD101" s="140">
        <f>IF(Dashboard!$C$20=Lists!$B$4,AD85*AD55,AD86*AD55)</f>
        <v>0</v>
      </c>
      <c r="AE101" s="140">
        <f>IF(Dashboard!$C$20=Lists!$B$4,AE85*AE55,AE86*AE55)</f>
        <v>0</v>
      </c>
      <c r="AF101" s="140">
        <f>IF(Dashboard!$C$20=Lists!$B$4,AF85*AF55,AF86*AF55)</f>
        <v>0</v>
      </c>
      <c r="AG101" s="140">
        <f>IF(Dashboard!$C$20=Lists!$B$4,AG85*AG55,AG86*AG55)</f>
        <v>0</v>
      </c>
      <c r="AH101" s="140">
        <f>IF(Dashboard!$C$20=Lists!$B$4,AH85*AH55,AH86*AH55)</f>
        <v>0</v>
      </c>
      <c r="AI101" s="140">
        <f>IF(Dashboard!$C$20=Lists!$B$4,AI85*AI55,AI86*AI55)</f>
        <v>0</v>
      </c>
      <c r="AJ101" s="140">
        <f>IF(Dashboard!$C$20=Lists!$B$4,AJ85*AJ55,AJ86*AJ55)</f>
        <v>0</v>
      </c>
      <c r="AK101" s="140">
        <f>IF(Dashboard!$C$20=Lists!$B$4,AK85*AK55,AK86*AK55)</f>
        <v>0</v>
      </c>
      <c r="AL101" s="140">
        <f>IF(Dashboard!$C$20=Lists!$B$4,AL85*AL55,AL86*AL55)</f>
        <v>0</v>
      </c>
      <c r="AM101" s="140">
        <f>IF(Dashboard!$C$20=Lists!$B$4,AM85*AM55,AM86*AM55)</f>
        <v>0</v>
      </c>
      <c r="AN101" s="140">
        <f>IF(Dashboard!$C$20=Lists!$B$4,AN85*AN55,AN86*AN55)</f>
        <v>0</v>
      </c>
      <c r="AO101" s="140">
        <f>IF(Dashboard!$C$20=Lists!$B$4,AO85*AO55,AO86*AO55)</f>
        <v>0</v>
      </c>
      <c r="AP101" s="140">
        <f>IF(Dashboard!$C$20=Lists!$B$4,AP85*AP55,AP86*AP55)</f>
        <v>0</v>
      </c>
      <c r="AQ101" s="140">
        <f>IF(Dashboard!$C$20=Lists!$B$4,AQ85*AQ55,AQ86*AQ55)</f>
        <v>0</v>
      </c>
      <c r="AR101" s="140">
        <f>IF(Dashboard!$C$20=Lists!$B$4,AR85*AR55,AR86*AR55)</f>
        <v>0</v>
      </c>
      <c r="AS101" s="140">
        <f>IF(Dashboard!$C$20=Lists!$B$4,AS85*AS55,AS86*AS55)</f>
        <v>0</v>
      </c>
      <c r="AT101" s="140">
        <f>IF(Dashboard!$C$20=Lists!$B$4,AT85*AT55,AT86*AT55)</f>
        <v>0</v>
      </c>
      <c r="AU101" s="140">
        <f>IF(Dashboard!$C$20=Lists!$B$4,AU85*AU55,AU86*AU55)</f>
        <v>0</v>
      </c>
      <c r="AV101" s="140">
        <f>IF(Dashboard!$C$20=Lists!$B$4,AV85*AV55,AV86*AV55)</f>
        <v>0</v>
      </c>
      <c r="AW101" s="140">
        <f>IF(Dashboard!$C$20=Lists!$B$4,AW85*AW55,AW86*AW55)</f>
        <v>0</v>
      </c>
      <c r="AX101" s="140">
        <f>IF(Dashboard!$C$20=Lists!$B$4,AX85*AX55,AX86*AX55)</f>
        <v>0</v>
      </c>
      <c r="AY101" s="140">
        <f>IF(Dashboard!$C$20=Lists!$B$4,AY85*AY55,AY86*AY55)</f>
        <v>0</v>
      </c>
      <c r="AZ101" s="140">
        <f>IF(Dashboard!$C$20=Lists!$B$4,AZ85*AZ55,AZ86*AZ55)</f>
        <v>0</v>
      </c>
      <c r="BA101" s="140">
        <f>IF(Dashboard!$C$20=Lists!$B$4,BA85*BA55,BA86*BA55)</f>
        <v>0</v>
      </c>
      <c r="BB101" s="140">
        <f>IF(Dashboard!$C$20=Lists!$B$4,BB85*BB55,BB86*BB55)</f>
        <v>0</v>
      </c>
      <c r="BC101" s="140">
        <f>IF(Dashboard!$C$20=Lists!$B$4,BC85*BC55,BC86*BC55)</f>
        <v>0</v>
      </c>
      <c r="BD101" s="140">
        <f>IF(Dashboard!$C$20=Lists!$B$4,BD85*BD55,BD86*BD55)</f>
        <v>0</v>
      </c>
      <c r="BE101" s="140">
        <f>IF(Dashboard!$C$20=Lists!$B$4,BE85*BE55,BE86*BE55)</f>
        <v>0</v>
      </c>
      <c r="BF101" s="140">
        <f>IF(Dashboard!$C$20=Lists!$B$4,BF85*BF55,BF86*BF55)</f>
        <v>0</v>
      </c>
      <c r="BG101" s="140">
        <f>IF(Dashboard!$C$20=Lists!$B$4,BG85*BG55,BG86*BG55)</f>
        <v>0</v>
      </c>
      <c r="BH101" s="140">
        <f>IF(Dashboard!$C$20=Lists!$B$4,BH85*BH55,BH86*BH55)</f>
        <v>0</v>
      </c>
      <c r="BI101" s="140">
        <f>IF(Dashboard!$C$20=Lists!$B$4,BI85*BI55,BI86*BI55)</f>
        <v>0</v>
      </c>
      <c r="BJ101" s="140">
        <f>IF(Dashboard!$C$20=Lists!$B$4,BJ85*BJ55,BJ86*BJ55)</f>
        <v>0</v>
      </c>
      <c r="BK101" s="140">
        <f>IF(Dashboard!$C$20=Lists!$B$4,BK85*BK55,BK86*BK55)</f>
        <v>0</v>
      </c>
      <c r="BL101" s="140">
        <f>IF(Dashboard!$C$20=Lists!$B$4,BL85*BL55,BL86*BL55)</f>
        <v>0</v>
      </c>
    </row>
    <row r="102" spans="2:64" x14ac:dyDescent="0.2">
      <c r="B102" s="54" t="s">
        <v>290</v>
      </c>
      <c r="E102" s="141">
        <f t="shared" ref="E102:AJ102" si="72">E92*E55</f>
        <v>3150271.6178402798</v>
      </c>
      <c r="F102" s="141">
        <f t="shared" si="72"/>
        <v>3043740.6935654879</v>
      </c>
      <c r="G102" s="141">
        <f t="shared" si="72"/>
        <v>2940812.2643144811</v>
      </c>
      <c r="H102" s="141">
        <f t="shared" si="72"/>
        <v>2841364.5065840399</v>
      </c>
      <c r="I102" s="141">
        <f t="shared" si="72"/>
        <v>2745279.7165063191</v>
      </c>
      <c r="J102" s="141">
        <f t="shared" si="72"/>
        <v>2652444.1705375067</v>
      </c>
      <c r="K102" s="141">
        <f t="shared" si="72"/>
        <v>2562747.9908574941</v>
      </c>
      <c r="L102" s="141">
        <f t="shared" si="72"/>
        <v>2476085.015321251</v>
      </c>
      <c r="M102" s="141">
        <f t="shared" si="72"/>
        <v>2392352.6718079722</v>
      </c>
      <c r="N102" s="141">
        <f t="shared" si="72"/>
        <v>2311451.8568192972</v>
      </c>
      <c r="O102" s="141">
        <f t="shared" si="72"/>
        <v>2233286.8181828959</v>
      </c>
      <c r="P102" s="141">
        <f t="shared" si="72"/>
        <v>2157765.0417226045</v>
      </c>
      <c r="Q102" s="141">
        <f t="shared" si="72"/>
        <v>2084797.1417609712</v>
      </c>
      <c r="R102" s="141">
        <f t="shared" si="72"/>
        <v>2014296.7553246096</v>
      </c>
      <c r="S102" s="141">
        <f t="shared" si="72"/>
        <v>1946180.4399271593</v>
      </c>
      <c r="T102" s="141">
        <f t="shared" si="72"/>
        <v>1880367.5748088497</v>
      </c>
      <c r="U102" s="141">
        <f t="shared" si="72"/>
        <v>1816780.2655157971</v>
      </c>
      <c r="V102" s="141">
        <f t="shared" si="72"/>
        <v>1755343.2517060842</v>
      </c>
      <c r="W102" s="141">
        <f t="shared" si="72"/>
        <v>1695983.8180735116</v>
      </c>
      <c r="X102" s="141">
        <f t="shared" si="72"/>
        <v>1638631.708283586</v>
      </c>
      <c r="Y102" s="141">
        <f t="shared" si="72"/>
        <v>1583219.0418198903</v>
      </c>
      <c r="Z102" s="141">
        <f t="shared" si="72"/>
        <v>1529680.2336424061</v>
      </c>
      <c r="AA102" s="141">
        <f t="shared" si="72"/>
        <v>1477951.9165627111</v>
      </c>
      <c r="AB102" s="141">
        <f t="shared" si="72"/>
        <v>1427972.8662441657</v>
      </c>
      <c r="AC102" s="141">
        <f t="shared" si="72"/>
        <v>1379683.9287383244</v>
      </c>
      <c r="AD102" s="141">
        <f t="shared" si="72"/>
        <v>1333027.9504718112</v>
      </c>
      <c r="AE102" s="141">
        <f t="shared" si="72"/>
        <v>1287949.7106007836</v>
      </c>
      <c r="AF102" s="141">
        <f t="shared" si="72"/>
        <v>1244395.8556529311</v>
      </c>
      <c r="AG102" s="141">
        <f t="shared" si="72"/>
        <v>1202314.836379644</v>
      </c>
      <c r="AH102" s="141">
        <f t="shared" si="72"/>
        <v>1343295.6522689634</v>
      </c>
      <c r="AI102" s="141">
        <f t="shared" si="72"/>
        <v>1304170.5361834595</v>
      </c>
      <c r="AJ102" s="141">
        <f t="shared" si="72"/>
        <v>1266184.9865858832</v>
      </c>
      <c r="AK102" s="141">
        <f t="shared" ref="AK102:BL102" si="73">AK92*AK55</f>
        <v>1229305.812219304</v>
      </c>
      <c r="AL102" s="141">
        <f t="shared" si="73"/>
        <v>1193500.7885624312</v>
      </c>
      <c r="AM102" s="141">
        <f t="shared" si="73"/>
        <v>1158738.6296722633</v>
      </c>
      <c r="AN102" s="141">
        <f t="shared" si="73"/>
        <v>1124988.9608468574</v>
      </c>
      <c r="AO102" s="141">
        <f t="shared" si="73"/>
        <v>1092222.2920843279</v>
      </c>
      <c r="AP102" s="141">
        <f t="shared" si="73"/>
        <v>1060409.9923148814</v>
      </c>
      <c r="AQ102" s="141">
        <f t="shared" si="73"/>
        <v>1029524.2643833798</v>
      </c>
      <c r="AR102" s="141">
        <f t="shared" si="73"/>
        <v>999538.12076056318</v>
      </c>
      <c r="AS102" s="141">
        <f t="shared" si="73"/>
        <v>970425.3599617118</v>
      </c>
      <c r="AT102" s="141">
        <f t="shared" si="73"/>
        <v>942160.54365214729</v>
      </c>
      <c r="AU102" s="141">
        <f t="shared" si="73"/>
        <v>914718.97441956052</v>
      </c>
      <c r="AV102" s="141">
        <f t="shared" si="73"/>
        <v>888076.67419374816</v>
      </c>
      <c r="AW102" s="141">
        <f t="shared" si="73"/>
        <v>862210.36329490109</v>
      </c>
      <c r="AX102" s="141">
        <f t="shared" si="73"/>
        <v>837097.44009213697</v>
      </c>
      <c r="AY102" s="141">
        <f t="shared" si="73"/>
        <v>812715.96125450183</v>
      </c>
      <c r="AZ102" s="141">
        <f t="shared" si="73"/>
        <v>789044.62257718632</v>
      </c>
      <c r="BA102" s="141">
        <f t="shared" si="73"/>
        <v>766062.74036620045</v>
      </c>
      <c r="BB102" s="141">
        <f t="shared" si="73"/>
        <v>743750.23336524318</v>
      </c>
      <c r="BC102" s="141">
        <f t="shared" si="73"/>
        <v>722087.60520897387</v>
      </c>
      <c r="BD102" s="141">
        <f t="shared" si="73"/>
        <v>701055.92738735338</v>
      </c>
      <c r="BE102" s="141">
        <f t="shared" si="73"/>
        <v>680636.8227061684</v>
      </c>
      <c r="BF102" s="141">
        <f t="shared" si="73"/>
        <v>660812.44922928966</v>
      </c>
      <c r="BG102" s="141">
        <f t="shared" si="73"/>
        <v>641565.48468863068</v>
      </c>
      <c r="BH102" s="141">
        <f t="shared" si="73"/>
        <v>622879.11134818522</v>
      </c>
      <c r="BI102" s="141">
        <f t="shared" si="73"/>
        <v>604737.00130891765</v>
      </c>
      <c r="BJ102" s="141">
        <f t="shared" si="73"/>
        <v>587123.30224166764</v>
      </c>
      <c r="BK102" s="141">
        <f t="shared" si="73"/>
        <v>570022.62353559956</v>
      </c>
      <c r="BL102" s="141">
        <f t="shared" si="73"/>
        <v>553420.02285009669</v>
      </c>
    </row>
    <row r="103" spans="2:64" x14ac:dyDescent="0.2">
      <c r="B103" s="54" t="s">
        <v>291</v>
      </c>
      <c r="E103" s="128">
        <f t="shared" ref="E103:AJ103" si="74">E66*E55</f>
        <v>9638331.6958312336</v>
      </c>
      <c r="F103" s="128">
        <f t="shared" si="74"/>
        <v>9170984.2193005048</v>
      </c>
      <c r="G103" s="128">
        <f t="shared" si="74"/>
        <v>8810587.287809195</v>
      </c>
      <c r="H103" s="128">
        <f t="shared" si="74"/>
        <v>8583231.9024139903</v>
      </c>
      <c r="I103" s="128">
        <f t="shared" si="74"/>
        <v>8323277.49926084</v>
      </c>
      <c r="J103" s="128">
        <f t="shared" si="74"/>
        <v>7967280.3423239551</v>
      </c>
      <c r="K103" s="128">
        <f t="shared" si="74"/>
        <v>7585100.3048983831</v>
      </c>
      <c r="L103" s="128">
        <f t="shared" si="74"/>
        <v>7228517.8181836903</v>
      </c>
      <c r="M103" s="128">
        <f t="shared" si="74"/>
        <v>6940473.7929344885</v>
      </c>
      <c r="N103" s="128">
        <f t="shared" si="74"/>
        <v>6677115.22553962</v>
      </c>
      <c r="O103" s="128">
        <f t="shared" si="74"/>
        <v>6393463.0719997641</v>
      </c>
      <c r="P103" s="128">
        <f t="shared" si="74"/>
        <v>6208114.4472142644</v>
      </c>
      <c r="Q103" s="128">
        <f t="shared" si="74"/>
        <v>5981501.644146475</v>
      </c>
      <c r="R103" s="128">
        <f t="shared" si="74"/>
        <v>5744786.9120621672</v>
      </c>
      <c r="S103" s="128">
        <f t="shared" si="74"/>
        <v>5550518.7556156218</v>
      </c>
      <c r="T103" s="128">
        <f t="shared" si="74"/>
        <v>5362820.0537349004</v>
      </c>
      <c r="U103" s="128">
        <f t="shared" si="74"/>
        <v>5181468.650951596</v>
      </c>
      <c r="V103" s="128">
        <f t="shared" si="74"/>
        <v>5006249.9043010585</v>
      </c>
      <c r="W103" s="128">
        <f t="shared" si="74"/>
        <v>4836956.4292763863</v>
      </c>
      <c r="X103" s="128">
        <f t="shared" si="74"/>
        <v>4673387.85437332</v>
      </c>
      <c r="Y103" s="128">
        <f t="shared" si="74"/>
        <v>4515350.5839355756</v>
      </c>
      <c r="Z103" s="128">
        <f t="shared" si="74"/>
        <v>4362657.5690198801</v>
      </c>
      <c r="AA103" s="128">
        <f t="shared" si="74"/>
        <v>4215128.0860095462</v>
      </c>
      <c r="AB103" s="128">
        <f t="shared" si="74"/>
        <v>4072587.522714538</v>
      </c>
      <c r="AC103" s="128">
        <f t="shared" si="74"/>
        <v>3934867.1717048679</v>
      </c>
      <c r="AD103" s="128">
        <f t="shared" si="74"/>
        <v>3801804.0306327227</v>
      </c>
      <c r="AE103" s="128">
        <f t="shared" si="74"/>
        <v>3673240.6093069781</v>
      </c>
      <c r="AF103" s="128">
        <f t="shared" si="74"/>
        <v>3549024.7432917664</v>
      </c>
      <c r="AG103" s="128">
        <f t="shared" si="74"/>
        <v>3429009.4138084711</v>
      </c>
      <c r="AH103" s="128">
        <f t="shared" si="74"/>
        <v>3831087.5802116585</v>
      </c>
      <c r="AI103" s="128">
        <f t="shared" si="74"/>
        <v>3719502.505059862</v>
      </c>
      <c r="AJ103" s="128">
        <f t="shared" si="74"/>
        <v>3611167.4806406433</v>
      </c>
      <c r="AK103" s="128">
        <f t="shared" ref="AK103:BL103" si="75">AK66*AK55</f>
        <v>3505987.8452821779</v>
      </c>
      <c r="AL103" s="128">
        <f t="shared" si="75"/>
        <v>3403871.6944487169</v>
      </c>
      <c r="AM103" s="128">
        <f t="shared" si="75"/>
        <v>3304729.8004356469</v>
      </c>
      <c r="AN103" s="128">
        <f t="shared" si="75"/>
        <v>3208475.5344035407</v>
      </c>
      <c r="AO103" s="128">
        <f t="shared" si="75"/>
        <v>3115024.7906830497</v>
      </c>
      <c r="AP103" s="128">
        <f t="shared" si="75"/>
        <v>3024295.9132845146</v>
      </c>
      <c r="AQ103" s="128">
        <f t="shared" si="75"/>
        <v>2936209.624548072</v>
      </c>
      <c r="AR103" s="128">
        <f t="shared" si="75"/>
        <v>2850688.955871915</v>
      </c>
      <c r="AS103" s="128">
        <f t="shared" si="75"/>
        <v>2767659.1804581699</v>
      </c>
      <c r="AT103" s="128">
        <f t="shared" si="75"/>
        <v>2687047.7480176403</v>
      </c>
      <c r="AU103" s="128">
        <f t="shared" si="75"/>
        <v>2608784.2213763501</v>
      </c>
      <c r="AV103" s="128">
        <f t="shared" si="75"/>
        <v>2532800.2149284957</v>
      </c>
      <c r="AW103" s="128">
        <f t="shared" si="75"/>
        <v>2459029.3348820345</v>
      </c>
      <c r="AX103" s="128">
        <f t="shared" si="75"/>
        <v>2387407.1212446936</v>
      </c>
      <c r="AY103" s="128">
        <f t="shared" si="75"/>
        <v>2317870.9914997024</v>
      </c>
      <c r="AZ103" s="128">
        <f t="shared" si="75"/>
        <v>2250360.1859220411</v>
      </c>
      <c r="BA103" s="128">
        <f t="shared" si="75"/>
        <v>2184815.714487419</v>
      </c>
      <c r="BB103" s="128">
        <f t="shared" si="75"/>
        <v>2121180.305327591</v>
      </c>
      <c r="BC103" s="128">
        <f t="shared" si="75"/>
        <v>2059398.3546869818</v>
      </c>
      <c r="BD103" s="128">
        <f t="shared" si="75"/>
        <v>1999415.8783368755</v>
      </c>
      <c r="BE103" s="128">
        <f t="shared" si="75"/>
        <v>1941180.4644047339</v>
      </c>
      <c r="BF103" s="128">
        <f t="shared" si="75"/>
        <v>1884641.2275774113</v>
      </c>
      <c r="BG103" s="128">
        <f t="shared" si="75"/>
        <v>1829748.7646382633</v>
      </c>
      <c r="BH103" s="128">
        <f t="shared" si="75"/>
        <v>1776455.111299285</v>
      </c>
      <c r="BI103" s="128">
        <f t="shared" si="75"/>
        <v>1724713.7002905677</v>
      </c>
      <c r="BJ103" s="128">
        <f t="shared" si="75"/>
        <v>1674479.3206704543</v>
      </c>
      <c r="BK103" s="128">
        <f t="shared" si="75"/>
        <v>1625708.0783208292</v>
      </c>
      <c r="BL103" s="128">
        <f t="shared" si="75"/>
        <v>1578357.3575930384</v>
      </c>
    </row>
    <row r="104" spans="2:64" x14ac:dyDescent="0.2">
      <c r="B104" s="54"/>
    </row>
    <row r="105" spans="2:64" x14ac:dyDescent="0.2">
      <c r="B105" s="54"/>
    </row>
    <row r="106" spans="2:64" x14ac:dyDescent="0.2">
      <c r="B106" s="53" t="s">
        <v>185</v>
      </c>
    </row>
    <row r="107" spans="2:64" x14ac:dyDescent="0.2">
      <c r="B107" s="54" t="s">
        <v>286</v>
      </c>
      <c r="E107" s="80">
        <f t="shared" ref="E107:AJ107" si="76">E31*E55</f>
        <v>120420633.52917872</v>
      </c>
      <c r="F107" s="80">
        <f t="shared" si="76"/>
        <v>116348438.19244322</v>
      </c>
      <c r="G107" s="80">
        <f t="shared" si="76"/>
        <v>112413949.9443896</v>
      </c>
      <c r="H107" s="80">
        <f t="shared" si="76"/>
        <v>108612512.02356483</v>
      </c>
      <c r="I107" s="80">
        <f t="shared" si="76"/>
        <v>104939625.14354092</v>
      </c>
      <c r="J107" s="80">
        <f t="shared" si="76"/>
        <v>101390942.16767238</v>
      </c>
      <c r="K107" s="80">
        <f t="shared" si="76"/>
        <v>97962262.963934675</v>
      </c>
      <c r="L107" s="80">
        <f t="shared" si="76"/>
        <v>94649529.433753327</v>
      </c>
      <c r="M107" s="80">
        <f t="shared" si="76"/>
        <v>91448820.708940417</v>
      </c>
      <c r="N107" s="80">
        <f t="shared" si="76"/>
        <v>88356348.511053547</v>
      </c>
      <c r="O107" s="80">
        <f t="shared" si="76"/>
        <v>85368452.6676846</v>
      </c>
      <c r="P107" s="80">
        <f t="shared" si="76"/>
        <v>82481596.780371591</v>
      </c>
      <c r="Q107" s="80">
        <f t="shared" si="76"/>
        <v>79692364.039006382</v>
      </c>
      <c r="R107" s="80">
        <f t="shared" si="76"/>
        <v>76997453.177783936</v>
      </c>
      <c r="S107" s="80">
        <f t="shared" si="76"/>
        <v>74393674.567907199</v>
      </c>
      <c r="T107" s="80">
        <f t="shared" si="76"/>
        <v>71877946.44242242</v>
      </c>
      <c r="U107" s="80">
        <f t="shared" si="76"/>
        <v>69447291.248717323</v>
      </c>
      <c r="V107" s="80">
        <f t="shared" si="76"/>
        <v>67098832.12436457</v>
      </c>
      <c r="W107" s="80">
        <f t="shared" si="76"/>
        <v>64829789.49213969</v>
      </c>
      <c r="X107" s="80">
        <f t="shared" si="76"/>
        <v>62637477.770183273</v>
      </c>
      <c r="Y107" s="80">
        <f t="shared" si="76"/>
        <v>60519302.193413809</v>
      </c>
      <c r="Z107" s="80">
        <f t="shared" si="76"/>
        <v>58472755.742428795</v>
      </c>
      <c r="AA107" s="80">
        <f t="shared" si="76"/>
        <v>56495416.176259711</v>
      </c>
      <c r="AB107" s="80">
        <f t="shared" si="76"/>
        <v>54584943.165468328</v>
      </c>
      <c r="AC107" s="80">
        <f t="shared" si="76"/>
        <v>52739075.522191629</v>
      </c>
      <c r="AD107" s="80">
        <f t="shared" si="76"/>
        <v>50955628.523856647</v>
      </c>
      <c r="AE107" s="80">
        <f t="shared" si="76"/>
        <v>49232491.327397726</v>
      </c>
      <c r="AF107" s="80">
        <f t="shared" si="76"/>
        <v>47567624.470915675</v>
      </c>
      <c r="AG107" s="80">
        <f t="shared" si="76"/>
        <v>45959057.459821925</v>
      </c>
      <c r="AH107" s="80">
        <f t="shared" si="76"/>
        <v>51348116.317067772</v>
      </c>
      <c r="AI107" s="80">
        <f t="shared" si="76"/>
        <v>49852540.113658018</v>
      </c>
      <c r="AJ107" s="80">
        <f t="shared" si="76"/>
        <v>48400524.382192262</v>
      </c>
      <c r="AK107" s="80">
        <f t="shared" ref="AK107:BL107" si="77">AK31*AK55</f>
        <v>46990800.371060446</v>
      </c>
      <c r="AL107" s="80">
        <f t="shared" si="77"/>
        <v>45622136.282582968</v>
      </c>
      <c r="AM107" s="80">
        <f t="shared" si="77"/>
        <v>44293336.196682483</v>
      </c>
      <c r="AN107" s="80">
        <f t="shared" si="77"/>
        <v>43003239.025905326</v>
      </c>
      <c r="AO107" s="80">
        <f t="shared" si="77"/>
        <v>41750717.50087896</v>
      </c>
      <c r="AP107" s="80">
        <f t="shared" si="77"/>
        <v>40534677.185319386</v>
      </c>
      <c r="AQ107" s="80">
        <f t="shared" si="77"/>
        <v>39354055.51972755</v>
      </c>
      <c r="AR107" s="80">
        <f t="shared" si="77"/>
        <v>38207820.892939374</v>
      </c>
      <c r="AS107" s="80">
        <f t="shared" si="77"/>
        <v>37094971.740717836</v>
      </c>
      <c r="AT107" s="80">
        <f t="shared" si="77"/>
        <v>36014535.670599841</v>
      </c>
      <c r="AU107" s="80">
        <f t="shared" si="77"/>
        <v>34965568.612232856</v>
      </c>
      <c r="AV107" s="80">
        <f t="shared" si="77"/>
        <v>33947153.992459089</v>
      </c>
      <c r="AW107" s="80">
        <f t="shared" si="77"/>
        <v>32958401.934426297</v>
      </c>
      <c r="AX107" s="80">
        <f t="shared" si="77"/>
        <v>31998448.48002553</v>
      </c>
      <c r="AY107" s="80">
        <f t="shared" si="77"/>
        <v>31066454.834976241</v>
      </c>
      <c r="AZ107" s="80">
        <f t="shared" si="77"/>
        <v>30161606.635899268</v>
      </c>
      <c r="BA107" s="80">
        <f t="shared" si="77"/>
        <v>29283113.238737155</v>
      </c>
      <c r="BB107" s="80">
        <f t="shared" si="77"/>
        <v>28430207.027900152</v>
      </c>
      <c r="BC107" s="80">
        <f t="shared" si="77"/>
        <v>27602142.745534129</v>
      </c>
      <c r="BD107" s="80">
        <f t="shared" si="77"/>
        <v>26798196.840324394</v>
      </c>
      <c r="BE107" s="80">
        <f t="shared" si="77"/>
        <v>26017666.835266408</v>
      </c>
      <c r="BF107" s="80">
        <f t="shared" si="77"/>
        <v>25259870.713850878</v>
      </c>
      <c r="BG107" s="80">
        <f t="shared" si="77"/>
        <v>24524146.324127067</v>
      </c>
      <c r="BH107" s="80">
        <f t="shared" si="77"/>
        <v>23809850.800123367</v>
      </c>
      <c r="BI107" s="80">
        <f t="shared" si="77"/>
        <v>23116360.000119772</v>
      </c>
      <c r="BJ107" s="80">
        <f t="shared" si="77"/>
        <v>22443067.961281333</v>
      </c>
      <c r="BK107" s="80">
        <f t="shared" si="77"/>
        <v>21789386.370176051</v>
      </c>
      <c r="BL107" s="80">
        <f t="shared" si="77"/>
        <v>21154744.048714615</v>
      </c>
    </row>
    <row r="108" spans="2:64" x14ac:dyDescent="0.2">
      <c r="B108" s="54" t="s">
        <v>289</v>
      </c>
      <c r="D108" s="140">
        <f t="shared" ref="D108:AI108" si="78">D88*D55</f>
        <v>62984348.098999985</v>
      </c>
      <c r="E108" s="140">
        <f t="shared" si="78"/>
        <v>0</v>
      </c>
      <c r="F108" s="140">
        <f t="shared" si="78"/>
        <v>0</v>
      </c>
      <c r="G108" s="140">
        <f t="shared" si="78"/>
        <v>0</v>
      </c>
      <c r="H108" s="140">
        <f t="shared" si="78"/>
        <v>0</v>
      </c>
      <c r="I108" s="140">
        <f t="shared" si="78"/>
        <v>0</v>
      </c>
      <c r="J108" s="140">
        <f t="shared" si="78"/>
        <v>0</v>
      </c>
      <c r="K108" s="140">
        <f t="shared" si="78"/>
        <v>0</v>
      </c>
      <c r="L108" s="140">
        <f t="shared" si="78"/>
        <v>0</v>
      </c>
      <c r="M108" s="140">
        <f t="shared" si="78"/>
        <v>0</v>
      </c>
      <c r="N108" s="140">
        <f t="shared" si="78"/>
        <v>0</v>
      </c>
      <c r="O108" s="140">
        <f t="shared" si="78"/>
        <v>0</v>
      </c>
      <c r="P108" s="140">
        <f t="shared" si="78"/>
        <v>0</v>
      </c>
      <c r="Q108" s="140">
        <f t="shared" si="78"/>
        <v>0</v>
      </c>
      <c r="R108" s="140">
        <f t="shared" si="78"/>
        <v>0</v>
      </c>
      <c r="S108" s="140">
        <f t="shared" si="78"/>
        <v>0</v>
      </c>
      <c r="T108" s="140">
        <f t="shared" si="78"/>
        <v>0</v>
      </c>
      <c r="U108" s="140">
        <f t="shared" si="78"/>
        <v>0</v>
      </c>
      <c r="V108" s="140">
        <f t="shared" si="78"/>
        <v>0</v>
      </c>
      <c r="W108" s="140">
        <f t="shared" si="78"/>
        <v>0</v>
      </c>
      <c r="X108" s="140">
        <f t="shared" si="78"/>
        <v>0</v>
      </c>
      <c r="Y108" s="140">
        <f t="shared" si="78"/>
        <v>0</v>
      </c>
      <c r="Z108" s="140">
        <f t="shared" si="78"/>
        <v>0</v>
      </c>
      <c r="AA108" s="140">
        <f t="shared" si="78"/>
        <v>0</v>
      </c>
      <c r="AB108" s="140">
        <f t="shared" si="78"/>
        <v>0</v>
      </c>
      <c r="AC108" s="140">
        <f t="shared" si="78"/>
        <v>0</v>
      </c>
      <c r="AD108" s="140">
        <f t="shared" si="78"/>
        <v>0</v>
      </c>
      <c r="AE108" s="140">
        <f t="shared" si="78"/>
        <v>0</v>
      </c>
      <c r="AF108" s="140">
        <f t="shared" si="78"/>
        <v>0</v>
      </c>
      <c r="AG108" s="140">
        <f t="shared" si="78"/>
        <v>0</v>
      </c>
      <c r="AH108" s="140">
        <f t="shared" si="78"/>
        <v>0</v>
      </c>
      <c r="AI108" s="140">
        <f t="shared" si="78"/>
        <v>0</v>
      </c>
      <c r="AJ108" s="140">
        <f t="shared" ref="AJ108:BL108" si="79">AJ88*AJ55</f>
        <v>0</v>
      </c>
      <c r="AK108" s="140">
        <f t="shared" si="79"/>
        <v>0</v>
      </c>
      <c r="AL108" s="140">
        <f t="shared" si="79"/>
        <v>0</v>
      </c>
      <c r="AM108" s="140">
        <f t="shared" si="79"/>
        <v>0</v>
      </c>
      <c r="AN108" s="140">
        <f t="shared" si="79"/>
        <v>0</v>
      </c>
      <c r="AO108" s="140">
        <f t="shared" si="79"/>
        <v>0</v>
      </c>
      <c r="AP108" s="140">
        <f t="shared" si="79"/>
        <v>0</v>
      </c>
      <c r="AQ108" s="140">
        <f t="shared" si="79"/>
        <v>0</v>
      </c>
      <c r="AR108" s="140">
        <f t="shared" si="79"/>
        <v>0</v>
      </c>
      <c r="AS108" s="140">
        <f t="shared" si="79"/>
        <v>0</v>
      </c>
      <c r="AT108" s="140">
        <f t="shared" si="79"/>
        <v>0</v>
      </c>
      <c r="AU108" s="140">
        <f t="shared" si="79"/>
        <v>0</v>
      </c>
      <c r="AV108" s="140">
        <f t="shared" si="79"/>
        <v>0</v>
      </c>
      <c r="AW108" s="140">
        <f t="shared" si="79"/>
        <v>0</v>
      </c>
      <c r="AX108" s="140">
        <f t="shared" si="79"/>
        <v>0</v>
      </c>
      <c r="AY108" s="140">
        <f t="shared" si="79"/>
        <v>0</v>
      </c>
      <c r="AZ108" s="140">
        <f t="shared" si="79"/>
        <v>0</v>
      </c>
      <c r="BA108" s="140">
        <f t="shared" si="79"/>
        <v>0</v>
      </c>
      <c r="BB108" s="140">
        <f t="shared" si="79"/>
        <v>0</v>
      </c>
      <c r="BC108" s="140">
        <f t="shared" si="79"/>
        <v>0</v>
      </c>
      <c r="BD108" s="140">
        <f t="shared" si="79"/>
        <v>0</v>
      </c>
      <c r="BE108" s="140">
        <f t="shared" si="79"/>
        <v>0</v>
      </c>
      <c r="BF108" s="140">
        <f t="shared" si="79"/>
        <v>0</v>
      </c>
      <c r="BG108" s="140">
        <f t="shared" si="79"/>
        <v>0</v>
      </c>
      <c r="BH108" s="140">
        <f t="shared" si="79"/>
        <v>0</v>
      </c>
      <c r="BI108" s="140">
        <f t="shared" si="79"/>
        <v>0</v>
      </c>
      <c r="BJ108" s="140">
        <f t="shared" si="79"/>
        <v>0</v>
      </c>
      <c r="BK108" s="140">
        <f t="shared" si="79"/>
        <v>0</v>
      </c>
      <c r="BL108" s="140">
        <f t="shared" si="79"/>
        <v>0</v>
      </c>
    </row>
    <row r="109" spans="2:64" x14ac:dyDescent="0.2">
      <c r="B109" s="54" t="s">
        <v>290</v>
      </c>
      <c r="D109" s="140"/>
      <c r="E109" s="140">
        <f t="shared" ref="E109:AJ109" si="80">E93*E55</f>
        <v>4056962.8405152974</v>
      </c>
      <c r="F109" s="140">
        <f t="shared" si="80"/>
        <v>3919770.8604012532</v>
      </c>
      <c r="G109" s="140">
        <f t="shared" si="80"/>
        <v>3787218.2226099069</v>
      </c>
      <c r="H109" s="140">
        <f t="shared" si="80"/>
        <v>3659148.0411689924</v>
      </c>
      <c r="I109" s="140">
        <f t="shared" si="80"/>
        <v>3535408.7354289792</v>
      </c>
      <c r="J109" s="140">
        <f t="shared" si="80"/>
        <v>3415853.8506560181</v>
      </c>
      <c r="K109" s="140">
        <f t="shared" si="80"/>
        <v>3300341.8846918051</v>
      </c>
      <c r="L109" s="140">
        <f t="shared" si="80"/>
        <v>3188736.1204751749</v>
      </c>
      <c r="M109" s="140">
        <f t="shared" si="80"/>
        <v>3080904.4642272224</v>
      </c>
      <c r="N109" s="140">
        <f t="shared" si="80"/>
        <v>2976719.2891084272</v>
      </c>
      <c r="O109" s="140">
        <f t="shared" si="80"/>
        <v>2876057.2841627318</v>
      </c>
      <c r="P109" s="140">
        <f t="shared" si="80"/>
        <v>2778799.3083697893</v>
      </c>
      <c r="Q109" s="140">
        <f t="shared" si="80"/>
        <v>2684830.2496326473</v>
      </c>
      <c r="R109" s="140">
        <f t="shared" si="80"/>
        <v>2594038.8885339582</v>
      </c>
      <c r="S109" s="140">
        <f t="shared" si="80"/>
        <v>2506317.7666994771</v>
      </c>
      <c r="T109" s="140">
        <f t="shared" si="80"/>
        <v>2421563.0596130216</v>
      </c>
      <c r="U109" s="140">
        <f t="shared" si="80"/>
        <v>2339674.4537323886</v>
      </c>
      <c r="V109" s="140">
        <f t="shared" si="80"/>
        <v>2260555.0277607618</v>
      </c>
      <c r="W109" s="140">
        <f t="shared" si="80"/>
        <v>2184111.1379331038</v>
      </c>
      <c r="X109" s="140">
        <f t="shared" si="80"/>
        <v>2110252.3071817425</v>
      </c>
      <c r="Y109" s="140">
        <f t="shared" si="80"/>
        <v>2038891.1180499934</v>
      </c>
      <c r="Z109" s="140">
        <f t="shared" si="80"/>
        <v>1969943.1092270466</v>
      </c>
      <c r="AA109" s="140">
        <f t="shared" si="80"/>
        <v>1903326.6755816876</v>
      </c>
      <c r="AB109" s="140">
        <f t="shared" si="80"/>
        <v>1838962.9715765102</v>
      </c>
      <c r="AC109" s="140">
        <f t="shared" si="80"/>
        <v>1776775.8179483193</v>
      </c>
      <c r="AD109" s="140">
        <f t="shared" si="80"/>
        <v>1716691.6115442698</v>
      </c>
      <c r="AE109" s="140">
        <f t="shared" si="80"/>
        <v>1658639.2382070238</v>
      </c>
      <c r="AF109" s="140">
        <f t="shared" si="80"/>
        <v>1602549.9886058201</v>
      </c>
      <c r="AG109" s="140">
        <f t="shared" si="80"/>
        <v>1548357.4769138363</v>
      </c>
      <c r="AH109" s="140">
        <f t="shared" si="80"/>
        <v>1729914.4982352583</v>
      </c>
      <c r="AI109" s="140">
        <f t="shared" si="80"/>
        <v>1679528.6390633571</v>
      </c>
      <c r="AJ109" s="140">
        <f t="shared" si="80"/>
        <v>1630610.3291877257</v>
      </c>
      <c r="AK109" s="140">
        <f t="shared" ref="AK109:BL109" si="81">AK93*AK55</f>
        <v>1583116.8244541027</v>
      </c>
      <c r="AL109" s="140">
        <f t="shared" si="81"/>
        <v>1537006.6256835952</v>
      </c>
      <c r="AM109" s="140">
        <f t="shared" si="81"/>
        <v>1492239.4424112572</v>
      </c>
      <c r="AN109" s="140">
        <f t="shared" si="81"/>
        <v>1448776.1576808321</v>
      </c>
      <c r="AO109" s="140">
        <f t="shared" si="81"/>
        <v>1406578.7938648858</v>
      </c>
      <c r="AP109" s="140">
        <f t="shared" si="81"/>
        <v>1365610.4794804717</v>
      </c>
      <c r="AQ109" s="140">
        <f t="shared" si="81"/>
        <v>1325835.4169713315</v>
      </c>
      <c r="AR109" s="140">
        <f t="shared" si="81"/>
        <v>1287218.8514284776</v>
      </c>
      <c r="AS109" s="140">
        <f t="shared" si="81"/>
        <v>1249727.0402218227</v>
      </c>
      <c r="AT109" s="140">
        <f t="shared" si="81"/>
        <v>1213327.2235163327</v>
      </c>
      <c r="AU109" s="140">
        <f t="shared" si="81"/>
        <v>1177987.595646925</v>
      </c>
      <c r="AV109" s="140">
        <f t="shared" si="81"/>
        <v>1143677.2773271117</v>
      </c>
      <c r="AW109" s="140">
        <f t="shared" si="81"/>
        <v>1110366.2886670989</v>
      </c>
      <c r="AX109" s="140">
        <f t="shared" si="81"/>
        <v>1078025.5229777656</v>
      </c>
      <c r="AY109" s="140">
        <f t="shared" si="81"/>
        <v>1046626.7213376366</v>
      </c>
      <c r="AZ109" s="140">
        <f t="shared" si="81"/>
        <v>1016142.4479006181</v>
      </c>
      <c r="BA109" s="140">
        <f t="shared" si="81"/>
        <v>986546.06592293037</v>
      </c>
      <c r="BB109" s="140">
        <f t="shared" si="81"/>
        <v>957811.71448828187</v>
      </c>
      <c r="BC109" s="140">
        <f t="shared" si="81"/>
        <v>929914.2859109533</v>
      </c>
      <c r="BD109" s="140">
        <f t="shared" si="81"/>
        <v>902829.40379704209</v>
      </c>
      <c r="BE109" s="140">
        <f t="shared" si="81"/>
        <v>876533.4017447012</v>
      </c>
      <c r="BF109" s="140">
        <f t="shared" si="81"/>
        <v>851003.30266475829</v>
      </c>
      <c r="BG109" s="140">
        <f t="shared" si="81"/>
        <v>826216.79870364885</v>
      </c>
      <c r="BH109" s="140">
        <f t="shared" si="81"/>
        <v>802152.23175111553</v>
      </c>
      <c r="BI109" s="140">
        <f t="shared" si="81"/>
        <v>778788.57451564597</v>
      </c>
      <c r="BJ109" s="140">
        <f t="shared" si="81"/>
        <v>756105.41215111269</v>
      </c>
      <c r="BK109" s="140">
        <f t="shared" si="81"/>
        <v>734082.92441855592</v>
      </c>
      <c r="BL109" s="140">
        <f t="shared" si="81"/>
        <v>712701.86836753006</v>
      </c>
    </row>
    <row r="110" spans="2:64" x14ac:dyDescent="0.2">
      <c r="B110" s="54" t="s">
        <v>291</v>
      </c>
      <c r="E110" s="128">
        <f t="shared" ref="E110:AJ110" si="82">E72*E55</f>
        <v>10971377.053683141</v>
      </c>
      <c r="F110" s="128">
        <f t="shared" si="82"/>
        <v>10600364.303075498</v>
      </c>
      <c r="G110" s="128">
        <f t="shared" si="82"/>
        <v>10241897.877367632</v>
      </c>
      <c r="H110" s="128">
        <f t="shared" si="82"/>
        <v>9895553.5047030263</v>
      </c>
      <c r="I110" s="128">
        <f t="shared" si="82"/>
        <v>9560921.260582637</v>
      </c>
      <c r="J110" s="128">
        <f t="shared" si="82"/>
        <v>9237605.0826885365</v>
      </c>
      <c r="K110" s="128">
        <f t="shared" si="82"/>
        <v>8925222.3021145277</v>
      </c>
      <c r="L110" s="128">
        <f t="shared" si="82"/>
        <v>8623403.1904488225</v>
      </c>
      <c r="M110" s="128">
        <f t="shared" si="82"/>
        <v>8331790.5221727761</v>
      </c>
      <c r="N110" s="128">
        <f t="shared" si="82"/>
        <v>8050039.1518577551</v>
      </c>
      <c r="O110" s="128">
        <f t="shared" si="82"/>
        <v>7777815.6056596674</v>
      </c>
      <c r="P110" s="128">
        <f t="shared" si="82"/>
        <v>7514797.6866276972</v>
      </c>
      <c r="Q110" s="128">
        <f t="shared" si="82"/>
        <v>7260674.0933600962</v>
      </c>
      <c r="R110" s="128">
        <f t="shared" si="82"/>
        <v>7015144.0515556475</v>
      </c>
      <c r="S110" s="128">
        <f t="shared" si="82"/>
        <v>6777916.9580247812</v>
      </c>
      <c r="T110" s="128">
        <f t="shared" si="82"/>
        <v>6548712.03673892</v>
      </c>
      <c r="U110" s="128">
        <f t="shared" si="82"/>
        <v>6327258.0065110344</v>
      </c>
      <c r="V110" s="128">
        <f t="shared" si="82"/>
        <v>6113292.7599140434</v>
      </c>
      <c r="W110" s="128">
        <f t="shared" si="82"/>
        <v>5906563.0530570475</v>
      </c>
      <c r="X110" s="128">
        <f t="shared" si="82"/>
        <v>5706824.2058522198</v>
      </c>
      <c r="Y110" s="128">
        <f t="shared" si="82"/>
        <v>5513839.812417605</v>
      </c>
      <c r="Z110" s="128">
        <f t="shared" si="82"/>
        <v>5327381.4612730481</v>
      </c>
      <c r="AA110" s="128">
        <f t="shared" si="82"/>
        <v>5147228.4649981139</v>
      </c>
      <c r="AB110" s="128">
        <f t="shared" si="82"/>
        <v>4973167.599031996</v>
      </c>
      <c r="AC110" s="128">
        <f t="shared" si="82"/>
        <v>4804992.8493062761</v>
      </c>
      <c r="AD110" s="128">
        <f t="shared" si="82"/>
        <v>4642505.1684118612</v>
      </c>
      <c r="AE110" s="128">
        <f t="shared" si="82"/>
        <v>4485512.2400114601</v>
      </c>
      <c r="AF110" s="128">
        <f t="shared" si="82"/>
        <v>4333828.2512188023</v>
      </c>
      <c r="AG110" s="128">
        <f t="shared" si="82"/>
        <v>4187273.6726751723</v>
      </c>
      <c r="AH110" s="128">
        <f t="shared" si="82"/>
        <v>4678264.2525661886</v>
      </c>
      <c r="AI110" s="128">
        <f t="shared" si="82"/>
        <v>4542004.1287050359</v>
      </c>
      <c r="AJ110" s="128">
        <f t="shared" si="82"/>
        <v>4409712.7463155696</v>
      </c>
      <c r="AK110" s="128">
        <f t="shared" ref="AK110:BL110" si="83">AK72*AK55</f>
        <v>4281274.5109859901</v>
      </c>
      <c r="AL110" s="128">
        <f t="shared" si="83"/>
        <v>4156577.1951320302</v>
      </c>
      <c r="AM110" s="128">
        <f t="shared" si="83"/>
        <v>4035511.8399340091</v>
      </c>
      <c r="AN110" s="128">
        <f t="shared" si="83"/>
        <v>3917972.6601301059</v>
      </c>
      <c r="AO110" s="128">
        <f t="shared" si="83"/>
        <v>3803856.9515826274</v>
      </c>
      <c r="AP110" s="128">
        <f t="shared" si="83"/>
        <v>3693065.0015365318</v>
      </c>
      <c r="AQ110" s="128">
        <f t="shared" si="83"/>
        <v>3585500.0014917776</v>
      </c>
      <c r="AR110" s="128">
        <f t="shared" si="83"/>
        <v>3481067.9626133773</v>
      </c>
      <c r="AS110" s="128">
        <f t="shared" si="83"/>
        <v>3379677.6336052204</v>
      </c>
      <c r="AT110" s="128">
        <f t="shared" si="83"/>
        <v>3281240.4209759422</v>
      </c>
      <c r="AU110" s="128">
        <f t="shared" si="83"/>
        <v>3185670.3116271282</v>
      </c>
      <c r="AV110" s="128">
        <f t="shared" si="83"/>
        <v>3092883.7976962416</v>
      </c>
      <c r="AW110" s="128">
        <f t="shared" si="83"/>
        <v>3002799.8035885836</v>
      </c>
      <c r="AX110" s="128">
        <f t="shared" si="83"/>
        <v>2915339.6151345475</v>
      </c>
      <c r="AY110" s="128">
        <f t="shared" si="83"/>
        <v>2830426.81081024</v>
      </c>
      <c r="AZ110" s="128">
        <f t="shared" si="83"/>
        <v>2747987.1949613984</v>
      </c>
      <c r="BA110" s="128">
        <f t="shared" si="83"/>
        <v>2667948.7329722317</v>
      </c>
      <c r="BB110" s="128">
        <f t="shared" si="83"/>
        <v>2590241.4883225551</v>
      </c>
      <c r="BC110" s="128">
        <f t="shared" si="83"/>
        <v>2514797.5614782088</v>
      </c>
      <c r="BD110" s="128">
        <f t="shared" si="83"/>
        <v>2441551.0305613675</v>
      </c>
      <c r="BE110" s="128">
        <f t="shared" si="83"/>
        <v>2370437.8937489013</v>
      </c>
      <c r="BF110" s="128">
        <f t="shared" si="83"/>
        <v>2301396.0133484476</v>
      </c>
      <c r="BG110" s="128">
        <f t="shared" si="83"/>
        <v>2234365.061503347</v>
      </c>
      <c r="BH110" s="128">
        <f t="shared" si="83"/>
        <v>2169286.467478978</v>
      </c>
      <c r="BI110" s="128">
        <f t="shared" si="83"/>
        <v>2106103.3664844446</v>
      </c>
      <c r="BJ110" s="128">
        <f t="shared" si="83"/>
        <v>2044760.5499848975</v>
      </c>
      <c r="BK110" s="128">
        <f t="shared" si="83"/>
        <v>1985204.4174610653</v>
      </c>
      <c r="BL110" s="128">
        <f t="shared" si="83"/>
        <v>1927382.92957385</v>
      </c>
    </row>
    <row r="112" spans="2:64" x14ac:dyDescent="0.2">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c r="AK112" s="127"/>
      <c r="AL112" s="127"/>
      <c r="AM112" s="127"/>
      <c r="AN112" s="127"/>
      <c r="AO112" s="127"/>
      <c r="AP112" s="127"/>
      <c r="AQ112" s="127"/>
      <c r="AR112" s="127"/>
      <c r="AS112" s="127"/>
      <c r="AT112" s="127"/>
      <c r="AU112" s="127"/>
      <c r="AV112" s="127"/>
      <c r="AW112" s="127"/>
      <c r="AX112" s="127"/>
      <c r="AY112" s="127"/>
      <c r="AZ112" s="127"/>
      <c r="BA112" s="127"/>
      <c r="BB112" s="127"/>
      <c r="BC112" s="127"/>
      <c r="BD112" s="127"/>
      <c r="BE112" s="127"/>
      <c r="BF112" s="127"/>
      <c r="BG112" s="127"/>
      <c r="BH112" s="127"/>
      <c r="BI112" s="127"/>
      <c r="BJ112" s="127"/>
      <c r="BK112" s="127"/>
      <c r="BL112" s="127"/>
    </row>
    <row r="113" spans="2:64" x14ac:dyDescent="0.2">
      <c r="B113" s="35" t="s">
        <v>292</v>
      </c>
    </row>
    <row r="114" spans="2:64" x14ac:dyDescent="0.2">
      <c r="B114" s="54" t="s">
        <v>254</v>
      </c>
      <c r="D114" s="128">
        <f t="shared" ref="D114:AI114" si="84">D92+D85+D66</f>
        <v>65210622.489293784</v>
      </c>
      <c r="E114" s="128">
        <f t="shared" si="84"/>
        <v>13236204.429650014</v>
      </c>
      <c r="F114" s="128">
        <f t="shared" si="84"/>
        <v>13084718.69478487</v>
      </c>
      <c r="G114" s="128">
        <f t="shared" si="84"/>
        <v>13028986.739706511</v>
      </c>
      <c r="H114" s="128">
        <f t="shared" si="84"/>
        <v>13109987.152183015</v>
      </c>
      <c r="I114" s="128">
        <f t="shared" si="84"/>
        <v>13145973.828435551</v>
      </c>
      <c r="J114" s="128">
        <f t="shared" si="84"/>
        <v>13054352.921746362</v>
      </c>
      <c r="K114" s="128">
        <f t="shared" si="84"/>
        <v>12910896.948391313</v>
      </c>
      <c r="L114" s="128">
        <f t="shared" si="84"/>
        <v>12779108.711299952</v>
      </c>
      <c r="M114" s="128">
        <f t="shared" si="84"/>
        <v>12719684.48720552</v>
      </c>
      <c r="N114" s="128">
        <f t="shared" si="84"/>
        <v>12679261.586135294</v>
      </c>
      <c r="O114" s="128">
        <f t="shared" si="84"/>
        <v>12594793.597894853</v>
      </c>
      <c r="P114" s="128">
        <f t="shared" si="84"/>
        <v>12641418.286869289</v>
      </c>
      <c r="Q114" s="128">
        <f t="shared" si="84"/>
        <v>12615336.870841889</v>
      </c>
      <c r="R114" s="128">
        <f t="shared" si="84"/>
        <v>12559586.231753251</v>
      </c>
      <c r="S114" s="128">
        <f t="shared" si="84"/>
        <v>12559586.231753251</v>
      </c>
      <c r="T114" s="128">
        <f t="shared" si="84"/>
        <v>12559586.231753251</v>
      </c>
      <c r="U114" s="128">
        <f t="shared" si="84"/>
        <v>12559586.231753251</v>
      </c>
      <c r="V114" s="128">
        <f t="shared" si="84"/>
        <v>12559586.231753251</v>
      </c>
      <c r="W114" s="128">
        <f t="shared" si="84"/>
        <v>12559586.231753251</v>
      </c>
      <c r="X114" s="128">
        <f t="shared" si="84"/>
        <v>12559586.231753251</v>
      </c>
      <c r="Y114" s="128">
        <f t="shared" si="84"/>
        <v>12559586.231753251</v>
      </c>
      <c r="Z114" s="128">
        <f t="shared" si="84"/>
        <v>12559586.231753251</v>
      </c>
      <c r="AA114" s="128">
        <f t="shared" si="84"/>
        <v>12559586.231753251</v>
      </c>
      <c r="AB114" s="128">
        <f t="shared" si="84"/>
        <v>12559586.231753251</v>
      </c>
      <c r="AC114" s="128">
        <f t="shared" si="84"/>
        <v>12559586.231753251</v>
      </c>
      <c r="AD114" s="128">
        <f t="shared" si="84"/>
        <v>12559586.231753251</v>
      </c>
      <c r="AE114" s="128">
        <f t="shared" si="84"/>
        <v>12559586.231753251</v>
      </c>
      <c r="AF114" s="128">
        <f t="shared" si="84"/>
        <v>12559586.231753251</v>
      </c>
      <c r="AG114" s="128">
        <f t="shared" si="84"/>
        <v>12559586.231753251</v>
      </c>
      <c r="AH114" s="128">
        <f t="shared" si="84"/>
        <v>12559586.231753251</v>
      </c>
      <c r="AI114" s="128">
        <f t="shared" si="84"/>
        <v>12559586.231753251</v>
      </c>
      <c r="AJ114" s="128">
        <f t="shared" ref="AJ114:BL114" si="85">AJ92+AJ85+AJ66</f>
        <v>12559586.231753251</v>
      </c>
      <c r="AK114" s="128">
        <f t="shared" si="85"/>
        <v>12559586.231753251</v>
      </c>
      <c r="AL114" s="128">
        <f t="shared" si="85"/>
        <v>12559586.231753251</v>
      </c>
      <c r="AM114" s="128">
        <f t="shared" si="85"/>
        <v>12559586.231753251</v>
      </c>
      <c r="AN114" s="128">
        <f t="shared" si="85"/>
        <v>12559586.231753251</v>
      </c>
      <c r="AO114" s="128">
        <f t="shared" si="85"/>
        <v>12559586.231753251</v>
      </c>
      <c r="AP114" s="128">
        <f t="shared" si="85"/>
        <v>12559586.231753251</v>
      </c>
      <c r="AQ114" s="128">
        <f t="shared" si="85"/>
        <v>12559586.231753251</v>
      </c>
      <c r="AR114" s="128">
        <f t="shared" si="85"/>
        <v>12559586.231753251</v>
      </c>
      <c r="AS114" s="128">
        <f t="shared" si="85"/>
        <v>12559586.231753251</v>
      </c>
      <c r="AT114" s="128">
        <f t="shared" si="85"/>
        <v>12559586.231753251</v>
      </c>
      <c r="AU114" s="128">
        <f t="shared" si="85"/>
        <v>12559586.231753251</v>
      </c>
      <c r="AV114" s="128">
        <f t="shared" si="85"/>
        <v>12559586.231753251</v>
      </c>
      <c r="AW114" s="128">
        <f t="shared" si="85"/>
        <v>12559586.231753251</v>
      </c>
      <c r="AX114" s="128">
        <f t="shared" si="85"/>
        <v>12559586.231753251</v>
      </c>
      <c r="AY114" s="128">
        <f t="shared" si="85"/>
        <v>12559586.231753251</v>
      </c>
      <c r="AZ114" s="128">
        <f t="shared" si="85"/>
        <v>12559586.231753251</v>
      </c>
      <c r="BA114" s="128">
        <f t="shared" si="85"/>
        <v>12559586.231753251</v>
      </c>
      <c r="BB114" s="128">
        <f t="shared" si="85"/>
        <v>12559586.231753251</v>
      </c>
      <c r="BC114" s="128">
        <f t="shared" si="85"/>
        <v>12559586.231753251</v>
      </c>
      <c r="BD114" s="128">
        <f t="shared" si="85"/>
        <v>12559586.231753251</v>
      </c>
      <c r="BE114" s="128">
        <f t="shared" si="85"/>
        <v>12559586.231753251</v>
      </c>
      <c r="BF114" s="128">
        <f t="shared" si="85"/>
        <v>12559586.231753251</v>
      </c>
      <c r="BG114" s="128">
        <f t="shared" si="85"/>
        <v>12559586.231753251</v>
      </c>
      <c r="BH114" s="128">
        <f t="shared" si="85"/>
        <v>12559586.231753251</v>
      </c>
      <c r="BI114" s="128">
        <f t="shared" si="85"/>
        <v>12559586.231753251</v>
      </c>
      <c r="BJ114" s="128">
        <f t="shared" si="85"/>
        <v>12559586.231753251</v>
      </c>
      <c r="BK114" s="128">
        <f t="shared" si="85"/>
        <v>12559586.231753251</v>
      </c>
      <c r="BL114" s="128">
        <f t="shared" si="85"/>
        <v>12559586.231753251</v>
      </c>
    </row>
    <row r="115" spans="2:64" x14ac:dyDescent="0.2">
      <c r="B115" s="54" t="s">
        <v>293</v>
      </c>
      <c r="D115" s="128">
        <f>D114</f>
        <v>65210622.489293784</v>
      </c>
      <c r="E115" s="140">
        <f>D115+E114</f>
        <v>78446826.918943793</v>
      </c>
      <c r="F115" s="140">
        <f>E115+F114</f>
        <v>91531545.613728657</v>
      </c>
      <c r="G115" s="140">
        <f>F115+G114</f>
        <v>104560532.35343517</v>
      </c>
      <c r="H115" s="140">
        <f>G115+H114</f>
        <v>117670519.50561818</v>
      </c>
      <c r="I115" s="140">
        <f>H115+I114</f>
        <v>130816493.33405374</v>
      </c>
      <c r="J115" s="140">
        <f t="shared" ref="J115:K115" si="86">I115+J114</f>
        <v>143870846.2558001</v>
      </c>
      <c r="K115" s="140">
        <f t="shared" si="86"/>
        <v>156781743.20419142</v>
      </c>
      <c r="L115" s="140">
        <f t="shared" ref="L115:BL115" si="87">K115+L114</f>
        <v>169560851.91549137</v>
      </c>
      <c r="M115" s="140">
        <f t="shared" si="87"/>
        <v>182280536.40269691</v>
      </c>
      <c r="N115" s="140">
        <f t="shared" si="87"/>
        <v>194959797.98883221</v>
      </c>
      <c r="O115" s="140">
        <f t="shared" si="87"/>
        <v>207554591.58672705</v>
      </c>
      <c r="P115" s="140">
        <f t="shared" si="87"/>
        <v>220196009.87359634</v>
      </c>
      <c r="Q115" s="140">
        <f t="shared" si="87"/>
        <v>232811346.74443823</v>
      </c>
      <c r="R115" s="140">
        <f t="shared" si="87"/>
        <v>245370932.97619149</v>
      </c>
      <c r="S115" s="140">
        <f t="shared" si="87"/>
        <v>257930519.20794475</v>
      </c>
      <c r="T115" s="140">
        <f t="shared" si="87"/>
        <v>270490105.43969798</v>
      </c>
      <c r="U115" s="140">
        <f t="shared" si="87"/>
        <v>283049691.67145121</v>
      </c>
      <c r="V115" s="140">
        <f t="shared" si="87"/>
        <v>295609277.90320444</v>
      </c>
      <c r="W115" s="140">
        <f t="shared" si="87"/>
        <v>308168864.13495767</v>
      </c>
      <c r="X115" s="140">
        <f t="shared" si="87"/>
        <v>320728450.3667109</v>
      </c>
      <c r="Y115" s="140">
        <f t="shared" si="87"/>
        <v>333288036.59846413</v>
      </c>
      <c r="Z115" s="140">
        <f t="shared" si="87"/>
        <v>345847622.83021736</v>
      </c>
      <c r="AA115" s="140">
        <f t="shared" si="87"/>
        <v>358407209.06197059</v>
      </c>
      <c r="AB115" s="140">
        <f t="shared" si="87"/>
        <v>370966795.29372382</v>
      </c>
      <c r="AC115" s="140">
        <f t="shared" si="87"/>
        <v>383526381.52547705</v>
      </c>
      <c r="AD115" s="140">
        <f t="shared" si="87"/>
        <v>396085967.75723028</v>
      </c>
      <c r="AE115" s="140">
        <f t="shared" si="87"/>
        <v>408645553.98898351</v>
      </c>
      <c r="AF115" s="140">
        <f t="shared" si="87"/>
        <v>421205140.22073674</v>
      </c>
      <c r="AG115" s="140">
        <f t="shared" si="87"/>
        <v>433764726.45248997</v>
      </c>
      <c r="AH115" s="140">
        <f t="shared" si="87"/>
        <v>446324312.6842432</v>
      </c>
      <c r="AI115" s="140">
        <f t="shared" si="87"/>
        <v>458883898.91599643</v>
      </c>
      <c r="AJ115" s="140">
        <f t="shared" si="87"/>
        <v>471443485.14774966</v>
      </c>
      <c r="AK115" s="140">
        <f t="shared" si="87"/>
        <v>484003071.37950289</v>
      </c>
      <c r="AL115" s="140">
        <f t="shared" si="87"/>
        <v>496562657.61125612</v>
      </c>
      <c r="AM115" s="140">
        <f t="shared" si="87"/>
        <v>509122243.84300935</v>
      </c>
      <c r="AN115" s="140">
        <f t="shared" si="87"/>
        <v>521681830.07476258</v>
      </c>
      <c r="AO115" s="140">
        <f t="shared" si="87"/>
        <v>534241416.30651581</v>
      </c>
      <c r="AP115" s="140">
        <f t="shared" si="87"/>
        <v>546801002.53826904</v>
      </c>
      <c r="AQ115" s="140">
        <f t="shared" si="87"/>
        <v>559360588.77002227</v>
      </c>
      <c r="AR115" s="140">
        <f t="shared" si="87"/>
        <v>571920175.0017755</v>
      </c>
      <c r="AS115" s="140">
        <f t="shared" si="87"/>
        <v>584479761.23352873</v>
      </c>
      <c r="AT115" s="140">
        <f t="shared" si="87"/>
        <v>597039347.46528196</v>
      </c>
      <c r="AU115" s="140">
        <f t="shared" si="87"/>
        <v>609598933.69703519</v>
      </c>
      <c r="AV115" s="140">
        <f t="shared" si="87"/>
        <v>622158519.92878842</v>
      </c>
      <c r="AW115" s="140">
        <f t="shared" si="87"/>
        <v>634718106.16054165</v>
      </c>
      <c r="AX115" s="140">
        <f t="shared" si="87"/>
        <v>647277692.39229488</v>
      </c>
      <c r="AY115" s="140">
        <f t="shared" si="87"/>
        <v>659837278.62404811</v>
      </c>
      <c r="AZ115" s="140">
        <f t="shared" si="87"/>
        <v>672396864.85580134</v>
      </c>
      <c r="BA115" s="140">
        <f t="shared" si="87"/>
        <v>684956451.08755457</v>
      </c>
      <c r="BB115" s="140">
        <f t="shared" si="87"/>
        <v>697516037.3193078</v>
      </c>
      <c r="BC115" s="140">
        <f t="shared" si="87"/>
        <v>710075623.55106103</v>
      </c>
      <c r="BD115" s="140">
        <f t="shared" si="87"/>
        <v>722635209.78281426</v>
      </c>
      <c r="BE115" s="140">
        <f t="shared" si="87"/>
        <v>735194796.01456749</v>
      </c>
      <c r="BF115" s="140">
        <f t="shared" si="87"/>
        <v>747754382.24632072</v>
      </c>
      <c r="BG115" s="140">
        <f t="shared" si="87"/>
        <v>760313968.47807395</v>
      </c>
      <c r="BH115" s="140">
        <f t="shared" si="87"/>
        <v>772873554.70982718</v>
      </c>
      <c r="BI115" s="140">
        <f t="shared" si="87"/>
        <v>785433140.94158041</v>
      </c>
      <c r="BJ115" s="140">
        <f t="shared" si="87"/>
        <v>797992727.17333364</v>
      </c>
      <c r="BK115" s="140">
        <f t="shared" si="87"/>
        <v>810552313.40508687</v>
      </c>
      <c r="BL115" s="140">
        <f t="shared" si="87"/>
        <v>823111899.63684011</v>
      </c>
    </row>
    <row r="116" spans="2:64" ht="3.75" customHeight="1" x14ac:dyDescent="0.2">
      <c r="B116" s="54"/>
      <c r="D116" s="128"/>
      <c r="E116" s="62"/>
      <c r="F116" s="62"/>
      <c r="G116" s="62"/>
      <c r="H116" s="62"/>
      <c r="I116" s="62"/>
      <c r="J116" s="62"/>
      <c r="K116" s="62"/>
      <c r="L116" s="62"/>
      <c r="M116" s="62"/>
      <c r="N116" s="62"/>
      <c r="O116" s="62"/>
      <c r="P116" s="62"/>
      <c r="Q116" s="62"/>
      <c r="R116" s="62"/>
      <c r="S116" s="62"/>
      <c r="T116" s="62"/>
      <c r="U116" s="62"/>
      <c r="V116" s="62"/>
      <c r="W116" s="62"/>
      <c r="X116" s="62"/>
      <c r="Y116" s="62"/>
      <c r="Z116" s="62"/>
      <c r="AA116" s="62"/>
      <c r="AB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row>
    <row r="117" spans="2:64" ht="3.75" customHeight="1" x14ac:dyDescent="0.2">
      <c r="B117" s="54"/>
      <c r="D117" s="140"/>
      <c r="E117" s="140"/>
      <c r="F117" s="140"/>
      <c r="G117" s="140"/>
      <c r="H117" s="140"/>
      <c r="I117" s="140"/>
      <c r="J117" s="140"/>
      <c r="K117" s="140"/>
      <c r="L117" s="140"/>
      <c r="M117" s="140"/>
      <c r="N117" s="140"/>
      <c r="O117" s="140"/>
      <c r="P117" s="140"/>
      <c r="Q117" s="140"/>
      <c r="R117" s="140"/>
      <c r="S117" s="140"/>
      <c r="T117" s="140"/>
      <c r="U117" s="140"/>
      <c r="V117" s="140"/>
      <c r="W117" s="140"/>
      <c r="X117" s="140"/>
      <c r="Y117" s="140"/>
      <c r="Z117" s="140"/>
      <c r="AA117" s="140"/>
      <c r="AB117" s="140"/>
      <c r="AC117" s="140"/>
      <c r="AD117" s="140"/>
      <c r="AE117" s="140"/>
      <c r="AF117" s="140"/>
      <c r="AG117" s="140"/>
      <c r="AH117" s="140"/>
      <c r="AI117" s="140"/>
      <c r="AJ117" s="140"/>
      <c r="AK117" s="140"/>
      <c r="AL117" s="140"/>
      <c r="AM117" s="140"/>
      <c r="AN117" s="140"/>
      <c r="AO117" s="140"/>
      <c r="AP117" s="140"/>
      <c r="AQ117" s="140"/>
      <c r="AR117" s="140"/>
      <c r="AS117" s="140"/>
      <c r="AT117" s="140"/>
      <c r="AU117" s="140"/>
      <c r="AV117" s="140"/>
      <c r="AW117" s="140"/>
      <c r="AX117" s="140"/>
      <c r="AY117" s="140"/>
      <c r="AZ117" s="140"/>
      <c r="BA117" s="140"/>
      <c r="BB117" s="140"/>
      <c r="BC117" s="140"/>
      <c r="BD117" s="140"/>
      <c r="BE117" s="140"/>
      <c r="BF117" s="140"/>
      <c r="BG117" s="140"/>
      <c r="BH117" s="140"/>
      <c r="BI117" s="140"/>
      <c r="BJ117" s="140"/>
      <c r="BK117" s="140"/>
      <c r="BL117" s="140"/>
    </row>
    <row r="118" spans="2:64" x14ac:dyDescent="0.2">
      <c r="B118" s="54" t="s">
        <v>185</v>
      </c>
      <c r="D118" s="140">
        <f>D93+D88+D72</f>
        <v>62984348.098999985</v>
      </c>
      <c r="E118" s="140">
        <f t="shared" ref="E118:AI118" si="88">E93+E88+E72</f>
        <v>15554331.790495381</v>
      </c>
      <c r="F118" s="140">
        <f t="shared" si="88"/>
        <v>15554331.790495381</v>
      </c>
      <c r="G118" s="140">
        <f t="shared" si="88"/>
        <v>15554331.790495381</v>
      </c>
      <c r="H118" s="140">
        <f t="shared" si="88"/>
        <v>15554331.790495381</v>
      </c>
      <c r="I118" s="140">
        <f t="shared" si="88"/>
        <v>15554331.790495381</v>
      </c>
      <c r="J118" s="140">
        <f t="shared" si="88"/>
        <v>15554331.790495381</v>
      </c>
      <c r="K118" s="140">
        <f t="shared" si="88"/>
        <v>15554331.790495381</v>
      </c>
      <c r="L118" s="140">
        <f t="shared" si="88"/>
        <v>15554331.790495381</v>
      </c>
      <c r="M118" s="140">
        <f t="shared" si="88"/>
        <v>15554331.790495381</v>
      </c>
      <c r="N118" s="140">
        <f t="shared" si="88"/>
        <v>15554331.790495381</v>
      </c>
      <c r="O118" s="140">
        <f t="shared" si="88"/>
        <v>15554331.790495381</v>
      </c>
      <c r="P118" s="140">
        <f t="shared" si="88"/>
        <v>15554331.790495381</v>
      </c>
      <c r="Q118" s="140">
        <f t="shared" si="88"/>
        <v>15554331.790495381</v>
      </c>
      <c r="R118" s="140">
        <f t="shared" si="88"/>
        <v>15554331.790495381</v>
      </c>
      <c r="S118" s="140">
        <f t="shared" si="88"/>
        <v>15554331.790495381</v>
      </c>
      <c r="T118" s="140">
        <f t="shared" si="88"/>
        <v>15554331.790495381</v>
      </c>
      <c r="U118" s="140">
        <f t="shared" si="88"/>
        <v>15554331.790495381</v>
      </c>
      <c r="V118" s="140">
        <f t="shared" si="88"/>
        <v>15554331.790495381</v>
      </c>
      <c r="W118" s="140">
        <f t="shared" si="88"/>
        <v>15554331.790495381</v>
      </c>
      <c r="X118" s="140">
        <f t="shared" si="88"/>
        <v>15554331.790495381</v>
      </c>
      <c r="Y118" s="140">
        <f t="shared" si="88"/>
        <v>15554331.790495381</v>
      </c>
      <c r="Z118" s="140">
        <f t="shared" si="88"/>
        <v>15554331.790495381</v>
      </c>
      <c r="AA118" s="140">
        <f t="shared" si="88"/>
        <v>15554331.790495381</v>
      </c>
      <c r="AB118" s="140">
        <f t="shared" si="88"/>
        <v>15554331.790495381</v>
      </c>
      <c r="AC118" s="140">
        <f t="shared" si="88"/>
        <v>15554331.790495381</v>
      </c>
      <c r="AD118" s="140">
        <f t="shared" si="88"/>
        <v>15554331.790495381</v>
      </c>
      <c r="AE118" s="140">
        <f t="shared" si="88"/>
        <v>15554331.790495381</v>
      </c>
      <c r="AF118" s="140">
        <f t="shared" si="88"/>
        <v>15554331.790495381</v>
      </c>
      <c r="AG118" s="140">
        <f t="shared" si="88"/>
        <v>15554331.790495381</v>
      </c>
      <c r="AH118" s="140">
        <f t="shared" si="88"/>
        <v>15554331.790495381</v>
      </c>
      <c r="AI118" s="140">
        <f t="shared" si="88"/>
        <v>15554331.790495381</v>
      </c>
      <c r="AJ118" s="140">
        <f t="shared" ref="AJ118:BL118" si="89">AJ93+AJ88+AJ72</f>
        <v>15554331.790495381</v>
      </c>
      <c r="AK118" s="140">
        <f t="shared" si="89"/>
        <v>15554331.790495381</v>
      </c>
      <c r="AL118" s="140">
        <f t="shared" si="89"/>
        <v>15554331.790495381</v>
      </c>
      <c r="AM118" s="140">
        <f t="shared" si="89"/>
        <v>15554331.790495381</v>
      </c>
      <c r="AN118" s="140">
        <f t="shared" si="89"/>
        <v>15554331.790495381</v>
      </c>
      <c r="AO118" s="140">
        <f t="shared" si="89"/>
        <v>15554331.790495381</v>
      </c>
      <c r="AP118" s="140">
        <f t="shared" si="89"/>
        <v>15554331.790495381</v>
      </c>
      <c r="AQ118" s="140">
        <f t="shared" si="89"/>
        <v>15554331.790495381</v>
      </c>
      <c r="AR118" s="140">
        <f t="shared" si="89"/>
        <v>15554331.790495381</v>
      </c>
      <c r="AS118" s="140">
        <f t="shared" si="89"/>
        <v>15554331.790495381</v>
      </c>
      <c r="AT118" s="140">
        <f t="shared" si="89"/>
        <v>15554331.790495381</v>
      </c>
      <c r="AU118" s="140">
        <f t="shared" si="89"/>
        <v>15554331.790495381</v>
      </c>
      <c r="AV118" s="140">
        <f t="shared" si="89"/>
        <v>15554331.790495381</v>
      </c>
      <c r="AW118" s="140">
        <f t="shared" si="89"/>
        <v>15554331.790495381</v>
      </c>
      <c r="AX118" s="140">
        <f t="shared" si="89"/>
        <v>15554331.790495381</v>
      </c>
      <c r="AY118" s="140">
        <f t="shared" si="89"/>
        <v>15554331.790495381</v>
      </c>
      <c r="AZ118" s="140">
        <f t="shared" si="89"/>
        <v>15554331.790495381</v>
      </c>
      <c r="BA118" s="140">
        <f t="shared" si="89"/>
        <v>15554331.790495381</v>
      </c>
      <c r="BB118" s="140">
        <f t="shared" si="89"/>
        <v>15554331.790495381</v>
      </c>
      <c r="BC118" s="140">
        <f t="shared" si="89"/>
        <v>15554331.790495381</v>
      </c>
      <c r="BD118" s="140">
        <f t="shared" si="89"/>
        <v>15554331.790495381</v>
      </c>
      <c r="BE118" s="140">
        <f t="shared" si="89"/>
        <v>15554331.790495381</v>
      </c>
      <c r="BF118" s="140">
        <f t="shared" si="89"/>
        <v>15554331.790495381</v>
      </c>
      <c r="BG118" s="140">
        <f t="shared" si="89"/>
        <v>15554331.790495381</v>
      </c>
      <c r="BH118" s="140">
        <f t="shared" si="89"/>
        <v>15554331.790495381</v>
      </c>
      <c r="BI118" s="140">
        <f t="shared" si="89"/>
        <v>15554331.790495381</v>
      </c>
      <c r="BJ118" s="140">
        <f t="shared" si="89"/>
        <v>15554331.790495381</v>
      </c>
      <c r="BK118" s="140">
        <f t="shared" si="89"/>
        <v>15554331.790495381</v>
      </c>
      <c r="BL118" s="140">
        <f t="shared" si="89"/>
        <v>15554331.790495381</v>
      </c>
    </row>
    <row r="119" spans="2:64" x14ac:dyDescent="0.2">
      <c r="B119" s="54" t="s">
        <v>293</v>
      </c>
      <c r="D119" s="140">
        <f>D118</f>
        <v>62984348.098999985</v>
      </c>
      <c r="E119" s="140">
        <f>D119+E118</f>
        <v>78538679.889495373</v>
      </c>
      <c r="F119" s="140">
        <f t="shared" ref="F119:BL119" si="90">E119+F118</f>
        <v>94093011.679990754</v>
      </c>
      <c r="G119" s="140">
        <f t="shared" si="90"/>
        <v>109647343.47048613</v>
      </c>
      <c r="H119" s="140">
        <f t="shared" si="90"/>
        <v>125201675.26098152</v>
      </c>
      <c r="I119" s="140">
        <f t="shared" si="90"/>
        <v>140756007.0514769</v>
      </c>
      <c r="J119" s="140">
        <f t="shared" si="90"/>
        <v>156310338.84197229</v>
      </c>
      <c r="K119" s="140">
        <f t="shared" si="90"/>
        <v>171864670.63246769</v>
      </c>
      <c r="L119" s="140">
        <f t="shared" si="90"/>
        <v>187419002.42296308</v>
      </c>
      <c r="M119" s="140">
        <f t="shared" si="90"/>
        <v>202973334.21345848</v>
      </c>
      <c r="N119" s="140">
        <f t="shared" si="90"/>
        <v>218527666.00395387</v>
      </c>
      <c r="O119" s="140">
        <f t="shared" si="90"/>
        <v>234081997.79444927</v>
      </c>
      <c r="P119" s="140">
        <f t="shared" si="90"/>
        <v>249636329.58494467</v>
      </c>
      <c r="Q119" s="140">
        <f t="shared" si="90"/>
        <v>265190661.37544006</v>
      </c>
      <c r="R119" s="140">
        <f t="shared" si="90"/>
        <v>280744993.16593546</v>
      </c>
      <c r="S119" s="140">
        <f t="shared" si="90"/>
        <v>296299324.95643085</v>
      </c>
      <c r="T119" s="140">
        <f t="shared" si="90"/>
        <v>311853656.74692625</v>
      </c>
      <c r="U119" s="140">
        <f t="shared" si="90"/>
        <v>327407988.53742164</v>
      </c>
      <c r="V119" s="140">
        <f t="shared" si="90"/>
        <v>342962320.32791704</v>
      </c>
      <c r="W119" s="140">
        <f t="shared" si="90"/>
        <v>358516652.11841244</v>
      </c>
      <c r="X119" s="140">
        <f t="shared" si="90"/>
        <v>374070983.90890783</v>
      </c>
      <c r="Y119" s="140">
        <f t="shared" si="90"/>
        <v>389625315.69940323</v>
      </c>
      <c r="Z119" s="140">
        <f t="shared" si="90"/>
        <v>405179647.48989862</v>
      </c>
      <c r="AA119" s="140">
        <f t="shared" si="90"/>
        <v>420733979.28039402</v>
      </c>
      <c r="AB119" s="140">
        <f t="shared" si="90"/>
        <v>436288311.07088941</v>
      </c>
      <c r="AC119" s="140">
        <f t="shared" si="90"/>
        <v>451842642.86138481</v>
      </c>
      <c r="AD119" s="140">
        <f t="shared" si="90"/>
        <v>467396974.6518802</v>
      </c>
      <c r="AE119" s="140">
        <f t="shared" si="90"/>
        <v>482951306.4423756</v>
      </c>
      <c r="AF119" s="140">
        <f t="shared" si="90"/>
        <v>498505638.232871</v>
      </c>
      <c r="AG119" s="140">
        <f t="shared" si="90"/>
        <v>514059970.02336639</v>
      </c>
      <c r="AH119" s="140">
        <f t="shared" si="90"/>
        <v>529614301.81386179</v>
      </c>
      <c r="AI119" s="140">
        <f t="shared" si="90"/>
        <v>545168633.60435712</v>
      </c>
      <c r="AJ119" s="140">
        <f t="shared" si="90"/>
        <v>560722965.39485252</v>
      </c>
      <c r="AK119" s="140">
        <f t="shared" si="90"/>
        <v>576277297.18534791</v>
      </c>
      <c r="AL119" s="140">
        <f t="shared" si="90"/>
        <v>591831628.97584331</v>
      </c>
      <c r="AM119" s="140">
        <f t="shared" si="90"/>
        <v>607385960.76633871</v>
      </c>
      <c r="AN119" s="140">
        <f t="shared" si="90"/>
        <v>622940292.5568341</v>
      </c>
      <c r="AO119" s="140">
        <f t="shared" si="90"/>
        <v>638494624.3473295</v>
      </c>
      <c r="AP119" s="140">
        <f t="shared" si="90"/>
        <v>654048956.13782489</v>
      </c>
      <c r="AQ119" s="140">
        <f t="shared" si="90"/>
        <v>669603287.92832029</v>
      </c>
      <c r="AR119" s="140">
        <f t="shared" si="90"/>
        <v>685157619.71881568</v>
      </c>
      <c r="AS119" s="140">
        <f t="shared" si="90"/>
        <v>700711951.50931108</v>
      </c>
      <c r="AT119" s="140">
        <f t="shared" si="90"/>
        <v>716266283.29980648</v>
      </c>
      <c r="AU119" s="140">
        <f t="shared" si="90"/>
        <v>731820615.09030187</v>
      </c>
      <c r="AV119" s="140">
        <f t="shared" si="90"/>
        <v>747374946.88079727</v>
      </c>
      <c r="AW119" s="140">
        <f t="shared" si="90"/>
        <v>762929278.67129266</v>
      </c>
      <c r="AX119" s="140">
        <f t="shared" si="90"/>
        <v>778483610.46178806</v>
      </c>
      <c r="AY119" s="140">
        <f t="shared" si="90"/>
        <v>794037942.25228345</v>
      </c>
      <c r="AZ119" s="140">
        <f t="shared" si="90"/>
        <v>809592274.04277885</v>
      </c>
      <c r="BA119" s="140">
        <f t="shared" si="90"/>
        <v>825146605.83327425</v>
      </c>
      <c r="BB119" s="140">
        <f t="shared" si="90"/>
        <v>840700937.62376964</v>
      </c>
      <c r="BC119" s="140">
        <f t="shared" si="90"/>
        <v>856255269.41426504</v>
      </c>
      <c r="BD119" s="140">
        <f t="shared" si="90"/>
        <v>871809601.20476043</v>
      </c>
      <c r="BE119" s="140">
        <f t="shared" si="90"/>
        <v>887363932.99525583</v>
      </c>
      <c r="BF119" s="140">
        <f t="shared" si="90"/>
        <v>902918264.78575122</v>
      </c>
      <c r="BG119" s="140">
        <f t="shared" si="90"/>
        <v>918472596.57624662</v>
      </c>
      <c r="BH119" s="140">
        <f t="shared" si="90"/>
        <v>934026928.36674201</v>
      </c>
      <c r="BI119" s="140">
        <f t="shared" si="90"/>
        <v>949581260.15723741</v>
      </c>
      <c r="BJ119" s="140">
        <f t="shared" si="90"/>
        <v>965135591.94773281</v>
      </c>
      <c r="BK119" s="140">
        <f t="shared" si="90"/>
        <v>980689923.7382282</v>
      </c>
      <c r="BL119" s="140">
        <f t="shared" si="90"/>
        <v>996244255.5287236</v>
      </c>
    </row>
    <row r="120" spans="2:64" ht="3.75" customHeight="1" x14ac:dyDescent="0.2">
      <c r="B120" s="54"/>
      <c r="D120" s="140"/>
      <c r="E120" s="140"/>
      <c r="F120" s="140"/>
      <c r="G120" s="140"/>
      <c r="H120" s="140"/>
      <c r="I120" s="140"/>
      <c r="J120" s="140"/>
      <c r="K120" s="140"/>
      <c r="L120" s="140"/>
      <c r="M120" s="140"/>
      <c r="N120" s="140"/>
      <c r="O120" s="140"/>
      <c r="P120" s="140"/>
      <c r="Q120" s="140"/>
      <c r="R120" s="140"/>
      <c r="S120" s="140"/>
      <c r="T120" s="140"/>
      <c r="U120" s="140"/>
      <c r="V120" s="140"/>
      <c r="W120" s="140"/>
      <c r="X120" s="140"/>
      <c r="Y120" s="140"/>
      <c r="Z120" s="140"/>
      <c r="AA120" s="140"/>
      <c r="AB120" s="140"/>
      <c r="AC120" s="140"/>
      <c r="AD120" s="140"/>
      <c r="AE120" s="140"/>
      <c r="AF120" s="140"/>
      <c r="AG120" s="140"/>
      <c r="AH120" s="140"/>
      <c r="AI120" s="140"/>
      <c r="AJ120" s="140"/>
      <c r="AK120" s="140"/>
      <c r="AL120" s="140"/>
      <c r="AM120" s="140"/>
      <c r="AN120" s="140"/>
      <c r="AO120" s="140"/>
      <c r="AP120" s="140"/>
      <c r="AQ120" s="140"/>
      <c r="AR120" s="140"/>
      <c r="AS120" s="140"/>
      <c r="AT120" s="140"/>
      <c r="AU120" s="140"/>
      <c r="AV120" s="140"/>
      <c r="AW120" s="140"/>
      <c r="AX120" s="140"/>
      <c r="AY120" s="140"/>
      <c r="AZ120" s="140"/>
      <c r="BA120" s="140"/>
      <c r="BB120" s="140"/>
      <c r="BC120" s="140"/>
      <c r="BD120" s="140"/>
      <c r="BE120" s="140"/>
      <c r="BF120" s="140"/>
      <c r="BG120" s="140"/>
      <c r="BH120" s="140"/>
      <c r="BI120" s="140"/>
      <c r="BJ120" s="140"/>
      <c r="BK120" s="140"/>
      <c r="BL120" s="140"/>
    </row>
    <row r="121" spans="2:64" x14ac:dyDescent="0.2">
      <c r="D121" s="128"/>
      <c r="E121" s="128"/>
      <c r="F121" s="128"/>
      <c r="G121" s="128"/>
      <c r="H121" s="128"/>
      <c r="I121" s="128"/>
      <c r="J121" s="128"/>
      <c r="K121" s="128"/>
      <c r="L121" s="128"/>
      <c r="M121" s="128"/>
      <c r="N121" s="128"/>
      <c r="O121" s="128"/>
      <c r="P121" s="128"/>
      <c r="Q121" s="128"/>
      <c r="R121" s="128"/>
      <c r="S121" s="128"/>
      <c r="T121" s="128"/>
      <c r="U121" s="128"/>
      <c r="V121" s="128"/>
      <c r="W121" s="128"/>
      <c r="X121" s="128"/>
      <c r="Y121" s="128"/>
      <c r="Z121" s="128"/>
      <c r="AA121" s="128"/>
      <c r="AB121" s="128"/>
      <c r="AC121" s="128"/>
      <c r="AD121" s="128"/>
      <c r="AE121" s="128"/>
      <c r="AF121" s="128"/>
      <c r="AG121" s="128"/>
      <c r="AH121" s="128"/>
      <c r="AI121" s="128"/>
      <c r="AJ121" s="128"/>
      <c r="AK121" s="128"/>
      <c r="AL121" s="128"/>
      <c r="AM121" s="128"/>
      <c r="AN121" s="128"/>
      <c r="AO121" s="128"/>
      <c r="AP121" s="128"/>
      <c r="AQ121" s="128"/>
      <c r="AR121" s="128"/>
      <c r="AS121" s="128"/>
      <c r="AT121" s="128"/>
      <c r="AU121" s="128"/>
      <c r="AV121" s="128"/>
      <c r="AW121" s="128"/>
      <c r="AX121" s="128"/>
      <c r="AY121" s="128"/>
      <c r="AZ121" s="128"/>
      <c r="BA121" s="128"/>
      <c r="BB121" s="128"/>
      <c r="BC121" s="128"/>
      <c r="BD121" s="128"/>
      <c r="BE121" s="128"/>
      <c r="BF121" s="128"/>
      <c r="BG121" s="128"/>
      <c r="BH121" s="128"/>
      <c r="BI121" s="128"/>
      <c r="BJ121" s="128"/>
      <c r="BK121" s="128"/>
      <c r="BL121" s="128"/>
    </row>
    <row r="122" spans="2:64" x14ac:dyDescent="0.2">
      <c r="C122" s="136"/>
    </row>
    <row r="123" spans="2:64" x14ac:dyDescent="0.2">
      <c r="B123" s="35" t="s">
        <v>294</v>
      </c>
    </row>
    <row r="124" spans="2:64" x14ac:dyDescent="0.2">
      <c r="B124" s="53" t="s">
        <v>254</v>
      </c>
      <c r="C124" s="140">
        <f>IF(Dashboard!$F$6=Lists!$B$12,XNPV(Dashboard!$C$22,D114:X114,$D$5:$X$5),IF(Dashboard!$F$6=Lists!$B$13,XNPV(Dashboard!$C$22,D114:AH114,$D$5:$AH$5),IF(Dashboard!$F$6=Lists!$B$14,XNPV(Dashboard!$C$22,D114:AR114,$D$5:$AR$5),XNPV(Dashboard!$C$22,D114:BL114,$D$5:$BL$5))))</f>
        <v>337018792.90157443</v>
      </c>
      <c r="D124" s="141">
        <f>SUM(D101:X103)</f>
        <v>247414773.62092546</v>
      </c>
    </row>
    <row r="125" spans="2:64" x14ac:dyDescent="0.2">
      <c r="B125" s="54" t="s">
        <v>90</v>
      </c>
      <c r="C125" s="191">
        <f>IF(Dashboard!$F$6=Lists!$B$12,SUM(D101:X103)*100/SUM(D98:X98),IF(Dashboard!$F$6=Lists!$B$13,SUM(D101:AH103)*100/SUM(D98:AH98),IF(Dashboard!$F$6=Lists!$B$14,SUM(D101:AR103)*100/SUM(D98:AR98),SUM(D101:BL103)*100/SUM(D98:BL98))))</f>
        <v>12.594658305161863</v>
      </c>
    </row>
    <row r="126" spans="2:64" x14ac:dyDescent="0.2">
      <c r="B126" s="53" t="s">
        <v>185</v>
      </c>
      <c r="C126" s="140">
        <f>IF(Dashboard!$F$6=Lists!$B$12,XNPV(Dashboard!$C$22,D118:X118,$D$5:$X$5),IF(Dashboard!$F$6=Lists!$B$13,XNPV(Dashboard!$C$22,D118:AH118,$D$5:$AH$5),IF(Dashboard!$F$6=Lists!$B$14,XNPV(Dashboard!$C$22,D118:AR118,$D$5:$AR$5),XNPV(Dashboard!$C$22,D118:BL118,$D$5:$BL$5))))</f>
        <v>395018770.61189961</v>
      </c>
      <c r="D126" s="141">
        <f>SUM(D108:X110)</f>
        <v>284048784.59789819</v>
      </c>
    </row>
    <row r="127" spans="2:64" x14ac:dyDescent="0.2">
      <c r="B127" s="172" t="s">
        <v>2106</v>
      </c>
      <c r="C127" s="176">
        <f>IF(Dashboard!$F$6=Lists!$B$12,SUM(D108:X110)*100/SUM(D107:X107),IF(Dashboard!$F$6=Lists!$B$13,SUM(D108:AH110)*100/SUM(D107:AH107),IF(Dashboard!$F$6=Lists!$B$14,SUM(D108:AR110)*100/SUM(D107:AR107),SUM(D108:BL110)*100/SUM(D107:BL107))))</f>
        <v>14.780877536165358</v>
      </c>
    </row>
    <row r="128" spans="2:64" x14ac:dyDescent="0.2">
      <c r="B128" s="54"/>
    </row>
    <row r="130" spans="2:29" x14ac:dyDescent="0.2">
      <c r="B130" s="35" t="s">
        <v>295</v>
      </c>
    </row>
    <row r="131" spans="2:29" x14ac:dyDescent="0.2">
      <c r="B131" s="53" t="s">
        <v>296</v>
      </c>
    </row>
    <row r="132" spans="2:29" x14ac:dyDescent="0.2">
      <c r="B132" s="55" t="s">
        <v>297</v>
      </c>
      <c r="D132" s="128">
        <f t="shared" ref="D132:X132" si="91">D85+D92</f>
        <v>65210622.489293784</v>
      </c>
      <c r="E132" s="128">
        <f t="shared" si="91"/>
        <v>3260531.1244646893</v>
      </c>
      <c r="F132" s="128">
        <f t="shared" si="91"/>
        <v>3260531.1244646893</v>
      </c>
      <c r="G132" s="128">
        <f t="shared" si="91"/>
        <v>3260531.1244646893</v>
      </c>
      <c r="H132" s="128">
        <f t="shared" si="91"/>
        <v>3260531.1244646893</v>
      </c>
      <c r="I132" s="128">
        <f t="shared" si="91"/>
        <v>3260531.1244646893</v>
      </c>
      <c r="J132" s="128">
        <f t="shared" si="91"/>
        <v>3260531.1244646893</v>
      </c>
      <c r="K132" s="128">
        <f t="shared" si="91"/>
        <v>3260531.1244646893</v>
      </c>
      <c r="L132" s="128">
        <f t="shared" si="91"/>
        <v>3260531.1244646893</v>
      </c>
      <c r="M132" s="128">
        <f t="shared" si="91"/>
        <v>3260531.1244646893</v>
      </c>
      <c r="N132" s="128">
        <f t="shared" si="91"/>
        <v>3260531.1244646893</v>
      </c>
      <c r="O132" s="128">
        <f t="shared" si="91"/>
        <v>3260531.1244646893</v>
      </c>
      <c r="P132" s="128">
        <f t="shared" si="91"/>
        <v>3260531.1244646893</v>
      </c>
      <c r="Q132" s="128">
        <f t="shared" si="91"/>
        <v>3260531.1244646893</v>
      </c>
      <c r="R132" s="128">
        <f t="shared" si="91"/>
        <v>3260531.1244646893</v>
      </c>
      <c r="S132" s="128">
        <f t="shared" si="91"/>
        <v>3260531.1244646893</v>
      </c>
      <c r="T132" s="128">
        <f t="shared" si="91"/>
        <v>3260531.1244646893</v>
      </c>
      <c r="U132" s="128">
        <f t="shared" si="91"/>
        <v>3260531.1244646893</v>
      </c>
      <c r="V132" s="128">
        <f t="shared" si="91"/>
        <v>3260531.1244646893</v>
      </c>
      <c r="W132" s="128">
        <f t="shared" si="91"/>
        <v>3260531.1244646893</v>
      </c>
      <c r="X132" s="128">
        <f t="shared" si="91"/>
        <v>3260531.1244646893</v>
      </c>
    </row>
    <row r="133" spans="2:29" x14ac:dyDescent="0.2">
      <c r="B133" s="55" t="s">
        <v>298</v>
      </c>
      <c r="D133" s="128">
        <f t="shared" ref="D133:X133" si="92">D$77-D$132-D$66</f>
        <v>-65210622.489293784</v>
      </c>
      <c r="E133" s="128">
        <f t="shared" si="92"/>
        <v>5557759.7102121022</v>
      </c>
      <c r="F133" s="128">
        <f t="shared" si="92"/>
        <v>5299893.3084384333</v>
      </c>
      <c r="G133" s="128">
        <f t="shared" si="92"/>
        <v>5205023.6579550896</v>
      </c>
      <c r="H133" s="128">
        <f t="shared" si="92"/>
        <v>5342906.5082848184</v>
      </c>
      <c r="I133" s="128">
        <f t="shared" si="92"/>
        <v>5404164.7827044986</v>
      </c>
      <c r="J133" s="128">
        <f t="shared" si="92"/>
        <v>5248203.2094499916</v>
      </c>
      <c r="K133" s="128">
        <f t="shared" si="92"/>
        <v>5004005.4591143783</v>
      </c>
      <c r="L133" s="128">
        <f t="shared" si="92"/>
        <v>4779669.0981685929</v>
      </c>
      <c r="M133" s="128">
        <f t="shared" si="92"/>
        <v>4678514.2873934135</v>
      </c>
      <c r="N133" s="128">
        <f t="shared" si="92"/>
        <v>4609704.4548536576</v>
      </c>
      <c r="O133" s="128">
        <f t="shared" si="92"/>
        <v>4465918.9280381221</v>
      </c>
      <c r="P133" s="128">
        <f t="shared" si="92"/>
        <v>4545285.7462428715</v>
      </c>
      <c r="Q133" s="128">
        <f t="shared" si="92"/>
        <v>4500888.6885916311</v>
      </c>
      <c r="R133" s="128">
        <f t="shared" si="92"/>
        <v>4405987.2332752775</v>
      </c>
      <c r="S133" s="128">
        <f t="shared" si="92"/>
        <v>4405987.2332752775</v>
      </c>
      <c r="T133" s="128">
        <f t="shared" si="92"/>
        <v>4405987.2332752775</v>
      </c>
      <c r="U133" s="128">
        <f t="shared" si="92"/>
        <v>4405987.2332752775</v>
      </c>
      <c r="V133" s="128">
        <f t="shared" si="92"/>
        <v>4405987.2332752775</v>
      </c>
      <c r="W133" s="128">
        <f t="shared" si="92"/>
        <v>4405987.2332752775</v>
      </c>
      <c r="X133" s="128">
        <f t="shared" si="92"/>
        <v>4405987.2332752775</v>
      </c>
      <c r="Y133" s="128"/>
      <c r="Z133" s="128"/>
      <c r="AA133" s="128"/>
      <c r="AB133" s="128"/>
      <c r="AC133" s="128"/>
    </row>
    <row r="134" spans="2:29" x14ac:dyDescent="0.2">
      <c r="B134" s="55" t="s">
        <v>299</v>
      </c>
      <c r="D134" s="128">
        <f>D133+C134</f>
        <v>-65210622.489293784</v>
      </c>
      <c r="E134" s="128">
        <f t="shared" ref="E134:X134" si="93">E133+D134</f>
        <v>-59652862.77908168</v>
      </c>
      <c r="F134" s="128">
        <f t="shared" si="93"/>
        <v>-54352969.470643245</v>
      </c>
      <c r="G134" s="128">
        <f t="shared" si="93"/>
        <v>-49147945.812688157</v>
      </c>
      <c r="H134" s="128">
        <f t="shared" si="93"/>
        <v>-43805039.304403335</v>
      </c>
      <c r="I134" s="128">
        <f t="shared" si="93"/>
        <v>-38400874.521698833</v>
      </c>
      <c r="J134" s="128">
        <f t="shared" si="93"/>
        <v>-33152671.312248841</v>
      </c>
      <c r="K134" s="128">
        <f t="shared" si="93"/>
        <v>-28148665.853134461</v>
      </c>
      <c r="L134" s="128">
        <f t="shared" si="93"/>
        <v>-23368996.754965868</v>
      </c>
      <c r="M134" s="128">
        <f t="shared" si="93"/>
        <v>-18690482.467572454</v>
      </c>
      <c r="N134" s="128">
        <f t="shared" si="93"/>
        <v>-14080778.012718797</v>
      </c>
      <c r="O134" s="128">
        <f t="shared" si="93"/>
        <v>-9614859.0846806746</v>
      </c>
      <c r="P134" s="128">
        <f t="shared" si="93"/>
        <v>-5069573.3384378031</v>
      </c>
      <c r="Q134" s="128">
        <f t="shared" si="93"/>
        <v>-568684.64984617196</v>
      </c>
      <c r="R134" s="128">
        <f t="shared" si="93"/>
        <v>3837302.5834291056</v>
      </c>
      <c r="S134" s="128">
        <f t="shared" si="93"/>
        <v>8243289.8167043831</v>
      </c>
      <c r="T134" s="128">
        <f t="shared" si="93"/>
        <v>12649277.049979661</v>
      </c>
      <c r="U134" s="128">
        <f t="shared" si="93"/>
        <v>17055264.283254936</v>
      </c>
      <c r="V134" s="128">
        <f t="shared" si="93"/>
        <v>21461251.516530216</v>
      </c>
      <c r="W134" s="128">
        <f t="shared" si="93"/>
        <v>25867238.749805495</v>
      </c>
      <c r="X134" s="128">
        <f t="shared" si="93"/>
        <v>30273225.983080775</v>
      </c>
    </row>
    <row r="135" spans="2:29" x14ac:dyDescent="0.2">
      <c r="B135" s="55"/>
      <c r="E135" s="11" t="str">
        <f t="shared" ref="E135:X135" si="94">IF(E134&gt;0,E3,"")</f>
        <v/>
      </c>
      <c r="F135" s="11" t="str">
        <f t="shared" si="94"/>
        <v/>
      </c>
      <c r="G135" s="11" t="str">
        <f t="shared" si="94"/>
        <v/>
      </c>
      <c r="H135" s="11" t="str">
        <f t="shared" si="94"/>
        <v/>
      </c>
      <c r="I135" s="11" t="str">
        <f t="shared" si="94"/>
        <v/>
      </c>
      <c r="J135" s="11" t="str">
        <f t="shared" si="94"/>
        <v/>
      </c>
      <c r="K135" s="11" t="str">
        <f t="shared" si="94"/>
        <v/>
      </c>
      <c r="L135" s="11" t="str">
        <f t="shared" si="94"/>
        <v/>
      </c>
      <c r="M135" s="11" t="str">
        <f t="shared" si="94"/>
        <v/>
      </c>
      <c r="N135" s="11" t="str">
        <f t="shared" si="94"/>
        <v/>
      </c>
      <c r="O135" s="11" t="str">
        <f t="shared" si="94"/>
        <v/>
      </c>
      <c r="P135" s="11" t="str">
        <f t="shared" si="94"/>
        <v/>
      </c>
      <c r="Q135" s="11" t="str">
        <f t="shared" si="94"/>
        <v/>
      </c>
      <c r="R135" s="11">
        <f t="shared" si="94"/>
        <v>14</v>
      </c>
      <c r="S135" s="11">
        <f t="shared" si="94"/>
        <v>15</v>
      </c>
      <c r="T135" s="11">
        <f t="shared" si="94"/>
        <v>16</v>
      </c>
      <c r="U135" s="11">
        <f t="shared" si="94"/>
        <v>17</v>
      </c>
      <c r="V135" s="11">
        <f t="shared" si="94"/>
        <v>18</v>
      </c>
      <c r="W135" s="11">
        <f t="shared" si="94"/>
        <v>19</v>
      </c>
      <c r="X135" s="11">
        <f t="shared" si="94"/>
        <v>20</v>
      </c>
    </row>
    <row r="136" spans="2:29" x14ac:dyDescent="0.2">
      <c r="B136" s="55" t="s">
        <v>300</v>
      </c>
      <c r="C136" s="150">
        <f>IRR(D133:X133,0.5)</f>
        <v>4.152351049051739E-2</v>
      </c>
    </row>
    <row r="137" spans="2:29" x14ac:dyDescent="0.2">
      <c r="B137" s="55" t="s">
        <v>301</v>
      </c>
      <c r="C137" s="151">
        <f>NPV(Dashboard!$C$22,D133:X133,$D$5:$X$5)</f>
        <v>3939558.3220440852</v>
      </c>
    </row>
    <row r="138" spans="2:29" x14ac:dyDescent="0.2">
      <c r="B138" s="55" t="s">
        <v>302</v>
      </c>
      <c r="C138" s="11">
        <f>MIN(E135:X135)</f>
        <v>14</v>
      </c>
    </row>
    <row r="139" spans="2:29" x14ac:dyDescent="0.2">
      <c r="B139" s="55" t="s">
        <v>303</v>
      </c>
      <c r="C139" s="128">
        <f>SUM(D133:X133)</f>
        <v>30273225.983080775</v>
      </c>
    </row>
    <row r="140" spans="2:29" x14ac:dyDescent="0.2">
      <c r="B140" s="55" t="s">
        <v>88</v>
      </c>
      <c r="C140" s="128">
        <f>SUM($D$101:$X$103)</f>
        <v>247414773.62092546</v>
      </c>
    </row>
    <row r="141" spans="2:29" x14ac:dyDescent="0.2">
      <c r="B141" s="55" t="s">
        <v>90</v>
      </c>
      <c r="C141" s="142">
        <f>SUM($D$102:$X$102,$D$103:$X$103,$D$101:$X$101)*100/SUM($D$98:$X$98)</f>
        <v>13.96744108912576</v>
      </c>
    </row>
    <row r="142" spans="2:29" x14ac:dyDescent="0.2">
      <c r="B142" s="55" t="s">
        <v>304</v>
      </c>
      <c r="C142" s="142">
        <f>SUM($D$99:$X$100)*100/SUM($D$98:$X$98)</f>
        <v>14.176950871870938</v>
      </c>
    </row>
    <row r="143" spans="2:29" x14ac:dyDescent="0.2">
      <c r="B143" s="55" t="s">
        <v>2115</v>
      </c>
      <c r="C143" s="128">
        <f>SUM($D$108:$X$110)</f>
        <v>284048784.59789819</v>
      </c>
    </row>
    <row r="144" spans="2:29" x14ac:dyDescent="0.2">
      <c r="B144" s="55" t="s">
        <v>2116</v>
      </c>
      <c r="C144" s="506">
        <f>C143*100/SUM(D98:X98)</f>
        <v>16.035560881209094</v>
      </c>
    </row>
    <row r="145" spans="2:34" x14ac:dyDescent="0.2">
      <c r="B145" s="54"/>
    </row>
    <row r="146" spans="2:34" x14ac:dyDescent="0.2">
      <c r="B146" s="53" t="s">
        <v>305</v>
      </c>
    </row>
    <row r="147" spans="2:34" x14ac:dyDescent="0.2">
      <c r="B147" s="55" t="s">
        <v>297</v>
      </c>
      <c r="D147" s="140">
        <f t="shared" ref="D147:AH147" si="95">D85+D92</f>
        <v>65210622.489293784</v>
      </c>
      <c r="E147" s="140">
        <f t="shared" si="95"/>
        <v>3260531.1244646893</v>
      </c>
      <c r="F147" s="140">
        <f t="shared" si="95"/>
        <v>3260531.1244646893</v>
      </c>
      <c r="G147" s="140">
        <f t="shared" si="95"/>
        <v>3260531.1244646893</v>
      </c>
      <c r="H147" s="140">
        <f t="shared" si="95"/>
        <v>3260531.1244646893</v>
      </c>
      <c r="I147" s="140">
        <f t="shared" si="95"/>
        <v>3260531.1244646893</v>
      </c>
      <c r="J147" s="140">
        <f t="shared" si="95"/>
        <v>3260531.1244646893</v>
      </c>
      <c r="K147" s="140">
        <f t="shared" si="95"/>
        <v>3260531.1244646893</v>
      </c>
      <c r="L147" s="140">
        <f t="shared" si="95"/>
        <v>3260531.1244646893</v>
      </c>
      <c r="M147" s="140">
        <f t="shared" si="95"/>
        <v>3260531.1244646893</v>
      </c>
      <c r="N147" s="140">
        <f t="shared" si="95"/>
        <v>3260531.1244646893</v>
      </c>
      <c r="O147" s="140">
        <f t="shared" si="95"/>
        <v>3260531.1244646893</v>
      </c>
      <c r="P147" s="140">
        <f t="shared" si="95"/>
        <v>3260531.1244646893</v>
      </c>
      <c r="Q147" s="140">
        <f t="shared" si="95"/>
        <v>3260531.1244646893</v>
      </c>
      <c r="R147" s="140">
        <f t="shared" si="95"/>
        <v>3260531.1244646893</v>
      </c>
      <c r="S147" s="140">
        <f t="shared" si="95"/>
        <v>3260531.1244646893</v>
      </c>
      <c r="T147" s="140">
        <f t="shared" si="95"/>
        <v>3260531.1244646893</v>
      </c>
      <c r="U147" s="140">
        <f t="shared" si="95"/>
        <v>3260531.1244646893</v>
      </c>
      <c r="V147" s="140">
        <f t="shared" si="95"/>
        <v>3260531.1244646893</v>
      </c>
      <c r="W147" s="140">
        <f t="shared" si="95"/>
        <v>3260531.1244646893</v>
      </c>
      <c r="X147" s="140">
        <f t="shared" si="95"/>
        <v>3260531.1244646893</v>
      </c>
      <c r="Y147" s="140">
        <f t="shared" si="95"/>
        <v>3260531.1244646893</v>
      </c>
      <c r="Z147" s="140">
        <f t="shared" si="95"/>
        <v>3260531.1244646893</v>
      </c>
      <c r="AA147" s="140">
        <f t="shared" si="95"/>
        <v>3260531.1244646893</v>
      </c>
      <c r="AB147" s="140">
        <f t="shared" si="95"/>
        <v>3260531.1244646893</v>
      </c>
      <c r="AC147" s="140">
        <f t="shared" si="95"/>
        <v>3260531.1244646893</v>
      </c>
      <c r="AD147" s="140">
        <f t="shared" si="95"/>
        <v>3260531.1244646893</v>
      </c>
      <c r="AE147" s="140">
        <f t="shared" si="95"/>
        <v>3260531.1244646893</v>
      </c>
      <c r="AF147" s="140">
        <f t="shared" si="95"/>
        <v>3260531.1244646893</v>
      </c>
      <c r="AG147" s="140">
        <f t="shared" si="95"/>
        <v>3260531.1244646893</v>
      </c>
      <c r="AH147" s="140">
        <f t="shared" si="95"/>
        <v>3260531.1244646893</v>
      </c>
    </row>
    <row r="148" spans="2:34" x14ac:dyDescent="0.2">
      <c r="B148" s="55" t="s">
        <v>298</v>
      </c>
      <c r="D148" s="140">
        <f t="shared" ref="D148:AH148" si="96">D$77-D$147-D$66</f>
        <v>-65210622.489293784</v>
      </c>
      <c r="E148" s="140">
        <f t="shared" si="96"/>
        <v>5557759.7102121022</v>
      </c>
      <c r="F148" s="140">
        <f t="shared" si="96"/>
        <v>5299893.3084384333</v>
      </c>
      <c r="G148" s="140">
        <f t="shared" si="96"/>
        <v>5205023.6579550896</v>
      </c>
      <c r="H148" s="140">
        <f t="shared" si="96"/>
        <v>5342906.5082848184</v>
      </c>
      <c r="I148" s="140">
        <f t="shared" si="96"/>
        <v>5404164.7827044986</v>
      </c>
      <c r="J148" s="140">
        <f t="shared" si="96"/>
        <v>5248203.2094499916</v>
      </c>
      <c r="K148" s="140">
        <f t="shared" si="96"/>
        <v>5004005.4591143783</v>
      </c>
      <c r="L148" s="140">
        <f t="shared" si="96"/>
        <v>4779669.0981685929</v>
      </c>
      <c r="M148" s="140">
        <f t="shared" si="96"/>
        <v>4678514.2873934135</v>
      </c>
      <c r="N148" s="140">
        <f t="shared" si="96"/>
        <v>4609704.4548536576</v>
      </c>
      <c r="O148" s="140">
        <f t="shared" si="96"/>
        <v>4465918.9280381221</v>
      </c>
      <c r="P148" s="140">
        <f t="shared" si="96"/>
        <v>4545285.7462428715</v>
      </c>
      <c r="Q148" s="140">
        <f t="shared" si="96"/>
        <v>4500888.6885916311</v>
      </c>
      <c r="R148" s="140">
        <f t="shared" si="96"/>
        <v>4405987.2332752775</v>
      </c>
      <c r="S148" s="140">
        <f t="shared" si="96"/>
        <v>4405987.2332752775</v>
      </c>
      <c r="T148" s="140">
        <f t="shared" si="96"/>
        <v>4405987.2332752775</v>
      </c>
      <c r="U148" s="140">
        <f t="shared" si="96"/>
        <v>4405987.2332752775</v>
      </c>
      <c r="V148" s="140">
        <f t="shared" si="96"/>
        <v>4405987.2332752775</v>
      </c>
      <c r="W148" s="140">
        <f t="shared" si="96"/>
        <v>4405987.2332752775</v>
      </c>
      <c r="X148" s="140">
        <f t="shared" si="96"/>
        <v>4405987.2332752775</v>
      </c>
      <c r="Y148" s="140">
        <f t="shared" si="96"/>
        <v>4405987.2332752775</v>
      </c>
      <c r="Z148" s="140">
        <f t="shared" si="96"/>
        <v>4405987.2332752775</v>
      </c>
      <c r="AA148" s="140">
        <f t="shared" si="96"/>
        <v>4405987.2332752775</v>
      </c>
      <c r="AB148" s="140">
        <f t="shared" si="96"/>
        <v>4405987.2332752775</v>
      </c>
      <c r="AC148" s="140">
        <f t="shared" si="96"/>
        <v>4405987.2332752775</v>
      </c>
      <c r="AD148" s="140">
        <f t="shared" si="96"/>
        <v>4405987.2332752775</v>
      </c>
      <c r="AE148" s="140">
        <f t="shared" si="96"/>
        <v>4405987.2332752775</v>
      </c>
      <c r="AF148" s="140">
        <f t="shared" si="96"/>
        <v>4405987.2332752775</v>
      </c>
      <c r="AG148" s="140">
        <f t="shared" si="96"/>
        <v>4405987.2332752775</v>
      </c>
      <c r="AH148" s="140">
        <f t="shared" si="96"/>
        <v>4405987.2332752775</v>
      </c>
    </row>
    <row r="149" spans="2:34" x14ac:dyDescent="0.2">
      <c r="B149" s="55" t="s">
        <v>299</v>
      </c>
      <c r="D149" s="140">
        <f>D148+C149</f>
        <v>-65210622.489293784</v>
      </c>
      <c r="E149" s="140">
        <f t="shared" ref="E149:AH149" si="97">E148+D149</f>
        <v>-59652862.77908168</v>
      </c>
      <c r="F149" s="140">
        <f t="shared" si="97"/>
        <v>-54352969.470643245</v>
      </c>
      <c r="G149" s="140">
        <f t="shared" si="97"/>
        <v>-49147945.812688157</v>
      </c>
      <c r="H149" s="140">
        <f t="shared" si="97"/>
        <v>-43805039.304403335</v>
      </c>
      <c r="I149" s="140">
        <f t="shared" si="97"/>
        <v>-38400874.521698833</v>
      </c>
      <c r="J149" s="140">
        <f t="shared" si="97"/>
        <v>-33152671.312248841</v>
      </c>
      <c r="K149" s="140">
        <f t="shared" si="97"/>
        <v>-28148665.853134461</v>
      </c>
      <c r="L149" s="140">
        <f t="shared" si="97"/>
        <v>-23368996.754965868</v>
      </c>
      <c r="M149" s="140">
        <f t="shared" si="97"/>
        <v>-18690482.467572454</v>
      </c>
      <c r="N149" s="140">
        <f t="shared" si="97"/>
        <v>-14080778.012718797</v>
      </c>
      <c r="O149" s="140">
        <f t="shared" si="97"/>
        <v>-9614859.0846806746</v>
      </c>
      <c r="P149" s="140">
        <f t="shared" si="97"/>
        <v>-5069573.3384378031</v>
      </c>
      <c r="Q149" s="140">
        <f t="shared" si="97"/>
        <v>-568684.64984617196</v>
      </c>
      <c r="R149" s="140">
        <f t="shared" si="97"/>
        <v>3837302.5834291056</v>
      </c>
      <c r="S149" s="140">
        <f t="shared" si="97"/>
        <v>8243289.8167043831</v>
      </c>
      <c r="T149" s="140">
        <f t="shared" si="97"/>
        <v>12649277.049979661</v>
      </c>
      <c r="U149" s="140">
        <f t="shared" si="97"/>
        <v>17055264.283254936</v>
      </c>
      <c r="V149" s="140">
        <f t="shared" si="97"/>
        <v>21461251.516530216</v>
      </c>
      <c r="W149" s="140">
        <f t="shared" si="97"/>
        <v>25867238.749805495</v>
      </c>
      <c r="X149" s="140">
        <f t="shared" si="97"/>
        <v>30273225.983080775</v>
      </c>
      <c r="Y149" s="140">
        <f t="shared" si="97"/>
        <v>34679213.216356054</v>
      </c>
      <c r="Z149" s="140">
        <f t="shared" si="97"/>
        <v>39085200.449631333</v>
      </c>
      <c r="AA149" s="140">
        <f t="shared" si="97"/>
        <v>43491187.682906613</v>
      </c>
      <c r="AB149" s="140">
        <f t="shared" si="97"/>
        <v>47897174.916181892</v>
      </c>
      <c r="AC149" s="140">
        <f t="shared" si="97"/>
        <v>52303162.149457172</v>
      </c>
      <c r="AD149" s="140">
        <f t="shared" si="97"/>
        <v>56709149.382732451</v>
      </c>
      <c r="AE149" s="140">
        <f t="shared" si="97"/>
        <v>61115136.61600773</v>
      </c>
      <c r="AF149" s="140">
        <f t="shared" si="97"/>
        <v>65521123.84928301</v>
      </c>
      <c r="AG149" s="140">
        <f t="shared" si="97"/>
        <v>69927111.082558289</v>
      </c>
      <c r="AH149" s="140">
        <f t="shared" si="97"/>
        <v>74333098.315833569</v>
      </c>
    </row>
    <row r="150" spans="2:34" x14ac:dyDescent="0.2">
      <c r="B150" s="55"/>
      <c r="E150" s="11" t="str">
        <f t="shared" ref="E150:AH150" si="98">IF(E149&gt;0,E3,"")</f>
        <v/>
      </c>
      <c r="F150" s="11" t="str">
        <f t="shared" si="98"/>
        <v/>
      </c>
      <c r="G150" s="11" t="str">
        <f t="shared" si="98"/>
        <v/>
      </c>
      <c r="H150" s="11" t="str">
        <f t="shared" si="98"/>
        <v/>
      </c>
      <c r="I150" s="11" t="str">
        <f t="shared" si="98"/>
        <v/>
      </c>
      <c r="J150" s="11" t="str">
        <f t="shared" si="98"/>
        <v/>
      </c>
      <c r="K150" s="11" t="str">
        <f t="shared" si="98"/>
        <v/>
      </c>
      <c r="L150" s="11" t="str">
        <f t="shared" si="98"/>
        <v/>
      </c>
      <c r="M150" s="11" t="str">
        <f t="shared" si="98"/>
        <v/>
      </c>
      <c r="N150" s="11" t="str">
        <f t="shared" si="98"/>
        <v/>
      </c>
      <c r="O150" s="11" t="str">
        <f t="shared" si="98"/>
        <v/>
      </c>
      <c r="P150" s="11" t="str">
        <f t="shared" si="98"/>
        <v/>
      </c>
      <c r="Q150" s="11" t="str">
        <f t="shared" si="98"/>
        <v/>
      </c>
      <c r="R150" s="11">
        <f t="shared" si="98"/>
        <v>14</v>
      </c>
      <c r="S150" s="11">
        <f t="shared" si="98"/>
        <v>15</v>
      </c>
      <c r="T150" s="11">
        <f t="shared" si="98"/>
        <v>16</v>
      </c>
      <c r="U150" s="11">
        <f t="shared" si="98"/>
        <v>17</v>
      </c>
      <c r="V150" s="11">
        <f t="shared" si="98"/>
        <v>18</v>
      </c>
      <c r="W150" s="11">
        <f t="shared" si="98"/>
        <v>19</v>
      </c>
      <c r="X150" s="11">
        <f t="shared" si="98"/>
        <v>20</v>
      </c>
      <c r="Y150" s="11">
        <f t="shared" si="98"/>
        <v>21</v>
      </c>
      <c r="Z150" s="11">
        <f t="shared" si="98"/>
        <v>22</v>
      </c>
      <c r="AA150" s="11">
        <f t="shared" si="98"/>
        <v>23</v>
      </c>
      <c r="AB150" s="11">
        <f t="shared" si="98"/>
        <v>24</v>
      </c>
      <c r="AC150" s="11">
        <f t="shared" si="98"/>
        <v>25</v>
      </c>
      <c r="AD150" s="11">
        <f t="shared" si="98"/>
        <v>26</v>
      </c>
      <c r="AE150" s="11">
        <f t="shared" si="98"/>
        <v>27</v>
      </c>
      <c r="AF150" s="11">
        <f t="shared" si="98"/>
        <v>28</v>
      </c>
      <c r="AG150" s="11">
        <f t="shared" si="98"/>
        <v>29</v>
      </c>
      <c r="AH150" s="11">
        <f t="shared" si="98"/>
        <v>30</v>
      </c>
    </row>
    <row r="151" spans="2:34" x14ac:dyDescent="0.2">
      <c r="B151" s="55" t="s">
        <v>300</v>
      </c>
      <c r="C151" s="150">
        <f>IRR(D148:AH148,0.5)</f>
        <v>6.1698054929075319E-2</v>
      </c>
    </row>
    <row r="152" spans="2:34" x14ac:dyDescent="0.2">
      <c r="B152" s="55" t="s">
        <v>301</v>
      </c>
      <c r="C152" s="151">
        <f>NPV(Dashboard!$C$22,D148:AH148,$D$5:$AH$5)</f>
        <v>21706545.471481692</v>
      </c>
    </row>
    <row r="153" spans="2:34" x14ac:dyDescent="0.2">
      <c r="B153" s="55" t="s">
        <v>302</v>
      </c>
      <c r="C153" s="11">
        <f>MIN(E150:AH150)</f>
        <v>14</v>
      </c>
    </row>
    <row r="154" spans="2:34" x14ac:dyDescent="0.2">
      <c r="B154" s="55" t="s">
        <v>306</v>
      </c>
      <c r="C154" s="128">
        <f>SUM(D148:AH148)</f>
        <v>74333098.315833569</v>
      </c>
    </row>
    <row r="155" spans="2:34" x14ac:dyDescent="0.2">
      <c r="B155" s="55" t="s">
        <v>88</v>
      </c>
      <c r="C155" s="128">
        <f>SUM($D$101:$AH$103)</f>
        <v>300609022.92394316</v>
      </c>
    </row>
    <row r="156" spans="2:34" x14ac:dyDescent="0.2">
      <c r="B156" s="55" t="s">
        <v>90</v>
      </c>
      <c r="C156" s="142">
        <f>C155*100/SUM($D$98:$AH$98)</f>
        <v>13.074264341249719</v>
      </c>
      <c r="D156" s="141"/>
    </row>
    <row r="157" spans="2:34" x14ac:dyDescent="0.2">
      <c r="B157" s="55" t="s">
        <v>304</v>
      </c>
      <c r="C157" s="142">
        <f>SUM($D$99:$AH$100)*100/SUM($D$98:$AH$98)</f>
        <v>14.047284395212065</v>
      </c>
    </row>
    <row r="158" spans="2:34" x14ac:dyDescent="0.2">
      <c r="B158" s="55" t="s">
        <v>2115</v>
      </c>
      <c r="C158" s="128">
        <f>SUM($D$108:$AH$110)</f>
        <v>349926830.87569857</v>
      </c>
    </row>
    <row r="159" spans="2:34" x14ac:dyDescent="0.2">
      <c r="B159" s="55" t="s">
        <v>2116</v>
      </c>
      <c r="C159" s="142">
        <f>C158*100/SUM($D$98:$AH$98)</f>
        <v>15.219223436690363</v>
      </c>
    </row>
    <row r="160" spans="2:34" x14ac:dyDescent="0.2">
      <c r="B160" s="54"/>
    </row>
    <row r="161" spans="2:44" x14ac:dyDescent="0.2">
      <c r="B161" s="53" t="s">
        <v>307</v>
      </c>
    </row>
    <row r="162" spans="2:44" x14ac:dyDescent="0.2">
      <c r="B162" s="55" t="s">
        <v>297</v>
      </c>
      <c r="D162" s="140">
        <f t="shared" ref="D162:AR162" si="99">D85+D92</f>
        <v>65210622.489293784</v>
      </c>
      <c r="E162" s="140">
        <f t="shared" si="99"/>
        <v>3260531.1244646893</v>
      </c>
      <c r="F162" s="140">
        <f t="shared" si="99"/>
        <v>3260531.1244646893</v>
      </c>
      <c r="G162" s="140">
        <f t="shared" si="99"/>
        <v>3260531.1244646893</v>
      </c>
      <c r="H162" s="140">
        <f t="shared" si="99"/>
        <v>3260531.1244646893</v>
      </c>
      <c r="I162" s="140">
        <f t="shared" si="99"/>
        <v>3260531.1244646893</v>
      </c>
      <c r="J162" s="140">
        <f t="shared" si="99"/>
        <v>3260531.1244646893</v>
      </c>
      <c r="K162" s="140">
        <f t="shared" si="99"/>
        <v>3260531.1244646893</v>
      </c>
      <c r="L162" s="140">
        <f t="shared" si="99"/>
        <v>3260531.1244646893</v>
      </c>
      <c r="M162" s="140">
        <f t="shared" si="99"/>
        <v>3260531.1244646893</v>
      </c>
      <c r="N162" s="140">
        <f t="shared" si="99"/>
        <v>3260531.1244646893</v>
      </c>
      <c r="O162" s="140">
        <f t="shared" si="99"/>
        <v>3260531.1244646893</v>
      </c>
      <c r="P162" s="140">
        <f t="shared" si="99"/>
        <v>3260531.1244646893</v>
      </c>
      <c r="Q162" s="140">
        <f t="shared" si="99"/>
        <v>3260531.1244646893</v>
      </c>
      <c r="R162" s="140">
        <f t="shared" si="99"/>
        <v>3260531.1244646893</v>
      </c>
      <c r="S162" s="140">
        <f t="shared" si="99"/>
        <v>3260531.1244646893</v>
      </c>
      <c r="T162" s="140">
        <f t="shared" si="99"/>
        <v>3260531.1244646893</v>
      </c>
      <c r="U162" s="140">
        <f t="shared" si="99"/>
        <v>3260531.1244646893</v>
      </c>
      <c r="V162" s="140">
        <f t="shared" si="99"/>
        <v>3260531.1244646893</v>
      </c>
      <c r="W162" s="140">
        <f t="shared" si="99"/>
        <v>3260531.1244646893</v>
      </c>
      <c r="X162" s="140">
        <f t="shared" si="99"/>
        <v>3260531.1244646893</v>
      </c>
      <c r="Y162" s="140">
        <f t="shared" si="99"/>
        <v>3260531.1244646893</v>
      </c>
      <c r="Z162" s="140">
        <f t="shared" si="99"/>
        <v>3260531.1244646893</v>
      </c>
      <c r="AA162" s="140">
        <f t="shared" si="99"/>
        <v>3260531.1244646893</v>
      </c>
      <c r="AB162" s="140">
        <f t="shared" si="99"/>
        <v>3260531.1244646893</v>
      </c>
      <c r="AC162" s="140">
        <f t="shared" si="99"/>
        <v>3260531.1244646893</v>
      </c>
      <c r="AD162" s="140">
        <f t="shared" si="99"/>
        <v>3260531.1244646893</v>
      </c>
      <c r="AE162" s="140">
        <f t="shared" si="99"/>
        <v>3260531.1244646893</v>
      </c>
      <c r="AF162" s="140">
        <f t="shared" si="99"/>
        <v>3260531.1244646893</v>
      </c>
      <c r="AG162" s="140">
        <f t="shared" si="99"/>
        <v>3260531.1244646893</v>
      </c>
      <c r="AH162" s="140">
        <f t="shared" si="99"/>
        <v>3260531.1244646893</v>
      </c>
      <c r="AI162" s="140">
        <f t="shared" si="99"/>
        <v>3260531.1244646893</v>
      </c>
      <c r="AJ162" s="140">
        <f t="shared" si="99"/>
        <v>3260531.1244646893</v>
      </c>
      <c r="AK162" s="140">
        <f t="shared" si="99"/>
        <v>3260531.1244646893</v>
      </c>
      <c r="AL162" s="140">
        <f t="shared" si="99"/>
        <v>3260531.1244646893</v>
      </c>
      <c r="AM162" s="140">
        <f t="shared" si="99"/>
        <v>3260531.1244646893</v>
      </c>
      <c r="AN162" s="140">
        <f t="shared" si="99"/>
        <v>3260531.1244646893</v>
      </c>
      <c r="AO162" s="140">
        <f t="shared" si="99"/>
        <v>3260531.1244646893</v>
      </c>
      <c r="AP162" s="140">
        <f t="shared" si="99"/>
        <v>3260531.1244646893</v>
      </c>
      <c r="AQ162" s="140">
        <f t="shared" si="99"/>
        <v>3260531.1244646893</v>
      </c>
      <c r="AR162" s="140">
        <f t="shared" si="99"/>
        <v>3260531.1244646893</v>
      </c>
    </row>
    <row r="163" spans="2:44" x14ac:dyDescent="0.2">
      <c r="B163" s="55" t="s">
        <v>298</v>
      </c>
      <c r="D163" s="140">
        <f t="shared" ref="D163:AR163" si="100">D$77-D$162-D$66</f>
        <v>-65210622.489293784</v>
      </c>
      <c r="E163" s="140">
        <f t="shared" si="100"/>
        <v>5557759.7102121022</v>
      </c>
      <c r="F163" s="140">
        <f t="shared" si="100"/>
        <v>5299893.3084384333</v>
      </c>
      <c r="G163" s="140">
        <f t="shared" si="100"/>
        <v>5205023.6579550896</v>
      </c>
      <c r="H163" s="140">
        <f t="shared" si="100"/>
        <v>5342906.5082848184</v>
      </c>
      <c r="I163" s="140">
        <f t="shared" si="100"/>
        <v>5404164.7827044986</v>
      </c>
      <c r="J163" s="140">
        <f t="shared" si="100"/>
        <v>5248203.2094499916</v>
      </c>
      <c r="K163" s="140">
        <f t="shared" si="100"/>
        <v>5004005.4591143783</v>
      </c>
      <c r="L163" s="140">
        <f t="shared" si="100"/>
        <v>4779669.0981685929</v>
      </c>
      <c r="M163" s="140">
        <f t="shared" si="100"/>
        <v>4678514.2873934135</v>
      </c>
      <c r="N163" s="140">
        <f t="shared" si="100"/>
        <v>4609704.4548536576</v>
      </c>
      <c r="O163" s="140">
        <f t="shared" si="100"/>
        <v>4465918.9280381221</v>
      </c>
      <c r="P163" s="140">
        <f t="shared" si="100"/>
        <v>4545285.7462428715</v>
      </c>
      <c r="Q163" s="140">
        <f t="shared" si="100"/>
        <v>4500888.6885916311</v>
      </c>
      <c r="R163" s="140">
        <f t="shared" si="100"/>
        <v>4405987.2332752775</v>
      </c>
      <c r="S163" s="140">
        <f t="shared" si="100"/>
        <v>4405987.2332752775</v>
      </c>
      <c r="T163" s="140">
        <f t="shared" si="100"/>
        <v>4405987.2332752775</v>
      </c>
      <c r="U163" s="140">
        <f t="shared" si="100"/>
        <v>4405987.2332752775</v>
      </c>
      <c r="V163" s="140">
        <f t="shared" si="100"/>
        <v>4405987.2332752775</v>
      </c>
      <c r="W163" s="140">
        <f t="shared" si="100"/>
        <v>4405987.2332752775</v>
      </c>
      <c r="X163" s="140">
        <f t="shared" si="100"/>
        <v>4405987.2332752775</v>
      </c>
      <c r="Y163" s="140">
        <f t="shared" si="100"/>
        <v>4405987.2332752775</v>
      </c>
      <c r="Z163" s="140">
        <f t="shared" si="100"/>
        <v>4405987.2332752775</v>
      </c>
      <c r="AA163" s="140">
        <f t="shared" si="100"/>
        <v>4405987.2332752775</v>
      </c>
      <c r="AB163" s="140">
        <f t="shared" si="100"/>
        <v>4405987.2332752775</v>
      </c>
      <c r="AC163" s="140">
        <f t="shared" si="100"/>
        <v>4405987.2332752775</v>
      </c>
      <c r="AD163" s="140">
        <f t="shared" si="100"/>
        <v>4405987.2332752775</v>
      </c>
      <c r="AE163" s="140">
        <f t="shared" si="100"/>
        <v>4405987.2332752775</v>
      </c>
      <c r="AF163" s="140">
        <f t="shared" si="100"/>
        <v>4405987.2332752775</v>
      </c>
      <c r="AG163" s="140">
        <f t="shared" si="100"/>
        <v>4405987.2332752775</v>
      </c>
      <c r="AH163" s="140">
        <f t="shared" si="100"/>
        <v>4405987.2332752775</v>
      </c>
      <c r="AI163" s="140">
        <f t="shared" si="100"/>
        <v>4405987.2332752775</v>
      </c>
      <c r="AJ163" s="140">
        <f t="shared" si="100"/>
        <v>4405987.2332752775</v>
      </c>
      <c r="AK163" s="140">
        <f t="shared" si="100"/>
        <v>4405987.2332752775</v>
      </c>
      <c r="AL163" s="140">
        <f t="shared" si="100"/>
        <v>4405987.2332752775</v>
      </c>
      <c r="AM163" s="140">
        <f t="shared" si="100"/>
        <v>4405987.2332752775</v>
      </c>
      <c r="AN163" s="140">
        <f t="shared" si="100"/>
        <v>4405987.2332752775</v>
      </c>
      <c r="AO163" s="140">
        <f t="shared" si="100"/>
        <v>4405987.2332752775</v>
      </c>
      <c r="AP163" s="140">
        <f t="shared" si="100"/>
        <v>4405987.2332752775</v>
      </c>
      <c r="AQ163" s="140">
        <f t="shared" si="100"/>
        <v>4405987.2332752775</v>
      </c>
      <c r="AR163" s="140">
        <f t="shared" si="100"/>
        <v>4405987.2332752775</v>
      </c>
    </row>
    <row r="164" spans="2:44" x14ac:dyDescent="0.2">
      <c r="B164" s="55" t="s">
        <v>299</v>
      </c>
      <c r="D164" s="140">
        <f>D163+C164</f>
        <v>-65210622.489293784</v>
      </c>
      <c r="E164" s="140">
        <f t="shared" ref="E164:AR164" si="101">E163+D164</f>
        <v>-59652862.77908168</v>
      </c>
      <c r="F164" s="140">
        <f t="shared" si="101"/>
        <v>-54352969.470643245</v>
      </c>
      <c r="G164" s="140">
        <f t="shared" si="101"/>
        <v>-49147945.812688157</v>
      </c>
      <c r="H164" s="140">
        <f t="shared" si="101"/>
        <v>-43805039.304403335</v>
      </c>
      <c r="I164" s="140">
        <f t="shared" si="101"/>
        <v>-38400874.521698833</v>
      </c>
      <c r="J164" s="140">
        <f t="shared" si="101"/>
        <v>-33152671.312248841</v>
      </c>
      <c r="K164" s="140">
        <f t="shared" si="101"/>
        <v>-28148665.853134461</v>
      </c>
      <c r="L164" s="140">
        <f t="shared" si="101"/>
        <v>-23368996.754965868</v>
      </c>
      <c r="M164" s="140">
        <f t="shared" si="101"/>
        <v>-18690482.467572454</v>
      </c>
      <c r="N164" s="140">
        <f t="shared" si="101"/>
        <v>-14080778.012718797</v>
      </c>
      <c r="O164" s="140">
        <f t="shared" si="101"/>
        <v>-9614859.0846806746</v>
      </c>
      <c r="P164" s="140">
        <f t="shared" si="101"/>
        <v>-5069573.3384378031</v>
      </c>
      <c r="Q164" s="140">
        <f t="shared" si="101"/>
        <v>-568684.64984617196</v>
      </c>
      <c r="R164" s="140">
        <f t="shared" si="101"/>
        <v>3837302.5834291056</v>
      </c>
      <c r="S164" s="140">
        <f t="shared" si="101"/>
        <v>8243289.8167043831</v>
      </c>
      <c r="T164" s="140">
        <f t="shared" si="101"/>
        <v>12649277.049979661</v>
      </c>
      <c r="U164" s="140">
        <f t="shared" si="101"/>
        <v>17055264.283254936</v>
      </c>
      <c r="V164" s="140">
        <f t="shared" si="101"/>
        <v>21461251.516530216</v>
      </c>
      <c r="W164" s="140">
        <f t="shared" si="101"/>
        <v>25867238.749805495</v>
      </c>
      <c r="X164" s="140">
        <f t="shared" si="101"/>
        <v>30273225.983080775</v>
      </c>
      <c r="Y164" s="140">
        <f t="shared" si="101"/>
        <v>34679213.216356054</v>
      </c>
      <c r="Z164" s="140">
        <f t="shared" si="101"/>
        <v>39085200.449631333</v>
      </c>
      <c r="AA164" s="140">
        <f t="shared" si="101"/>
        <v>43491187.682906613</v>
      </c>
      <c r="AB164" s="140">
        <f t="shared" si="101"/>
        <v>47897174.916181892</v>
      </c>
      <c r="AC164" s="140">
        <f t="shared" si="101"/>
        <v>52303162.149457172</v>
      </c>
      <c r="AD164" s="140">
        <f t="shared" si="101"/>
        <v>56709149.382732451</v>
      </c>
      <c r="AE164" s="140">
        <f t="shared" si="101"/>
        <v>61115136.61600773</v>
      </c>
      <c r="AF164" s="140">
        <f t="shared" si="101"/>
        <v>65521123.84928301</v>
      </c>
      <c r="AG164" s="140">
        <f t="shared" si="101"/>
        <v>69927111.082558289</v>
      </c>
      <c r="AH164" s="140">
        <f t="shared" si="101"/>
        <v>74333098.315833569</v>
      </c>
      <c r="AI164" s="140">
        <f t="shared" si="101"/>
        <v>78739085.549108848</v>
      </c>
      <c r="AJ164" s="140">
        <f t="shared" si="101"/>
        <v>83145072.782384127</v>
      </c>
      <c r="AK164" s="140">
        <f t="shared" si="101"/>
        <v>87551060.015659407</v>
      </c>
      <c r="AL164" s="140">
        <f t="shared" si="101"/>
        <v>91957047.248934686</v>
      </c>
      <c r="AM164" s="140">
        <f t="shared" si="101"/>
        <v>96363034.482209966</v>
      </c>
      <c r="AN164" s="140">
        <f t="shared" si="101"/>
        <v>100769021.71548524</v>
      </c>
      <c r="AO164" s="140">
        <f t="shared" si="101"/>
        <v>105175008.94876052</v>
      </c>
      <c r="AP164" s="140">
        <f t="shared" si="101"/>
        <v>109580996.1820358</v>
      </c>
      <c r="AQ164" s="140">
        <f t="shared" si="101"/>
        <v>113986983.41531108</v>
      </c>
      <c r="AR164" s="140">
        <f t="shared" si="101"/>
        <v>118392970.64858636</v>
      </c>
    </row>
    <row r="165" spans="2:44" x14ac:dyDescent="0.2">
      <c r="B165" s="55"/>
      <c r="E165" s="11" t="str">
        <f t="shared" ref="E165:AR165" si="102">IF(E164&gt;0,E3,"")</f>
        <v/>
      </c>
      <c r="F165" s="11" t="str">
        <f t="shared" si="102"/>
        <v/>
      </c>
      <c r="G165" s="11" t="str">
        <f t="shared" si="102"/>
        <v/>
      </c>
      <c r="H165" s="11" t="str">
        <f t="shared" si="102"/>
        <v/>
      </c>
      <c r="I165" s="11" t="str">
        <f t="shared" si="102"/>
        <v/>
      </c>
      <c r="J165" s="11" t="str">
        <f t="shared" si="102"/>
        <v/>
      </c>
      <c r="K165" s="11" t="str">
        <f t="shared" si="102"/>
        <v/>
      </c>
      <c r="L165" s="11" t="str">
        <f t="shared" si="102"/>
        <v/>
      </c>
      <c r="M165" s="11" t="str">
        <f t="shared" si="102"/>
        <v/>
      </c>
      <c r="N165" s="11" t="str">
        <f t="shared" si="102"/>
        <v/>
      </c>
      <c r="O165" s="11" t="str">
        <f t="shared" si="102"/>
        <v/>
      </c>
      <c r="P165" s="11" t="str">
        <f t="shared" si="102"/>
        <v/>
      </c>
      <c r="Q165" s="11" t="str">
        <f t="shared" si="102"/>
        <v/>
      </c>
      <c r="R165" s="11">
        <f t="shared" si="102"/>
        <v>14</v>
      </c>
      <c r="S165" s="11">
        <f t="shared" si="102"/>
        <v>15</v>
      </c>
      <c r="T165" s="11">
        <f t="shared" si="102"/>
        <v>16</v>
      </c>
      <c r="U165" s="11">
        <f t="shared" si="102"/>
        <v>17</v>
      </c>
      <c r="V165" s="11">
        <f t="shared" si="102"/>
        <v>18</v>
      </c>
      <c r="W165" s="11">
        <f t="shared" si="102"/>
        <v>19</v>
      </c>
      <c r="X165" s="11">
        <f t="shared" si="102"/>
        <v>20</v>
      </c>
      <c r="Y165" s="11">
        <f t="shared" si="102"/>
        <v>21</v>
      </c>
      <c r="Z165" s="11">
        <f t="shared" si="102"/>
        <v>22</v>
      </c>
      <c r="AA165" s="11">
        <f t="shared" si="102"/>
        <v>23</v>
      </c>
      <c r="AB165" s="11">
        <f t="shared" si="102"/>
        <v>24</v>
      </c>
      <c r="AC165" s="11">
        <f t="shared" si="102"/>
        <v>25</v>
      </c>
      <c r="AD165" s="11">
        <f t="shared" si="102"/>
        <v>26</v>
      </c>
      <c r="AE165" s="11">
        <f t="shared" si="102"/>
        <v>27</v>
      </c>
      <c r="AF165" s="11">
        <f t="shared" si="102"/>
        <v>28</v>
      </c>
      <c r="AG165" s="11">
        <f t="shared" si="102"/>
        <v>29</v>
      </c>
      <c r="AH165" s="11">
        <f t="shared" si="102"/>
        <v>30</v>
      </c>
      <c r="AI165" s="11">
        <f t="shared" si="102"/>
        <v>31</v>
      </c>
      <c r="AJ165" s="11">
        <f t="shared" si="102"/>
        <v>32</v>
      </c>
      <c r="AK165" s="11">
        <f t="shared" si="102"/>
        <v>33</v>
      </c>
      <c r="AL165" s="11">
        <f t="shared" si="102"/>
        <v>34</v>
      </c>
      <c r="AM165" s="11">
        <f t="shared" si="102"/>
        <v>35</v>
      </c>
      <c r="AN165" s="11">
        <f t="shared" si="102"/>
        <v>36</v>
      </c>
      <c r="AO165" s="11">
        <f t="shared" si="102"/>
        <v>37</v>
      </c>
      <c r="AP165" s="11">
        <f t="shared" si="102"/>
        <v>38</v>
      </c>
      <c r="AQ165" s="11">
        <f t="shared" si="102"/>
        <v>39</v>
      </c>
      <c r="AR165" s="11">
        <f t="shared" si="102"/>
        <v>40</v>
      </c>
    </row>
    <row r="166" spans="2:44" x14ac:dyDescent="0.2">
      <c r="B166" s="55" t="s">
        <v>300</v>
      </c>
      <c r="C166" s="150">
        <f>IRR(D163:AR163,0.5)</f>
        <v>6.8593310651230865E-2</v>
      </c>
    </row>
    <row r="167" spans="2:44" x14ac:dyDescent="0.2">
      <c r="B167" s="55" t="s">
        <v>301</v>
      </c>
      <c r="C167" s="151">
        <f>NPV(Dashboard!$C$22,D163:AR163,$D$5:$AR$5)</f>
        <v>34266003.706868052</v>
      </c>
    </row>
    <row r="168" spans="2:44" x14ac:dyDescent="0.2">
      <c r="B168" s="55" t="s">
        <v>302</v>
      </c>
      <c r="C168" s="11">
        <f>MIN(E165:AR165)</f>
        <v>14</v>
      </c>
    </row>
    <row r="169" spans="2:44" x14ac:dyDescent="0.2">
      <c r="B169" s="55" t="s">
        <v>308</v>
      </c>
      <c r="C169" s="128">
        <f>SUM(D163:AR163)</f>
        <v>118392970.64858636</v>
      </c>
    </row>
    <row r="170" spans="2:44" x14ac:dyDescent="0.2">
      <c r="B170" s="55" t="s">
        <v>88</v>
      </c>
      <c r="C170" s="128">
        <f>SUM($D$101:$AR$103)</f>
        <v>344747561.45221466</v>
      </c>
    </row>
    <row r="171" spans="2:44" x14ac:dyDescent="0.2">
      <c r="B171" s="55" t="s">
        <v>90</v>
      </c>
      <c r="C171" s="142">
        <f>C170*100/SUM($D$98:$AR$98)</f>
        <v>12.594658305161863</v>
      </c>
    </row>
    <row r="172" spans="2:44" x14ac:dyDescent="0.2">
      <c r="B172" s="55" t="s">
        <v>304</v>
      </c>
      <c r="C172" s="142">
        <f>SUM($D$99:$AR$100)*100/SUM($D$98:$AR$98)</f>
        <v>13.977657834700143</v>
      </c>
    </row>
    <row r="173" spans="2:44" x14ac:dyDescent="0.2">
      <c r="B173" s="55" t="s">
        <v>2115</v>
      </c>
      <c r="C173" s="128">
        <f>SUM($D$108:$AH$110)</f>
        <v>349926830.87569857</v>
      </c>
    </row>
    <row r="174" spans="2:44" x14ac:dyDescent="0.2">
      <c r="B174" s="55" t="s">
        <v>2116</v>
      </c>
      <c r="C174" s="142">
        <f>C173*100/SUM($D$98:$AR$98)</f>
        <v>12.783872489547599</v>
      </c>
    </row>
    <row r="176" spans="2:44" x14ac:dyDescent="0.2">
      <c r="B176" s="35" t="s">
        <v>309</v>
      </c>
    </row>
    <row r="177" spans="1:64" x14ac:dyDescent="0.2">
      <c r="B177" s="54" t="s">
        <v>310</v>
      </c>
      <c r="D177" s="11">
        <f t="shared" ref="D177:AR177" si="103">D3</f>
        <v>0</v>
      </c>
      <c r="E177" s="11">
        <f t="shared" si="103"/>
        <v>1</v>
      </c>
      <c r="F177" s="11">
        <f t="shared" si="103"/>
        <v>2</v>
      </c>
      <c r="G177" s="11">
        <f t="shared" si="103"/>
        <v>3</v>
      </c>
      <c r="H177" s="11">
        <f t="shared" si="103"/>
        <v>4</v>
      </c>
      <c r="I177" s="11">
        <f t="shared" si="103"/>
        <v>5</v>
      </c>
      <c r="J177" s="11">
        <f t="shared" si="103"/>
        <v>6</v>
      </c>
      <c r="K177" s="11">
        <f t="shared" si="103"/>
        <v>7</v>
      </c>
      <c r="L177" s="11">
        <f t="shared" si="103"/>
        <v>8</v>
      </c>
      <c r="M177" s="11">
        <f t="shared" si="103"/>
        <v>9</v>
      </c>
      <c r="N177" s="11">
        <f t="shared" si="103"/>
        <v>10</v>
      </c>
      <c r="O177" s="11">
        <f t="shared" si="103"/>
        <v>11</v>
      </c>
      <c r="P177" s="11">
        <f t="shared" si="103"/>
        <v>12</v>
      </c>
      <c r="Q177" s="11">
        <f t="shared" si="103"/>
        <v>13</v>
      </c>
      <c r="R177" s="11">
        <f t="shared" si="103"/>
        <v>14</v>
      </c>
      <c r="S177" s="11">
        <f t="shared" si="103"/>
        <v>15</v>
      </c>
      <c r="T177" s="11">
        <f t="shared" si="103"/>
        <v>16</v>
      </c>
      <c r="U177" s="11">
        <f t="shared" si="103"/>
        <v>17</v>
      </c>
      <c r="V177" s="11">
        <f t="shared" si="103"/>
        <v>18</v>
      </c>
      <c r="W177" s="11">
        <f t="shared" si="103"/>
        <v>19</v>
      </c>
      <c r="X177" s="11">
        <f t="shared" si="103"/>
        <v>20</v>
      </c>
      <c r="Y177" s="11">
        <f t="shared" si="103"/>
        <v>21</v>
      </c>
      <c r="Z177" s="11">
        <f t="shared" si="103"/>
        <v>22</v>
      </c>
      <c r="AA177" s="11">
        <f t="shared" si="103"/>
        <v>23</v>
      </c>
      <c r="AB177" s="11">
        <f t="shared" si="103"/>
        <v>24</v>
      </c>
      <c r="AC177" s="11">
        <f t="shared" si="103"/>
        <v>25</v>
      </c>
      <c r="AD177" s="11">
        <f t="shared" si="103"/>
        <v>26</v>
      </c>
      <c r="AE177" s="11">
        <f t="shared" si="103"/>
        <v>27</v>
      </c>
      <c r="AF177" s="11">
        <f t="shared" si="103"/>
        <v>28</v>
      </c>
      <c r="AG177" s="11">
        <f t="shared" si="103"/>
        <v>29</v>
      </c>
      <c r="AH177" s="11">
        <f t="shared" si="103"/>
        <v>30</v>
      </c>
      <c r="AI177" s="11">
        <f t="shared" si="103"/>
        <v>31</v>
      </c>
      <c r="AJ177" s="11">
        <f t="shared" si="103"/>
        <v>32</v>
      </c>
      <c r="AK177" s="11">
        <f t="shared" si="103"/>
        <v>33</v>
      </c>
      <c r="AL177" s="11">
        <f t="shared" si="103"/>
        <v>34</v>
      </c>
      <c r="AM177" s="11">
        <f t="shared" si="103"/>
        <v>35</v>
      </c>
      <c r="AN177" s="11">
        <f t="shared" si="103"/>
        <v>36</v>
      </c>
      <c r="AO177" s="11">
        <f t="shared" si="103"/>
        <v>37</v>
      </c>
      <c r="AP177" s="11">
        <f t="shared" si="103"/>
        <v>38</v>
      </c>
      <c r="AQ177" s="11">
        <f t="shared" si="103"/>
        <v>39</v>
      </c>
      <c r="AR177" s="11">
        <f t="shared" si="103"/>
        <v>40</v>
      </c>
    </row>
    <row r="178" spans="1:64" x14ac:dyDescent="0.2">
      <c r="B178" s="54" t="s">
        <v>61</v>
      </c>
      <c r="D178" s="128" cm="1">
        <f t="array" ref="D178:AR178">-_xlfn._xlws.FILTER(D162:AR162,D3:AR3&lt;IF(Dashboard!$F$6=Lists!$B$12,21,IF(Dashboard!$F$6=Lists!$B$13,31,41)),"0")</f>
        <v>-65210622.489293784</v>
      </c>
      <c r="E178" s="128">
        <v>-3260531.1244646893</v>
      </c>
      <c r="F178" s="128">
        <v>-3260531.1244646893</v>
      </c>
      <c r="G178" s="128">
        <v>-3260531.1244646893</v>
      </c>
      <c r="H178" s="128">
        <v>-3260531.1244646893</v>
      </c>
      <c r="I178" s="128">
        <v>-3260531.1244646893</v>
      </c>
      <c r="J178" s="128">
        <v>-3260531.1244646893</v>
      </c>
      <c r="K178" s="128">
        <v>-3260531.1244646893</v>
      </c>
      <c r="L178" s="128">
        <v>-3260531.1244646893</v>
      </c>
      <c r="M178" s="128">
        <v>-3260531.1244646893</v>
      </c>
      <c r="N178" s="128">
        <v>-3260531.1244646893</v>
      </c>
      <c r="O178" s="128">
        <v>-3260531.1244646893</v>
      </c>
      <c r="P178" s="128">
        <v>-3260531.1244646893</v>
      </c>
      <c r="Q178" s="128">
        <v>-3260531.1244646893</v>
      </c>
      <c r="R178" s="128">
        <v>-3260531.1244646893</v>
      </c>
      <c r="S178" s="128">
        <v>-3260531.1244646893</v>
      </c>
      <c r="T178" s="128">
        <v>-3260531.1244646893</v>
      </c>
      <c r="U178" s="128">
        <v>-3260531.1244646893</v>
      </c>
      <c r="V178" s="128">
        <v>-3260531.1244646893</v>
      </c>
      <c r="W178" s="128">
        <v>-3260531.1244646893</v>
      </c>
      <c r="X178" s="128">
        <v>-3260531.1244646893</v>
      </c>
      <c r="Y178" s="128">
        <v>-3260531.1244646893</v>
      </c>
      <c r="Z178" s="128">
        <v>-3260531.1244646893</v>
      </c>
      <c r="AA178" s="128">
        <v>-3260531.1244646893</v>
      </c>
      <c r="AB178" s="128">
        <v>-3260531.1244646893</v>
      </c>
      <c r="AC178" s="128">
        <v>-3260531.1244646893</v>
      </c>
      <c r="AD178" s="128">
        <v>-3260531.1244646893</v>
      </c>
      <c r="AE178" s="128">
        <v>-3260531.1244646893</v>
      </c>
      <c r="AF178" s="128">
        <v>-3260531.1244646893</v>
      </c>
      <c r="AG178" s="128">
        <v>-3260531.1244646893</v>
      </c>
      <c r="AH178" s="128">
        <v>-3260531.1244646893</v>
      </c>
      <c r="AI178" s="128">
        <v>-3260531.1244646893</v>
      </c>
      <c r="AJ178" s="128">
        <v>-3260531.1244646893</v>
      </c>
      <c r="AK178" s="128">
        <v>-3260531.1244646893</v>
      </c>
      <c r="AL178" s="128">
        <v>-3260531.1244646893</v>
      </c>
      <c r="AM178" s="128">
        <v>-3260531.1244646893</v>
      </c>
      <c r="AN178" s="128">
        <v>-3260531.1244646893</v>
      </c>
      <c r="AO178" s="128">
        <v>-3260531.1244646893</v>
      </c>
      <c r="AP178" s="128">
        <v>-3260531.1244646893</v>
      </c>
      <c r="AQ178" s="128">
        <v>-3260531.1244646893</v>
      </c>
      <c r="AR178" s="128">
        <v>-3260531.1244646893</v>
      </c>
    </row>
    <row r="179" spans="1:64" x14ac:dyDescent="0.2">
      <c r="B179" s="54" t="s">
        <v>311</v>
      </c>
      <c r="D179" s="152" cm="1">
        <f t="array" ref="D179:AR179">_xlfn._xlws.FILTER(D163:AR163,D3:AR3&lt;IF(Dashboard!$F$6=Lists!$B$12,21,IF(Dashboard!$F$6=Lists!$B$13,31,41)),"0")</f>
        <v>-65210622.489293784</v>
      </c>
      <c r="E179" s="128">
        <v>5557759.7102121022</v>
      </c>
      <c r="F179" s="128">
        <v>5299893.3084384333</v>
      </c>
      <c r="G179" s="128">
        <v>5205023.6579550896</v>
      </c>
      <c r="H179" s="128">
        <v>5342906.5082848184</v>
      </c>
      <c r="I179" s="128">
        <v>5404164.7827044986</v>
      </c>
      <c r="J179" s="128">
        <v>5248203.2094499916</v>
      </c>
      <c r="K179" s="128">
        <v>5004005.4591143783</v>
      </c>
      <c r="L179" s="128">
        <v>4779669.0981685929</v>
      </c>
      <c r="M179" s="128">
        <v>4678514.2873934135</v>
      </c>
      <c r="N179" s="128">
        <v>4609704.4548536576</v>
      </c>
      <c r="O179" s="128">
        <v>4465918.9280381221</v>
      </c>
      <c r="P179" s="128">
        <v>4545285.7462428715</v>
      </c>
      <c r="Q179" s="128">
        <v>4500888.6885916311</v>
      </c>
      <c r="R179" s="128">
        <v>4405987.2332752775</v>
      </c>
      <c r="S179" s="128">
        <v>4405987.2332752775</v>
      </c>
      <c r="T179" s="128">
        <v>4405987.2332752775</v>
      </c>
      <c r="U179" s="128">
        <v>4405987.2332752775</v>
      </c>
      <c r="V179" s="128">
        <v>4405987.2332752775</v>
      </c>
      <c r="W179" s="128">
        <v>4405987.2332752775</v>
      </c>
      <c r="X179" s="128">
        <v>4405987.2332752775</v>
      </c>
      <c r="Y179" s="11">
        <v>4405987.2332752775</v>
      </c>
      <c r="Z179" s="11">
        <v>4405987.2332752775</v>
      </c>
      <c r="AA179" s="11">
        <v>4405987.2332752775</v>
      </c>
      <c r="AB179" s="11">
        <v>4405987.2332752775</v>
      </c>
      <c r="AC179" s="11">
        <v>4405987.2332752775</v>
      </c>
      <c r="AD179" s="11">
        <v>4405987.2332752775</v>
      </c>
      <c r="AE179" s="11">
        <v>4405987.2332752775</v>
      </c>
      <c r="AF179" s="11">
        <v>4405987.2332752775</v>
      </c>
      <c r="AG179" s="11">
        <v>4405987.2332752775</v>
      </c>
      <c r="AH179" s="11">
        <v>4405987.2332752775</v>
      </c>
      <c r="AI179" s="11">
        <v>4405987.2332752775</v>
      </c>
      <c r="AJ179" s="11">
        <v>4405987.2332752775</v>
      </c>
      <c r="AK179" s="11">
        <v>4405987.2332752775</v>
      </c>
      <c r="AL179" s="11">
        <v>4405987.2332752775</v>
      </c>
      <c r="AM179" s="11">
        <v>4405987.2332752775</v>
      </c>
      <c r="AN179" s="11">
        <v>4405987.2332752775</v>
      </c>
      <c r="AO179" s="11">
        <v>4405987.2332752775</v>
      </c>
      <c r="AP179" s="11">
        <v>4405987.2332752775</v>
      </c>
      <c r="AQ179" s="11">
        <v>4405987.2332752775</v>
      </c>
      <c r="AR179" s="11">
        <v>4405987.2332752775</v>
      </c>
    </row>
    <row r="180" spans="1:64" x14ac:dyDescent="0.2">
      <c r="B180" s="54" t="s">
        <v>312</v>
      </c>
      <c r="C180" s="140"/>
      <c r="D180" s="140" cm="1">
        <f t="array" ref="D180:AR180">_xlfn._xlws.FILTER(D164:AR164,D3:AR3&lt;IF(Dashboard!$F$6=Lists!$B$12,21,IF(Dashboard!$F$6=Lists!$B$13,31,41)),"0")</f>
        <v>-65210622.489293784</v>
      </c>
      <c r="E180" s="140">
        <v>-59652862.77908168</v>
      </c>
      <c r="F180" s="140">
        <v>-54352969.470643245</v>
      </c>
      <c r="G180" s="140">
        <v>-49147945.812688157</v>
      </c>
      <c r="H180" s="140">
        <v>-43805039.304403335</v>
      </c>
      <c r="I180" s="140">
        <v>-38400874.521698833</v>
      </c>
      <c r="J180" s="140">
        <v>-33152671.312248841</v>
      </c>
      <c r="K180" s="140">
        <v>-28148665.853134461</v>
      </c>
      <c r="L180" s="140">
        <v>-23368996.754965868</v>
      </c>
      <c r="M180" s="140">
        <v>-18690482.467572454</v>
      </c>
      <c r="N180" s="140">
        <v>-14080778.012718797</v>
      </c>
      <c r="O180" s="140">
        <v>-9614859.0846806746</v>
      </c>
      <c r="P180" s="140">
        <v>-5069573.3384378031</v>
      </c>
      <c r="Q180" s="140">
        <v>-568684.64984617196</v>
      </c>
      <c r="R180" s="140">
        <v>3837302.5834291056</v>
      </c>
      <c r="S180" s="140">
        <v>8243289.8167043831</v>
      </c>
      <c r="T180" s="140">
        <v>12649277.049979661</v>
      </c>
      <c r="U180" s="140">
        <v>17055264.283254936</v>
      </c>
      <c r="V180" s="140">
        <v>21461251.516530216</v>
      </c>
      <c r="W180" s="140">
        <v>25867238.749805495</v>
      </c>
      <c r="X180" s="140">
        <v>30273225.983080775</v>
      </c>
      <c r="Y180" s="11">
        <v>34679213.216356054</v>
      </c>
      <c r="Z180" s="11">
        <v>39085200.449631333</v>
      </c>
      <c r="AA180" s="11">
        <v>43491187.682906613</v>
      </c>
      <c r="AB180" s="11">
        <v>47897174.916181892</v>
      </c>
      <c r="AC180" s="11">
        <v>52303162.149457172</v>
      </c>
      <c r="AD180" s="11">
        <v>56709149.382732451</v>
      </c>
      <c r="AE180" s="11">
        <v>61115136.61600773</v>
      </c>
      <c r="AF180" s="11">
        <v>65521123.84928301</v>
      </c>
      <c r="AG180" s="11">
        <v>69927111.082558289</v>
      </c>
      <c r="AH180" s="11">
        <v>74333098.315833569</v>
      </c>
      <c r="AI180" s="11">
        <v>78739085.549108848</v>
      </c>
      <c r="AJ180" s="11">
        <v>83145072.782384127</v>
      </c>
      <c r="AK180" s="11">
        <v>87551060.015659407</v>
      </c>
      <c r="AL180" s="11">
        <v>91957047.248934686</v>
      </c>
      <c r="AM180" s="11">
        <v>96363034.482209966</v>
      </c>
      <c r="AN180" s="11">
        <v>100769021.71548524</v>
      </c>
      <c r="AO180" s="11">
        <v>105175008.94876052</v>
      </c>
      <c r="AP180" s="11">
        <v>109580996.1820358</v>
      </c>
      <c r="AQ180" s="11">
        <v>113986983.41531108</v>
      </c>
      <c r="AR180" s="11">
        <v>118392970.64858636</v>
      </c>
    </row>
    <row r="181" spans="1:64" x14ac:dyDescent="0.2">
      <c r="B181" s="54" t="s">
        <v>71</v>
      </c>
      <c r="C181" s="140"/>
      <c r="D181" s="140" cm="1">
        <f t="array" ref="D181:AR181">_xlfn._xlws.FILTER(-E66:AS66+E77:AS77,D3:AR3&lt;IF(Dashboard!$F$6=Lists!$B$12,21,IF(Dashboard!$F$6=Lists!$B$13,31,41)),"0")</f>
        <v>8818290.834676791</v>
      </c>
      <c r="E181" s="140">
        <v>8560424.4329031222</v>
      </c>
      <c r="F181" s="140">
        <v>8465554.7824197784</v>
      </c>
      <c r="G181" s="140">
        <v>8603437.6327495072</v>
      </c>
      <c r="H181" s="140">
        <v>8664695.9071691874</v>
      </c>
      <c r="I181" s="140">
        <v>8508734.3339146804</v>
      </c>
      <c r="J181" s="140">
        <v>8264536.5835790671</v>
      </c>
      <c r="K181" s="140">
        <v>8040200.2226332817</v>
      </c>
      <c r="L181" s="140">
        <v>7939045.4118581023</v>
      </c>
      <c r="M181" s="140">
        <v>7870235.5793183465</v>
      </c>
      <c r="N181" s="140">
        <v>7726450.052502811</v>
      </c>
      <c r="O181" s="140">
        <v>7805816.8707075603</v>
      </c>
      <c r="P181" s="140">
        <v>7761419.81305632</v>
      </c>
      <c r="Q181" s="140">
        <v>7666518.3577399664</v>
      </c>
      <c r="R181" s="140">
        <v>7666518.3577399664</v>
      </c>
      <c r="S181" s="140">
        <v>7666518.3577399664</v>
      </c>
      <c r="T181" s="140">
        <v>7666518.3577399664</v>
      </c>
      <c r="U181" s="140">
        <v>7666518.3577399664</v>
      </c>
      <c r="V181" s="140">
        <v>7666518.3577399664</v>
      </c>
      <c r="W181" s="140">
        <v>7666518.3577399664</v>
      </c>
      <c r="X181" s="140">
        <v>7666518.3577399664</v>
      </c>
      <c r="Y181" s="11">
        <v>7666518.3577399664</v>
      </c>
      <c r="Z181" s="11">
        <v>7666518.3577399664</v>
      </c>
      <c r="AA181" s="11">
        <v>7666518.3577399664</v>
      </c>
      <c r="AB181" s="11">
        <v>7666518.3577399664</v>
      </c>
      <c r="AC181" s="11">
        <v>7666518.3577399664</v>
      </c>
      <c r="AD181" s="11">
        <v>7666518.3577399664</v>
      </c>
      <c r="AE181" s="11">
        <v>7666518.3577399664</v>
      </c>
      <c r="AF181" s="11">
        <v>7666518.3577399664</v>
      </c>
      <c r="AG181" s="11">
        <v>7666518.3577399664</v>
      </c>
      <c r="AH181" s="11">
        <v>7666518.3577399664</v>
      </c>
      <c r="AI181" s="11">
        <v>7666518.3577399664</v>
      </c>
      <c r="AJ181" s="11">
        <v>7666518.3577399664</v>
      </c>
      <c r="AK181" s="11">
        <v>7666518.3577399664</v>
      </c>
      <c r="AL181" s="11">
        <v>7666518.3577399664</v>
      </c>
      <c r="AM181" s="11">
        <v>7666518.3577399664</v>
      </c>
      <c r="AN181" s="11">
        <v>7666518.3577399664</v>
      </c>
      <c r="AO181" s="11">
        <v>7666518.3577399664</v>
      </c>
      <c r="AP181" s="11">
        <v>7666518.3577399664</v>
      </c>
      <c r="AQ181" s="11">
        <v>7666518.3577399664</v>
      </c>
      <c r="AR181" s="11">
        <v>7666518.3577399664</v>
      </c>
    </row>
    <row r="182" spans="1:64" x14ac:dyDescent="0.2">
      <c r="B182" s="54" t="s">
        <v>60</v>
      </c>
      <c r="C182" s="140"/>
      <c r="D182" s="140"/>
      <c r="E182" s="140"/>
      <c r="F182" s="140"/>
      <c r="G182" s="140"/>
      <c r="H182" s="140"/>
      <c r="I182" s="140"/>
      <c r="J182" s="140"/>
      <c r="K182" s="140"/>
      <c r="L182" s="140"/>
      <c r="M182" s="140"/>
      <c r="N182" s="140"/>
      <c r="O182" s="140"/>
      <c r="P182" s="140"/>
      <c r="Q182" s="140"/>
      <c r="R182" s="140"/>
      <c r="S182" s="140"/>
      <c r="T182" s="140"/>
      <c r="U182" s="140"/>
      <c r="V182" s="140"/>
      <c r="W182" s="140"/>
      <c r="X182" s="140"/>
    </row>
    <row r="183" spans="1:64" x14ac:dyDescent="0.2">
      <c r="B183" s="54" t="s">
        <v>70</v>
      </c>
      <c r="C183" s="140"/>
      <c r="D183" s="140" cm="1">
        <f t="array" ref="D183:AR183">_xlfn._xlws.FILTER(-E66:AS66,D6:AR6&lt;IF(Dashboard!$F$6=Lists!$B$12,21,IF(Dashboard!$F$6=Lists!$B$13,31,41)),"0")</f>
        <v>-9975673.3051853254</v>
      </c>
      <c r="E183" s="140">
        <v>-9824187.5703201815</v>
      </c>
      <c r="F183" s="140">
        <v>-9768455.6152418219</v>
      </c>
      <c r="G183" s="140">
        <v>-9849456.0277183261</v>
      </c>
      <c r="H183" s="140">
        <v>-9885442.7039708626</v>
      </c>
      <c r="I183" s="140">
        <v>-9793821.7972816732</v>
      </c>
      <c r="J183" s="140">
        <v>-9650365.8239266239</v>
      </c>
      <c r="K183" s="140">
        <v>-9518577.5868352633</v>
      </c>
      <c r="L183" s="140">
        <v>-9459153.3627408314</v>
      </c>
      <c r="M183" s="140">
        <v>-9418730.4616706055</v>
      </c>
      <c r="N183" s="140">
        <v>-9334262.4734301642</v>
      </c>
      <c r="O183" s="140">
        <v>-9380887.1624046005</v>
      </c>
      <c r="P183" s="140">
        <v>-9354805.7463771999</v>
      </c>
      <c r="Q183" s="140">
        <v>-9299055.1072885618</v>
      </c>
      <c r="R183" s="140">
        <v>-9299055.1072885618</v>
      </c>
      <c r="S183" s="140">
        <v>-9299055.1072885618</v>
      </c>
      <c r="T183" s="140">
        <v>-9299055.1072885618</v>
      </c>
      <c r="U183" s="140">
        <v>-9299055.1072885618</v>
      </c>
      <c r="V183" s="140">
        <v>-9299055.1072885618</v>
      </c>
      <c r="W183" s="140">
        <v>-9299055.1072885618</v>
      </c>
      <c r="X183" s="140">
        <v>-9299055.1072885618</v>
      </c>
      <c r="Y183" s="11">
        <v>-9299055.1072885618</v>
      </c>
      <c r="Z183" s="11">
        <v>-9299055.1072885618</v>
      </c>
      <c r="AA183" s="11">
        <v>-9299055.1072885618</v>
      </c>
      <c r="AB183" s="11">
        <v>-9299055.1072885618</v>
      </c>
      <c r="AC183" s="11">
        <v>-9299055.1072885618</v>
      </c>
      <c r="AD183" s="11">
        <v>-9299055.1072885618</v>
      </c>
      <c r="AE183" s="11">
        <v>-9299055.1072885618</v>
      </c>
      <c r="AF183" s="11">
        <v>-9299055.1072885618</v>
      </c>
      <c r="AG183" s="11">
        <v>-9299055.1072885618</v>
      </c>
      <c r="AH183" s="11">
        <v>-9299055.1072885618</v>
      </c>
      <c r="AI183" s="11">
        <v>-9299055.1072885618</v>
      </c>
      <c r="AJ183" s="11">
        <v>-9299055.1072885618</v>
      </c>
      <c r="AK183" s="11">
        <v>-9299055.1072885618</v>
      </c>
      <c r="AL183" s="11">
        <v>-9299055.1072885618</v>
      </c>
      <c r="AM183" s="11">
        <v>-9299055.1072885618</v>
      </c>
      <c r="AN183" s="11">
        <v>-9299055.1072885618</v>
      </c>
      <c r="AO183" s="11">
        <v>-9299055.1072885618</v>
      </c>
      <c r="AP183" s="11">
        <v>-9299055.1072885618</v>
      </c>
      <c r="AQ183" s="11">
        <v>-9299055.1072885618</v>
      </c>
      <c r="AR183" s="11">
        <v>-9299055.1072885618</v>
      </c>
    </row>
    <row r="184" spans="1:64" x14ac:dyDescent="0.2">
      <c r="B184" s="54" t="s">
        <v>98</v>
      </c>
      <c r="C184" s="140"/>
      <c r="D184" s="140"/>
      <c r="E184" s="140"/>
      <c r="F184" s="140"/>
      <c r="G184" s="140"/>
      <c r="H184" s="140"/>
      <c r="I184" s="140"/>
      <c r="J184" s="140"/>
      <c r="K184" s="140"/>
      <c r="L184" s="140"/>
      <c r="M184" s="140"/>
      <c r="N184" s="140"/>
      <c r="O184" s="140"/>
      <c r="P184" s="140"/>
      <c r="Q184" s="140"/>
      <c r="R184" s="140"/>
      <c r="S184" s="140"/>
      <c r="T184" s="140"/>
      <c r="U184" s="140"/>
      <c r="V184" s="140"/>
      <c r="W184" s="140"/>
      <c r="X184" s="140"/>
    </row>
    <row r="186" spans="1:64" x14ac:dyDescent="0.2">
      <c r="A186" s="51"/>
      <c r="B186" s="33" t="s">
        <v>73</v>
      </c>
      <c r="C186" s="33"/>
      <c r="D186" s="51"/>
      <c r="E186" s="51"/>
      <c r="F186" s="51"/>
      <c r="G186" s="51"/>
      <c r="H186" s="51"/>
      <c r="I186" s="51"/>
      <c r="J186" s="51"/>
      <c r="K186" s="51"/>
      <c r="L186" s="51"/>
      <c r="M186" s="51"/>
      <c r="N186" s="51"/>
      <c r="O186" s="51"/>
      <c r="P186" s="51"/>
      <c r="Q186" s="51"/>
      <c r="R186" s="51"/>
      <c r="S186" s="51"/>
      <c r="T186" s="51"/>
      <c r="U186" s="51"/>
      <c r="V186" s="51"/>
      <c r="W186" s="51"/>
      <c r="X186" s="51"/>
      <c r="Y186" s="51"/>
      <c r="Z186" s="51"/>
      <c r="AA186" s="51"/>
      <c r="AB186" s="51"/>
      <c r="AC186" s="51"/>
      <c r="AD186" s="51"/>
      <c r="AE186" s="51"/>
      <c r="AF186" s="51"/>
      <c r="AG186" s="51"/>
      <c r="AH186" s="51"/>
      <c r="AI186" s="51"/>
      <c r="AJ186" s="51"/>
      <c r="AK186" s="51"/>
      <c r="AL186" s="51"/>
      <c r="AM186" s="51"/>
      <c r="AN186" s="51"/>
      <c r="AO186" s="51"/>
      <c r="AP186" s="51"/>
      <c r="AQ186" s="51"/>
      <c r="AR186" s="51"/>
      <c r="AS186" s="51"/>
      <c r="AT186" s="51"/>
      <c r="AU186" s="51"/>
      <c r="AV186" s="51"/>
      <c r="AW186" s="51"/>
      <c r="AX186" s="51"/>
      <c r="AY186" s="51"/>
      <c r="AZ186" s="51"/>
      <c r="BA186" s="51"/>
      <c r="BB186" s="51"/>
      <c r="BC186" s="51"/>
      <c r="BD186" s="51"/>
      <c r="BE186" s="51"/>
      <c r="BF186" s="51"/>
      <c r="BG186" s="51"/>
      <c r="BH186" s="51"/>
      <c r="BI186" s="51"/>
      <c r="BJ186" s="51"/>
      <c r="BK186" s="51"/>
      <c r="BL186" s="51"/>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DD5B2-03A8-43C9-AEE6-D3D80A19AA02}">
  <sheetPr>
    <tabColor theme="7" tint="0.79998168889431442"/>
  </sheetPr>
  <dimension ref="A2:BO64"/>
  <sheetViews>
    <sheetView topLeftCell="A12" workbookViewId="0">
      <selection activeCell="A36" sqref="A36:XFD36"/>
    </sheetView>
  </sheetViews>
  <sheetFormatPr defaultColWidth="9.140625" defaultRowHeight="12.75" x14ac:dyDescent="0.2"/>
  <cols>
    <col min="1" max="1" width="3" style="11" customWidth="1"/>
    <col min="2" max="2" width="72.7109375" style="11" customWidth="1"/>
    <col min="3" max="3" width="12" style="11" customWidth="1"/>
    <col min="4" max="67" width="15.28515625" style="11" customWidth="1"/>
    <col min="68" max="16384" width="9.140625" style="11"/>
  </cols>
  <sheetData>
    <row r="2" spans="1:67" x14ac:dyDescent="0.2">
      <c r="B2" s="34" t="s">
        <v>147</v>
      </c>
      <c r="D2" s="11">
        <f>'Financial Analysis'!E4</f>
        <v>1</v>
      </c>
      <c r="E2" s="11">
        <f>'Financial Analysis'!F4</f>
        <v>1</v>
      </c>
      <c r="F2" s="11">
        <f>'Financial Analysis'!G4</f>
        <v>1</v>
      </c>
      <c r="G2" s="11">
        <f>'Financial Analysis'!H4</f>
        <v>1</v>
      </c>
      <c r="H2" s="11">
        <f>'Financial Analysis'!I4</f>
        <v>1</v>
      </c>
      <c r="I2" s="11">
        <f>'Financial Analysis'!J4</f>
        <v>2</v>
      </c>
      <c r="J2" s="11">
        <f>'Financial Analysis'!K4</f>
        <v>2</v>
      </c>
      <c r="K2" s="11">
        <f>'Financial Analysis'!L4</f>
        <v>2</v>
      </c>
      <c r="L2" s="11">
        <f>'Financial Analysis'!M4</f>
        <v>2</v>
      </c>
      <c r="M2" s="11">
        <f>'Financial Analysis'!N4</f>
        <v>2</v>
      </c>
      <c r="N2" s="11">
        <f>'Financial Analysis'!O4</f>
        <v>3</v>
      </c>
      <c r="O2" s="11">
        <f>'Financial Analysis'!P4</f>
        <v>3</v>
      </c>
      <c r="P2" s="11">
        <f>'Financial Analysis'!Q4</f>
        <v>3</v>
      </c>
      <c r="Q2" s="11">
        <f>'Financial Analysis'!R4</f>
        <v>3</v>
      </c>
      <c r="R2" s="11">
        <f>'Financial Analysis'!S4</f>
        <v>3</v>
      </c>
      <c r="S2" s="11">
        <f>'Financial Analysis'!T4</f>
        <v>3</v>
      </c>
      <c r="T2" s="11">
        <f>'Financial Analysis'!U4</f>
        <v>3</v>
      </c>
      <c r="U2" s="11">
        <f>'Financial Analysis'!V4</f>
        <v>3</v>
      </c>
      <c r="V2" s="11">
        <f>'Financial Analysis'!W4</f>
        <v>3</v>
      </c>
      <c r="W2" s="11">
        <f>'Financial Analysis'!X4</f>
        <v>3</v>
      </c>
      <c r="X2" s="11">
        <f>'Financial Analysis'!Y4</f>
        <v>3</v>
      </c>
      <c r="Y2" s="11">
        <f>'Financial Analysis'!Z4</f>
        <v>3</v>
      </c>
      <c r="Z2" s="11">
        <f>'Financial Analysis'!AA4</f>
        <v>3</v>
      </c>
      <c r="AA2" s="11">
        <f>'Financial Analysis'!AB4</f>
        <v>3</v>
      </c>
      <c r="AB2" s="11">
        <f>'Financial Analysis'!AC4</f>
        <v>3</v>
      </c>
      <c r="AC2" s="11">
        <f>'Financial Analysis'!AD4</f>
        <v>3</v>
      </c>
      <c r="AD2" s="11">
        <f>'Financial Analysis'!AE4</f>
        <v>3</v>
      </c>
      <c r="AE2" s="11">
        <f>'Financial Analysis'!AF4</f>
        <v>3</v>
      </c>
      <c r="AF2" s="11">
        <f>'Financial Analysis'!AG4</f>
        <v>3</v>
      </c>
      <c r="AG2" s="11">
        <f>'Financial Analysis'!AH4</f>
        <v>3</v>
      </c>
      <c r="AH2" s="11">
        <f>'Financial Analysis'!AI4</f>
        <v>3</v>
      </c>
      <c r="AI2" s="11">
        <f>'Financial Analysis'!AJ4</f>
        <v>3</v>
      </c>
      <c r="AJ2" s="11">
        <f>'Financial Analysis'!AK4</f>
        <v>3</v>
      </c>
      <c r="AK2" s="11">
        <f>'Financial Analysis'!AL4</f>
        <v>3</v>
      </c>
      <c r="AL2" s="11">
        <f>'Financial Analysis'!AM4</f>
        <v>3</v>
      </c>
      <c r="AM2" s="11">
        <f>'Financial Analysis'!AN4</f>
        <v>3</v>
      </c>
      <c r="AN2" s="11">
        <f>'Financial Analysis'!AO4</f>
        <v>3</v>
      </c>
      <c r="AO2" s="11">
        <f>'Financial Analysis'!AP4</f>
        <v>3</v>
      </c>
      <c r="AP2" s="11">
        <f>'Financial Analysis'!AQ4</f>
        <v>3</v>
      </c>
      <c r="AQ2" s="11">
        <f>'Financial Analysis'!AR4</f>
        <v>3</v>
      </c>
      <c r="AR2" s="11">
        <f>'Financial Analysis'!AS4</f>
        <v>3</v>
      </c>
      <c r="AS2" s="11">
        <f>'Financial Analysis'!AT4</f>
        <v>3</v>
      </c>
      <c r="AT2" s="11">
        <f>'Financial Analysis'!AU4</f>
        <v>3</v>
      </c>
      <c r="AU2" s="11">
        <f>'Financial Analysis'!AV4</f>
        <v>3</v>
      </c>
      <c r="AV2" s="11">
        <f>'Financial Analysis'!AW4</f>
        <v>3</v>
      </c>
      <c r="AW2" s="11">
        <f>'Financial Analysis'!AX4</f>
        <v>3</v>
      </c>
      <c r="AX2" s="11">
        <f>'Financial Analysis'!AY4</f>
        <v>3</v>
      </c>
      <c r="AY2" s="11">
        <f>'Financial Analysis'!AZ4</f>
        <v>3</v>
      </c>
      <c r="AZ2" s="11">
        <f>'Financial Analysis'!BA4</f>
        <v>3</v>
      </c>
      <c r="BA2" s="11">
        <f>'Financial Analysis'!BB4</f>
        <v>3</v>
      </c>
      <c r="BB2" s="11">
        <f>'Financial Analysis'!BC4</f>
        <v>3</v>
      </c>
      <c r="BC2" s="11">
        <f>'Financial Analysis'!BD4</f>
        <v>3</v>
      </c>
      <c r="BD2" s="11">
        <f>'Financial Analysis'!BE4</f>
        <v>3</v>
      </c>
      <c r="BE2" s="11">
        <f>'Financial Analysis'!BF4</f>
        <v>3</v>
      </c>
      <c r="BF2" s="11">
        <f>'Financial Analysis'!BG4</f>
        <v>3</v>
      </c>
      <c r="BG2" s="11">
        <f>'Financial Analysis'!BH4</f>
        <v>3</v>
      </c>
      <c r="BH2" s="11">
        <f>'Financial Analysis'!BI4</f>
        <v>3</v>
      </c>
      <c r="BI2" s="11">
        <f>'Financial Analysis'!BJ4</f>
        <v>3</v>
      </c>
      <c r="BJ2" s="11">
        <f>'Financial Analysis'!BK4</f>
        <v>3</v>
      </c>
      <c r="BK2" s="11">
        <f>'Financial Analysis'!BL4</f>
        <v>3</v>
      </c>
    </row>
    <row r="3" spans="1:67" x14ac:dyDescent="0.2">
      <c r="B3" s="60" t="s">
        <v>247</v>
      </c>
      <c r="D3" s="11">
        <f>IF(Dashboard!$C$26&lt;=CO2e!D21,1,0)</f>
        <v>1</v>
      </c>
      <c r="E3" s="11">
        <f>IF(Dashboard!$C$26&lt;=CO2e!E21,1,0)</f>
        <v>1</v>
      </c>
      <c r="F3" s="11">
        <f>IF(Dashboard!$C$26&lt;=CO2e!F21,1,0)</f>
        <v>1</v>
      </c>
      <c r="G3" s="11">
        <f>IF(Dashboard!$C$26&lt;=CO2e!G21,1,0)</f>
        <v>1</v>
      </c>
      <c r="H3" s="11">
        <f>IF(Dashboard!$C$26&lt;=CO2e!H21,1,0)</f>
        <v>1</v>
      </c>
      <c r="I3" s="11">
        <f>IF(Dashboard!$C$26&lt;=CO2e!I21,1,0)</f>
        <v>1</v>
      </c>
      <c r="J3" s="11">
        <f>IF(Dashboard!$C$26&lt;=CO2e!J21,1,0)</f>
        <v>1</v>
      </c>
      <c r="K3" s="11">
        <f>IF(Dashboard!$C$26&lt;=CO2e!K21,1,0)</f>
        <v>1</v>
      </c>
      <c r="L3" s="11">
        <f>IF(Dashboard!$C$26&lt;=CO2e!L21,1,0)</f>
        <v>1</v>
      </c>
      <c r="M3" s="11">
        <f>IF(Dashboard!$C$26&lt;=CO2e!M21,1,0)</f>
        <v>1</v>
      </c>
      <c r="N3" s="11">
        <f>IF(Dashboard!$C$26&lt;=CO2e!N21,1,0)</f>
        <v>1</v>
      </c>
      <c r="O3" s="11">
        <f>IF(Dashboard!$C$26&lt;=CO2e!O21,1,0)</f>
        <v>1</v>
      </c>
      <c r="P3" s="11">
        <f>IF(Dashboard!$C$26&lt;=CO2e!P21,1,0)</f>
        <v>1</v>
      </c>
      <c r="Q3" s="11">
        <f>IF(Dashboard!$C$26&lt;=CO2e!Q21,1,0)</f>
        <v>1</v>
      </c>
      <c r="R3" s="11">
        <f>IF(Dashboard!$C$26&lt;=CO2e!R21,1,0)</f>
        <v>1</v>
      </c>
      <c r="S3" s="11">
        <f>IF(Dashboard!$C$26&lt;=CO2e!S21,1,0)</f>
        <v>1</v>
      </c>
      <c r="T3" s="11">
        <f>IF(Dashboard!$C$26&lt;=CO2e!T21,1,0)</f>
        <v>1</v>
      </c>
      <c r="U3" s="11">
        <f>IF(Dashboard!$C$26&lt;=CO2e!U21,1,0)</f>
        <v>1</v>
      </c>
      <c r="V3" s="11">
        <f>IF(Dashboard!$C$26&lt;=CO2e!V21,1,0)</f>
        <v>1</v>
      </c>
      <c r="W3" s="11">
        <f>IF(Dashboard!$C$26&lt;=CO2e!W21,1,0)</f>
        <v>1</v>
      </c>
      <c r="X3" s="11">
        <f>IF(Dashboard!$C$26&lt;=CO2e!X21,1,0)</f>
        <v>1</v>
      </c>
      <c r="Y3" s="11">
        <f>IF(Dashboard!$C$26&lt;=CO2e!Y21,1,0)</f>
        <v>1</v>
      </c>
      <c r="Z3" s="11">
        <f>IF(Dashboard!$C$26&lt;=CO2e!Z21,1,0)</f>
        <v>1</v>
      </c>
      <c r="AA3" s="11">
        <f>IF(Dashboard!$C$26&lt;=CO2e!AA21,1,0)</f>
        <v>1</v>
      </c>
      <c r="AB3" s="11">
        <f>IF(Dashboard!$C$26&lt;=CO2e!AB21,1,0)</f>
        <v>1</v>
      </c>
      <c r="AC3" s="11">
        <f>IF(Dashboard!$C$26&lt;=CO2e!AC21,1,0)</f>
        <v>1</v>
      </c>
      <c r="AD3" s="11">
        <f>IF(Dashboard!$C$26&lt;=CO2e!AD21,1,0)</f>
        <v>1</v>
      </c>
      <c r="AE3" s="11">
        <f>IF(Dashboard!$C$26&lt;=CO2e!AE21,1,0)</f>
        <v>1</v>
      </c>
      <c r="AF3" s="11">
        <f>IF(Dashboard!$C$26&lt;=CO2e!AF21,1,0)</f>
        <v>1</v>
      </c>
      <c r="AG3" s="11">
        <f>IF(Dashboard!$C$26&lt;=CO2e!AG21,1,0)</f>
        <v>1</v>
      </c>
      <c r="AH3" s="11">
        <f>IF(Dashboard!$C$26&lt;=CO2e!AH21,1,0)</f>
        <v>1</v>
      </c>
      <c r="AI3" s="11">
        <f>IF(Dashboard!$C$26&lt;=CO2e!AI21,1,0)</f>
        <v>1</v>
      </c>
      <c r="AJ3" s="11">
        <f>IF(Dashboard!$C$26&lt;=CO2e!AJ21,1,0)</f>
        <v>1</v>
      </c>
      <c r="AK3" s="11">
        <f>IF(Dashboard!$C$26&lt;=CO2e!AK21,1,0)</f>
        <v>1</v>
      </c>
      <c r="AL3" s="11">
        <f>IF(Dashboard!$C$26&lt;=CO2e!AL21,1,0)</f>
        <v>1</v>
      </c>
      <c r="AM3" s="11">
        <f>IF(Dashboard!$C$26&lt;=CO2e!AM21,1,0)</f>
        <v>1</v>
      </c>
      <c r="AN3" s="11">
        <f>IF(Dashboard!$C$26&lt;=CO2e!AN21,1,0)</f>
        <v>1</v>
      </c>
      <c r="AO3" s="11">
        <f>IF(Dashboard!$C$26&lt;=CO2e!AO21,1,0)</f>
        <v>1</v>
      </c>
      <c r="AP3" s="11">
        <f>IF(Dashboard!$C$26&lt;=CO2e!AP21,1,0)</f>
        <v>1</v>
      </c>
      <c r="AQ3" s="11">
        <f>IF(Dashboard!$C$26&lt;=CO2e!AQ21,1,0)</f>
        <v>1</v>
      </c>
      <c r="AR3" s="11">
        <f>IF(Dashboard!$C$26&lt;=CO2e!AR21,1,0)</f>
        <v>1</v>
      </c>
      <c r="AS3" s="11">
        <f>IF(Dashboard!$C$26&lt;=CO2e!AS21,1,0)</f>
        <v>1</v>
      </c>
      <c r="AT3" s="11">
        <f>IF(Dashboard!$C$26&lt;=CO2e!AT21,1,0)</f>
        <v>1</v>
      </c>
      <c r="AU3" s="11">
        <f>IF(Dashboard!$C$26&lt;=CO2e!AU21,1,0)</f>
        <v>1</v>
      </c>
      <c r="AV3" s="11">
        <f>IF(Dashboard!$C$26&lt;=CO2e!AV21,1,0)</f>
        <v>1</v>
      </c>
      <c r="AW3" s="11">
        <f>IF(Dashboard!$C$26&lt;=CO2e!AW21,1,0)</f>
        <v>1</v>
      </c>
      <c r="AX3" s="11">
        <f>IF(Dashboard!$C$26&lt;=CO2e!AX21,1,0)</f>
        <v>1</v>
      </c>
      <c r="AY3" s="11">
        <f>IF(Dashboard!$C$26&lt;=CO2e!AY21,1,0)</f>
        <v>1</v>
      </c>
      <c r="AZ3" s="11">
        <f>IF(Dashboard!$C$26&lt;=CO2e!AZ21,1,0)</f>
        <v>1</v>
      </c>
      <c r="BA3" s="11">
        <f>IF(Dashboard!$C$26&lt;=CO2e!BA21,1,0)</f>
        <v>1</v>
      </c>
      <c r="BB3" s="11">
        <f>IF(Dashboard!$C$26&lt;=CO2e!BB21,1,0)</f>
        <v>1</v>
      </c>
      <c r="BC3" s="11">
        <f>IF(Dashboard!$C$26&lt;=CO2e!BC21,1,0)</f>
        <v>1</v>
      </c>
      <c r="BD3" s="11">
        <f>IF(Dashboard!$C$26&lt;=CO2e!BD21,1,0)</f>
        <v>1</v>
      </c>
      <c r="BE3" s="11">
        <f>IF(Dashboard!$C$26&lt;=CO2e!BE21,1,0)</f>
        <v>1</v>
      </c>
      <c r="BF3" s="11">
        <f>IF(Dashboard!$C$26&lt;=CO2e!BF21,1,0)</f>
        <v>1</v>
      </c>
      <c r="BG3" s="11">
        <f>IF(Dashboard!$C$26&lt;=CO2e!BG21,1,0)</f>
        <v>1</v>
      </c>
      <c r="BH3" s="11">
        <f>IF(Dashboard!$C$26&lt;=CO2e!BH21,1,0)</f>
        <v>1</v>
      </c>
      <c r="BI3" s="11">
        <f>IF(Dashboard!$C$26&lt;=CO2e!BI21,1,0)</f>
        <v>1</v>
      </c>
      <c r="BJ3" s="11">
        <f>IF(Dashboard!$C$26&lt;=CO2e!BJ21,1,0)</f>
        <v>1</v>
      </c>
      <c r="BK3" s="11">
        <f>IF(Dashboard!$C$26&lt;=CO2e!BK21,1,0)</f>
        <v>1</v>
      </c>
    </row>
    <row r="4" spans="1:67" x14ac:dyDescent="0.2">
      <c r="B4" s="60" t="s">
        <v>248</v>
      </c>
      <c r="D4" s="11">
        <f>'Financial Analysis'!E7</f>
        <v>0</v>
      </c>
      <c r="E4" s="11">
        <f>'Financial Analysis'!F7</f>
        <v>0</v>
      </c>
      <c r="F4" s="11">
        <f>'Financial Analysis'!G7</f>
        <v>0</v>
      </c>
      <c r="G4" s="11">
        <f>'Financial Analysis'!H7</f>
        <v>0</v>
      </c>
      <c r="H4" s="11">
        <f>'Financial Analysis'!I7</f>
        <v>0</v>
      </c>
      <c r="I4" s="11">
        <f>'Financial Analysis'!J7</f>
        <v>1</v>
      </c>
      <c r="J4" s="11">
        <f>'Financial Analysis'!K7</f>
        <v>1</v>
      </c>
      <c r="K4" s="11">
        <f>'Financial Analysis'!L7</f>
        <v>1</v>
      </c>
      <c r="L4" s="11">
        <f>'Financial Analysis'!M7</f>
        <v>1</v>
      </c>
      <c r="M4" s="11">
        <f>'Financial Analysis'!N7</f>
        <v>1</v>
      </c>
      <c r="N4" s="11">
        <f>'Financial Analysis'!O7</f>
        <v>1</v>
      </c>
      <c r="O4" s="11">
        <f>'Financial Analysis'!P7</f>
        <v>1</v>
      </c>
      <c r="P4" s="11">
        <f>'Financial Analysis'!Q7</f>
        <v>1</v>
      </c>
      <c r="Q4" s="11">
        <f>'Financial Analysis'!R7</f>
        <v>1</v>
      </c>
      <c r="R4" s="11">
        <f>'Financial Analysis'!S7</f>
        <v>1</v>
      </c>
      <c r="S4" s="11">
        <f>'Financial Analysis'!T7</f>
        <v>1</v>
      </c>
      <c r="T4" s="11">
        <f>'Financial Analysis'!U7</f>
        <v>1</v>
      </c>
      <c r="U4" s="11">
        <f>'Financial Analysis'!V7</f>
        <v>1</v>
      </c>
      <c r="V4" s="11">
        <f>'Financial Analysis'!W7</f>
        <v>1</v>
      </c>
      <c r="W4" s="11">
        <f>'Financial Analysis'!X7</f>
        <v>1</v>
      </c>
      <c r="X4" s="11">
        <f>'Financial Analysis'!Y7</f>
        <v>1</v>
      </c>
      <c r="Y4" s="11">
        <f>'Financial Analysis'!Z7</f>
        <v>1</v>
      </c>
      <c r="Z4" s="11">
        <f>'Financial Analysis'!AA7</f>
        <v>1</v>
      </c>
      <c r="AA4" s="11">
        <f>'Financial Analysis'!AB7</f>
        <v>1</v>
      </c>
      <c r="AB4" s="11">
        <f>'Financial Analysis'!AC7</f>
        <v>1</v>
      </c>
      <c r="AC4" s="11">
        <f>'Financial Analysis'!AD7</f>
        <v>1</v>
      </c>
      <c r="AD4" s="11">
        <f>'Financial Analysis'!AE7</f>
        <v>1</v>
      </c>
      <c r="AE4" s="11">
        <f>'Financial Analysis'!AF7</f>
        <v>1</v>
      </c>
      <c r="AF4" s="11">
        <f>'Financial Analysis'!AG7</f>
        <v>1</v>
      </c>
      <c r="AG4" s="11">
        <f>'Financial Analysis'!AH7</f>
        <v>1</v>
      </c>
      <c r="AH4" s="11">
        <f>'Financial Analysis'!AI7</f>
        <v>1</v>
      </c>
      <c r="AI4" s="11">
        <f>'Financial Analysis'!AJ7</f>
        <v>1</v>
      </c>
      <c r="AJ4" s="11">
        <f>'Financial Analysis'!AK7</f>
        <v>1</v>
      </c>
      <c r="AK4" s="11">
        <f>'Financial Analysis'!AL7</f>
        <v>1</v>
      </c>
      <c r="AL4" s="11">
        <f>'Financial Analysis'!AM7</f>
        <v>1</v>
      </c>
      <c r="AM4" s="11">
        <f>'Financial Analysis'!AN7</f>
        <v>1</v>
      </c>
      <c r="AN4" s="11">
        <f>'Financial Analysis'!AO7</f>
        <v>1</v>
      </c>
      <c r="AO4" s="11">
        <f>'Financial Analysis'!AP7</f>
        <v>1</v>
      </c>
      <c r="AP4" s="11">
        <f>'Financial Analysis'!AQ7</f>
        <v>1</v>
      </c>
      <c r="AQ4" s="11">
        <f>'Financial Analysis'!AR7</f>
        <v>1</v>
      </c>
      <c r="AR4" s="11">
        <f>'Financial Analysis'!AS7</f>
        <v>1</v>
      </c>
      <c r="AS4" s="11">
        <f>'Financial Analysis'!AT7</f>
        <v>1</v>
      </c>
      <c r="AT4" s="11">
        <f>'Financial Analysis'!AU7</f>
        <v>1</v>
      </c>
      <c r="AU4" s="11">
        <f>'Financial Analysis'!AV7</f>
        <v>1</v>
      </c>
      <c r="AV4" s="11">
        <f>'Financial Analysis'!AW7</f>
        <v>1</v>
      </c>
      <c r="AW4" s="11">
        <f>'Financial Analysis'!AX7</f>
        <v>1</v>
      </c>
      <c r="AX4" s="11">
        <f>'Financial Analysis'!AY7</f>
        <v>1</v>
      </c>
      <c r="AY4" s="11">
        <f>'Financial Analysis'!AZ7</f>
        <v>1</v>
      </c>
      <c r="AZ4" s="11">
        <f>'Financial Analysis'!BA7</f>
        <v>1</v>
      </c>
      <c r="BA4" s="11">
        <f>'Financial Analysis'!BB7</f>
        <v>1</v>
      </c>
      <c r="BB4" s="11">
        <f>'Financial Analysis'!BC7</f>
        <v>1</v>
      </c>
      <c r="BC4" s="11">
        <f>'Financial Analysis'!BD7</f>
        <v>1</v>
      </c>
      <c r="BD4" s="11">
        <f>'Financial Analysis'!BE7</f>
        <v>1</v>
      </c>
      <c r="BE4" s="11">
        <f>'Financial Analysis'!BF7</f>
        <v>1</v>
      </c>
      <c r="BF4" s="11">
        <f>'Financial Analysis'!BG7</f>
        <v>1</v>
      </c>
      <c r="BG4" s="11">
        <f>'Financial Analysis'!BH7</f>
        <v>1</v>
      </c>
      <c r="BH4" s="11">
        <f>'Financial Analysis'!BI7</f>
        <v>1</v>
      </c>
      <c r="BI4" s="11">
        <f>'Financial Analysis'!BJ7</f>
        <v>1</v>
      </c>
      <c r="BJ4" s="11">
        <f>'Financial Analysis'!BK7</f>
        <v>1</v>
      </c>
      <c r="BK4" s="11">
        <f>'Financial Analysis'!BL7</f>
        <v>1</v>
      </c>
    </row>
    <row r="5" spans="1:67" x14ac:dyDescent="0.2">
      <c r="B5" s="60" t="s">
        <v>249</v>
      </c>
      <c r="D5" s="11">
        <f>'Financial Analysis'!E8</f>
        <v>0</v>
      </c>
      <c r="E5" s="11">
        <f>'Financial Analysis'!F8</f>
        <v>0</v>
      </c>
      <c r="F5" s="11">
        <f>'Financial Analysis'!G8</f>
        <v>0</v>
      </c>
      <c r="G5" s="11">
        <f>'Financial Analysis'!H8</f>
        <v>0</v>
      </c>
      <c r="H5" s="11">
        <f>'Financial Analysis'!I8</f>
        <v>0</v>
      </c>
      <c r="I5" s="11">
        <f>'Financial Analysis'!J8</f>
        <v>0</v>
      </c>
      <c r="J5" s="11">
        <f>'Financial Analysis'!K8</f>
        <v>0</v>
      </c>
      <c r="K5" s="11">
        <f>'Financial Analysis'!L8</f>
        <v>0</v>
      </c>
      <c r="L5" s="11">
        <f>'Financial Analysis'!M8</f>
        <v>0</v>
      </c>
      <c r="M5" s="11">
        <f>'Financial Analysis'!N8</f>
        <v>0</v>
      </c>
      <c r="N5" s="11">
        <f>'Financial Analysis'!O8</f>
        <v>1</v>
      </c>
      <c r="O5" s="11">
        <f>'Financial Analysis'!P8</f>
        <v>1</v>
      </c>
      <c r="P5" s="11">
        <f>'Financial Analysis'!Q8</f>
        <v>1</v>
      </c>
      <c r="Q5" s="11">
        <f>'Financial Analysis'!R8</f>
        <v>1</v>
      </c>
      <c r="R5" s="11">
        <f>'Financial Analysis'!S8</f>
        <v>1</v>
      </c>
      <c r="S5" s="11">
        <f>'Financial Analysis'!T8</f>
        <v>1</v>
      </c>
      <c r="T5" s="11">
        <f>'Financial Analysis'!U8</f>
        <v>1</v>
      </c>
      <c r="U5" s="11">
        <f>'Financial Analysis'!V8</f>
        <v>1</v>
      </c>
      <c r="V5" s="11">
        <f>'Financial Analysis'!W8</f>
        <v>1</v>
      </c>
      <c r="W5" s="11">
        <f>'Financial Analysis'!X8</f>
        <v>1</v>
      </c>
      <c r="X5" s="11">
        <f>'Financial Analysis'!Y8</f>
        <v>1</v>
      </c>
      <c r="Y5" s="11">
        <f>'Financial Analysis'!Z8</f>
        <v>1</v>
      </c>
      <c r="Z5" s="11">
        <f>'Financial Analysis'!AA8</f>
        <v>1</v>
      </c>
      <c r="AA5" s="11">
        <f>'Financial Analysis'!AB8</f>
        <v>1</v>
      </c>
      <c r="AB5" s="11">
        <f>'Financial Analysis'!AC8</f>
        <v>1</v>
      </c>
      <c r="AC5" s="11">
        <f>'Financial Analysis'!AD8</f>
        <v>1</v>
      </c>
      <c r="AD5" s="11">
        <f>'Financial Analysis'!AE8</f>
        <v>1</v>
      </c>
      <c r="AE5" s="11">
        <f>'Financial Analysis'!AF8</f>
        <v>1</v>
      </c>
      <c r="AF5" s="11">
        <f>'Financial Analysis'!AG8</f>
        <v>1</v>
      </c>
      <c r="AG5" s="11">
        <f>'Financial Analysis'!AH8</f>
        <v>1</v>
      </c>
      <c r="AH5" s="11">
        <f>'Financial Analysis'!AI8</f>
        <v>1</v>
      </c>
      <c r="AI5" s="11">
        <f>'Financial Analysis'!AJ8</f>
        <v>1</v>
      </c>
      <c r="AJ5" s="11">
        <f>'Financial Analysis'!AK8</f>
        <v>1</v>
      </c>
      <c r="AK5" s="11">
        <f>'Financial Analysis'!AL8</f>
        <v>1</v>
      </c>
      <c r="AL5" s="11">
        <f>'Financial Analysis'!AM8</f>
        <v>1</v>
      </c>
      <c r="AM5" s="11">
        <f>'Financial Analysis'!AN8</f>
        <v>1</v>
      </c>
      <c r="AN5" s="11">
        <f>'Financial Analysis'!AO8</f>
        <v>1</v>
      </c>
      <c r="AO5" s="11">
        <f>'Financial Analysis'!AP8</f>
        <v>1</v>
      </c>
      <c r="AP5" s="11">
        <f>'Financial Analysis'!AQ8</f>
        <v>1</v>
      </c>
      <c r="AQ5" s="11">
        <f>'Financial Analysis'!AR8</f>
        <v>1</v>
      </c>
      <c r="AR5" s="11">
        <f>'Financial Analysis'!AS8</f>
        <v>1</v>
      </c>
      <c r="AS5" s="11">
        <f>'Financial Analysis'!AT8</f>
        <v>1</v>
      </c>
      <c r="AT5" s="11">
        <f>'Financial Analysis'!AU8</f>
        <v>1</v>
      </c>
      <c r="AU5" s="11">
        <f>'Financial Analysis'!AV8</f>
        <v>1</v>
      </c>
      <c r="AV5" s="11">
        <f>'Financial Analysis'!AW8</f>
        <v>1</v>
      </c>
      <c r="AW5" s="11">
        <f>'Financial Analysis'!AX8</f>
        <v>1</v>
      </c>
      <c r="AX5" s="11">
        <f>'Financial Analysis'!AY8</f>
        <v>1</v>
      </c>
      <c r="AY5" s="11">
        <f>'Financial Analysis'!AZ8</f>
        <v>1</v>
      </c>
      <c r="AZ5" s="11">
        <f>'Financial Analysis'!BA8</f>
        <v>1</v>
      </c>
      <c r="BA5" s="11">
        <f>'Financial Analysis'!BB8</f>
        <v>1</v>
      </c>
      <c r="BB5" s="11">
        <f>'Financial Analysis'!BC8</f>
        <v>1</v>
      </c>
      <c r="BC5" s="11">
        <f>'Financial Analysis'!BD8</f>
        <v>1</v>
      </c>
      <c r="BD5" s="11">
        <f>'Financial Analysis'!BE8</f>
        <v>1</v>
      </c>
      <c r="BE5" s="11">
        <f>'Financial Analysis'!BF8</f>
        <v>1</v>
      </c>
      <c r="BF5" s="11">
        <f>'Financial Analysis'!BG8</f>
        <v>1</v>
      </c>
      <c r="BG5" s="11">
        <f>'Financial Analysis'!BH8</f>
        <v>1</v>
      </c>
      <c r="BH5" s="11">
        <f>'Financial Analysis'!BI8</f>
        <v>1</v>
      </c>
      <c r="BI5" s="11">
        <f>'Financial Analysis'!BJ8</f>
        <v>1</v>
      </c>
      <c r="BJ5" s="11">
        <f>'Financial Analysis'!BK8</f>
        <v>1</v>
      </c>
      <c r="BK5" s="11">
        <f>'Financial Analysis'!BL8</f>
        <v>1</v>
      </c>
    </row>
    <row r="7" spans="1:67" ht="14.25" x14ac:dyDescent="0.25">
      <c r="A7" s="10">
        <v>1</v>
      </c>
      <c r="B7" s="10" t="s">
        <v>313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row>
    <row r="9" spans="1:67" x14ac:dyDescent="0.2">
      <c r="B9" s="11" t="s">
        <v>314</v>
      </c>
      <c r="C9" s="47">
        <v>0.18387000000000001</v>
      </c>
    </row>
    <row r="10" spans="1:67" x14ac:dyDescent="0.2">
      <c r="B10" s="11" t="s">
        <v>315</v>
      </c>
      <c r="C10" s="169">
        <f>'Technical inputs'!C41</f>
        <v>0.85</v>
      </c>
    </row>
    <row r="11" spans="1:67" x14ac:dyDescent="0.2">
      <c r="B11" s="11" t="s">
        <v>316</v>
      </c>
      <c r="C11" s="11">
        <f>'Technical inputs'!C38</f>
        <v>2.4</v>
      </c>
    </row>
    <row r="12" spans="1:67" x14ac:dyDescent="0.2">
      <c r="B12" s="11" t="s">
        <v>317</v>
      </c>
      <c r="C12" s="11">
        <f>'Technical inputs'!C39</f>
        <v>2</v>
      </c>
    </row>
    <row r="13" spans="1:67" x14ac:dyDescent="0.2">
      <c r="B13" s="11" t="s">
        <v>318</v>
      </c>
      <c r="C13" s="150">
        <f>'Technical inputs'!C40</f>
        <v>1</v>
      </c>
    </row>
    <row r="15" spans="1:67" x14ac:dyDescent="0.2">
      <c r="B15" s="167" t="s">
        <v>319</v>
      </c>
      <c r="C15" s="166">
        <v>2022</v>
      </c>
      <c r="D15" s="166">
        <v>2023</v>
      </c>
      <c r="E15" s="166">
        <v>2024</v>
      </c>
      <c r="F15" s="166">
        <v>2025</v>
      </c>
      <c r="G15" s="166">
        <v>2026</v>
      </c>
      <c r="H15" s="166">
        <v>2027</v>
      </c>
      <c r="I15" s="166">
        <v>2028</v>
      </c>
      <c r="J15" s="166">
        <v>2029</v>
      </c>
      <c r="K15" s="166">
        <v>2030</v>
      </c>
      <c r="L15" s="166">
        <v>2031</v>
      </c>
      <c r="M15" s="166">
        <v>2032</v>
      </c>
      <c r="N15" s="166">
        <v>2033</v>
      </c>
      <c r="O15" s="166">
        <v>2034</v>
      </c>
      <c r="P15" s="166">
        <v>2035</v>
      </c>
      <c r="Q15" s="166">
        <v>2036</v>
      </c>
      <c r="R15" s="166">
        <v>2037</v>
      </c>
      <c r="S15" s="166">
        <v>2038</v>
      </c>
      <c r="T15" s="166">
        <v>2039</v>
      </c>
      <c r="U15" s="166">
        <v>2040</v>
      </c>
      <c r="V15" s="166">
        <v>2041</v>
      </c>
      <c r="W15" s="166">
        <v>2042</v>
      </c>
      <c r="X15" s="166">
        <v>2043</v>
      </c>
      <c r="Y15" s="166">
        <v>2044</v>
      </c>
      <c r="Z15" s="166">
        <v>2045</v>
      </c>
      <c r="AA15" s="166">
        <v>2046</v>
      </c>
      <c r="AB15" s="166">
        <v>2047</v>
      </c>
      <c r="AC15" s="166">
        <v>2048</v>
      </c>
      <c r="AD15" s="166">
        <v>2049</v>
      </c>
      <c r="AE15" s="166">
        <v>2050</v>
      </c>
      <c r="AF15" s="166">
        <v>2051</v>
      </c>
      <c r="AG15" s="166">
        <v>2052</v>
      </c>
      <c r="AH15" s="166">
        <v>2053</v>
      </c>
      <c r="AI15" s="166">
        <v>2054</v>
      </c>
      <c r="AJ15" s="166">
        <v>2055</v>
      </c>
      <c r="AK15" s="166">
        <v>2056</v>
      </c>
      <c r="AL15" s="166">
        <v>2057</v>
      </c>
      <c r="AM15" s="166">
        <v>2058</v>
      </c>
      <c r="AN15" s="166">
        <v>2059</v>
      </c>
      <c r="AO15" s="166">
        <v>2060</v>
      </c>
      <c r="AP15" s="166">
        <v>2061</v>
      </c>
      <c r="AQ15" s="166">
        <v>2062</v>
      </c>
      <c r="AR15" s="166">
        <v>2063</v>
      </c>
      <c r="AS15" s="166">
        <v>2064</v>
      </c>
      <c r="AT15" s="166">
        <v>2065</v>
      </c>
      <c r="AU15" s="166">
        <v>2066</v>
      </c>
      <c r="AV15" s="166">
        <v>2067</v>
      </c>
      <c r="AW15" s="166">
        <v>2068</v>
      </c>
      <c r="AX15" s="166">
        <v>2069</v>
      </c>
      <c r="AY15" s="166">
        <v>2070</v>
      </c>
      <c r="AZ15" s="166">
        <v>2071</v>
      </c>
      <c r="BA15" s="166">
        <v>2072</v>
      </c>
      <c r="BB15" s="166">
        <v>2073</v>
      </c>
      <c r="BC15" s="166">
        <v>2074</v>
      </c>
      <c r="BD15" s="166">
        <v>2075</v>
      </c>
      <c r="BE15" s="166">
        <v>2076</v>
      </c>
      <c r="BF15" s="166">
        <v>2077</v>
      </c>
      <c r="BG15" s="166">
        <v>2078</v>
      </c>
      <c r="BH15" s="166">
        <v>2079</v>
      </c>
      <c r="BI15" s="166">
        <v>2080</v>
      </c>
      <c r="BJ15" s="166">
        <v>2081</v>
      </c>
      <c r="BK15" s="166">
        <v>2082</v>
      </c>
      <c r="BL15" s="166">
        <v>2083</v>
      </c>
      <c r="BM15" s="166">
        <v>2084</v>
      </c>
      <c r="BN15" s="166">
        <v>2085</v>
      </c>
      <c r="BO15" s="166">
        <v>2086</v>
      </c>
    </row>
    <row r="16" spans="1:67" x14ac:dyDescent="0.2">
      <c r="B16" s="60" t="s">
        <v>320</v>
      </c>
      <c r="C16" s="170">
        <v>401.93926760307255</v>
      </c>
      <c r="D16" s="170">
        <v>382.75772912177155</v>
      </c>
      <c r="E16" s="170">
        <v>381.07852390396698</v>
      </c>
      <c r="F16" s="170">
        <v>381.18015023796642</v>
      </c>
      <c r="G16" s="170">
        <v>382.00718422436881</v>
      </c>
      <c r="H16" s="170">
        <v>367.90395257440122</v>
      </c>
      <c r="I16" s="170">
        <v>359.15945263623075</v>
      </c>
      <c r="J16" s="170">
        <v>333.84461870231149</v>
      </c>
      <c r="K16" s="170">
        <v>311.89884579259234</v>
      </c>
      <c r="L16" s="170">
        <v>316.08801161777069</v>
      </c>
      <c r="M16" s="170">
        <v>292.959129285095</v>
      </c>
      <c r="N16" s="170">
        <v>279.50364226631922</v>
      </c>
      <c r="O16" s="170">
        <v>260.00804455233299</v>
      </c>
      <c r="P16" s="170">
        <v>248.25204695375183</v>
      </c>
      <c r="Q16" s="170">
        <v>263.79962912060313</v>
      </c>
      <c r="R16" s="170">
        <v>249.96312975025572</v>
      </c>
      <c r="S16" s="170">
        <v>248.87846868567462</v>
      </c>
      <c r="T16" s="170">
        <v>249.48393198976493</v>
      </c>
      <c r="U16" s="170">
        <v>243.407593061678</v>
      </c>
      <c r="V16" s="170">
        <v>239.26072866786973</v>
      </c>
      <c r="W16" s="170">
        <v>248.97577747376857</v>
      </c>
      <c r="X16" s="170">
        <v>246.89697493929336</v>
      </c>
      <c r="Y16" s="170">
        <v>228.69081300551312</v>
      </c>
      <c r="Z16" s="170">
        <v>228.69081300551312</v>
      </c>
      <c r="AA16" s="170">
        <v>228.69081300551312</v>
      </c>
      <c r="AB16" s="170">
        <v>228.69081300551312</v>
      </c>
      <c r="AC16" s="170">
        <v>228.69081300551312</v>
      </c>
      <c r="AD16" s="170">
        <v>228.69081300551312</v>
      </c>
      <c r="AE16" s="170">
        <v>228.69081300551312</v>
      </c>
      <c r="AF16" s="170">
        <v>228.69081300551312</v>
      </c>
      <c r="AG16" s="170">
        <v>228.69081300551312</v>
      </c>
      <c r="AH16" s="170">
        <v>228.69081300551312</v>
      </c>
      <c r="AI16" s="170">
        <v>228.69081300551312</v>
      </c>
      <c r="AJ16" s="170">
        <v>228.69081300551312</v>
      </c>
      <c r="AK16" s="170">
        <v>228.69081300551312</v>
      </c>
      <c r="AL16" s="170">
        <v>228.69081300551312</v>
      </c>
      <c r="AM16" s="170">
        <v>228.69081300551312</v>
      </c>
      <c r="AN16" s="170">
        <v>228.69081300551312</v>
      </c>
      <c r="AO16" s="170">
        <v>228.69081300551312</v>
      </c>
      <c r="AP16" s="170">
        <v>228.69081300551312</v>
      </c>
      <c r="AQ16" s="170">
        <v>228.69081300551312</v>
      </c>
      <c r="AR16" s="170">
        <v>228.69081300551312</v>
      </c>
      <c r="AS16" s="170">
        <v>228.69081300551312</v>
      </c>
      <c r="AT16" s="170">
        <v>228.69081300551312</v>
      </c>
      <c r="AU16" s="170">
        <v>228.69081300551312</v>
      </c>
      <c r="AV16" s="170">
        <v>228.69081300551312</v>
      </c>
      <c r="AW16" s="170">
        <v>228.69081300551312</v>
      </c>
      <c r="AX16" s="170">
        <v>228.69081300551312</v>
      </c>
      <c r="AY16" s="170">
        <v>228.69081300551312</v>
      </c>
      <c r="AZ16" s="170">
        <v>228.69081300551312</v>
      </c>
      <c r="BA16" s="170">
        <v>228.69081300551312</v>
      </c>
      <c r="BB16" s="170">
        <v>228.69081300551312</v>
      </c>
      <c r="BC16" s="170">
        <v>228.69081300551312</v>
      </c>
      <c r="BD16" s="170">
        <v>228.69081300551312</v>
      </c>
      <c r="BE16" s="170">
        <v>228.69081300551312</v>
      </c>
      <c r="BF16" s="170">
        <v>228.69081300551312</v>
      </c>
      <c r="BG16" s="170">
        <v>228.69081300551312</v>
      </c>
      <c r="BH16" s="170">
        <v>228.69081300551312</v>
      </c>
      <c r="BI16" s="170">
        <v>228.69081300551312</v>
      </c>
      <c r="BJ16" s="170">
        <v>228.69081300551312</v>
      </c>
      <c r="BK16" s="170">
        <v>228.69081300551312</v>
      </c>
      <c r="BL16" s="170">
        <v>228.69081300551312</v>
      </c>
      <c r="BM16" s="170">
        <v>228.69081300551312</v>
      </c>
      <c r="BN16" s="170">
        <v>228.69081300551312</v>
      </c>
      <c r="BO16" s="170">
        <v>228.69081300551312</v>
      </c>
    </row>
    <row r="17" spans="2:67" x14ac:dyDescent="0.2">
      <c r="B17" s="60" t="s">
        <v>321</v>
      </c>
      <c r="C17" s="170">
        <v>264.39739593969659</v>
      </c>
      <c r="D17" s="170">
        <v>250.38317168538788</v>
      </c>
      <c r="E17" s="170">
        <v>235.57350111999685</v>
      </c>
      <c r="F17" s="170">
        <v>219.92323477093521</v>
      </c>
      <c r="G17" s="170">
        <v>203.38466048495786</v>
      </c>
      <c r="H17" s="170">
        <v>185.90735797060228</v>
      </c>
      <c r="I17" s="170">
        <v>167.43804508446746</v>
      </c>
      <c r="J17" s="170">
        <v>147.92041539271375</v>
      </c>
      <c r="K17" s="170">
        <v>127.29496651256625</v>
      </c>
      <c r="L17" s="170">
        <v>102.99528453196878</v>
      </c>
      <c r="M17" s="170">
        <v>83.334234859742139</v>
      </c>
      <c r="N17" s="170">
        <v>67.426336372740678</v>
      </c>
      <c r="O17" s="170">
        <v>54.555139845008</v>
      </c>
      <c r="P17" s="170">
        <v>44.140960989712489</v>
      </c>
      <c r="Q17" s="170">
        <v>35.714773028367709</v>
      </c>
      <c r="R17" s="170">
        <v>28.89708297844038</v>
      </c>
      <c r="S17" s="170">
        <v>23.380840303803915</v>
      </c>
      <c r="T17" s="170">
        <v>18.917608179339002</v>
      </c>
      <c r="U17" s="170">
        <v>15.306374560403189</v>
      </c>
      <c r="V17" s="170">
        <v>12.7064093188859</v>
      </c>
      <c r="W17" s="170">
        <v>12.058575421494174</v>
      </c>
      <c r="X17" s="170">
        <v>11.812380257711755</v>
      </c>
      <c r="Y17" s="170">
        <v>11.102442959280712</v>
      </c>
      <c r="Z17" s="170">
        <v>9.4285490555447673</v>
      </c>
      <c r="AA17" s="170">
        <v>8.5603307175814081</v>
      </c>
      <c r="AB17" s="170">
        <v>7.8929845517568404</v>
      </c>
      <c r="AC17" s="170">
        <v>7.4912625284180026</v>
      </c>
      <c r="AD17" s="170">
        <v>6.9709267311264558</v>
      </c>
      <c r="AE17" s="170">
        <v>6.8512486237139996</v>
      </c>
      <c r="AF17" s="170">
        <v>6.8512486237139996</v>
      </c>
      <c r="AG17" s="170">
        <v>6.8512486237139996</v>
      </c>
      <c r="AH17" s="170">
        <v>6.8512486237139996</v>
      </c>
      <c r="AI17" s="170">
        <v>6.8512486237139996</v>
      </c>
      <c r="AJ17" s="170">
        <v>6.8512486237139996</v>
      </c>
      <c r="AK17" s="170">
        <v>6.8512486237139996</v>
      </c>
      <c r="AL17" s="170">
        <v>6.8512486237139996</v>
      </c>
      <c r="AM17" s="170">
        <v>6.8512486237139996</v>
      </c>
      <c r="AN17" s="170">
        <v>6.8512486237139996</v>
      </c>
      <c r="AO17" s="170">
        <v>6.8512486237139996</v>
      </c>
      <c r="AP17" s="170">
        <v>6.8512486237139996</v>
      </c>
      <c r="AQ17" s="170">
        <v>6.8512486237139996</v>
      </c>
      <c r="AR17" s="170">
        <v>6.8512486237139996</v>
      </c>
      <c r="AS17" s="170">
        <v>6.8512486237139996</v>
      </c>
      <c r="AT17" s="170">
        <v>6.8512486237139996</v>
      </c>
      <c r="AU17" s="170">
        <v>6.8512486237139996</v>
      </c>
      <c r="AV17" s="170">
        <v>6.8512486237139996</v>
      </c>
      <c r="AW17" s="170">
        <v>6.8512486237139996</v>
      </c>
      <c r="AX17" s="170">
        <v>6.8512486237139996</v>
      </c>
      <c r="AY17" s="170">
        <v>6.8512486237139996</v>
      </c>
      <c r="AZ17" s="170">
        <v>6.8512486237139996</v>
      </c>
      <c r="BA17" s="170">
        <v>6.8512486237139996</v>
      </c>
      <c r="BB17" s="170">
        <v>6.8512486237139996</v>
      </c>
      <c r="BC17" s="170">
        <v>6.8512486237139996</v>
      </c>
      <c r="BD17" s="170">
        <v>6.8512486237139996</v>
      </c>
      <c r="BE17" s="170">
        <v>6.8512486237139996</v>
      </c>
      <c r="BF17" s="170">
        <v>6.8512486237139996</v>
      </c>
      <c r="BG17" s="170">
        <v>6.8512486237139996</v>
      </c>
      <c r="BH17" s="170">
        <v>6.8512486237139996</v>
      </c>
      <c r="BI17" s="170">
        <v>6.8512486237139996</v>
      </c>
      <c r="BJ17" s="170">
        <v>6.8512486237139996</v>
      </c>
      <c r="BK17" s="170">
        <v>6.8512486237139996</v>
      </c>
      <c r="BL17" s="170">
        <v>6.8512486237139996</v>
      </c>
      <c r="BM17" s="170">
        <v>6.8512486237139996</v>
      </c>
      <c r="BN17" s="170">
        <v>6.8512486237139996</v>
      </c>
      <c r="BO17" s="170">
        <v>6.8512486237139996</v>
      </c>
    </row>
    <row r="18" spans="2:67" x14ac:dyDescent="0.2">
      <c r="B18" s="60" t="s">
        <v>322</v>
      </c>
      <c r="C18" s="170">
        <v>269.31548625284216</v>
      </c>
      <c r="D18" s="170">
        <v>255.04058159241066</v>
      </c>
      <c r="E18" s="170">
        <v>239.95543442071772</v>
      </c>
      <c r="F18" s="170">
        <v>224.0140554339695</v>
      </c>
      <c r="G18" s="170">
        <v>207.16784497895952</v>
      </c>
      <c r="H18" s="170">
        <v>189.36544488983293</v>
      </c>
      <c r="I18" s="170">
        <v>170.55258191511678</v>
      </c>
      <c r="J18" s="170">
        <v>150.67190225768007</v>
      </c>
      <c r="K18" s="170">
        <v>129.66279672319521</v>
      </c>
      <c r="L18" s="170">
        <v>104.91111320099198</v>
      </c>
      <c r="M18" s="170">
        <v>84.884345789392043</v>
      </c>
      <c r="N18" s="170">
        <v>68.68054241583387</v>
      </c>
      <c r="O18" s="170">
        <v>55.569927089225899</v>
      </c>
      <c r="P18" s="170">
        <v>44.962032740002932</v>
      </c>
      <c r="Q18" s="170">
        <v>36.379108161634569</v>
      </c>
      <c r="R18" s="170">
        <v>29.43460137331461</v>
      </c>
      <c r="S18" s="170">
        <v>23.815750352001093</v>
      </c>
      <c r="T18" s="170">
        <v>19.269497066913033</v>
      </c>
      <c r="U18" s="170">
        <v>15.591090422249522</v>
      </c>
      <c r="V18" s="170">
        <v>12.942762889479797</v>
      </c>
      <c r="W18" s="170">
        <v>12.282878549594242</v>
      </c>
      <c r="X18" s="170">
        <v>12.032103877583921</v>
      </c>
      <c r="Y18" s="170">
        <v>11.308960943227662</v>
      </c>
      <c r="Z18" s="170">
        <v>9.6039307215112082</v>
      </c>
      <c r="AA18" s="170">
        <v>8.7195625414419666</v>
      </c>
      <c r="AB18" s="170">
        <v>8.0398029828833586</v>
      </c>
      <c r="AC18" s="170">
        <v>7.630608475995512</v>
      </c>
      <c r="AD18" s="170">
        <v>7.1005938449350197</v>
      </c>
      <c r="AE18" s="170">
        <v>6.9786895894976597</v>
      </c>
      <c r="AF18" s="170">
        <v>6.9786895894976597</v>
      </c>
      <c r="AG18" s="170">
        <v>6.9786895894976597</v>
      </c>
      <c r="AH18" s="170">
        <v>6.9786895894976597</v>
      </c>
      <c r="AI18" s="170">
        <v>6.9786895894976597</v>
      </c>
      <c r="AJ18" s="170">
        <v>6.9786895894976597</v>
      </c>
      <c r="AK18" s="170">
        <v>6.9786895894976597</v>
      </c>
      <c r="AL18" s="170">
        <v>6.9786895894976597</v>
      </c>
      <c r="AM18" s="170">
        <v>6.9786895894976597</v>
      </c>
      <c r="AN18" s="170">
        <v>6.9786895894976597</v>
      </c>
      <c r="AO18" s="170">
        <v>6.9786895894976597</v>
      </c>
      <c r="AP18" s="170">
        <v>6.9786895894976597</v>
      </c>
      <c r="AQ18" s="170">
        <v>6.9786895894976597</v>
      </c>
      <c r="AR18" s="170">
        <v>6.9786895894976597</v>
      </c>
      <c r="AS18" s="170">
        <v>6.9786895894976597</v>
      </c>
      <c r="AT18" s="170">
        <v>6.9786895894976597</v>
      </c>
      <c r="AU18" s="170">
        <v>6.9786895894976597</v>
      </c>
      <c r="AV18" s="170">
        <v>6.9786895894976597</v>
      </c>
      <c r="AW18" s="170">
        <v>6.9786895894976597</v>
      </c>
      <c r="AX18" s="170">
        <v>6.9786895894976597</v>
      </c>
      <c r="AY18" s="170">
        <v>6.9786895894976597</v>
      </c>
      <c r="AZ18" s="170">
        <v>6.9786895894976597</v>
      </c>
      <c r="BA18" s="170">
        <v>6.9786895894976597</v>
      </c>
      <c r="BB18" s="170">
        <v>6.9786895894976597</v>
      </c>
      <c r="BC18" s="170">
        <v>6.9786895894976597</v>
      </c>
      <c r="BD18" s="170">
        <v>6.9786895894976597</v>
      </c>
      <c r="BE18" s="170">
        <v>6.9786895894976597</v>
      </c>
      <c r="BF18" s="170">
        <v>6.9786895894976597</v>
      </c>
      <c r="BG18" s="170">
        <v>6.9786895894976597</v>
      </c>
      <c r="BH18" s="170">
        <v>6.9786895894976597</v>
      </c>
      <c r="BI18" s="170">
        <v>6.9786895894976597</v>
      </c>
      <c r="BJ18" s="170">
        <v>6.9786895894976597</v>
      </c>
      <c r="BK18" s="170">
        <v>6.9786895894976597</v>
      </c>
      <c r="BL18" s="170">
        <v>6.9786895894976597</v>
      </c>
      <c r="BM18" s="170">
        <v>6.9786895894976597</v>
      </c>
      <c r="BN18" s="170">
        <v>6.9786895894976597</v>
      </c>
      <c r="BO18" s="170">
        <v>6.9786895894976597</v>
      </c>
    </row>
    <row r="20" spans="2:67" x14ac:dyDescent="0.2">
      <c r="B20" s="34" t="s">
        <v>245</v>
      </c>
      <c r="C20" s="11">
        <v>0</v>
      </c>
      <c r="D20" s="11">
        <v>1</v>
      </c>
      <c r="E20" s="11">
        <v>2</v>
      </c>
      <c r="F20" s="11">
        <v>3</v>
      </c>
      <c r="G20" s="11">
        <v>4</v>
      </c>
      <c r="H20" s="11">
        <v>5</v>
      </c>
      <c r="I20" s="11">
        <v>6</v>
      </c>
      <c r="J20" s="11">
        <v>7</v>
      </c>
      <c r="K20" s="11">
        <v>8</v>
      </c>
      <c r="L20" s="11">
        <v>9</v>
      </c>
      <c r="M20" s="11">
        <v>10</v>
      </c>
      <c r="N20" s="11">
        <v>11</v>
      </c>
      <c r="O20" s="11">
        <v>12</v>
      </c>
      <c r="P20" s="11">
        <v>13</v>
      </c>
      <c r="Q20" s="11">
        <v>14</v>
      </c>
      <c r="R20" s="11">
        <v>15</v>
      </c>
      <c r="S20" s="11">
        <v>16</v>
      </c>
      <c r="T20" s="11">
        <v>17</v>
      </c>
      <c r="U20" s="11">
        <v>18</v>
      </c>
      <c r="V20" s="11">
        <v>19</v>
      </c>
      <c r="W20" s="11">
        <v>20</v>
      </c>
      <c r="X20" s="11">
        <v>21</v>
      </c>
      <c r="Y20" s="11">
        <v>22</v>
      </c>
      <c r="Z20" s="11">
        <v>23</v>
      </c>
      <c r="AA20" s="11">
        <v>24</v>
      </c>
      <c r="AB20" s="11">
        <v>25</v>
      </c>
      <c r="AC20" s="11">
        <v>26</v>
      </c>
      <c r="AD20" s="11">
        <v>27</v>
      </c>
      <c r="AE20" s="11">
        <v>28</v>
      </c>
      <c r="AF20" s="11">
        <v>29</v>
      </c>
      <c r="AG20" s="11">
        <v>30</v>
      </c>
      <c r="AH20" s="11">
        <v>31</v>
      </c>
      <c r="AI20" s="11">
        <v>32</v>
      </c>
      <c r="AJ20" s="11">
        <v>33</v>
      </c>
      <c r="AK20" s="11">
        <v>34</v>
      </c>
      <c r="AL20" s="11">
        <v>35</v>
      </c>
      <c r="AM20" s="11">
        <v>36</v>
      </c>
      <c r="AN20" s="11">
        <v>37</v>
      </c>
      <c r="AO20" s="11">
        <v>38</v>
      </c>
      <c r="AP20" s="11">
        <v>39</v>
      </c>
      <c r="AQ20" s="11">
        <v>40</v>
      </c>
      <c r="AR20" s="11">
        <v>41</v>
      </c>
      <c r="AS20" s="11">
        <v>42</v>
      </c>
      <c r="AT20" s="11">
        <v>43</v>
      </c>
      <c r="AU20" s="11">
        <v>44</v>
      </c>
      <c r="AV20" s="11">
        <v>45</v>
      </c>
      <c r="AW20" s="11">
        <v>46</v>
      </c>
      <c r="AX20" s="11">
        <v>47</v>
      </c>
      <c r="AY20" s="11">
        <v>48</v>
      </c>
      <c r="AZ20" s="11">
        <v>49</v>
      </c>
      <c r="BA20" s="11">
        <v>50</v>
      </c>
      <c r="BB20" s="11">
        <v>51</v>
      </c>
      <c r="BC20" s="11">
        <v>52</v>
      </c>
      <c r="BD20" s="11">
        <v>53</v>
      </c>
      <c r="BE20" s="11">
        <v>54</v>
      </c>
      <c r="BF20" s="11">
        <v>55</v>
      </c>
      <c r="BG20" s="11">
        <v>56</v>
      </c>
      <c r="BH20" s="11">
        <v>57</v>
      </c>
      <c r="BI20" s="11">
        <v>58</v>
      </c>
      <c r="BJ20" s="11">
        <v>59</v>
      </c>
      <c r="BK20" s="11">
        <v>60</v>
      </c>
    </row>
    <row r="21" spans="2:67" x14ac:dyDescent="0.2">
      <c r="B21" s="34" t="s">
        <v>323</v>
      </c>
      <c r="C21" s="35">
        <f>D21-1</f>
        <v>2026</v>
      </c>
      <c r="D21" s="35">
        <f>Dashboard!$C$26</f>
        <v>2027</v>
      </c>
      <c r="E21" s="35">
        <f>D21+1</f>
        <v>2028</v>
      </c>
      <c r="F21" s="35">
        <f t="shared" ref="F21:BK21" si="0">E21+1</f>
        <v>2029</v>
      </c>
      <c r="G21" s="35">
        <f t="shared" si="0"/>
        <v>2030</v>
      </c>
      <c r="H21" s="35">
        <f t="shared" si="0"/>
        <v>2031</v>
      </c>
      <c r="I21" s="35">
        <f t="shared" si="0"/>
        <v>2032</v>
      </c>
      <c r="J21" s="35">
        <f t="shared" si="0"/>
        <v>2033</v>
      </c>
      <c r="K21" s="35">
        <f t="shared" si="0"/>
        <v>2034</v>
      </c>
      <c r="L21" s="35">
        <f t="shared" si="0"/>
        <v>2035</v>
      </c>
      <c r="M21" s="35">
        <f t="shared" si="0"/>
        <v>2036</v>
      </c>
      <c r="N21" s="35">
        <f t="shared" si="0"/>
        <v>2037</v>
      </c>
      <c r="O21" s="35">
        <f t="shared" si="0"/>
        <v>2038</v>
      </c>
      <c r="P21" s="35">
        <f t="shared" si="0"/>
        <v>2039</v>
      </c>
      <c r="Q21" s="35">
        <f t="shared" si="0"/>
        <v>2040</v>
      </c>
      <c r="R21" s="35">
        <f t="shared" si="0"/>
        <v>2041</v>
      </c>
      <c r="S21" s="35">
        <f t="shared" si="0"/>
        <v>2042</v>
      </c>
      <c r="T21" s="35">
        <f t="shared" si="0"/>
        <v>2043</v>
      </c>
      <c r="U21" s="35">
        <f t="shared" si="0"/>
        <v>2044</v>
      </c>
      <c r="V21" s="35">
        <f t="shared" si="0"/>
        <v>2045</v>
      </c>
      <c r="W21" s="35">
        <f t="shared" si="0"/>
        <v>2046</v>
      </c>
      <c r="X21" s="35">
        <f t="shared" si="0"/>
        <v>2047</v>
      </c>
      <c r="Y21" s="35">
        <f t="shared" si="0"/>
        <v>2048</v>
      </c>
      <c r="Z21" s="35">
        <f t="shared" si="0"/>
        <v>2049</v>
      </c>
      <c r="AA21" s="35">
        <f t="shared" si="0"/>
        <v>2050</v>
      </c>
      <c r="AB21" s="35">
        <f t="shared" si="0"/>
        <v>2051</v>
      </c>
      <c r="AC21" s="35">
        <f t="shared" si="0"/>
        <v>2052</v>
      </c>
      <c r="AD21" s="35">
        <f t="shared" si="0"/>
        <v>2053</v>
      </c>
      <c r="AE21" s="35">
        <f t="shared" si="0"/>
        <v>2054</v>
      </c>
      <c r="AF21" s="35">
        <f t="shared" si="0"/>
        <v>2055</v>
      </c>
      <c r="AG21" s="35">
        <f t="shared" si="0"/>
        <v>2056</v>
      </c>
      <c r="AH21" s="35">
        <f t="shared" si="0"/>
        <v>2057</v>
      </c>
      <c r="AI21" s="35">
        <f t="shared" si="0"/>
        <v>2058</v>
      </c>
      <c r="AJ21" s="35">
        <f t="shared" si="0"/>
        <v>2059</v>
      </c>
      <c r="AK21" s="35">
        <f t="shared" si="0"/>
        <v>2060</v>
      </c>
      <c r="AL21" s="35">
        <f t="shared" si="0"/>
        <v>2061</v>
      </c>
      <c r="AM21" s="35">
        <f t="shared" si="0"/>
        <v>2062</v>
      </c>
      <c r="AN21" s="35">
        <f t="shared" si="0"/>
        <v>2063</v>
      </c>
      <c r="AO21" s="35">
        <f t="shared" si="0"/>
        <v>2064</v>
      </c>
      <c r="AP21" s="35">
        <f t="shared" si="0"/>
        <v>2065</v>
      </c>
      <c r="AQ21" s="35">
        <f t="shared" si="0"/>
        <v>2066</v>
      </c>
      <c r="AR21" s="35">
        <f t="shared" si="0"/>
        <v>2067</v>
      </c>
      <c r="AS21" s="35">
        <f t="shared" si="0"/>
        <v>2068</v>
      </c>
      <c r="AT21" s="35">
        <f t="shared" si="0"/>
        <v>2069</v>
      </c>
      <c r="AU21" s="35">
        <f t="shared" si="0"/>
        <v>2070</v>
      </c>
      <c r="AV21" s="35">
        <f t="shared" si="0"/>
        <v>2071</v>
      </c>
      <c r="AW21" s="35">
        <f t="shared" si="0"/>
        <v>2072</v>
      </c>
      <c r="AX21" s="35">
        <f t="shared" si="0"/>
        <v>2073</v>
      </c>
      <c r="AY21" s="35">
        <f t="shared" si="0"/>
        <v>2074</v>
      </c>
      <c r="AZ21" s="35">
        <f t="shared" si="0"/>
        <v>2075</v>
      </c>
      <c r="BA21" s="35">
        <f t="shared" si="0"/>
        <v>2076</v>
      </c>
      <c r="BB21" s="35">
        <f t="shared" si="0"/>
        <v>2077</v>
      </c>
      <c r="BC21" s="35">
        <f t="shared" si="0"/>
        <v>2078</v>
      </c>
      <c r="BD21" s="35">
        <f t="shared" si="0"/>
        <v>2079</v>
      </c>
      <c r="BE21" s="35">
        <f t="shared" si="0"/>
        <v>2080</v>
      </c>
      <c r="BF21" s="35">
        <f t="shared" si="0"/>
        <v>2081</v>
      </c>
      <c r="BG21" s="35">
        <f t="shared" si="0"/>
        <v>2082</v>
      </c>
      <c r="BH21" s="35">
        <f t="shared" si="0"/>
        <v>2083</v>
      </c>
      <c r="BI21" s="35">
        <f t="shared" si="0"/>
        <v>2084</v>
      </c>
      <c r="BJ21" s="35">
        <f t="shared" si="0"/>
        <v>2085</v>
      </c>
      <c r="BK21" s="35">
        <f t="shared" si="0"/>
        <v>2086</v>
      </c>
    </row>
    <row r="23" spans="2:67" x14ac:dyDescent="0.2">
      <c r="B23" s="58" t="s">
        <v>324</v>
      </c>
      <c r="C23" s="168">
        <f>_xlfn.XLOOKUP(C21,$C$15:$BO$15,$C$16:$BO$16,NA(),0)/1000</f>
        <v>0.3820071842243688</v>
      </c>
      <c r="D23" s="168">
        <f t="shared" ref="D23:BK23" si="1">_xlfn.XLOOKUP(D21,$C$15:$BO$15,$C$16:$BO$16,NA(),0)/1000</f>
        <v>0.36790395257440123</v>
      </c>
      <c r="E23" s="168">
        <f t="shared" si="1"/>
        <v>0.35915945263623078</v>
      </c>
      <c r="F23" s="168">
        <f t="shared" si="1"/>
        <v>0.33384461870231147</v>
      </c>
      <c r="G23" s="168">
        <f t="shared" si="1"/>
        <v>0.31189884579259236</v>
      </c>
      <c r="H23" s="168">
        <f t="shared" si="1"/>
        <v>0.31608801161777067</v>
      </c>
      <c r="I23" s="168">
        <f t="shared" si="1"/>
        <v>0.29295912928509499</v>
      </c>
      <c r="J23" s="168">
        <f t="shared" si="1"/>
        <v>0.27950364226631924</v>
      </c>
      <c r="K23" s="168">
        <f t="shared" si="1"/>
        <v>0.26000804455233301</v>
      </c>
      <c r="L23" s="168">
        <f t="shared" si="1"/>
        <v>0.24825204695375183</v>
      </c>
      <c r="M23" s="168">
        <f t="shared" si="1"/>
        <v>0.26379962912060312</v>
      </c>
      <c r="N23" s="168">
        <f t="shared" si="1"/>
        <v>0.24996312975025572</v>
      </c>
      <c r="O23" s="168">
        <f t="shared" si="1"/>
        <v>0.24887846868567462</v>
      </c>
      <c r="P23" s="168">
        <f t="shared" si="1"/>
        <v>0.24948393198976493</v>
      </c>
      <c r="Q23" s="168">
        <f t="shared" si="1"/>
        <v>0.243407593061678</v>
      </c>
      <c r="R23" s="168">
        <f t="shared" si="1"/>
        <v>0.23926072866786974</v>
      </c>
      <c r="S23" s="168">
        <f t="shared" si="1"/>
        <v>0.24897577747376856</v>
      </c>
      <c r="T23" s="168">
        <f t="shared" si="1"/>
        <v>0.24689697493929336</v>
      </c>
      <c r="U23" s="168">
        <f t="shared" si="1"/>
        <v>0.22869081300551311</v>
      </c>
      <c r="V23" s="168">
        <f t="shared" si="1"/>
        <v>0.22869081300551311</v>
      </c>
      <c r="W23" s="168">
        <f t="shared" si="1"/>
        <v>0.22869081300551311</v>
      </c>
      <c r="X23" s="168">
        <f t="shared" si="1"/>
        <v>0.22869081300551311</v>
      </c>
      <c r="Y23" s="168">
        <f t="shared" si="1"/>
        <v>0.22869081300551311</v>
      </c>
      <c r="Z23" s="168">
        <f t="shared" si="1"/>
        <v>0.22869081300551311</v>
      </c>
      <c r="AA23" s="168">
        <f t="shared" si="1"/>
        <v>0.22869081300551311</v>
      </c>
      <c r="AB23" s="168">
        <f t="shared" si="1"/>
        <v>0.22869081300551311</v>
      </c>
      <c r="AC23" s="168">
        <f t="shared" si="1"/>
        <v>0.22869081300551311</v>
      </c>
      <c r="AD23" s="168">
        <f t="shared" si="1"/>
        <v>0.22869081300551311</v>
      </c>
      <c r="AE23" s="168">
        <f t="shared" si="1"/>
        <v>0.22869081300551311</v>
      </c>
      <c r="AF23" s="168">
        <f t="shared" si="1"/>
        <v>0.22869081300551311</v>
      </c>
      <c r="AG23" s="168">
        <f t="shared" si="1"/>
        <v>0.22869081300551311</v>
      </c>
      <c r="AH23" s="168">
        <f t="shared" si="1"/>
        <v>0.22869081300551311</v>
      </c>
      <c r="AI23" s="168">
        <f t="shared" si="1"/>
        <v>0.22869081300551311</v>
      </c>
      <c r="AJ23" s="168">
        <f t="shared" si="1"/>
        <v>0.22869081300551311</v>
      </c>
      <c r="AK23" s="168">
        <f t="shared" si="1"/>
        <v>0.22869081300551311</v>
      </c>
      <c r="AL23" s="168">
        <f t="shared" si="1"/>
        <v>0.22869081300551311</v>
      </c>
      <c r="AM23" s="168">
        <f t="shared" si="1"/>
        <v>0.22869081300551311</v>
      </c>
      <c r="AN23" s="168">
        <f t="shared" si="1"/>
        <v>0.22869081300551311</v>
      </c>
      <c r="AO23" s="168">
        <f t="shared" si="1"/>
        <v>0.22869081300551311</v>
      </c>
      <c r="AP23" s="168">
        <f t="shared" si="1"/>
        <v>0.22869081300551311</v>
      </c>
      <c r="AQ23" s="168">
        <f t="shared" si="1"/>
        <v>0.22869081300551311</v>
      </c>
      <c r="AR23" s="168">
        <f t="shared" si="1"/>
        <v>0.22869081300551311</v>
      </c>
      <c r="AS23" s="168">
        <f t="shared" si="1"/>
        <v>0.22869081300551311</v>
      </c>
      <c r="AT23" s="168">
        <f t="shared" si="1"/>
        <v>0.22869081300551311</v>
      </c>
      <c r="AU23" s="168">
        <f t="shared" si="1"/>
        <v>0.22869081300551311</v>
      </c>
      <c r="AV23" s="168">
        <f t="shared" si="1"/>
        <v>0.22869081300551311</v>
      </c>
      <c r="AW23" s="168">
        <f t="shared" si="1"/>
        <v>0.22869081300551311</v>
      </c>
      <c r="AX23" s="168">
        <f t="shared" si="1"/>
        <v>0.22869081300551311</v>
      </c>
      <c r="AY23" s="168">
        <f t="shared" si="1"/>
        <v>0.22869081300551311</v>
      </c>
      <c r="AZ23" s="168">
        <f t="shared" si="1"/>
        <v>0.22869081300551311</v>
      </c>
      <c r="BA23" s="168">
        <f t="shared" si="1"/>
        <v>0.22869081300551311</v>
      </c>
      <c r="BB23" s="168">
        <f t="shared" si="1"/>
        <v>0.22869081300551311</v>
      </c>
      <c r="BC23" s="168">
        <f t="shared" si="1"/>
        <v>0.22869081300551311</v>
      </c>
      <c r="BD23" s="168">
        <f t="shared" si="1"/>
        <v>0.22869081300551311</v>
      </c>
      <c r="BE23" s="168">
        <f t="shared" si="1"/>
        <v>0.22869081300551311</v>
      </c>
      <c r="BF23" s="168">
        <f t="shared" si="1"/>
        <v>0.22869081300551311</v>
      </c>
      <c r="BG23" s="168">
        <f t="shared" si="1"/>
        <v>0.22869081300551311</v>
      </c>
      <c r="BH23" s="168">
        <f t="shared" si="1"/>
        <v>0.22869081300551311</v>
      </c>
      <c r="BI23" s="168">
        <f t="shared" si="1"/>
        <v>0.22869081300551311</v>
      </c>
      <c r="BJ23" s="168">
        <f t="shared" si="1"/>
        <v>0.22869081300551311</v>
      </c>
      <c r="BK23" s="168">
        <f t="shared" si="1"/>
        <v>0.22869081300551311</v>
      </c>
    </row>
    <row r="24" spans="2:67" x14ac:dyDescent="0.2">
      <c r="B24" s="58" t="s">
        <v>325</v>
      </c>
      <c r="C24" s="168">
        <f>_xlfn.XLOOKUP(C21,$C$15:$BO$15,$C$17:$BO$17,NA(),0)/1000</f>
        <v>0.20338466048495787</v>
      </c>
      <c r="D24" s="168">
        <f t="shared" ref="D24:BK24" si="2">_xlfn.XLOOKUP(D21,$C$15:$BO$15,$C$17:$BO$17,NA(),0)/1000</f>
        <v>0.18590735797060229</v>
      </c>
      <c r="E24" s="168">
        <f t="shared" si="2"/>
        <v>0.16743804508446747</v>
      </c>
      <c r="F24" s="168">
        <f t="shared" si="2"/>
        <v>0.14792041539271375</v>
      </c>
      <c r="G24" s="168">
        <f t="shared" si="2"/>
        <v>0.12729496651256625</v>
      </c>
      <c r="H24" s="168">
        <f t="shared" si="2"/>
        <v>0.10299528453196878</v>
      </c>
      <c r="I24" s="168">
        <f t="shared" si="2"/>
        <v>8.3334234859742146E-2</v>
      </c>
      <c r="J24" s="168">
        <f t="shared" si="2"/>
        <v>6.7426336372740675E-2</v>
      </c>
      <c r="K24" s="168">
        <f t="shared" si="2"/>
        <v>5.4555139845007997E-2</v>
      </c>
      <c r="L24" s="168">
        <f t="shared" si="2"/>
        <v>4.4140960989712492E-2</v>
      </c>
      <c r="M24" s="168">
        <f t="shared" si="2"/>
        <v>3.5714773028367709E-2</v>
      </c>
      <c r="N24" s="168">
        <f t="shared" si="2"/>
        <v>2.8897082978440382E-2</v>
      </c>
      <c r="O24" s="168">
        <f t="shared" si="2"/>
        <v>2.3380840303803916E-2</v>
      </c>
      <c r="P24" s="168">
        <f t="shared" si="2"/>
        <v>1.8917608179339001E-2</v>
      </c>
      <c r="Q24" s="168">
        <f t="shared" si="2"/>
        <v>1.5306374560403188E-2</v>
      </c>
      <c r="R24" s="168">
        <f t="shared" si="2"/>
        <v>1.27064093188859E-2</v>
      </c>
      <c r="S24" s="168">
        <f t="shared" si="2"/>
        <v>1.2058575421494175E-2</v>
      </c>
      <c r="T24" s="168">
        <f t="shared" si="2"/>
        <v>1.1812380257711756E-2</v>
      </c>
      <c r="U24" s="168">
        <f t="shared" si="2"/>
        <v>1.1102442959280711E-2</v>
      </c>
      <c r="V24" s="168">
        <f t="shared" si="2"/>
        <v>9.428549055544768E-3</v>
      </c>
      <c r="W24" s="168">
        <f t="shared" si="2"/>
        <v>8.5603307175814089E-3</v>
      </c>
      <c r="X24" s="168">
        <f t="shared" si="2"/>
        <v>7.8929845517568403E-3</v>
      </c>
      <c r="Y24" s="168">
        <f t="shared" si="2"/>
        <v>7.4912625284180023E-3</v>
      </c>
      <c r="Z24" s="168">
        <f t="shared" si="2"/>
        <v>6.9709267311264559E-3</v>
      </c>
      <c r="AA24" s="168">
        <f t="shared" si="2"/>
        <v>6.8512486237139996E-3</v>
      </c>
      <c r="AB24" s="168">
        <f t="shared" si="2"/>
        <v>6.8512486237139996E-3</v>
      </c>
      <c r="AC24" s="168">
        <f t="shared" si="2"/>
        <v>6.8512486237139996E-3</v>
      </c>
      <c r="AD24" s="168">
        <f t="shared" si="2"/>
        <v>6.8512486237139996E-3</v>
      </c>
      <c r="AE24" s="168">
        <f t="shared" si="2"/>
        <v>6.8512486237139996E-3</v>
      </c>
      <c r="AF24" s="168">
        <f t="shared" si="2"/>
        <v>6.8512486237139996E-3</v>
      </c>
      <c r="AG24" s="168">
        <f t="shared" si="2"/>
        <v>6.8512486237139996E-3</v>
      </c>
      <c r="AH24" s="168">
        <f t="shared" si="2"/>
        <v>6.8512486237139996E-3</v>
      </c>
      <c r="AI24" s="168">
        <f t="shared" si="2"/>
        <v>6.8512486237139996E-3</v>
      </c>
      <c r="AJ24" s="168">
        <f t="shared" si="2"/>
        <v>6.8512486237139996E-3</v>
      </c>
      <c r="AK24" s="168">
        <f t="shared" si="2"/>
        <v>6.8512486237139996E-3</v>
      </c>
      <c r="AL24" s="168">
        <f t="shared" si="2"/>
        <v>6.8512486237139996E-3</v>
      </c>
      <c r="AM24" s="168">
        <f t="shared" si="2"/>
        <v>6.8512486237139996E-3</v>
      </c>
      <c r="AN24" s="168">
        <f t="shared" si="2"/>
        <v>6.8512486237139996E-3</v>
      </c>
      <c r="AO24" s="168">
        <f t="shared" si="2"/>
        <v>6.8512486237139996E-3</v>
      </c>
      <c r="AP24" s="168">
        <f t="shared" si="2"/>
        <v>6.8512486237139996E-3</v>
      </c>
      <c r="AQ24" s="168">
        <f t="shared" si="2"/>
        <v>6.8512486237139996E-3</v>
      </c>
      <c r="AR24" s="168">
        <f t="shared" si="2"/>
        <v>6.8512486237139996E-3</v>
      </c>
      <c r="AS24" s="168">
        <f t="shared" si="2"/>
        <v>6.8512486237139996E-3</v>
      </c>
      <c r="AT24" s="168">
        <f t="shared" si="2"/>
        <v>6.8512486237139996E-3</v>
      </c>
      <c r="AU24" s="168">
        <f t="shared" si="2"/>
        <v>6.8512486237139996E-3</v>
      </c>
      <c r="AV24" s="168">
        <f t="shared" si="2"/>
        <v>6.8512486237139996E-3</v>
      </c>
      <c r="AW24" s="168">
        <f t="shared" si="2"/>
        <v>6.8512486237139996E-3</v>
      </c>
      <c r="AX24" s="168">
        <f t="shared" si="2"/>
        <v>6.8512486237139996E-3</v>
      </c>
      <c r="AY24" s="168">
        <f t="shared" si="2"/>
        <v>6.8512486237139996E-3</v>
      </c>
      <c r="AZ24" s="168">
        <f t="shared" si="2"/>
        <v>6.8512486237139996E-3</v>
      </c>
      <c r="BA24" s="168">
        <f t="shared" si="2"/>
        <v>6.8512486237139996E-3</v>
      </c>
      <c r="BB24" s="168">
        <f t="shared" si="2"/>
        <v>6.8512486237139996E-3</v>
      </c>
      <c r="BC24" s="168">
        <f t="shared" si="2"/>
        <v>6.8512486237139996E-3</v>
      </c>
      <c r="BD24" s="168">
        <f t="shared" si="2"/>
        <v>6.8512486237139996E-3</v>
      </c>
      <c r="BE24" s="168">
        <f t="shared" si="2"/>
        <v>6.8512486237139996E-3</v>
      </c>
      <c r="BF24" s="168">
        <f t="shared" si="2"/>
        <v>6.8512486237139996E-3</v>
      </c>
      <c r="BG24" s="168">
        <f t="shared" si="2"/>
        <v>6.8512486237139996E-3</v>
      </c>
      <c r="BH24" s="168">
        <f t="shared" si="2"/>
        <v>6.8512486237139996E-3</v>
      </c>
      <c r="BI24" s="168">
        <f t="shared" si="2"/>
        <v>6.8512486237139996E-3</v>
      </c>
      <c r="BJ24" s="168">
        <f t="shared" si="2"/>
        <v>6.8512486237139996E-3</v>
      </c>
      <c r="BK24" s="168">
        <f t="shared" si="2"/>
        <v>6.8512486237139996E-3</v>
      </c>
    </row>
    <row r="25" spans="2:67" x14ac:dyDescent="0.2">
      <c r="B25" s="58" t="s">
        <v>326</v>
      </c>
      <c r="C25" s="168">
        <f>_xlfn.XLOOKUP(C21,$C$15:$BO$15,$C$18:$BO$18,NA(),0)/1000</f>
        <v>0.20716784497895951</v>
      </c>
      <c r="D25" s="168">
        <f t="shared" ref="D25:BK25" si="3">_xlfn.XLOOKUP(D21,$C$15:$BO$15,$C$18:$BO$18,NA(),0)/1000</f>
        <v>0.18936544488983292</v>
      </c>
      <c r="E25" s="168">
        <f t="shared" si="3"/>
        <v>0.17055258191511677</v>
      </c>
      <c r="F25" s="168">
        <f t="shared" si="3"/>
        <v>0.15067190225768007</v>
      </c>
      <c r="G25" s="168">
        <f t="shared" si="3"/>
        <v>0.12966279672319522</v>
      </c>
      <c r="H25" s="168">
        <f t="shared" si="3"/>
        <v>0.10491111320099197</v>
      </c>
      <c r="I25" s="168">
        <f t="shared" si="3"/>
        <v>8.4884345789392038E-2</v>
      </c>
      <c r="J25" s="168">
        <f t="shared" si="3"/>
        <v>6.8680542415833865E-2</v>
      </c>
      <c r="K25" s="168">
        <f t="shared" si="3"/>
        <v>5.5569927089225903E-2</v>
      </c>
      <c r="L25" s="168">
        <f t="shared" si="3"/>
        <v>4.4962032740002933E-2</v>
      </c>
      <c r="M25" s="168">
        <f t="shared" si="3"/>
        <v>3.6379108161634567E-2</v>
      </c>
      <c r="N25" s="168">
        <f t="shared" si="3"/>
        <v>2.943460137331461E-2</v>
      </c>
      <c r="O25" s="168">
        <f t="shared" si="3"/>
        <v>2.3815750352001092E-2</v>
      </c>
      <c r="P25" s="168">
        <f t="shared" si="3"/>
        <v>1.9269497066913034E-2</v>
      </c>
      <c r="Q25" s="168">
        <f t="shared" si="3"/>
        <v>1.5591090422249522E-2</v>
      </c>
      <c r="R25" s="168">
        <f t="shared" si="3"/>
        <v>1.2942762889479797E-2</v>
      </c>
      <c r="S25" s="168">
        <f t="shared" si="3"/>
        <v>1.2282878549594242E-2</v>
      </c>
      <c r="T25" s="168">
        <f t="shared" si="3"/>
        <v>1.2032103877583921E-2</v>
      </c>
      <c r="U25" s="168">
        <f t="shared" si="3"/>
        <v>1.1308960943227662E-2</v>
      </c>
      <c r="V25" s="168">
        <f t="shared" si="3"/>
        <v>9.6039307215112085E-3</v>
      </c>
      <c r="W25" s="168">
        <f t="shared" si="3"/>
        <v>8.7195625414419661E-3</v>
      </c>
      <c r="X25" s="168">
        <f t="shared" si="3"/>
        <v>8.0398029828833584E-3</v>
      </c>
      <c r="Y25" s="168">
        <f t="shared" si="3"/>
        <v>7.6306084759955118E-3</v>
      </c>
      <c r="Z25" s="168">
        <f t="shared" si="3"/>
        <v>7.10059384493502E-3</v>
      </c>
      <c r="AA25" s="168">
        <f t="shared" si="3"/>
        <v>6.9786895894976596E-3</v>
      </c>
      <c r="AB25" s="168">
        <f t="shared" si="3"/>
        <v>6.9786895894976596E-3</v>
      </c>
      <c r="AC25" s="168">
        <f t="shared" si="3"/>
        <v>6.9786895894976596E-3</v>
      </c>
      <c r="AD25" s="168">
        <f t="shared" si="3"/>
        <v>6.9786895894976596E-3</v>
      </c>
      <c r="AE25" s="168">
        <f t="shared" si="3"/>
        <v>6.9786895894976596E-3</v>
      </c>
      <c r="AF25" s="168">
        <f t="shared" si="3"/>
        <v>6.9786895894976596E-3</v>
      </c>
      <c r="AG25" s="168">
        <f t="shared" si="3"/>
        <v>6.9786895894976596E-3</v>
      </c>
      <c r="AH25" s="168">
        <f t="shared" si="3"/>
        <v>6.9786895894976596E-3</v>
      </c>
      <c r="AI25" s="168">
        <f t="shared" si="3"/>
        <v>6.9786895894976596E-3</v>
      </c>
      <c r="AJ25" s="168">
        <f t="shared" si="3"/>
        <v>6.9786895894976596E-3</v>
      </c>
      <c r="AK25" s="168">
        <f t="shared" si="3"/>
        <v>6.9786895894976596E-3</v>
      </c>
      <c r="AL25" s="168">
        <f t="shared" si="3"/>
        <v>6.9786895894976596E-3</v>
      </c>
      <c r="AM25" s="168">
        <f t="shared" si="3"/>
        <v>6.9786895894976596E-3</v>
      </c>
      <c r="AN25" s="168">
        <f t="shared" si="3"/>
        <v>6.9786895894976596E-3</v>
      </c>
      <c r="AO25" s="168">
        <f t="shared" si="3"/>
        <v>6.9786895894976596E-3</v>
      </c>
      <c r="AP25" s="168">
        <f t="shared" si="3"/>
        <v>6.9786895894976596E-3</v>
      </c>
      <c r="AQ25" s="168">
        <f t="shared" si="3"/>
        <v>6.9786895894976596E-3</v>
      </c>
      <c r="AR25" s="168">
        <f t="shared" si="3"/>
        <v>6.9786895894976596E-3</v>
      </c>
      <c r="AS25" s="168">
        <f t="shared" si="3"/>
        <v>6.9786895894976596E-3</v>
      </c>
      <c r="AT25" s="168">
        <f t="shared" si="3"/>
        <v>6.9786895894976596E-3</v>
      </c>
      <c r="AU25" s="168">
        <f t="shared" si="3"/>
        <v>6.9786895894976596E-3</v>
      </c>
      <c r="AV25" s="168">
        <f t="shared" si="3"/>
        <v>6.9786895894976596E-3</v>
      </c>
      <c r="AW25" s="168">
        <f t="shared" si="3"/>
        <v>6.9786895894976596E-3</v>
      </c>
      <c r="AX25" s="168">
        <f t="shared" si="3"/>
        <v>6.9786895894976596E-3</v>
      </c>
      <c r="AY25" s="168">
        <f t="shared" si="3"/>
        <v>6.9786895894976596E-3</v>
      </c>
      <c r="AZ25" s="168">
        <f t="shared" si="3"/>
        <v>6.9786895894976596E-3</v>
      </c>
      <c r="BA25" s="168">
        <f t="shared" si="3"/>
        <v>6.9786895894976596E-3</v>
      </c>
      <c r="BB25" s="168">
        <f t="shared" si="3"/>
        <v>6.9786895894976596E-3</v>
      </c>
      <c r="BC25" s="168">
        <f t="shared" si="3"/>
        <v>6.9786895894976596E-3</v>
      </c>
      <c r="BD25" s="168">
        <f t="shared" si="3"/>
        <v>6.9786895894976596E-3</v>
      </c>
      <c r="BE25" s="168">
        <f t="shared" si="3"/>
        <v>6.9786895894976596E-3</v>
      </c>
      <c r="BF25" s="168">
        <f t="shared" si="3"/>
        <v>6.9786895894976596E-3</v>
      </c>
      <c r="BG25" s="168">
        <f t="shared" si="3"/>
        <v>6.9786895894976596E-3</v>
      </c>
      <c r="BH25" s="168">
        <f t="shared" si="3"/>
        <v>6.9786895894976596E-3</v>
      </c>
      <c r="BI25" s="168">
        <f t="shared" si="3"/>
        <v>6.9786895894976596E-3</v>
      </c>
      <c r="BJ25" s="168">
        <f t="shared" si="3"/>
        <v>6.9786895894976596E-3</v>
      </c>
      <c r="BK25" s="168">
        <f t="shared" si="3"/>
        <v>6.9786895894976596E-3</v>
      </c>
    </row>
    <row r="27" spans="2:67" x14ac:dyDescent="0.2">
      <c r="B27" s="35" t="s">
        <v>254</v>
      </c>
    </row>
    <row r="28" spans="2:67" x14ac:dyDescent="0.2">
      <c r="B28" s="54" t="s">
        <v>327</v>
      </c>
      <c r="D28" s="62">
        <f>'Financial Analysis'!E15/CO2e!$C$10*$C$9/1000</f>
        <v>26909.805624250454</v>
      </c>
      <c r="E28" s="62">
        <f>'Financial Analysis'!F15/CO2e!$C$10*$C$9/1000</f>
        <v>26909.805624250454</v>
      </c>
      <c r="F28" s="62">
        <f>'Financial Analysis'!G15/CO2e!$C$10*$C$9/1000</f>
        <v>26909.805624250454</v>
      </c>
      <c r="G28" s="62">
        <f>'Financial Analysis'!H15/CO2e!$C$10*$C$9/1000</f>
        <v>26909.805624250454</v>
      </c>
      <c r="H28" s="62">
        <f>'Financial Analysis'!I15/CO2e!$C$10*$C$9/1000</f>
        <v>26909.805624250454</v>
      </c>
      <c r="I28" s="62">
        <f>'Financial Analysis'!J15/CO2e!$C$10*$C$9/1000</f>
        <v>26909.805624250454</v>
      </c>
      <c r="J28" s="62">
        <f>'Financial Analysis'!K15/CO2e!$C$10*$C$9/1000</f>
        <v>26909.805624250454</v>
      </c>
      <c r="K28" s="62">
        <f>'Financial Analysis'!L15/CO2e!$C$10*$C$9/1000</f>
        <v>26909.805624250454</v>
      </c>
      <c r="L28" s="62">
        <f>'Financial Analysis'!M15/CO2e!$C$10*$C$9/1000</f>
        <v>26909.805624250454</v>
      </c>
      <c r="M28" s="62">
        <f>'Financial Analysis'!N15/CO2e!$C$10*$C$9/1000</f>
        <v>26909.805624250454</v>
      </c>
      <c r="N28" s="62">
        <f>'Financial Analysis'!O15/CO2e!$C$10*$C$9/1000</f>
        <v>26909.805624250454</v>
      </c>
      <c r="O28" s="62">
        <f>'Financial Analysis'!P15/CO2e!$C$10*$C$9/1000</f>
        <v>26909.805624250454</v>
      </c>
      <c r="P28" s="62">
        <f>'Financial Analysis'!Q15/CO2e!$C$10*$C$9/1000</f>
        <v>26909.805624250454</v>
      </c>
      <c r="Q28" s="62">
        <f>'Financial Analysis'!R15/CO2e!$C$10*$C$9/1000</f>
        <v>26909.805624250454</v>
      </c>
      <c r="R28" s="62">
        <f>'Financial Analysis'!S15/CO2e!$C$10*$C$9/1000</f>
        <v>26909.805624250454</v>
      </c>
      <c r="S28" s="62">
        <f>'Financial Analysis'!T15/CO2e!$C$10*$C$9/1000</f>
        <v>26909.805624250454</v>
      </c>
      <c r="T28" s="62">
        <f>'Financial Analysis'!U15/CO2e!$C$10*$C$9/1000</f>
        <v>26909.805624250454</v>
      </c>
      <c r="U28" s="62">
        <f>'Financial Analysis'!V15/CO2e!$C$10*$C$9/1000</f>
        <v>26909.805624250454</v>
      </c>
      <c r="V28" s="62">
        <f>'Financial Analysis'!W15/CO2e!$C$10*$C$9/1000</f>
        <v>26909.805624250454</v>
      </c>
      <c r="W28" s="62">
        <f>'Financial Analysis'!X15/CO2e!$C$10*$C$9/1000</f>
        <v>26909.805624250454</v>
      </c>
      <c r="X28" s="62">
        <f>'Financial Analysis'!Y15/CO2e!$C$10*$C$9/1000</f>
        <v>26909.805624250454</v>
      </c>
      <c r="Y28" s="62">
        <f>'Financial Analysis'!Z15/CO2e!$C$10*$C$9/1000</f>
        <v>26909.805624250454</v>
      </c>
      <c r="Z28" s="62">
        <f>'Financial Analysis'!AA15/CO2e!$C$10*$C$9/1000</f>
        <v>26909.805624250454</v>
      </c>
      <c r="AA28" s="62">
        <f>'Financial Analysis'!AB15/CO2e!$C$10*$C$9/1000</f>
        <v>26909.805624250454</v>
      </c>
      <c r="AB28" s="62">
        <f>'Financial Analysis'!AC15/CO2e!$C$10*$C$9/1000</f>
        <v>26909.805624250454</v>
      </c>
      <c r="AC28" s="62">
        <f>'Financial Analysis'!AD15/CO2e!$C$10*$C$9/1000</f>
        <v>26909.805624250454</v>
      </c>
      <c r="AD28" s="62">
        <f>'Financial Analysis'!AE15/CO2e!$C$10*$C$9/1000</f>
        <v>26909.805624250454</v>
      </c>
      <c r="AE28" s="62">
        <f>'Financial Analysis'!AF15/CO2e!$C$10*$C$9/1000</f>
        <v>26909.805624250454</v>
      </c>
      <c r="AF28" s="62">
        <f>'Financial Analysis'!AG15/CO2e!$C$10*$C$9/1000</f>
        <v>26909.805624250454</v>
      </c>
      <c r="AG28" s="62">
        <f>'Financial Analysis'!AH15/CO2e!$C$10*$C$9/1000</f>
        <v>26909.805624250454</v>
      </c>
      <c r="AH28" s="62">
        <f>'Financial Analysis'!AI15/CO2e!$C$10*$C$9/1000</f>
        <v>26909.805624250454</v>
      </c>
      <c r="AI28" s="62">
        <f>'Financial Analysis'!AJ15/CO2e!$C$10*$C$9/1000</f>
        <v>26909.805624250454</v>
      </c>
      <c r="AJ28" s="62">
        <f>'Financial Analysis'!AK15/CO2e!$C$10*$C$9/1000</f>
        <v>26909.805624250454</v>
      </c>
      <c r="AK28" s="62">
        <f>'Financial Analysis'!AL15/CO2e!$C$10*$C$9/1000</f>
        <v>26909.805624250454</v>
      </c>
      <c r="AL28" s="62">
        <f>'Financial Analysis'!AM15/CO2e!$C$10*$C$9/1000</f>
        <v>26909.805624250454</v>
      </c>
      <c r="AM28" s="62">
        <f>'Financial Analysis'!AN15/CO2e!$C$10*$C$9/1000</f>
        <v>26909.805624250454</v>
      </c>
      <c r="AN28" s="62">
        <f>'Financial Analysis'!AO15/CO2e!$C$10*$C$9/1000</f>
        <v>26909.805624250454</v>
      </c>
      <c r="AO28" s="62">
        <f>'Financial Analysis'!AP15/CO2e!$C$10*$C$9/1000</f>
        <v>26909.805624250454</v>
      </c>
      <c r="AP28" s="62">
        <f>'Financial Analysis'!AQ15/CO2e!$C$10*$C$9/1000</f>
        <v>26909.805624250454</v>
      </c>
      <c r="AQ28" s="62">
        <f>'Financial Analysis'!AR15/CO2e!$C$10*$C$9/1000</f>
        <v>26909.805624250454</v>
      </c>
      <c r="AR28" s="62">
        <f>'Financial Analysis'!AS15/CO2e!$C$10*$C$9/1000</f>
        <v>26909.805624250454</v>
      </c>
      <c r="AS28" s="62">
        <f>'Financial Analysis'!AT15/CO2e!$C$10*$C$9/1000</f>
        <v>26909.805624250454</v>
      </c>
      <c r="AT28" s="62">
        <f>'Financial Analysis'!AU15/CO2e!$C$10*$C$9/1000</f>
        <v>26909.805624250454</v>
      </c>
      <c r="AU28" s="62">
        <f>'Financial Analysis'!AV15/CO2e!$C$10*$C$9/1000</f>
        <v>26909.805624250454</v>
      </c>
      <c r="AV28" s="62">
        <f>'Financial Analysis'!AW15/CO2e!$C$10*$C$9/1000</f>
        <v>26909.805624250454</v>
      </c>
      <c r="AW28" s="62">
        <f>'Financial Analysis'!AX15/CO2e!$C$10*$C$9/1000</f>
        <v>26909.805624250454</v>
      </c>
      <c r="AX28" s="62">
        <f>'Financial Analysis'!AY15/CO2e!$C$10*$C$9/1000</f>
        <v>26909.805624250454</v>
      </c>
      <c r="AY28" s="62">
        <f>'Financial Analysis'!AZ15/CO2e!$C$10*$C$9/1000</f>
        <v>26909.805624250454</v>
      </c>
      <c r="AZ28" s="62">
        <f>'Financial Analysis'!BA15/CO2e!$C$10*$C$9/1000</f>
        <v>26909.805624250454</v>
      </c>
      <c r="BA28" s="62">
        <f>'Financial Analysis'!BB15/CO2e!$C$10*$C$9/1000</f>
        <v>26909.805624250454</v>
      </c>
      <c r="BB28" s="62">
        <f>'Financial Analysis'!BC15/CO2e!$C$10*$C$9/1000</f>
        <v>26909.805624250454</v>
      </c>
      <c r="BC28" s="62">
        <f>'Financial Analysis'!BD15/CO2e!$C$10*$C$9/1000</f>
        <v>26909.805624250454</v>
      </c>
      <c r="BD28" s="62">
        <f>'Financial Analysis'!BE15/CO2e!$C$10*$C$9/1000</f>
        <v>26909.805624250454</v>
      </c>
      <c r="BE28" s="62">
        <f>'Financial Analysis'!BF15/CO2e!$C$10*$C$9/1000</f>
        <v>26909.805624250454</v>
      </c>
      <c r="BF28" s="62">
        <f>'Financial Analysis'!BG15/CO2e!$C$10*$C$9/1000</f>
        <v>26909.805624250454</v>
      </c>
      <c r="BG28" s="62">
        <f>'Financial Analysis'!BH15/CO2e!$C$10*$C$9/1000</f>
        <v>26909.805624250454</v>
      </c>
      <c r="BH28" s="62">
        <f>'Financial Analysis'!BI15/CO2e!$C$10*$C$9/1000</f>
        <v>26909.805624250454</v>
      </c>
      <c r="BI28" s="62">
        <f>'Financial Analysis'!BJ15/CO2e!$C$10*$C$9/1000</f>
        <v>26909.805624250454</v>
      </c>
      <c r="BJ28" s="62">
        <f>'Financial Analysis'!BK15/CO2e!$C$10*$C$9/1000</f>
        <v>26909.805624250454</v>
      </c>
      <c r="BK28" s="62">
        <f>'Financial Analysis'!BL15/CO2e!$C$10*$C$9/1000</f>
        <v>26909.805624250454</v>
      </c>
      <c r="BL28" s="62"/>
    </row>
    <row r="29" spans="2:67" x14ac:dyDescent="0.2">
      <c r="B29" s="54" t="s">
        <v>328</v>
      </c>
      <c r="D29" s="62">
        <f>'Financial Analysis'!E15/CO2e!$C$11*D24/1000</f>
        <v>9636.1587830188619</v>
      </c>
      <c r="E29" s="62">
        <f>'Financial Analysis'!F15/CO2e!$C$11*E24/1000</f>
        <v>8678.8366332834285</v>
      </c>
      <c r="F29" s="62">
        <f>'Financial Analysis'!G15/CO2e!$C$11*F24/1000</f>
        <v>7667.1769505739221</v>
      </c>
      <c r="G29" s="62">
        <f>'Financial Analysis'!H15/CO2e!$C$11*G24/1000</f>
        <v>6598.0955406193552</v>
      </c>
      <c r="H29" s="62">
        <f>'Financial Analysis'!I15/CO2e!$C$11*H24/1000</f>
        <v>5338.5671577840367</v>
      </c>
      <c r="I29" s="62">
        <f>'Financial Analysis'!J15/CO2e!$C$11*I24/1000</f>
        <v>4319.4735697166079</v>
      </c>
      <c r="J29" s="62">
        <f>'Financial Analysis'!K15/CO2e!$C$11*J24/1000</f>
        <v>3494.9175252531522</v>
      </c>
      <c r="K29" s="62">
        <f>'Financial Analysis'!L15/CO2e!$C$11*K24/1000</f>
        <v>2827.7632241937717</v>
      </c>
      <c r="L29" s="62">
        <f>'Financial Analysis'!M15/CO2e!$C$11*L24/1000</f>
        <v>2287.9638201257849</v>
      </c>
      <c r="M29" s="62">
        <f>'Financial Analysis'!N15/CO2e!$C$11*M24/1000</f>
        <v>1851.2081907766767</v>
      </c>
      <c r="N29" s="62">
        <f>'Financial Analysis'!O15/CO2e!$C$11*N24/1000</f>
        <v>1497.8260300507081</v>
      </c>
      <c r="O29" s="62">
        <f>'Financial Analysis'!P15/CO2e!$C$11*O24/1000</f>
        <v>1211.9019500211962</v>
      </c>
      <c r="P29" s="62">
        <f>'Financial Analysis'!Q15/CO2e!$C$11*P24/1000</f>
        <v>980.55869440021388</v>
      </c>
      <c r="Q29" s="62">
        <f>'Financial Analysis'!R15/CO2e!$C$11*Q24/1000</f>
        <v>793.37718133635747</v>
      </c>
      <c r="R29" s="62">
        <f>'Financial Analysis'!S15/CO2e!$C$11*R24/1000</f>
        <v>658.61286554444382</v>
      </c>
      <c r="S29" s="62">
        <f>'Financial Analysis'!T15/CO2e!$C$11*S24/1000</f>
        <v>625.03361204724899</v>
      </c>
      <c r="T29" s="62">
        <f>'Financial Analysis'!U15/CO2e!$C$11*T24/1000</f>
        <v>612.27254806508063</v>
      </c>
      <c r="U29" s="62">
        <f>'Financial Analysis'!V15/CO2e!$C$11*U24/1000</f>
        <v>575.47428139964404</v>
      </c>
      <c r="V29" s="62">
        <f>'Financial Analysis'!W15/CO2e!$C$11*V24/1000</f>
        <v>488.71113432249894</v>
      </c>
      <c r="W29" s="62">
        <f>'Financial Analysis'!X15/CO2e!$C$11*W24/1000</f>
        <v>443.70866721053756</v>
      </c>
      <c r="X29" s="62">
        <f>'Financial Analysis'!Y15/CO2e!$C$11*X24/1000</f>
        <v>409.11803192142077</v>
      </c>
      <c r="Y29" s="62">
        <f>'Financial Analysis'!Z15/CO2e!$C$11*Y24/1000</f>
        <v>388.29552523967453</v>
      </c>
      <c r="Z29" s="62">
        <f>'Financial Analysis'!AA15/CO2e!$C$11*Z24/1000</f>
        <v>361.32489633114619</v>
      </c>
      <c r="AA29" s="62">
        <f>'Financial Analysis'!AB15/CO2e!$C$11*AA24/1000</f>
        <v>355.12160637820102</v>
      </c>
      <c r="AB29" s="62">
        <f>'Financial Analysis'!AC15/CO2e!$C$11*AB24/1000</f>
        <v>355.12160637820102</v>
      </c>
      <c r="AC29" s="62">
        <f>'Financial Analysis'!AD15/CO2e!$C$11*AC24/1000</f>
        <v>355.12160637820102</v>
      </c>
      <c r="AD29" s="62">
        <f>'Financial Analysis'!AE15/CO2e!$C$11*AD24/1000</f>
        <v>355.12160637820102</v>
      </c>
      <c r="AE29" s="62">
        <f>'Financial Analysis'!AF15/CO2e!$C$11*AE24/1000</f>
        <v>355.12160637820102</v>
      </c>
      <c r="AF29" s="62">
        <f>'Financial Analysis'!AG15/CO2e!$C$11*AF24/1000</f>
        <v>355.12160637820102</v>
      </c>
      <c r="AG29" s="62">
        <f>'Financial Analysis'!AH15/CO2e!$C$11*AG24/1000</f>
        <v>355.12160637820102</v>
      </c>
      <c r="AH29" s="62">
        <f>'Financial Analysis'!AI15/CO2e!$C$11*AH24/1000</f>
        <v>355.12160637820102</v>
      </c>
      <c r="AI29" s="62">
        <f>'Financial Analysis'!AJ15/CO2e!$C$11*AI24/1000</f>
        <v>355.12160637820102</v>
      </c>
      <c r="AJ29" s="62">
        <f>'Financial Analysis'!AK15/CO2e!$C$11*AJ24/1000</f>
        <v>355.12160637820102</v>
      </c>
      <c r="AK29" s="62">
        <f>'Financial Analysis'!AL15/CO2e!$C$11*AK24/1000</f>
        <v>355.12160637820102</v>
      </c>
      <c r="AL29" s="62">
        <f>'Financial Analysis'!AM15/CO2e!$C$11*AL24/1000</f>
        <v>355.12160637820102</v>
      </c>
      <c r="AM29" s="62">
        <f>'Financial Analysis'!AN15/CO2e!$C$11*AM24/1000</f>
        <v>355.12160637820102</v>
      </c>
      <c r="AN29" s="62">
        <f>'Financial Analysis'!AO15/CO2e!$C$11*AN24/1000</f>
        <v>355.12160637820102</v>
      </c>
      <c r="AO29" s="62">
        <f>'Financial Analysis'!AP15/CO2e!$C$11*AO24/1000</f>
        <v>355.12160637820102</v>
      </c>
      <c r="AP29" s="62">
        <f>'Financial Analysis'!AQ15/CO2e!$C$11*AP24/1000</f>
        <v>355.12160637820102</v>
      </c>
      <c r="AQ29" s="62">
        <f>'Financial Analysis'!AR15/CO2e!$C$11*AQ24/1000</f>
        <v>355.12160637820102</v>
      </c>
      <c r="AR29" s="62">
        <f>'Financial Analysis'!AS15/CO2e!$C$11*AR24/1000</f>
        <v>355.12160637820102</v>
      </c>
      <c r="AS29" s="62">
        <f>'Financial Analysis'!AT15/CO2e!$C$11*AS24/1000</f>
        <v>355.12160637820102</v>
      </c>
      <c r="AT29" s="62">
        <f>'Financial Analysis'!AU15/CO2e!$C$11*AT24/1000</f>
        <v>355.12160637820102</v>
      </c>
      <c r="AU29" s="62">
        <f>'Financial Analysis'!AV15/CO2e!$C$11*AU24/1000</f>
        <v>355.12160637820102</v>
      </c>
      <c r="AV29" s="62">
        <f>'Financial Analysis'!AW15/CO2e!$C$11*AV24/1000</f>
        <v>355.12160637820102</v>
      </c>
      <c r="AW29" s="62">
        <f>'Financial Analysis'!AX15/CO2e!$C$11*AW24/1000</f>
        <v>355.12160637820102</v>
      </c>
      <c r="AX29" s="62">
        <f>'Financial Analysis'!AY15/CO2e!$C$11*AX24/1000</f>
        <v>355.12160637820102</v>
      </c>
      <c r="AY29" s="62">
        <f>'Financial Analysis'!AZ15/CO2e!$C$11*AY24/1000</f>
        <v>355.12160637820102</v>
      </c>
      <c r="AZ29" s="62">
        <f>'Financial Analysis'!BA15/CO2e!$C$11*AZ24/1000</f>
        <v>355.12160637820102</v>
      </c>
      <c r="BA29" s="62">
        <f>'Financial Analysis'!BB15/CO2e!$C$11*BA24/1000</f>
        <v>355.12160637820102</v>
      </c>
      <c r="BB29" s="62">
        <f>'Financial Analysis'!BC15/CO2e!$C$11*BB24/1000</f>
        <v>355.12160637820102</v>
      </c>
      <c r="BC29" s="62">
        <f>'Financial Analysis'!BD15/CO2e!$C$11*BC24/1000</f>
        <v>355.12160637820102</v>
      </c>
      <c r="BD29" s="62">
        <f>'Financial Analysis'!BE15/CO2e!$C$11*BD24/1000</f>
        <v>355.12160637820102</v>
      </c>
      <c r="BE29" s="62">
        <f>'Financial Analysis'!BF15/CO2e!$C$11*BE24/1000</f>
        <v>355.12160637820102</v>
      </c>
      <c r="BF29" s="62">
        <f>'Financial Analysis'!BG15/CO2e!$C$11*BF24/1000</f>
        <v>355.12160637820102</v>
      </c>
      <c r="BG29" s="62">
        <f>'Financial Analysis'!BH15/CO2e!$C$11*BG24/1000</f>
        <v>355.12160637820102</v>
      </c>
      <c r="BH29" s="62">
        <f>'Financial Analysis'!BI15/CO2e!$C$11*BH24/1000</f>
        <v>355.12160637820102</v>
      </c>
      <c r="BI29" s="62">
        <f>'Financial Analysis'!BJ15/CO2e!$C$11*BI24/1000</f>
        <v>355.12160637820102</v>
      </c>
      <c r="BJ29" s="62">
        <f>'Financial Analysis'!BK15/CO2e!$C$11*BJ24/1000</f>
        <v>355.12160637820102</v>
      </c>
      <c r="BK29" s="62">
        <f>'Financial Analysis'!BL15/CO2e!$C$11*BK24/1000</f>
        <v>355.12160637820102</v>
      </c>
    </row>
    <row r="30" spans="2:67" x14ac:dyDescent="0.2">
      <c r="B30" s="54" t="s">
        <v>329</v>
      </c>
      <c r="D30" s="62">
        <f>'Financial Analysis'!E15/CO2e!$C$13*D24/1000</f>
        <v>23126.781079245269</v>
      </c>
      <c r="E30" s="62">
        <f>'Financial Analysis'!F15/CO2e!$C$13*E24/1000</f>
        <v>20829.207919880231</v>
      </c>
      <c r="F30" s="62">
        <f>'Financial Analysis'!G15/CO2e!$C$13*F24/1000</f>
        <v>18401.224681377415</v>
      </c>
      <c r="G30" s="62">
        <f>'Financial Analysis'!H15/CO2e!$C$13*G24/1000</f>
        <v>15835.429297486453</v>
      </c>
      <c r="H30" s="62">
        <f>'Financial Analysis'!I15/CO2e!$C$13*H24/1000</f>
        <v>12812.561178681686</v>
      </c>
      <c r="I30" s="62">
        <f>'Financial Analysis'!J15/CO2e!$C$13*I24/1000</f>
        <v>10366.73656731986</v>
      </c>
      <c r="J30" s="62">
        <f>'Financial Analysis'!K15/CO2e!$C$13*J24/1000</f>
        <v>8387.8020606075643</v>
      </c>
      <c r="K30" s="62">
        <f>'Financial Analysis'!L15/CO2e!$C$13*K24/1000</f>
        <v>6786.6317380650526</v>
      </c>
      <c r="L30" s="62">
        <f>'Financial Analysis'!M15/CO2e!$C$13*L24/1000</f>
        <v>5491.113168301883</v>
      </c>
      <c r="M30" s="62">
        <f>'Financial Analysis'!N15/CO2e!$C$13*M24/1000</f>
        <v>4442.8996578640235</v>
      </c>
      <c r="N30" s="62">
        <f>'Financial Analysis'!O15/CO2e!$C$13*N24/1000</f>
        <v>3594.7824721217003</v>
      </c>
      <c r="O30" s="62">
        <f>'Financial Analysis'!P15/CO2e!$C$13*O24/1000</f>
        <v>2908.5646800508707</v>
      </c>
      <c r="P30" s="62">
        <f>'Financial Analysis'!Q15/CO2e!$C$13*P24/1000</f>
        <v>2353.3408665605129</v>
      </c>
      <c r="Q30" s="62">
        <f>'Financial Analysis'!R15/CO2e!$C$13*Q24/1000</f>
        <v>1904.1052352072579</v>
      </c>
      <c r="R30" s="62">
        <f>'Financial Analysis'!S15/CO2e!$C$13*R24/1000</f>
        <v>1580.6708773066653</v>
      </c>
      <c r="S30" s="62">
        <f>'Financial Analysis'!T15/CO2e!$C$13*S24/1000</f>
        <v>1500.0806689133974</v>
      </c>
      <c r="T30" s="62">
        <f>'Financial Analysis'!U15/CO2e!$C$13*T24/1000</f>
        <v>1469.4541153561934</v>
      </c>
      <c r="U30" s="62">
        <f>'Financial Analysis'!V15/CO2e!$C$13*U24/1000</f>
        <v>1381.1382753591458</v>
      </c>
      <c r="V30" s="62">
        <f>'Financial Analysis'!W15/CO2e!$C$13*V24/1000</f>
        <v>1172.9067223739976</v>
      </c>
      <c r="W30" s="62">
        <f>'Financial Analysis'!X15/CO2e!$C$13*W24/1000</f>
        <v>1064.9008013052901</v>
      </c>
      <c r="X30" s="62">
        <f>'Financial Analysis'!Y15/CO2e!$C$13*X24/1000</f>
        <v>981.88327661141</v>
      </c>
      <c r="Y30" s="62">
        <f>'Financial Analysis'!Z15/CO2e!$C$13*Y24/1000</f>
        <v>931.90926057521892</v>
      </c>
      <c r="Z30" s="62">
        <f>'Financial Analysis'!AA15/CO2e!$C$13*Z24/1000</f>
        <v>867.17975119475091</v>
      </c>
      <c r="AA30" s="62">
        <f>'Financial Analysis'!AB15/CO2e!$C$13*AA24/1000</f>
        <v>852.29185530768257</v>
      </c>
      <c r="AB30" s="62">
        <f>'Financial Analysis'!AC15/CO2e!$C$13*AB24/1000</f>
        <v>852.29185530768257</v>
      </c>
      <c r="AC30" s="62">
        <f>'Financial Analysis'!AD15/CO2e!$C$13*AC24/1000</f>
        <v>852.29185530768257</v>
      </c>
      <c r="AD30" s="62">
        <f>'Financial Analysis'!AE15/CO2e!$C$13*AD24/1000</f>
        <v>852.29185530768257</v>
      </c>
      <c r="AE30" s="62">
        <f>'Financial Analysis'!AF15/CO2e!$C$13*AE24/1000</f>
        <v>852.29185530768257</v>
      </c>
      <c r="AF30" s="62">
        <f>'Financial Analysis'!AG15/CO2e!$C$13*AF24/1000</f>
        <v>852.29185530768257</v>
      </c>
      <c r="AG30" s="62">
        <f>'Financial Analysis'!AH15/CO2e!$C$13*AG24/1000</f>
        <v>852.29185530768257</v>
      </c>
      <c r="AH30" s="62">
        <f>'Financial Analysis'!AI15/CO2e!$C$13*AH24/1000</f>
        <v>852.29185530768257</v>
      </c>
      <c r="AI30" s="62">
        <f>'Financial Analysis'!AJ15/CO2e!$C$13*AI24/1000</f>
        <v>852.29185530768257</v>
      </c>
      <c r="AJ30" s="62">
        <f>'Financial Analysis'!AK15/CO2e!$C$13*AJ24/1000</f>
        <v>852.29185530768257</v>
      </c>
      <c r="AK30" s="62">
        <f>'Financial Analysis'!AL15/CO2e!$C$13*AK24/1000</f>
        <v>852.29185530768257</v>
      </c>
      <c r="AL30" s="62">
        <f>'Financial Analysis'!AM15/CO2e!$C$13*AL24/1000</f>
        <v>852.29185530768257</v>
      </c>
      <c r="AM30" s="62">
        <f>'Financial Analysis'!AN15/CO2e!$C$13*AM24/1000</f>
        <v>852.29185530768257</v>
      </c>
      <c r="AN30" s="62">
        <f>'Financial Analysis'!AO15/CO2e!$C$13*AN24/1000</f>
        <v>852.29185530768257</v>
      </c>
      <c r="AO30" s="62">
        <f>'Financial Analysis'!AP15/CO2e!$C$13*AO24/1000</f>
        <v>852.29185530768257</v>
      </c>
      <c r="AP30" s="62">
        <f>'Financial Analysis'!AQ15/CO2e!$C$13*AP24/1000</f>
        <v>852.29185530768257</v>
      </c>
      <c r="AQ30" s="62">
        <f>'Financial Analysis'!AR15/CO2e!$C$13*AQ24/1000</f>
        <v>852.29185530768257</v>
      </c>
      <c r="AR30" s="62">
        <f>'Financial Analysis'!AS15/CO2e!$C$13*AR24/1000</f>
        <v>852.29185530768257</v>
      </c>
      <c r="AS30" s="62">
        <f>'Financial Analysis'!AT15/CO2e!$C$13*AS24/1000</f>
        <v>852.29185530768257</v>
      </c>
      <c r="AT30" s="62">
        <f>'Financial Analysis'!AU15/CO2e!$C$13*AT24/1000</f>
        <v>852.29185530768257</v>
      </c>
      <c r="AU30" s="62">
        <f>'Financial Analysis'!AV15/CO2e!$C$13*AU24/1000</f>
        <v>852.29185530768257</v>
      </c>
      <c r="AV30" s="62">
        <f>'Financial Analysis'!AW15/CO2e!$C$13*AV24/1000</f>
        <v>852.29185530768257</v>
      </c>
      <c r="AW30" s="62">
        <f>'Financial Analysis'!AX15/CO2e!$C$13*AW24/1000</f>
        <v>852.29185530768257</v>
      </c>
      <c r="AX30" s="62">
        <f>'Financial Analysis'!AY15/CO2e!$C$13*AX24/1000</f>
        <v>852.29185530768257</v>
      </c>
      <c r="AY30" s="62">
        <f>'Financial Analysis'!AZ15/CO2e!$C$13*AY24/1000</f>
        <v>852.29185530768257</v>
      </c>
      <c r="AZ30" s="62">
        <f>'Financial Analysis'!BA15/CO2e!$C$13*AZ24/1000</f>
        <v>852.29185530768257</v>
      </c>
      <c r="BA30" s="62">
        <f>'Financial Analysis'!BB15/CO2e!$C$13*BA24/1000</f>
        <v>852.29185530768257</v>
      </c>
      <c r="BB30" s="62">
        <f>'Financial Analysis'!BC15/CO2e!$C$13*BB24/1000</f>
        <v>852.29185530768257</v>
      </c>
      <c r="BC30" s="62">
        <f>'Financial Analysis'!BD15/CO2e!$C$13*BC24/1000</f>
        <v>852.29185530768257</v>
      </c>
      <c r="BD30" s="62">
        <f>'Financial Analysis'!BE15/CO2e!$C$13*BD24/1000</f>
        <v>852.29185530768257</v>
      </c>
      <c r="BE30" s="62">
        <f>'Financial Analysis'!BF15/CO2e!$C$13*BE24/1000</f>
        <v>852.29185530768257</v>
      </c>
      <c r="BF30" s="62">
        <f>'Financial Analysis'!BG15/CO2e!$C$13*BF24/1000</f>
        <v>852.29185530768257</v>
      </c>
      <c r="BG30" s="62">
        <f>'Financial Analysis'!BH15/CO2e!$C$13*BG24/1000</f>
        <v>852.29185530768257</v>
      </c>
      <c r="BH30" s="62">
        <f>'Financial Analysis'!BI15/CO2e!$C$13*BH24/1000</f>
        <v>852.29185530768257</v>
      </c>
      <c r="BI30" s="62">
        <f>'Financial Analysis'!BJ15/CO2e!$C$13*BI24/1000</f>
        <v>852.29185530768257</v>
      </c>
      <c r="BJ30" s="62">
        <f>'Financial Analysis'!BK15/CO2e!$C$13*BJ24/1000</f>
        <v>852.29185530768257</v>
      </c>
      <c r="BK30" s="62">
        <f>'Financial Analysis'!BL15/CO2e!$C$13*BK24/1000</f>
        <v>852.29185530768257</v>
      </c>
    </row>
    <row r="31" spans="2:67" ht="4.5" customHeight="1" x14ac:dyDescent="0.2">
      <c r="B31" s="54"/>
    </row>
    <row r="32" spans="2:67" x14ac:dyDescent="0.2">
      <c r="B32" s="54" t="s">
        <v>330</v>
      </c>
      <c r="D32" s="62">
        <f>'Financial Analysis'!E16/CO2e!$C$10*$C$9/1000</f>
        <v>51.021261697129411</v>
      </c>
      <c r="E32" s="62">
        <f>'Financial Analysis'!F16/CO2e!$C$10*$C$9/1000</f>
        <v>51.021261697129411</v>
      </c>
      <c r="F32" s="62">
        <f>'Financial Analysis'!G16/CO2e!$C$10*$C$9/1000</f>
        <v>51.021261697129411</v>
      </c>
      <c r="G32" s="62">
        <f>'Financial Analysis'!H16/CO2e!$C$10*$C$9/1000</f>
        <v>51.021261697129411</v>
      </c>
      <c r="H32" s="62">
        <f>'Financial Analysis'!I16/CO2e!$C$10*$C$9/1000</f>
        <v>51.021261697129411</v>
      </c>
      <c r="I32" s="62">
        <f>'Financial Analysis'!J16/CO2e!$C$10*$C$9/1000</f>
        <v>51.021261697129411</v>
      </c>
      <c r="J32" s="62">
        <f>'Financial Analysis'!K16/CO2e!$C$10*$C$9/1000</f>
        <v>51.021261697129411</v>
      </c>
      <c r="K32" s="62">
        <f>'Financial Analysis'!L16/CO2e!$C$10*$C$9/1000</f>
        <v>51.021261697129411</v>
      </c>
      <c r="L32" s="62">
        <f>'Financial Analysis'!M16/CO2e!$C$10*$C$9/1000</f>
        <v>51.021261697129411</v>
      </c>
      <c r="M32" s="62">
        <f>'Financial Analysis'!N16/CO2e!$C$10*$C$9/1000</f>
        <v>51.021261697129411</v>
      </c>
      <c r="N32" s="62">
        <f>'Financial Analysis'!O16/CO2e!$C$10*$C$9/1000</f>
        <v>51.021261697129411</v>
      </c>
      <c r="O32" s="62">
        <f>'Financial Analysis'!P16/CO2e!$C$10*$C$9/1000</f>
        <v>51.021261697129411</v>
      </c>
      <c r="P32" s="62">
        <f>'Financial Analysis'!Q16/CO2e!$C$10*$C$9/1000</f>
        <v>51.021261697129411</v>
      </c>
      <c r="Q32" s="62">
        <f>'Financial Analysis'!R16/CO2e!$C$10*$C$9/1000</f>
        <v>51.021261697129411</v>
      </c>
      <c r="R32" s="62">
        <f>'Financial Analysis'!S16/CO2e!$C$10*$C$9/1000</f>
        <v>51.021261697129411</v>
      </c>
      <c r="S32" s="62">
        <f>'Financial Analysis'!T16/CO2e!$C$10*$C$9/1000</f>
        <v>51.021261697129411</v>
      </c>
      <c r="T32" s="62">
        <f>'Financial Analysis'!U16/CO2e!$C$10*$C$9/1000</f>
        <v>51.021261697129411</v>
      </c>
      <c r="U32" s="62">
        <f>'Financial Analysis'!V16/CO2e!$C$10*$C$9/1000</f>
        <v>51.021261697129411</v>
      </c>
      <c r="V32" s="62">
        <f>'Financial Analysis'!W16/CO2e!$C$10*$C$9/1000</f>
        <v>51.021261697129411</v>
      </c>
      <c r="W32" s="62">
        <f>'Financial Analysis'!X16/CO2e!$C$10*$C$9/1000</f>
        <v>51.021261697129411</v>
      </c>
      <c r="X32" s="62">
        <f>'Financial Analysis'!Y16/CO2e!$C$10*$C$9/1000</f>
        <v>51.021261697129411</v>
      </c>
      <c r="Y32" s="62">
        <f>'Financial Analysis'!Z16/CO2e!$C$10*$C$9/1000</f>
        <v>51.021261697129411</v>
      </c>
      <c r="Z32" s="62">
        <f>'Financial Analysis'!AA16/CO2e!$C$10*$C$9/1000</f>
        <v>51.021261697129411</v>
      </c>
      <c r="AA32" s="62">
        <f>'Financial Analysis'!AB16/CO2e!$C$10*$C$9/1000</f>
        <v>51.021261697129411</v>
      </c>
      <c r="AB32" s="62">
        <f>'Financial Analysis'!AC16/CO2e!$C$10*$C$9/1000</f>
        <v>51.021261697129411</v>
      </c>
      <c r="AC32" s="62">
        <f>'Financial Analysis'!AD16/CO2e!$C$10*$C$9/1000</f>
        <v>51.021261697129411</v>
      </c>
      <c r="AD32" s="62">
        <f>'Financial Analysis'!AE16/CO2e!$C$10*$C$9/1000</f>
        <v>51.021261697129411</v>
      </c>
      <c r="AE32" s="62">
        <f>'Financial Analysis'!AF16/CO2e!$C$10*$C$9/1000</f>
        <v>51.021261697129411</v>
      </c>
      <c r="AF32" s="62">
        <f>'Financial Analysis'!AG16/CO2e!$C$10*$C$9/1000</f>
        <v>51.021261697129411</v>
      </c>
      <c r="AG32" s="62">
        <f>'Financial Analysis'!AH16/CO2e!$C$10*$C$9/1000</f>
        <v>51.021261697129411</v>
      </c>
      <c r="AH32" s="62">
        <f>'Financial Analysis'!AI16/CO2e!$C$10*$C$9/1000</f>
        <v>51.021261697129411</v>
      </c>
      <c r="AI32" s="62">
        <f>'Financial Analysis'!AJ16/CO2e!$C$10*$C$9/1000</f>
        <v>51.021261697129411</v>
      </c>
      <c r="AJ32" s="62">
        <f>'Financial Analysis'!AK16/CO2e!$C$10*$C$9/1000</f>
        <v>51.021261697129411</v>
      </c>
      <c r="AK32" s="62">
        <f>'Financial Analysis'!AL16/CO2e!$C$10*$C$9/1000</f>
        <v>51.021261697129411</v>
      </c>
      <c r="AL32" s="62">
        <f>'Financial Analysis'!AM16/CO2e!$C$10*$C$9/1000</f>
        <v>51.021261697129411</v>
      </c>
      <c r="AM32" s="62">
        <f>'Financial Analysis'!AN16/CO2e!$C$10*$C$9/1000</f>
        <v>51.021261697129411</v>
      </c>
      <c r="AN32" s="62">
        <f>'Financial Analysis'!AO16/CO2e!$C$10*$C$9/1000</f>
        <v>51.021261697129411</v>
      </c>
      <c r="AO32" s="62">
        <f>'Financial Analysis'!AP16/CO2e!$C$10*$C$9/1000</f>
        <v>51.021261697129411</v>
      </c>
      <c r="AP32" s="62">
        <f>'Financial Analysis'!AQ16/CO2e!$C$10*$C$9/1000</f>
        <v>51.021261697129411</v>
      </c>
      <c r="AQ32" s="62">
        <f>'Financial Analysis'!AR16/CO2e!$C$10*$C$9/1000</f>
        <v>51.021261697129411</v>
      </c>
      <c r="AR32" s="62">
        <f>'Financial Analysis'!AS16/CO2e!$C$10*$C$9/1000</f>
        <v>51.021261697129411</v>
      </c>
      <c r="AS32" s="62">
        <f>'Financial Analysis'!AT16/CO2e!$C$10*$C$9/1000</f>
        <v>51.021261697129411</v>
      </c>
      <c r="AT32" s="62">
        <f>'Financial Analysis'!AU16/CO2e!$C$10*$C$9/1000</f>
        <v>51.021261697129411</v>
      </c>
      <c r="AU32" s="62">
        <f>'Financial Analysis'!AV16/CO2e!$C$10*$C$9/1000</f>
        <v>51.021261697129411</v>
      </c>
      <c r="AV32" s="62">
        <f>'Financial Analysis'!AW16/CO2e!$C$10*$C$9/1000</f>
        <v>51.021261697129411</v>
      </c>
      <c r="AW32" s="62">
        <f>'Financial Analysis'!AX16/CO2e!$C$10*$C$9/1000</f>
        <v>51.021261697129411</v>
      </c>
      <c r="AX32" s="62">
        <f>'Financial Analysis'!AY16/CO2e!$C$10*$C$9/1000</f>
        <v>51.021261697129411</v>
      </c>
      <c r="AY32" s="62">
        <f>'Financial Analysis'!AZ16/CO2e!$C$10*$C$9/1000</f>
        <v>51.021261697129411</v>
      </c>
      <c r="AZ32" s="62">
        <f>'Financial Analysis'!BA16/CO2e!$C$10*$C$9/1000</f>
        <v>51.021261697129411</v>
      </c>
      <c r="BA32" s="62">
        <f>'Financial Analysis'!BB16/CO2e!$C$10*$C$9/1000</f>
        <v>51.021261697129411</v>
      </c>
      <c r="BB32" s="62">
        <f>'Financial Analysis'!BC16/CO2e!$C$10*$C$9/1000</f>
        <v>51.021261697129411</v>
      </c>
      <c r="BC32" s="62">
        <f>'Financial Analysis'!BD16/CO2e!$C$10*$C$9/1000</f>
        <v>51.021261697129411</v>
      </c>
      <c r="BD32" s="62">
        <f>'Financial Analysis'!BE16/CO2e!$C$10*$C$9/1000</f>
        <v>51.021261697129411</v>
      </c>
      <c r="BE32" s="62">
        <f>'Financial Analysis'!BF16/CO2e!$C$10*$C$9/1000</f>
        <v>51.021261697129411</v>
      </c>
      <c r="BF32" s="62">
        <f>'Financial Analysis'!BG16/CO2e!$C$10*$C$9/1000</f>
        <v>51.021261697129411</v>
      </c>
      <c r="BG32" s="62">
        <f>'Financial Analysis'!BH16/CO2e!$C$10*$C$9/1000</f>
        <v>51.021261697129411</v>
      </c>
      <c r="BH32" s="62">
        <f>'Financial Analysis'!BI16/CO2e!$C$10*$C$9/1000</f>
        <v>51.021261697129411</v>
      </c>
      <c r="BI32" s="62">
        <f>'Financial Analysis'!BJ16/CO2e!$C$10*$C$9/1000</f>
        <v>51.021261697129411</v>
      </c>
      <c r="BJ32" s="62">
        <f>'Financial Analysis'!BK16/CO2e!$C$10*$C$9/1000</f>
        <v>51.021261697129411</v>
      </c>
      <c r="BK32" s="62">
        <f>'Financial Analysis'!BL16/CO2e!$C$10*$C$9/1000</f>
        <v>51.021261697129411</v>
      </c>
    </row>
    <row r="33" spans="2:63" x14ac:dyDescent="0.2">
      <c r="B33" s="54" t="s">
        <v>331</v>
      </c>
      <c r="D33" s="62">
        <f>'Financial Analysis'!E16/CO2e!$C$12*D25/1000</f>
        <v>22.332121423015924</v>
      </c>
      <c r="E33" s="62">
        <f>'Financial Analysis'!F16/CO2e!$C$12*E25/1000</f>
        <v>20.113495207919811</v>
      </c>
      <c r="F33" s="62">
        <f>'Financial Analysis'!G16/CO2e!$C$12*F25/1000</f>
        <v>17.768939936284841</v>
      </c>
      <c r="G33" s="62">
        <f>'Financial Analysis'!H16/CO2e!$C$12*G25/1000</f>
        <v>15.291307884365205</v>
      </c>
      <c r="H33" s="62">
        <f>'Financial Analysis'!I16/CO2e!$C$12*H25/1000</f>
        <v>12.372308580329124</v>
      </c>
      <c r="I33" s="62">
        <f>'Financial Analysis'!J16/CO2e!$C$12*I25/1000</f>
        <v>10.010524983503743</v>
      </c>
      <c r="J33" s="62">
        <f>'Financial Analysis'!K16/CO2e!$C$12*J25/1000</f>
        <v>8.0995886737482934</v>
      </c>
      <c r="K33" s="62">
        <f>'Financial Analysis'!L16/CO2e!$C$12*K25/1000</f>
        <v>6.5534361876144178</v>
      </c>
      <c r="L33" s="62">
        <f>'Financial Analysis'!M16/CO2e!$C$12*L25/1000</f>
        <v>5.302432950000548</v>
      </c>
      <c r="M33" s="62">
        <f>'Financial Analysis'!N16/CO2e!$C$12*M25/1000</f>
        <v>4.2902371190229331</v>
      </c>
      <c r="N33" s="62">
        <f>'Financial Analysis'!O16/CO2e!$C$12*N25/1000</f>
        <v>3.4712621000592372</v>
      </c>
      <c r="O33" s="62">
        <f>'Financial Analysis'!P16/CO2e!$C$12*O25/1000</f>
        <v>2.8086234473799614</v>
      </c>
      <c r="P33" s="62">
        <f>'Financial Analysis'!Q16/CO2e!$C$12*P25/1000</f>
        <v>2.2724776873051118</v>
      </c>
      <c r="Q33" s="62">
        <f>'Financial Analysis'!R16/CO2e!$C$12*Q25/1000</f>
        <v>1.8386782479214134</v>
      </c>
      <c r="R33" s="62">
        <f>'Financial Analysis'!S16/CO2e!$C$12*R25/1000</f>
        <v>1.5263574226296757</v>
      </c>
      <c r="S33" s="62">
        <f>'Financial Analysis'!T16/CO2e!$C$12*S25/1000</f>
        <v>1.4485363755424194</v>
      </c>
      <c r="T33" s="62">
        <f>'Financial Analysis'!U16/CO2e!$C$12*T25/1000</f>
        <v>1.4189621814310831</v>
      </c>
      <c r="U33" s="62">
        <f>'Financial Analysis'!V16/CO2e!$C$12*U25/1000</f>
        <v>1.3336809632783457</v>
      </c>
      <c r="V33" s="62">
        <f>'Financial Analysis'!W16/CO2e!$C$12*V25/1000</f>
        <v>1.1326044576707064</v>
      </c>
      <c r="W33" s="62">
        <f>'Financial Analysis'!X16/CO2e!$C$12*W25/1000</f>
        <v>1.0283097296043064</v>
      </c>
      <c r="X33" s="62">
        <f>'Financial Analysis'!Y16/CO2e!$C$12*X25/1000</f>
        <v>0.94814477126664343</v>
      </c>
      <c r="Y33" s="62">
        <f>'Financial Analysis'!Z16/CO2e!$C$12*Y25/1000</f>
        <v>0.89988791311194238</v>
      </c>
      <c r="Z33" s="62">
        <f>'Financial Analysis'!AA16/CO2e!$C$12*Z25/1000</f>
        <v>0.83738257533131433</v>
      </c>
      <c r="AA33" s="62">
        <f>'Financial Analysis'!AB16/CO2e!$C$12*AA25/1000</f>
        <v>0.82300624264826716</v>
      </c>
      <c r="AB33" s="62">
        <f>'Financial Analysis'!AC16/CO2e!$C$12*AB25/1000</f>
        <v>0.82300624264826716</v>
      </c>
      <c r="AC33" s="62">
        <f>'Financial Analysis'!AD16/CO2e!$C$12*AC25/1000</f>
        <v>0.82300624264826716</v>
      </c>
      <c r="AD33" s="62">
        <f>'Financial Analysis'!AE16/CO2e!$C$12*AD25/1000</f>
        <v>0.82300624264826716</v>
      </c>
      <c r="AE33" s="62">
        <f>'Financial Analysis'!AF16/CO2e!$C$12*AE25/1000</f>
        <v>0.82300624264826716</v>
      </c>
      <c r="AF33" s="62">
        <f>'Financial Analysis'!AG16/CO2e!$C$12*AF25/1000</f>
        <v>0.82300624264826716</v>
      </c>
      <c r="AG33" s="62">
        <f>'Financial Analysis'!AH16/CO2e!$C$12*AG25/1000</f>
        <v>0.82300624264826716</v>
      </c>
      <c r="AH33" s="62">
        <f>'Financial Analysis'!AI16/CO2e!$C$12*AH25/1000</f>
        <v>0.82300624264826716</v>
      </c>
      <c r="AI33" s="62">
        <f>'Financial Analysis'!AJ16/CO2e!$C$12*AI25/1000</f>
        <v>0.82300624264826716</v>
      </c>
      <c r="AJ33" s="62">
        <f>'Financial Analysis'!AK16/CO2e!$C$12*AJ25/1000</f>
        <v>0.82300624264826716</v>
      </c>
      <c r="AK33" s="62">
        <f>'Financial Analysis'!AL16/CO2e!$C$12*AK25/1000</f>
        <v>0.82300624264826716</v>
      </c>
      <c r="AL33" s="62">
        <f>'Financial Analysis'!AM16/CO2e!$C$12*AL25/1000</f>
        <v>0.82300624264826716</v>
      </c>
      <c r="AM33" s="62">
        <f>'Financial Analysis'!AN16/CO2e!$C$12*AM25/1000</f>
        <v>0.82300624264826716</v>
      </c>
      <c r="AN33" s="62">
        <f>'Financial Analysis'!AO16/CO2e!$C$12*AN25/1000</f>
        <v>0.82300624264826716</v>
      </c>
      <c r="AO33" s="62">
        <f>'Financial Analysis'!AP16/CO2e!$C$12*AO25/1000</f>
        <v>0.82300624264826716</v>
      </c>
      <c r="AP33" s="62">
        <f>'Financial Analysis'!AQ16/CO2e!$C$12*AP25/1000</f>
        <v>0.82300624264826716</v>
      </c>
      <c r="AQ33" s="62">
        <f>'Financial Analysis'!AR16/CO2e!$C$12*AQ25/1000</f>
        <v>0.82300624264826716</v>
      </c>
      <c r="AR33" s="62">
        <f>'Financial Analysis'!AS16/CO2e!$C$12*AR25/1000</f>
        <v>0.82300624264826716</v>
      </c>
      <c r="AS33" s="62">
        <f>'Financial Analysis'!AT16/CO2e!$C$12*AS25/1000</f>
        <v>0.82300624264826716</v>
      </c>
      <c r="AT33" s="62">
        <f>'Financial Analysis'!AU16/CO2e!$C$12*AT25/1000</f>
        <v>0.82300624264826716</v>
      </c>
      <c r="AU33" s="62">
        <f>'Financial Analysis'!AV16/CO2e!$C$12*AU25/1000</f>
        <v>0.82300624264826716</v>
      </c>
      <c r="AV33" s="62">
        <f>'Financial Analysis'!AW16/CO2e!$C$12*AV25/1000</f>
        <v>0.82300624264826716</v>
      </c>
      <c r="AW33" s="62">
        <f>'Financial Analysis'!AX16/CO2e!$C$12*AW25/1000</f>
        <v>0.82300624264826716</v>
      </c>
      <c r="AX33" s="62">
        <f>'Financial Analysis'!AY16/CO2e!$C$12*AX25/1000</f>
        <v>0.82300624264826716</v>
      </c>
      <c r="AY33" s="62">
        <f>'Financial Analysis'!AZ16/CO2e!$C$12*AY25/1000</f>
        <v>0.82300624264826716</v>
      </c>
      <c r="AZ33" s="62">
        <f>'Financial Analysis'!BA16/CO2e!$C$12*AZ25/1000</f>
        <v>0.82300624264826716</v>
      </c>
      <c r="BA33" s="62">
        <f>'Financial Analysis'!BB16/CO2e!$C$12*BA25/1000</f>
        <v>0.82300624264826716</v>
      </c>
      <c r="BB33" s="62">
        <f>'Financial Analysis'!BC16/CO2e!$C$12*BB25/1000</f>
        <v>0.82300624264826716</v>
      </c>
      <c r="BC33" s="62">
        <f>'Financial Analysis'!BD16/CO2e!$C$12*BC25/1000</f>
        <v>0.82300624264826716</v>
      </c>
      <c r="BD33" s="62">
        <f>'Financial Analysis'!BE16/CO2e!$C$12*BD25/1000</f>
        <v>0.82300624264826716</v>
      </c>
      <c r="BE33" s="62">
        <f>'Financial Analysis'!BF16/CO2e!$C$12*BE25/1000</f>
        <v>0.82300624264826716</v>
      </c>
      <c r="BF33" s="62">
        <f>'Financial Analysis'!BG16/CO2e!$C$12*BF25/1000</f>
        <v>0.82300624264826716</v>
      </c>
      <c r="BG33" s="62">
        <f>'Financial Analysis'!BH16/CO2e!$C$12*BG25/1000</f>
        <v>0.82300624264826716</v>
      </c>
      <c r="BH33" s="62">
        <f>'Financial Analysis'!BI16/CO2e!$C$12*BH25/1000</f>
        <v>0.82300624264826716</v>
      </c>
      <c r="BI33" s="62">
        <f>'Financial Analysis'!BJ16/CO2e!$C$12*BI25/1000</f>
        <v>0.82300624264826716</v>
      </c>
      <c r="BJ33" s="62">
        <f>'Financial Analysis'!BK16/CO2e!$C$12*BJ25/1000</f>
        <v>0.82300624264826716</v>
      </c>
      <c r="BK33" s="62">
        <f>'Financial Analysis'!BL16/CO2e!$C$12*BK25/1000</f>
        <v>0.82300624264826716</v>
      </c>
    </row>
    <row r="34" spans="2:63" x14ac:dyDescent="0.2">
      <c r="B34" s="54" t="s">
        <v>332</v>
      </c>
      <c r="D34" s="62">
        <f>'Financial Analysis'!E16/CO2e!$C$13*D25/1000</f>
        <v>44.664242846031847</v>
      </c>
      <c r="E34" s="62">
        <f>'Financial Analysis'!F16/CO2e!$C$13*E25/1000</f>
        <v>40.226990415839623</v>
      </c>
      <c r="F34" s="62">
        <f>'Financial Analysis'!G16/CO2e!$C$13*F25/1000</f>
        <v>35.537879872569683</v>
      </c>
      <c r="G34" s="62">
        <f>'Financial Analysis'!H16/CO2e!$C$13*G25/1000</f>
        <v>30.58261576873041</v>
      </c>
      <c r="H34" s="62">
        <f>'Financial Analysis'!I16/CO2e!$C$13*H25/1000</f>
        <v>24.744617160658247</v>
      </c>
      <c r="I34" s="62">
        <f>'Financial Analysis'!J16/CO2e!$C$13*I25/1000</f>
        <v>20.021049967007485</v>
      </c>
      <c r="J34" s="62">
        <f>'Financial Analysis'!K16/CO2e!$C$13*J25/1000</f>
        <v>16.199177347496587</v>
      </c>
      <c r="K34" s="62">
        <f>'Financial Analysis'!L16/CO2e!$C$13*K25/1000</f>
        <v>13.106872375228836</v>
      </c>
      <c r="L34" s="62">
        <f>'Financial Analysis'!M16/CO2e!$C$13*L25/1000</f>
        <v>10.604865900001096</v>
      </c>
      <c r="M34" s="62">
        <f>'Financial Analysis'!N16/CO2e!$C$13*M25/1000</f>
        <v>8.5804742380458663</v>
      </c>
      <c r="N34" s="62">
        <f>'Financial Analysis'!O16/CO2e!$C$13*N25/1000</f>
        <v>6.9425242001184744</v>
      </c>
      <c r="O34" s="62">
        <f>'Financial Analysis'!P16/CO2e!$C$13*O25/1000</f>
        <v>5.6172468947599228</v>
      </c>
      <c r="P34" s="62">
        <f>'Financial Analysis'!Q16/CO2e!$C$13*P25/1000</f>
        <v>4.5449553746102236</v>
      </c>
      <c r="Q34" s="62">
        <f>'Financial Analysis'!R16/CO2e!$C$13*Q25/1000</f>
        <v>3.6773564958428269</v>
      </c>
      <c r="R34" s="62">
        <f>'Financial Analysis'!S16/CO2e!$C$13*R25/1000</f>
        <v>3.0527148452593513</v>
      </c>
      <c r="S34" s="62">
        <f>'Financial Analysis'!T16/CO2e!$C$13*S25/1000</f>
        <v>2.8970727510848389</v>
      </c>
      <c r="T34" s="62">
        <f>'Financial Analysis'!U16/CO2e!$C$13*T25/1000</f>
        <v>2.8379243628621662</v>
      </c>
      <c r="U34" s="62">
        <f>'Financial Analysis'!V16/CO2e!$C$13*U25/1000</f>
        <v>2.6673619265566915</v>
      </c>
      <c r="V34" s="62">
        <f>'Financial Analysis'!W16/CO2e!$C$13*V25/1000</f>
        <v>2.2652089153414128</v>
      </c>
      <c r="W34" s="62">
        <f>'Financial Analysis'!X16/CO2e!$C$13*W25/1000</f>
        <v>2.0566194592086129</v>
      </c>
      <c r="X34" s="62">
        <f>'Financial Analysis'!Y16/CO2e!$C$13*X25/1000</f>
        <v>1.8962895425332869</v>
      </c>
      <c r="Y34" s="62">
        <f>'Financial Analysis'!Z16/CO2e!$C$13*Y25/1000</f>
        <v>1.7997758262238848</v>
      </c>
      <c r="Z34" s="62">
        <f>'Financial Analysis'!AA16/CO2e!$C$13*Z25/1000</f>
        <v>1.6747651506626287</v>
      </c>
      <c r="AA34" s="62">
        <f>'Financial Analysis'!AB16/CO2e!$C$13*AA25/1000</f>
        <v>1.6460124852965343</v>
      </c>
      <c r="AB34" s="62">
        <f>'Financial Analysis'!AC16/CO2e!$C$13*AB25/1000</f>
        <v>1.6460124852965343</v>
      </c>
      <c r="AC34" s="62">
        <f>'Financial Analysis'!AD16/CO2e!$C$13*AC25/1000</f>
        <v>1.6460124852965343</v>
      </c>
      <c r="AD34" s="62">
        <f>'Financial Analysis'!AE16/CO2e!$C$13*AD25/1000</f>
        <v>1.6460124852965343</v>
      </c>
      <c r="AE34" s="62">
        <f>'Financial Analysis'!AF16/CO2e!$C$13*AE25/1000</f>
        <v>1.6460124852965343</v>
      </c>
      <c r="AF34" s="62">
        <f>'Financial Analysis'!AG16/CO2e!$C$13*AF25/1000</f>
        <v>1.6460124852965343</v>
      </c>
      <c r="AG34" s="62">
        <f>'Financial Analysis'!AH16/CO2e!$C$13*AG25/1000</f>
        <v>1.6460124852965343</v>
      </c>
      <c r="AH34" s="62">
        <f>'Financial Analysis'!AI16/CO2e!$C$13*AH25/1000</f>
        <v>1.6460124852965343</v>
      </c>
      <c r="AI34" s="62">
        <f>'Financial Analysis'!AJ16/CO2e!$C$13*AI25/1000</f>
        <v>1.6460124852965343</v>
      </c>
      <c r="AJ34" s="62">
        <f>'Financial Analysis'!AK16/CO2e!$C$13*AJ25/1000</f>
        <v>1.6460124852965343</v>
      </c>
      <c r="AK34" s="62">
        <f>'Financial Analysis'!AL16/CO2e!$C$13*AK25/1000</f>
        <v>1.6460124852965343</v>
      </c>
      <c r="AL34" s="62">
        <f>'Financial Analysis'!AM16/CO2e!$C$13*AL25/1000</f>
        <v>1.6460124852965343</v>
      </c>
      <c r="AM34" s="62">
        <f>'Financial Analysis'!AN16/CO2e!$C$13*AM25/1000</f>
        <v>1.6460124852965343</v>
      </c>
      <c r="AN34" s="62">
        <f>'Financial Analysis'!AO16/CO2e!$C$13*AN25/1000</f>
        <v>1.6460124852965343</v>
      </c>
      <c r="AO34" s="62">
        <f>'Financial Analysis'!AP16/CO2e!$C$13*AO25/1000</f>
        <v>1.6460124852965343</v>
      </c>
      <c r="AP34" s="62">
        <f>'Financial Analysis'!AQ16/CO2e!$C$13*AP25/1000</f>
        <v>1.6460124852965343</v>
      </c>
      <c r="AQ34" s="62">
        <f>'Financial Analysis'!AR16/CO2e!$C$13*AQ25/1000</f>
        <v>1.6460124852965343</v>
      </c>
      <c r="AR34" s="62">
        <f>'Financial Analysis'!AS16/CO2e!$C$13*AR25/1000</f>
        <v>1.6460124852965343</v>
      </c>
      <c r="AS34" s="62">
        <f>'Financial Analysis'!AT16/CO2e!$C$13*AS25/1000</f>
        <v>1.6460124852965343</v>
      </c>
      <c r="AT34" s="62">
        <f>'Financial Analysis'!AU16/CO2e!$C$13*AT25/1000</f>
        <v>1.6460124852965343</v>
      </c>
      <c r="AU34" s="62">
        <f>'Financial Analysis'!AV16/CO2e!$C$13*AU25/1000</f>
        <v>1.6460124852965343</v>
      </c>
      <c r="AV34" s="62">
        <f>'Financial Analysis'!AW16/CO2e!$C$13*AV25/1000</f>
        <v>1.6460124852965343</v>
      </c>
      <c r="AW34" s="62">
        <f>'Financial Analysis'!AX16/CO2e!$C$13*AW25/1000</f>
        <v>1.6460124852965343</v>
      </c>
      <c r="AX34" s="62">
        <f>'Financial Analysis'!AY16/CO2e!$C$13*AX25/1000</f>
        <v>1.6460124852965343</v>
      </c>
      <c r="AY34" s="62">
        <f>'Financial Analysis'!AZ16/CO2e!$C$13*AY25/1000</f>
        <v>1.6460124852965343</v>
      </c>
      <c r="AZ34" s="62">
        <f>'Financial Analysis'!BA16/CO2e!$C$13*AZ25/1000</f>
        <v>1.6460124852965343</v>
      </c>
      <c r="BA34" s="62">
        <f>'Financial Analysis'!BB16/CO2e!$C$13*BA25/1000</f>
        <v>1.6460124852965343</v>
      </c>
      <c r="BB34" s="62">
        <f>'Financial Analysis'!BC16/CO2e!$C$13*BB25/1000</f>
        <v>1.6460124852965343</v>
      </c>
      <c r="BC34" s="62">
        <f>'Financial Analysis'!BD16/CO2e!$C$13*BC25/1000</f>
        <v>1.6460124852965343</v>
      </c>
      <c r="BD34" s="62">
        <f>'Financial Analysis'!BE16/CO2e!$C$13*BD25/1000</f>
        <v>1.6460124852965343</v>
      </c>
      <c r="BE34" s="62">
        <f>'Financial Analysis'!BF16/CO2e!$C$13*BE25/1000</f>
        <v>1.6460124852965343</v>
      </c>
      <c r="BF34" s="62">
        <f>'Financial Analysis'!BG16/CO2e!$C$13*BF25/1000</f>
        <v>1.6460124852965343</v>
      </c>
      <c r="BG34" s="62">
        <f>'Financial Analysis'!BH16/CO2e!$C$13*BG25/1000</f>
        <v>1.6460124852965343</v>
      </c>
      <c r="BH34" s="62">
        <f>'Financial Analysis'!BI16/CO2e!$C$13*BH25/1000</f>
        <v>1.6460124852965343</v>
      </c>
      <c r="BI34" s="62">
        <f>'Financial Analysis'!BJ16/CO2e!$C$13*BI25/1000</f>
        <v>1.6460124852965343</v>
      </c>
      <c r="BJ34" s="62">
        <f>'Financial Analysis'!BK16/CO2e!$C$13*BJ25/1000</f>
        <v>1.6460124852965343</v>
      </c>
      <c r="BK34" s="62">
        <f>'Financial Analysis'!BL16/CO2e!$C$13*BK25/1000</f>
        <v>1.6460124852965343</v>
      </c>
    </row>
    <row r="35" spans="2:63" ht="6" customHeight="1" x14ac:dyDescent="0.2"/>
    <row r="36" spans="2:63" x14ac:dyDescent="0.2">
      <c r="B36" s="172" t="s">
        <v>333</v>
      </c>
      <c r="D36" s="62">
        <f>'Financial Analysis'!E25*CO2e!D24/1000</f>
        <v>9724.1616213131947</v>
      </c>
      <c r="E36" s="62">
        <f>'Financial Analysis'!F25*CO2e!E24/1000</f>
        <v>8758.0966656282362</v>
      </c>
      <c r="F36" s="62">
        <f>'Financial Analysis'!G25*CO2e!F24/1000</f>
        <v>7737.1979359632887</v>
      </c>
      <c r="G36" s="62">
        <f>'Financial Analysis'!H25*CO2e!G24/1000</f>
        <v>6658.3530714453227</v>
      </c>
      <c r="H36" s="62">
        <f>'Financial Analysis'!I25*CO2e!H24/1000</f>
        <v>5387.321964848632</v>
      </c>
      <c r="I36" s="62">
        <f>'Financial Analysis'!J25*CO2e!I24/1000</f>
        <v>4358.9214392081612</v>
      </c>
      <c r="J36" s="62">
        <f>'Financial Analysis'!K25*CO2e!J24/1000</f>
        <v>3526.8350837691942</v>
      </c>
      <c r="K36" s="62">
        <f>'Financial Analysis'!L25*CO2e!K24/1000</f>
        <v>2853.5879532540603</v>
      </c>
      <c r="L36" s="62">
        <f>'Financial Analysis'!M25*CO2e!L24/1000</f>
        <v>2308.8587964975554</v>
      </c>
      <c r="M36" s="62">
        <f>'Financial Analysis'!N25*CO2e!M24/1000</f>
        <v>1868.1144683433301</v>
      </c>
      <c r="N36" s="62">
        <f>'Financial Analysis'!O25*CO2e!N24/1000</f>
        <v>1511.5050223632754</v>
      </c>
      <c r="O36" s="62">
        <f>'Financial Analysis'!P25*CO2e!O24/1000</f>
        <v>1222.9697223294156</v>
      </c>
      <c r="P36" s="62">
        <f>'Financial Analysis'!Q25*CO2e!P24/1000</f>
        <v>989.51370958463258</v>
      </c>
      <c r="Q36" s="62">
        <f>'Financial Analysis'!R25*CO2e!Q24/1000</f>
        <v>800.62274934407787</v>
      </c>
      <c r="R36" s="62">
        <f>'Financial Analysis'!S25*CO2e!R24/1000</f>
        <v>664.62768979238103</v>
      </c>
      <c r="S36" s="62">
        <f>'Financial Analysis'!T25*CO2e!S24/1000</f>
        <v>630.7417716083437</v>
      </c>
      <c r="T36" s="62">
        <f>'Financial Analysis'!U25*CO2e!T24/1000</f>
        <v>617.86416639067124</v>
      </c>
      <c r="U36" s="62">
        <f>'Financial Analysis'!V25*CO2e!U24/1000</f>
        <v>580.72983719411741</v>
      </c>
      <c r="V36" s="62">
        <f>'Financial Analysis'!W25*CO2e!V24/1000</f>
        <v>493.17432010999465</v>
      </c>
      <c r="W36" s="62">
        <f>'Financial Analysis'!X25*CO2e!W24/1000</f>
        <v>447.76086507999707</v>
      </c>
      <c r="X36" s="62">
        <f>'Financial Analysis'!Y25*CO2e!X24/1000</f>
        <v>412.8543285949379</v>
      </c>
      <c r="Y36" s="62">
        <f>'Financial Analysis'!Z25*CO2e!Y24/1000</f>
        <v>391.84165903505129</v>
      </c>
      <c r="Z36" s="62">
        <f>'Financial Analysis'!AA25*CO2e!Z24/1000</f>
        <v>364.62471912771332</v>
      </c>
      <c r="AA36" s="62">
        <f>'Financial Analysis'!AB25*CO2e!AA24/1000</f>
        <v>358.36477723130042</v>
      </c>
      <c r="AB36" s="62">
        <f>'Financial Analysis'!AC25*CO2e!AB24/1000</f>
        <v>358.36477723130042</v>
      </c>
      <c r="AC36" s="62">
        <f>'Financial Analysis'!AD25*CO2e!AC24/1000</f>
        <v>358.36477723130042</v>
      </c>
      <c r="AD36" s="62">
        <f>'Financial Analysis'!AE25*CO2e!AD24/1000</f>
        <v>358.36477723130042</v>
      </c>
      <c r="AE36" s="62">
        <f>'Financial Analysis'!AF25*CO2e!AE24/1000</f>
        <v>358.36477723130042</v>
      </c>
      <c r="AF36" s="62">
        <f>'Financial Analysis'!AG25*CO2e!AF24/1000</f>
        <v>358.36477723130042</v>
      </c>
      <c r="AG36" s="62">
        <f>'Financial Analysis'!AH25*CO2e!AG24/1000</f>
        <v>358.36477723130042</v>
      </c>
      <c r="AH36" s="62">
        <f>'Financial Analysis'!AI25*CO2e!AH24/1000</f>
        <v>358.36477723130042</v>
      </c>
      <c r="AI36" s="62">
        <f>'Financial Analysis'!AJ25*CO2e!AI24/1000</f>
        <v>358.36477723130042</v>
      </c>
      <c r="AJ36" s="62">
        <f>'Financial Analysis'!AK25*CO2e!AJ24/1000</f>
        <v>358.36477723130042</v>
      </c>
      <c r="AK36" s="62">
        <f>'Financial Analysis'!AL25*CO2e!AK24/1000</f>
        <v>358.36477723130042</v>
      </c>
      <c r="AL36" s="62">
        <f>'Financial Analysis'!AM25*CO2e!AL24/1000</f>
        <v>358.36477723130042</v>
      </c>
      <c r="AM36" s="62">
        <f>'Financial Analysis'!AN25*CO2e!AM24/1000</f>
        <v>358.36477723130042</v>
      </c>
      <c r="AN36" s="62">
        <f>'Financial Analysis'!AO25*CO2e!AN24/1000</f>
        <v>358.36477723130042</v>
      </c>
      <c r="AO36" s="62">
        <f>'Financial Analysis'!AP25*CO2e!AO24/1000</f>
        <v>358.36477723130042</v>
      </c>
      <c r="AP36" s="62">
        <f>'Financial Analysis'!AQ25*CO2e!AP24/1000</f>
        <v>358.36477723130042</v>
      </c>
      <c r="AQ36" s="62">
        <f>'Financial Analysis'!AR25*CO2e!AQ24/1000</f>
        <v>358.36477723130042</v>
      </c>
      <c r="AR36" s="62">
        <f>'Financial Analysis'!AS25*CO2e!AR24/1000</f>
        <v>358.36477723130042</v>
      </c>
      <c r="AS36" s="62">
        <f>'Financial Analysis'!AT25*CO2e!AS24/1000</f>
        <v>358.36477723130042</v>
      </c>
      <c r="AT36" s="62">
        <f>'Financial Analysis'!AU25*CO2e!AT24/1000</f>
        <v>358.36477723130042</v>
      </c>
      <c r="AU36" s="62">
        <f>'Financial Analysis'!AV25*CO2e!AU24/1000</f>
        <v>358.36477723130042</v>
      </c>
      <c r="AV36" s="62">
        <f>'Financial Analysis'!AW25*CO2e!AV24/1000</f>
        <v>358.36477723130042</v>
      </c>
      <c r="AW36" s="62">
        <f>'Financial Analysis'!AX25*CO2e!AW24/1000</f>
        <v>358.36477723130042</v>
      </c>
      <c r="AX36" s="62">
        <f>'Financial Analysis'!AY25*CO2e!AX24/1000</f>
        <v>358.36477723130042</v>
      </c>
      <c r="AY36" s="62">
        <f>'Financial Analysis'!AZ25*CO2e!AY24/1000</f>
        <v>358.36477723130042</v>
      </c>
      <c r="AZ36" s="62">
        <f>'Financial Analysis'!BA25*CO2e!AZ24/1000</f>
        <v>358.36477723130042</v>
      </c>
      <c r="BA36" s="62">
        <f>'Financial Analysis'!BB25*CO2e!BA24/1000</f>
        <v>358.36477723130042</v>
      </c>
      <c r="BB36" s="62">
        <f>'Financial Analysis'!BC25*CO2e!BB24/1000</f>
        <v>358.36477723130042</v>
      </c>
      <c r="BC36" s="62">
        <f>'Financial Analysis'!BD25*CO2e!BC24/1000</f>
        <v>358.36477723130042</v>
      </c>
      <c r="BD36" s="62">
        <f>'Financial Analysis'!BE25*CO2e!BD24/1000</f>
        <v>358.36477723130042</v>
      </c>
      <c r="BE36" s="62">
        <f>'Financial Analysis'!BF25*CO2e!BE24/1000</f>
        <v>358.36477723130042</v>
      </c>
      <c r="BF36" s="62">
        <f>'Financial Analysis'!BG25*CO2e!BF24/1000</f>
        <v>358.36477723130042</v>
      </c>
      <c r="BG36" s="62">
        <f>'Financial Analysis'!BH25*CO2e!BG24/1000</f>
        <v>358.36477723130042</v>
      </c>
      <c r="BH36" s="62">
        <f>'Financial Analysis'!BI25*CO2e!BH24/1000</f>
        <v>358.36477723130042</v>
      </c>
      <c r="BI36" s="62">
        <f>'Financial Analysis'!BJ25*CO2e!BI24/1000</f>
        <v>358.36477723130042</v>
      </c>
      <c r="BJ36" s="62">
        <f>'Financial Analysis'!BK25*CO2e!BJ24/1000</f>
        <v>358.36477723130042</v>
      </c>
      <c r="BK36" s="62">
        <f>'Financial Analysis'!BL25*CO2e!BK24/1000</f>
        <v>358.36477723130042</v>
      </c>
    </row>
    <row r="37" spans="2:63" x14ac:dyDescent="0.2">
      <c r="B37" s="172" t="s">
        <v>334</v>
      </c>
      <c r="C37" s="171"/>
      <c r="D37" s="80">
        <f t="shared" ref="D37:AI37" si="4">D32+D28</f>
        <v>26960.826885947583</v>
      </c>
      <c r="E37" s="80">
        <f t="shared" si="4"/>
        <v>26960.826885947583</v>
      </c>
      <c r="F37" s="80">
        <f t="shared" si="4"/>
        <v>26960.826885947583</v>
      </c>
      <c r="G37" s="80">
        <f t="shared" si="4"/>
        <v>26960.826885947583</v>
      </c>
      <c r="H37" s="80">
        <f t="shared" si="4"/>
        <v>26960.826885947583</v>
      </c>
      <c r="I37" s="80">
        <f t="shared" si="4"/>
        <v>26960.826885947583</v>
      </c>
      <c r="J37" s="80">
        <f t="shared" si="4"/>
        <v>26960.826885947583</v>
      </c>
      <c r="K37" s="80">
        <f t="shared" si="4"/>
        <v>26960.826885947583</v>
      </c>
      <c r="L37" s="80">
        <f t="shared" si="4"/>
        <v>26960.826885947583</v>
      </c>
      <c r="M37" s="80">
        <f t="shared" si="4"/>
        <v>26960.826885947583</v>
      </c>
      <c r="N37" s="80">
        <f t="shared" si="4"/>
        <v>26960.826885947583</v>
      </c>
      <c r="O37" s="80">
        <f t="shared" si="4"/>
        <v>26960.826885947583</v>
      </c>
      <c r="P37" s="80">
        <f t="shared" si="4"/>
        <v>26960.826885947583</v>
      </c>
      <c r="Q37" s="80">
        <f t="shared" si="4"/>
        <v>26960.826885947583</v>
      </c>
      <c r="R37" s="80">
        <f t="shared" si="4"/>
        <v>26960.826885947583</v>
      </c>
      <c r="S37" s="80">
        <f t="shared" si="4"/>
        <v>26960.826885947583</v>
      </c>
      <c r="T37" s="80">
        <f t="shared" si="4"/>
        <v>26960.826885947583</v>
      </c>
      <c r="U37" s="80">
        <f t="shared" si="4"/>
        <v>26960.826885947583</v>
      </c>
      <c r="V37" s="80">
        <f t="shared" si="4"/>
        <v>26960.826885947583</v>
      </c>
      <c r="W37" s="80">
        <f t="shared" si="4"/>
        <v>26960.826885947583</v>
      </c>
      <c r="X37" s="80">
        <f t="shared" si="4"/>
        <v>26960.826885947583</v>
      </c>
      <c r="Y37" s="80">
        <f t="shared" si="4"/>
        <v>26960.826885947583</v>
      </c>
      <c r="Z37" s="80">
        <f t="shared" si="4"/>
        <v>26960.826885947583</v>
      </c>
      <c r="AA37" s="80">
        <f t="shared" si="4"/>
        <v>26960.826885947583</v>
      </c>
      <c r="AB37" s="80">
        <f t="shared" si="4"/>
        <v>26960.826885947583</v>
      </c>
      <c r="AC37" s="80">
        <f t="shared" si="4"/>
        <v>26960.826885947583</v>
      </c>
      <c r="AD37" s="80">
        <f t="shared" si="4"/>
        <v>26960.826885947583</v>
      </c>
      <c r="AE37" s="80">
        <f t="shared" si="4"/>
        <v>26960.826885947583</v>
      </c>
      <c r="AF37" s="80">
        <f t="shared" si="4"/>
        <v>26960.826885947583</v>
      </c>
      <c r="AG37" s="80">
        <f t="shared" si="4"/>
        <v>26960.826885947583</v>
      </c>
      <c r="AH37" s="80">
        <f t="shared" si="4"/>
        <v>26960.826885947583</v>
      </c>
      <c r="AI37" s="80">
        <f t="shared" si="4"/>
        <v>26960.826885947583</v>
      </c>
      <c r="AJ37" s="80">
        <f t="shared" ref="AJ37:BK37" si="5">AJ32+AJ28</f>
        <v>26960.826885947583</v>
      </c>
      <c r="AK37" s="80">
        <f t="shared" si="5"/>
        <v>26960.826885947583</v>
      </c>
      <c r="AL37" s="80">
        <f t="shared" si="5"/>
        <v>26960.826885947583</v>
      </c>
      <c r="AM37" s="80">
        <f t="shared" si="5"/>
        <v>26960.826885947583</v>
      </c>
      <c r="AN37" s="80">
        <f t="shared" si="5"/>
        <v>26960.826885947583</v>
      </c>
      <c r="AO37" s="80">
        <f t="shared" si="5"/>
        <v>26960.826885947583</v>
      </c>
      <c r="AP37" s="80">
        <f t="shared" si="5"/>
        <v>26960.826885947583</v>
      </c>
      <c r="AQ37" s="80">
        <f t="shared" si="5"/>
        <v>26960.826885947583</v>
      </c>
      <c r="AR37" s="80">
        <f t="shared" si="5"/>
        <v>26960.826885947583</v>
      </c>
      <c r="AS37" s="80">
        <f t="shared" si="5"/>
        <v>26960.826885947583</v>
      </c>
      <c r="AT37" s="80">
        <f t="shared" si="5"/>
        <v>26960.826885947583</v>
      </c>
      <c r="AU37" s="80">
        <f t="shared" si="5"/>
        <v>26960.826885947583</v>
      </c>
      <c r="AV37" s="80">
        <f t="shared" si="5"/>
        <v>26960.826885947583</v>
      </c>
      <c r="AW37" s="80">
        <f t="shared" si="5"/>
        <v>26960.826885947583</v>
      </c>
      <c r="AX37" s="80">
        <f t="shared" si="5"/>
        <v>26960.826885947583</v>
      </c>
      <c r="AY37" s="80">
        <f t="shared" si="5"/>
        <v>26960.826885947583</v>
      </c>
      <c r="AZ37" s="80">
        <f t="shared" si="5"/>
        <v>26960.826885947583</v>
      </c>
      <c r="BA37" s="80">
        <f t="shared" si="5"/>
        <v>26960.826885947583</v>
      </c>
      <c r="BB37" s="80">
        <f t="shared" si="5"/>
        <v>26960.826885947583</v>
      </c>
      <c r="BC37" s="80">
        <f t="shared" si="5"/>
        <v>26960.826885947583</v>
      </c>
      <c r="BD37" s="80">
        <f t="shared" si="5"/>
        <v>26960.826885947583</v>
      </c>
      <c r="BE37" s="80">
        <f t="shared" si="5"/>
        <v>26960.826885947583</v>
      </c>
      <c r="BF37" s="80">
        <f t="shared" si="5"/>
        <v>26960.826885947583</v>
      </c>
      <c r="BG37" s="80">
        <f t="shared" si="5"/>
        <v>26960.826885947583</v>
      </c>
      <c r="BH37" s="80">
        <f t="shared" si="5"/>
        <v>26960.826885947583</v>
      </c>
      <c r="BI37" s="80">
        <f t="shared" si="5"/>
        <v>26960.826885947583</v>
      </c>
      <c r="BJ37" s="80">
        <f t="shared" si="5"/>
        <v>26960.826885947583</v>
      </c>
      <c r="BK37" s="80">
        <f t="shared" si="5"/>
        <v>26960.826885947583</v>
      </c>
    </row>
    <row r="38" spans="2:63" x14ac:dyDescent="0.2">
      <c r="B38" s="172" t="s">
        <v>335</v>
      </c>
      <c r="D38" s="80">
        <f>D36</f>
        <v>9724.1616213131947</v>
      </c>
      <c r="E38" s="80">
        <f t="shared" ref="E38:BK38" si="6">E36</f>
        <v>8758.0966656282362</v>
      </c>
      <c r="F38" s="80">
        <f t="shared" si="6"/>
        <v>7737.1979359632887</v>
      </c>
      <c r="G38" s="80">
        <f t="shared" si="6"/>
        <v>6658.3530714453227</v>
      </c>
      <c r="H38" s="80">
        <f t="shared" si="6"/>
        <v>5387.321964848632</v>
      </c>
      <c r="I38" s="80">
        <f t="shared" si="6"/>
        <v>4358.9214392081612</v>
      </c>
      <c r="J38" s="80">
        <f t="shared" si="6"/>
        <v>3526.8350837691942</v>
      </c>
      <c r="K38" s="80">
        <f t="shared" si="6"/>
        <v>2853.5879532540603</v>
      </c>
      <c r="L38" s="80">
        <f t="shared" si="6"/>
        <v>2308.8587964975554</v>
      </c>
      <c r="M38" s="80">
        <f t="shared" si="6"/>
        <v>1868.1144683433301</v>
      </c>
      <c r="N38" s="80">
        <f t="shared" si="6"/>
        <v>1511.5050223632754</v>
      </c>
      <c r="O38" s="80">
        <f t="shared" si="6"/>
        <v>1222.9697223294156</v>
      </c>
      <c r="P38" s="80">
        <f t="shared" si="6"/>
        <v>989.51370958463258</v>
      </c>
      <c r="Q38" s="80">
        <f t="shared" si="6"/>
        <v>800.62274934407787</v>
      </c>
      <c r="R38" s="80">
        <f t="shared" si="6"/>
        <v>664.62768979238103</v>
      </c>
      <c r="S38" s="80">
        <f t="shared" si="6"/>
        <v>630.7417716083437</v>
      </c>
      <c r="T38" s="80">
        <f t="shared" si="6"/>
        <v>617.86416639067124</v>
      </c>
      <c r="U38" s="80">
        <f t="shared" si="6"/>
        <v>580.72983719411741</v>
      </c>
      <c r="V38" s="80">
        <f t="shared" si="6"/>
        <v>493.17432010999465</v>
      </c>
      <c r="W38" s="80">
        <f t="shared" si="6"/>
        <v>447.76086507999707</v>
      </c>
      <c r="X38" s="80">
        <f t="shared" si="6"/>
        <v>412.8543285949379</v>
      </c>
      <c r="Y38" s="80">
        <f t="shared" si="6"/>
        <v>391.84165903505129</v>
      </c>
      <c r="Z38" s="80">
        <f t="shared" si="6"/>
        <v>364.62471912771332</v>
      </c>
      <c r="AA38" s="80">
        <f t="shared" si="6"/>
        <v>358.36477723130042</v>
      </c>
      <c r="AB38" s="80">
        <f t="shared" si="6"/>
        <v>358.36477723130042</v>
      </c>
      <c r="AC38" s="80">
        <f t="shared" si="6"/>
        <v>358.36477723130042</v>
      </c>
      <c r="AD38" s="80">
        <f t="shared" si="6"/>
        <v>358.36477723130042</v>
      </c>
      <c r="AE38" s="80">
        <f t="shared" si="6"/>
        <v>358.36477723130042</v>
      </c>
      <c r="AF38" s="80">
        <f t="shared" si="6"/>
        <v>358.36477723130042</v>
      </c>
      <c r="AG38" s="80">
        <f t="shared" si="6"/>
        <v>358.36477723130042</v>
      </c>
      <c r="AH38" s="80">
        <f t="shared" si="6"/>
        <v>358.36477723130042</v>
      </c>
      <c r="AI38" s="80">
        <f t="shared" si="6"/>
        <v>358.36477723130042</v>
      </c>
      <c r="AJ38" s="80">
        <f t="shared" si="6"/>
        <v>358.36477723130042</v>
      </c>
      <c r="AK38" s="80">
        <f t="shared" si="6"/>
        <v>358.36477723130042</v>
      </c>
      <c r="AL38" s="80">
        <f t="shared" si="6"/>
        <v>358.36477723130042</v>
      </c>
      <c r="AM38" s="80">
        <f t="shared" si="6"/>
        <v>358.36477723130042</v>
      </c>
      <c r="AN38" s="80">
        <f t="shared" si="6"/>
        <v>358.36477723130042</v>
      </c>
      <c r="AO38" s="80">
        <f t="shared" si="6"/>
        <v>358.36477723130042</v>
      </c>
      <c r="AP38" s="80">
        <f t="shared" si="6"/>
        <v>358.36477723130042</v>
      </c>
      <c r="AQ38" s="80">
        <f t="shared" si="6"/>
        <v>358.36477723130042</v>
      </c>
      <c r="AR38" s="80">
        <f t="shared" si="6"/>
        <v>358.36477723130042</v>
      </c>
      <c r="AS38" s="80">
        <f t="shared" si="6"/>
        <v>358.36477723130042</v>
      </c>
      <c r="AT38" s="80">
        <f t="shared" si="6"/>
        <v>358.36477723130042</v>
      </c>
      <c r="AU38" s="80">
        <f t="shared" si="6"/>
        <v>358.36477723130042</v>
      </c>
      <c r="AV38" s="80">
        <f t="shared" si="6"/>
        <v>358.36477723130042</v>
      </c>
      <c r="AW38" s="80">
        <f t="shared" si="6"/>
        <v>358.36477723130042</v>
      </c>
      <c r="AX38" s="80">
        <f t="shared" si="6"/>
        <v>358.36477723130042</v>
      </c>
      <c r="AY38" s="80">
        <f t="shared" si="6"/>
        <v>358.36477723130042</v>
      </c>
      <c r="AZ38" s="80">
        <f t="shared" si="6"/>
        <v>358.36477723130042</v>
      </c>
      <c r="BA38" s="80">
        <f t="shared" si="6"/>
        <v>358.36477723130042</v>
      </c>
      <c r="BB38" s="80">
        <f t="shared" si="6"/>
        <v>358.36477723130042</v>
      </c>
      <c r="BC38" s="80">
        <f t="shared" si="6"/>
        <v>358.36477723130042</v>
      </c>
      <c r="BD38" s="80">
        <f t="shared" si="6"/>
        <v>358.36477723130042</v>
      </c>
      <c r="BE38" s="80">
        <f t="shared" si="6"/>
        <v>358.36477723130042</v>
      </c>
      <c r="BF38" s="80">
        <f t="shared" si="6"/>
        <v>358.36477723130042</v>
      </c>
      <c r="BG38" s="80">
        <f t="shared" si="6"/>
        <v>358.36477723130042</v>
      </c>
      <c r="BH38" s="80">
        <f t="shared" si="6"/>
        <v>358.36477723130042</v>
      </c>
      <c r="BI38" s="80">
        <f t="shared" si="6"/>
        <v>358.36477723130042</v>
      </c>
      <c r="BJ38" s="80">
        <f t="shared" si="6"/>
        <v>358.36477723130042</v>
      </c>
      <c r="BK38" s="80">
        <f t="shared" si="6"/>
        <v>358.36477723130042</v>
      </c>
    </row>
    <row r="39" spans="2:63" x14ac:dyDescent="0.2">
      <c r="B39" s="172" t="s">
        <v>336</v>
      </c>
      <c r="D39" s="80">
        <f>D37-D38</f>
        <v>17236.665264634386</v>
      </c>
      <c r="E39" s="80">
        <f t="shared" ref="E39:BK39" si="7">E37-E38</f>
        <v>18202.730220319347</v>
      </c>
      <c r="F39" s="80">
        <f t="shared" si="7"/>
        <v>19223.628949984293</v>
      </c>
      <c r="G39" s="80">
        <f t="shared" si="7"/>
        <v>20302.47381450226</v>
      </c>
      <c r="H39" s="80">
        <f t="shared" si="7"/>
        <v>21573.504921098953</v>
      </c>
      <c r="I39" s="80">
        <f t="shared" si="7"/>
        <v>22601.905446739423</v>
      </c>
      <c r="J39" s="80">
        <f t="shared" si="7"/>
        <v>23433.991802178389</v>
      </c>
      <c r="K39" s="80">
        <f t="shared" si="7"/>
        <v>24107.238932693523</v>
      </c>
      <c r="L39" s="80">
        <f t="shared" si="7"/>
        <v>24651.968089450027</v>
      </c>
      <c r="M39" s="80">
        <f t="shared" si="7"/>
        <v>25092.712417604253</v>
      </c>
      <c r="N39" s="80">
        <f t="shared" si="7"/>
        <v>25449.321863584308</v>
      </c>
      <c r="O39" s="80">
        <f t="shared" si="7"/>
        <v>25737.857163618166</v>
      </c>
      <c r="P39" s="80">
        <f t="shared" si="7"/>
        <v>25971.31317636295</v>
      </c>
      <c r="Q39" s="80">
        <f t="shared" si="7"/>
        <v>26160.204136603505</v>
      </c>
      <c r="R39" s="80">
        <f t="shared" si="7"/>
        <v>26296.199196155201</v>
      </c>
      <c r="S39" s="80">
        <f t="shared" si="7"/>
        <v>26330.085114339239</v>
      </c>
      <c r="T39" s="80">
        <f t="shared" si="7"/>
        <v>26342.962719556912</v>
      </c>
      <c r="U39" s="80">
        <f t="shared" si="7"/>
        <v>26380.097048753465</v>
      </c>
      <c r="V39" s="80">
        <f t="shared" si="7"/>
        <v>26467.652565837587</v>
      </c>
      <c r="W39" s="80">
        <f t="shared" si="7"/>
        <v>26513.066020867587</v>
      </c>
      <c r="X39" s="80">
        <f t="shared" si="7"/>
        <v>26547.972557352645</v>
      </c>
      <c r="Y39" s="80">
        <f t="shared" si="7"/>
        <v>26568.985226912533</v>
      </c>
      <c r="Z39" s="80">
        <f t="shared" si="7"/>
        <v>26596.202166819869</v>
      </c>
      <c r="AA39" s="80">
        <f t="shared" si="7"/>
        <v>26602.462108716281</v>
      </c>
      <c r="AB39" s="80">
        <f t="shared" si="7"/>
        <v>26602.462108716281</v>
      </c>
      <c r="AC39" s="80">
        <f t="shared" si="7"/>
        <v>26602.462108716281</v>
      </c>
      <c r="AD39" s="80">
        <f t="shared" si="7"/>
        <v>26602.462108716281</v>
      </c>
      <c r="AE39" s="80">
        <f t="shared" si="7"/>
        <v>26602.462108716281</v>
      </c>
      <c r="AF39" s="80">
        <f t="shared" si="7"/>
        <v>26602.462108716281</v>
      </c>
      <c r="AG39" s="80">
        <f t="shared" si="7"/>
        <v>26602.462108716281</v>
      </c>
      <c r="AH39" s="80">
        <f t="shared" si="7"/>
        <v>26602.462108716281</v>
      </c>
      <c r="AI39" s="80">
        <f t="shared" si="7"/>
        <v>26602.462108716281</v>
      </c>
      <c r="AJ39" s="80">
        <f t="shared" si="7"/>
        <v>26602.462108716281</v>
      </c>
      <c r="AK39" s="80">
        <f t="shared" si="7"/>
        <v>26602.462108716281</v>
      </c>
      <c r="AL39" s="80">
        <f t="shared" si="7"/>
        <v>26602.462108716281</v>
      </c>
      <c r="AM39" s="80">
        <f t="shared" si="7"/>
        <v>26602.462108716281</v>
      </c>
      <c r="AN39" s="80">
        <f t="shared" si="7"/>
        <v>26602.462108716281</v>
      </c>
      <c r="AO39" s="80">
        <f t="shared" si="7"/>
        <v>26602.462108716281</v>
      </c>
      <c r="AP39" s="80">
        <f t="shared" si="7"/>
        <v>26602.462108716281</v>
      </c>
      <c r="AQ39" s="80">
        <f t="shared" si="7"/>
        <v>26602.462108716281</v>
      </c>
      <c r="AR39" s="80">
        <f t="shared" si="7"/>
        <v>26602.462108716281</v>
      </c>
      <c r="AS39" s="80">
        <f t="shared" si="7"/>
        <v>26602.462108716281</v>
      </c>
      <c r="AT39" s="80">
        <f t="shared" si="7"/>
        <v>26602.462108716281</v>
      </c>
      <c r="AU39" s="80">
        <f t="shared" si="7"/>
        <v>26602.462108716281</v>
      </c>
      <c r="AV39" s="80">
        <f t="shared" si="7"/>
        <v>26602.462108716281</v>
      </c>
      <c r="AW39" s="80">
        <f t="shared" si="7"/>
        <v>26602.462108716281</v>
      </c>
      <c r="AX39" s="80">
        <f t="shared" si="7"/>
        <v>26602.462108716281</v>
      </c>
      <c r="AY39" s="80">
        <f t="shared" si="7"/>
        <v>26602.462108716281</v>
      </c>
      <c r="AZ39" s="80">
        <f t="shared" si="7"/>
        <v>26602.462108716281</v>
      </c>
      <c r="BA39" s="80">
        <f t="shared" si="7"/>
        <v>26602.462108716281</v>
      </c>
      <c r="BB39" s="80">
        <f t="shared" si="7"/>
        <v>26602.462108716281</v>
      </c>
      <c r="BC39" s="80">
        <f t="shared" si="7"/>
        <v>26602.462108716281</v>
      </c>
      <c r="BD39" s="80">
        <f t="shared" si="7"/>
        <v>26602.462108716281</v>
      </c>
      <c r="BE39" s="80">
        <f t="shared" si="7"/>
        <v>26602.462108716281</v>
      </c>
      <c r="BF39" s="80">
        <f t="shared" si="7"/>
        <v>26602.462108716281</v>
      </c>
      <c r="BG39" s="80">
        <f t="shared" si="7"/>
        <v>26602.462108716281</v>
      </c>
      <c r="BH39" s="80">
        <f t="shared" si="7"/>
        <v>26602.462108716281</v>
      </c>
      <c r="BI39" s="80">
        <f t="shared" si="7"/>
        <v>26602.462108716281</v>
      </c>
      <c r="BJ39" s="80">
        <f t="shared" si="7"/>
        <v>26602.462108716281</v>
      </c>
      <c r="BK39" s="80">
        <f t="shared" si="7"/>
        <v>26602.462108716281</v>
      </c>
    </row>
    <row r="40" spans="2:63" x14ac:dyDescent="0.2">
      <c r="B40" s="172" t="s">
        <v>337</v>
      </c>
      <c r="D40" s="175">
        <f>D41*1000</f>
        <v>78.020891957084856</v>
      </c>
      <c r="E40" s="175">
        <f t="shared" ref="E40:BJ40" si="8">E41*1000</f>
        <v>70.269761066189261</v>
      </c>
      <c r="F40" s="175">
        <f t="shared" si="8"/>
        <v>62.078676570870314</v>
      </c>
      <c r="G40" s="175">
        <f t="shared" si="8"/>
        <v>53.422666737742404</v>
      </c>
      <c r="H40" s="175">
        <f t="shared" si="8"/>
        <v>43.224668750489442</v>
      </c>
      <c r="I40" s="175">
        <f t="shared" si="8"/>
        <v>34.97339430398668</v>
      </c>
      <c r="J40" s="175">
        <f t="shared" si="8"/>
        <v>28.297228052864558</v>
      </c>
      <c r="K40" s="175">
        <f t="shared" si="8"/>
        <v>22.895493314600802</v>
      </c>
      <c r="L40" s="175">
        <f t="shared" si="8"/>
        <v>18.52491039545</v>
      </c>
      <c r="M40" s="175">
        <f t="shared" si="8"/>
        <v>14.988639923325234</v>
      </c>
      <c r="N40" s="175">
        <f t="shared" si="8"/>
        <v>12.12741772863197</v>
      </c>
      <c r="O40" s="175">
        <f t="shared" si="8"/>
        <v>9.8123820117835336</v>
      </c>
      <c r="P40" s="175">
        <f t="shared" si="8"/>
        <v>7.9392697521959796</v>
      </c>
      <c r="Q40" s="175">
        <f t="shared" si="8"/>
        <v>6.4237209805366176</v>
      </c>
      <c r="R40" s="175">
        <f t="shared" si="8"/>
        <v>5.332577470053975</v>
      </c>
      <c r="S40" s="175">
        <f t="shared" si="8"/>
        <v>5.0606970072993498</v>
      </c>
      <c r="T40" s="175">
        <f t="shared" si="8"/>
        <v>4.9573747586078136</v>
      </c>
      <c r="U40" s="175">
        <f t="shared" si="8"/>
        <v>4.659430977028431</v>
      </c>
      <c r="V40" s="175">
        <f t="shared" si="8"/>
        <v>3.9569375586040958</v>
      </c>
      <c r="W40" s="175">
        <f t="shared" si="8"/>
        <v>3.5925669931738096</v>
      </c>
      <c r="X40" s="175">
        <f t="shared" si="8"/>
        <v>3.312497695916587</v>
      </c>
      <c r="Y40" s="175">
        <f t="shared" si="8"/>
        <v>3.1439045271370207</v>
      </c>
      <c r="Z40" s="175">
        <f t="shared" si="8"/>
        <v>2.9255319814505447</v>
      </c>
      <c r="AA40" s="175">
        <f t="shared" si="8"/>
        <v>2.8753059291308074</v>
      </c>
      <c r="AB40" s="175">
        <f t="shared" si="8"/>
        <v>2.8753059291308074</v>
      </c>
      <c r="AC40" s="175">
        <f t="shared" si="8"/>
        <v>2.8753059291308074</v>
      </c>
      <c r="AD40" s="175">
        <f t="shared" si="8"/>
        <v>2.8753059291308074</v>
      </c>
      <c r="AE40" s="175">
        <f t="shared" si="8"/>
        <v>2.8753059291308074</v>
      </c>
      <c r="AF40" s="175">
        <f t="shared" si="8"/>
        <v>2.8753059291308074</v>
      </c>
      <c r="AG40" s="175">
        <f t="shared" si="8"/>
        <v>2.8753059291308074</v>
      </c>
      <c r="AH40" s="175">
        <f t="shared" si="8"/>
        <v>2.8753059291308074</v>
      </c>
      <c r="AI40" s="175">
        <f t="shared" si="8"/>
        <v>2.8753059291308074</v>
      </c>
      <c r="AJ40" s="175">
        <f t="shared" si="8"/>
        <v>2.8753059291308074</v>
      </c>
      <c r="AK40" s="175">
        <f t="shared" si="8"/>
        <v>2.8753059291308074</v>
      </c>
      <c r="AL40" s="175">
        <f t="shared" si="8"/>
        <v>2.8753059291308074</v>
      </c>
      <c r="AM40" s="175">
        <f t="shared" si="8"/>
        <v>2.8753059291308074</v>
      </c>
      <c r="AN40" s="175">
        <f t="shared" si="8"/>
        <v>2.8753059291308074</v>
      </c>
      <c r="AO40" s="175">
        <f t="shared" si="8"/>
        <v>2.8753059291308074</v>
      </c>
      <c r="AP40" s="175">
        <f t="shared" si="8"/>
        <v>2.8753059291308074</v>
      </c>
      <c r="AQ40" s="175">
        <f t="shared" si="8"/>
        <v>2.8753059291308074</v>
      </c>
      <c r="AR40" s="175">
        <f t="shared" si="8"/>
        <v>2.8753059291308074</v>
      </c>
      <c r="AS40" s="175">
        <f t="shared" si="8"/>
        <v>2.8753059291308074</v>
      </c>
      <c r="AT40" s="175">
        <f t="shared" si="8"/>
        <v>2.8753059291308074</v>
      </c>
      <c r="AU40" s="175">
        <f t="shared" si="8"/>
        <v>2.8753059291308074</v>
      </c>
      <c r="AV40" s="175">
        <f t="shared" si="8"/>
        <v>2.8753059291308074</v>
      </c>
      <c r="AW40" s="175">
        <f t="shared" si="8"/>
        <v>2.8753059291308074</v>
      </c>
      <c r="AX40" s="175">
        <f t="shared" si="8"/>
        <v>2.8753059291308074</v>
      </c>
      <c r="AY40" s="175">
        <f t="shared" si="8"/>
        <v>2.8753059291308074</v>
      </c>
      <c r="AZ40" s="175">
        <f t="shared" si="8"/>
        <v>2.8753059291308074</v>
      </c>
      <c r="BA40" s="175">
        <f t="shared" si="8"/>
        <v>2.8753059291308074</v>
      </c>
      <c r="BB40" s="175">
        <f t="shared" si="8"/>
        <v>2.8753059291308074</v>
      </c>
      <c r="BC40" s="175">
        <f t="shared" si="8"/>
        <v>2.8753059291308074</v>
      </c>
      <c r="BD40" s="175">
        <f t="shared" si="8"/>
        <v>2.8753059291308074</v>
      </c>
      <c r="BE40" s="175">
        <f t="shared" si="8"/>
        <v>2.8753059291308074</v>
      </c>
      <c r="BF40" s="175">
        <f t="shared" si="8"/>
        <v>2.8753059291308074</v>
      </c>
      <c r="BG40" s="175">
        <f t="shared" si="8"/>
        <v>2.8753059291308074</v>
      </c>
      <c r="BH40" s="175">
        <f t="shared" si="8"/>
        <v>2.8753059291308074</v>
      </c>
      <c r="BI40" s="175">
        <f t="shared" si="8"/>
        <v>2.8753059291308074</v>
      </c>
      <c r="BJ40" s="175">
        <f t="shared" si="8"/>
        <v>2.8753059291308074</v>
      </c>
      <c r="BK40" s="175">
        <f>BK41*1000</f>
        <v>2.8753059291308074</v>
      </c>
    </row>
    <row r="41" spans="2:63" x14ac:dyDescent="0.2">
      <c r="B41" s="54" t="s">
        <v>338</v>
      </c>
      <c r="C41" s="171"/>
      <c r="D41" s="175">
        <f>D38*1000/'Financial Analysis'!E17</f>
        <v>7.8020891957084851E-2</v>
      </c>
      <c r="E41" s="175">
        <f>E38*1000/'Financial Analysis'!F17</f>
        <v>7.0269761066189262E-2</v>
      </c>
      <c r="F41" s="175">
        <f>F38*1000/'Financial Analysis'!G17</f>
        <v>6.2078676570870316E-2</v>
      </c>
      <c r="G41" s="175">
        <f>G38*1000/'Financial Analysis'!H17</f>
        <v>5.3422666737742402E-2</v>
      </c>
      <c r="H41" s="175">
        <f>H38*1000/'Financial Analysis'!I17</f>
        <v>4.3224668750489442E-2</v>
      </c>
      <c r="I41" s="175">
        <f>I38*1000/'Financial Analysis'!J17</f>
        <v>3.4973394303986681E-2</v>
      </c>
      <c r="J41" s="175">
        <f>J38*1000/'Financial Analysis'!K17</f>
        <v>2.8297228052864557E-2</v>
      </c>
      <c r="K41" s="175">
        <f>K38*1000/'Financial Analysis'!L17</f>
        <v>2.2895493314600803E-2</v>
      </c>
      <c r="L41" s="175">
        <f>L38*1000/'Financial Analysis'!M17</f>
        <v>1.8524910395450001E-2</v>
      </c>
      <c r="M41" s="175">
        <f>M38*1000/'Financial Analysis'!N17</f>
        <v>1.4988639923325234E-2</v>
      </c>
      <c r="N41" s="175">
        <f>N38*1000/'Financial Analysis'!O17</f>
        <v>1.212741772863197E-2</v>
      </c>
      <c r="O41" s="175">
        <f>O38*1000/'Financial Analysis'!P17</f>
        <v>9.8123820117835339E-3</v>
      </c>
      <c r="P41" s="175">
        <f>P38*1000/'Financial Analysis'!Q17</f>
        <v>7.9392697521959796E-3</v>
      </c>
      <c r="Q41" s="175">
        <f>Q38*1000/'Financial Analysis'!R17</f>
        <v>6.4237209805366171E-3</v>
      </c>
      <c r="R41" s="175">
        <f>R38*1000/'Financial Analysis'!S17</f>
        <v>5.3325774700539747E-3</v>
      </c>
      <c r="S41" s="175">
        <f>S38*1000/'Financial Analysis'!T17</f>
        <v>5.0606970072993498E-3</v>
      </c>
      <c r="T41" s="175">
        <f>T38*1000/'Financial Analysis'!U17</f>
        <v>4.9573747586078134E-3</v>
      </c>
      <c r="U41" s="175">
        <f>U38*1000/'Financial Analysis'!V17</f>
        <v>4.6594309770284312E-3</v>
      </c>
      <c r="V41" s="175">
        <f>V38*1000/'Financial Analysis'!W17</f>
        <v>3.9569375586040959E-3</v>
      </c>
      <c r="W41" s="175">
        <f>W38*1000/'Financial Analysis'!X17</f>
        <v>3.5925669931738094E-3</v>
      </c>
      <c r="X41" s="175">
        <f>X38*1000/'Financial Analysis'!Y17</f>
        <v>3.3124976959165871E-3</v>
      </c>
      <c r="Y41" s="175">
        <f>Y38*1000/'Financial Analysis'!Z17</f>
        <v>3.1439045271370205E-3</v>
      </c>
      <c r="Z41" s="175">
        <f>Z38*1000/'Financial Analysis'!AA17</f>
        <v>2.9255319814505448E-3</v>
      </c>
      <c r="AA41" s="175">
        <f>AA38*1000/'Financial Analysis'!AB17</f>
        <v>2.8753059291308073E-3</v>
      </c>
      <c r="AB41" s="175">
        <f>AB38*1000/'Financial Analysis'!AC17</f>
        <v>2.8753059291308073E-3</v>
      </c>
      <c r="AC41" s="175">
        <f>AC38*1000/'Financial Analysis'!AD17</f>
        <v>2.8753059291308073E-3</v>
      </c>
      <c r="AD41" s="175">
        <f>AD38*1000/'Financial Analysis'!AE17</f>
        <v>2.8753059291308073E-3</v>
      </c>
      <c r="AE41" s="175">
        <f>AE38*1000/'Financial Analysis'!AF17</f>
        <v>2.8753059291308073E-3</v>
      </c>
      <c r="AF41" s="175">
        <f>AF38*1000/'Financial Analysis'!AG17</f>
        <v>2.8753059291308073E-3</v>
      </c>
      <c r="AG41" s="175">
        <f>AG38*1000/'Financial Analysis'!AH17</f>
        <v>2.8753059291308073E-3</v>
      </c>
      <c r="AH41" s="175">
        <f>AH38*1000/'Financial Analysis'!AI17</f>
        <v>2.8753059291308073E-3</v>
      </c>
      <c r="AI41" s="175">
        <f>AI38*1000/'Financial Analysis'!AJ17</f>
        <v>2.8753059291308073E-3</v>
      </c>
      <c r="AJ41" s="175">
        <f>AJ38*1000/'Financial Analysis'!AK17</f>
        <v>2.8753059291308073E-3</v>
      </c>
      <c r="AK41" s="175">
        <f>AK38*1000/'Financial Analysis'!AL17</f>
        <v>2.8753059291308073E-3</v>
      </c>
      <c r="AL41" s="175">
        <f>AL38*1000/'Financial Analysis'!AM17</f>
        <v>2.8753059291308073E-3</v>
      </c>
      <c r="AM41" s="175">
        <f>AM38*1000/'Financial Analysis'!AN17</f>
        <v>2.8753059291308073E-3</v>
      </c>
      <c r="AN41" s="175">
        <f>AN38*1000/'Financial Analysis'!AO17</f>
        <v>2.8753059291308073E-3</v>
      </c>
      <c r="AO41" s="175">
        <f>AO38*1000/'Financial Analysis'!AP17</f>
        <v>2.8753059291308073E-3</v>
      </c>
      <c r="AP41" s="175">
        <f>AP38*1000/'Financial Analysis'!AQ17</f>
        <v>2.8753059291308073E-3</v>
      </c>
      <c r="AQ41" s="175">
        <f>AQ38*1000/'Financial Analysis'!AR17</f>
        <v>2.8753059291308073E-3</v>
      </c>
      <c r="AR41" s="175">
        <f>AR38*1000/'Financial Analysis'!AS17</f>
        <v>2.8753059291308073E-3</v>
      </c>
      <c r="AS41" s="175">
        <f>AS38*1000/'Financial Analysis'!AT17</f>
        <v>2.8753059291308073E-3</v>
      </c>
      <c r="AT41" s="175">
        <f>AT38*1000/'Financial Analysis'!AU17</f>
        <v>2.8753059291308073E-3</v>
      </c>
      <c r="AU41" s="175">
        <f>AU38*1000/'Financial Analysis'!AV17</f>
        <v>2.8753059291308073E-3</v>
      </c>
      <c r="AV41" s="175">
        <f>AV38*1000/'Financial Analysis'!AW17</f>
        <v>2.8753059291308073E-3</v>
      </c>
      <c r="AW41" s="175">
        <f>AW38*1000/'Financial Analysis'!AX17</f>
        <v>2.8753059291308073E-3</v>
      </c>
      <c r="AX41" s="175">
        <f>AX38*1000/'Financial Analysis'!AY17</f>
        <v>2.8753059291308073E-3</v>
      </c>
      <c r="AY41" s="175">
        <f>AY38*1000/'Financial Analysis'!AZ17</f>
        <v>2.8753059291308073E-3</v>
      </c>
      <c r="AZ41" s="175">
        <f>AZ38*1000/'Financial Analysis'!BA17</f>
        <v>2.8753059291308073E-3</v>
      </c>
      <c r="BA41" s="175">
        <f>BA38*1000/'Financial Analysis'!BB17</f>
        <v>2.8753059291308073E-3</v>
      </c>
      <c r="BB41" s="175">
        <f>BB38*1000/'Financial Analysis'!BC17</f>
        <v>2.8753059291308073E-3</v>
      </c>
      <c r="BC41" s="175">
        <f>BC38*1000/'Financial Analysis'!BD17</f>
        <v>2.8753059291308073E-3</v>
      </c>
      <c r="BD41" s="175">
        <f>BD38*1000/'Financial Analysis'!BE17</f>
        <v>2.8753059291308073E-3</v>
      </c>
      <c r="BE41" s="175">
        <f>BE38*1000/'Financial Analysis'!BF17</f>
        <v>2.8753059291308073E-3</v>
      </c>
      <c r="BF41" s="175">
        <f>BF38*1000/'Financial Analysis'!BG17</f>
        <v>2.8753059291308073E-3</v>
      </c>
      <c r="BG41" s="175">
        <f>BG38*1000/'Financial Analysis'!BH17</f>
        <v>2.8753059291308073E-3</v>
      </c>
      <c r="BH41" s="175">
        <f>BH38*1000/'Financial Analysis'!BI17</f>
        <v>2.8753059291308073E-3</v>
      </c>
      <c r="BI41" s="175">
        <f>BI38*1000/'Financial Analysis'!BJ17</f>
        <v>2.8753059291308073E-3</v>
      </c>
      <c r="BJ41" s="175">
        <f>BJ38*1000/'Financial Analysis'!BK17</f>
        <v>2.8753059291308073E-3</v>
      </c>
      <c r="BK41" s="175">
        <f>BK38*1000/'Financial Analysis'!BL17</f>
        <v>2.8753059291308073E-3</v>
      </c>
    </row>
    <row r="42" spans="2:63" x14ac:dyDescent="0.2">
      <c r="B42" s="54"/>
      <c r="D42" s="175"/>
      <c r="E42" s="175"/>
      <c r="F42" s="175"/>
      <c r="G42" s="175"/>
      <c r="H42" s="175"/>
      <c r="I42" s="175"/>
      <c r="J42" s="175"/>
      <c r="K42" s="175"/>
      <c r="L42" s="175"/>
      <c r="M42" s="175"/>
      <c r="N42" s="175"/>
      <c r="O42" s="175"/>
      <c r="P42" s="175"/>
      <c r="Q42" s="175"/>
      <c r="R42" s="175"/>
      <c r="S42" s="175"/>
      <c r="T42" s="175"/>
      <c r="U42" s="175"/>
      <c r="V42" s="175"/>
      <c r="W42" s="175"/>
      <c r="X42" s="175"/>
      <c r="Y42" s="175"/>
      <c r="Z42" s="175"/>
      <c r="AA42" s="175"/>
      <c r="AB42" s="175"/>
      <c r="AC42" s="175"/>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175"/>
      <c r="BA42" s="175"/>
      <c r="BB42" s="175"/>
      <c r="BC42" s="175"/>
      <c r="BD42" s="175"/>
      <c r="BE42" s="175"/>
      <c r="BF42" s="175"/>
      <c r="BG42" s="175"/>
      <c r="BH42" s="175"/>
      <c r="BI42" s="175"/>
      <c r="BJ42" s="175"/>
      <c r="BK42" s="175"/>
    </row>
    <row r="43" spans="2:63" x14ac:dyDescent="0.2">
      <c r="B43" s="54" t="s">
        <v>339</v>
      </c>
      <c r="C43" s="80">
        <f>SUM(D38:W38)</f>
        <v>61140.958854067881</v>
      </c>
      <c r="D43" s="175"/>
      <c r="E43" s="175"/>
      <c r="F43" s="175"/>
      <c r="G43" s="175"/>
      <c r="H43" s="175"/>
      <c r="I43" s="175"/>
      <c r="J43" s="175"/>
      <c r="K43" s="175"/>
      <c r="L43" s="175"/>
      <c r="M43" s="175"/>
      <c r="N43" s="175"/>
      <c r="O43" s="175"/>
      <c r="P43" s="175"/>
      <c r="Q43" s="175"/>
      <c r="R43" s="175"/>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75"/>
      <c r="BF43" s="175"/>
      <c r="BG43" s="175"/>
      <c r="BH43" s="175"/>
      <c r="BI43" s="175"/>
      <c r="BJ43" s="175"/>
      <c r="BK43" s="175"/>
    </row>
    <row r="44" spans="2:63" x14ac:dyDescent="0.2">
      <c r="B44" s="54" t="s">
        <v>340</v>
      </c>
      <c r="C44" s="80">
        <f>SUM(D39:W39)</f>
        <v>478075.57886488381</v>
      </c>
      <c r="D44" s="175"/>
      <c r="E44" s="175"/>
      <c r="F44" s="175"/>
      <c r="G44" s="175"/>
      <c r="H44" s="175"/>
      <c r="I44" s="175"/>
      <c r="J44" s="175"/>
      <c r="K44" s="175"/>
      <c r="L44" s="175"/>
      <c r="M44" s="175"/>
      <c r="N44" s="175"/>
      <c r="O44" s="175"/>
      <c r="P44" s="175"/>
      <c r="Q44" s="175"/>
      <c r="R44" s="175"/>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75"/>
      <c r="BF44" s="175"/>
      <c r="BG44" s="175"/>
      <c r="BH44" s="175"/>
      <c r="BI44" s="175"/>
      <c r="BJ44" s="175"/>
      <c r="BK44" s="175"/>
    </row>
    <row r="45" spans="2:63" x14ac:dyDescent="0.2">
      <c r="B45" s="54" t="s">
        <v>341</v>
      </c>
      <c r="C45" s="80">
        <f>SUM(D38:AG38)</f>
        <v>64818.833001444669</v>
      </c>
      <c r="D45" s="175"/>
      <c r="E45" s="175"/>
      <c r="F45" s="175"/>
      <c r="G45" s="175"/>
      <c r="H45" s="175"/>
      <c r="I45" s="175"/>
      <c r="J45" s="175"/>
      <c r="K45" s="175"/>
      <c r="L45" s="175"/>
      <c r="M45" s="175"/>
      <c r="N45" s="175"/>
      <c r="O45" s="175"/>
      <c r="P45" s="175"/>
      <c r="Q45" s="175"/>
      <c r="R45" s="175"/>
      <c r="S45" s="175"/>
      <c r="T45" s="175"/>
      <c r="U45" s="175"/>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75"/>
      <c r="BF45" s="175"/>
      <c r="BG45" s="175"/>
      <c r="BH45" s="175"/>
      <c r="BI45" s="175"/>
      <c r="BJ45" s="175"/>
      <c r="BK45" s="175"/>
    </row>
    <row r="46" spans="2:63" x14ac:dyDescent="0.2">
      <c r="B46" s="54" t="s">
        <v>342</v>
      </c>
      <c r="C46" s="80">
        <f>SUM(D39:AG39)</f>
        <v>744005.97357698251</v>
      </c>
      <c r="D46" s="175"/>
      <c r="E46" s="175"/>
      <c r="F46" s="175"/>
      <c r="G46" s="175"/>
      <c r="H46" s="175"/>
      <c r="I46" s="1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175"/>
      <c r="BB46" s="175"/>
      <c r="BC46" s="175"/>
      <c r="BD46" s="175"/>
      <c r="BE46" s="175"/>
      <c r="BF46" s="175"/>
      <c r="BG46" s="175"/>
      <c r="BH46" s="175"/>
      <c r="BI46" s="175"/>
      <c r="BJ46" s="175"/>
      <c r="BK46" s="175"/>
    </row>
    <row r="47" spans="2:63" x14ac:dyDescent="0.2">
      <c r="B47" s="54" t="s">
        <v>343</v>
      </c>
      <c r="C47" s="80">
        <f>SUM(D38:AQ38)</f>
        <v>68402.480773757648</v>
      </c>
      <c r="D47" s="175"/>
      <c r="E47" s="175"/>
      <c r="F47" s="175"/>
      <c r="G47" s="175"/>
      <c r="H47" s="175"/>
      <c r="I47" s="175"/>
      <c r="J47" s="175"/>
      <c r="K47" s="175"/>
      <c r="L47" s="175"/>
      <c r="M47" s="175"/>
      <c r="N47" s="175"/>
      <c r="O47" s="175"/>
      <c r="P47" s="175"/>
      <c r="Q47" s="175"/>
      <c r="R47" s="175"/>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175"/>
      <c r="BB47" s="175"/>
      <c r="BC47" s="175"/>
      <c r="BD47" s="175"/>
      <c r="BE47" s="175"/>
      <c r="BF47" s="175"/>
      <c r="BG47" s="175"/>
      <c r="BH47" s="175"/>
      <c r="BI47" s="175"/>
      <c r="BJ47" s="175"/>
      <c r="BK47" s="175"/>
    </row>
    <row r="48" spans="2:63" x14ac:dyDescent="0.2">
      <c r="B48" s="54" t="s">
        <v>344</v>
      </c>
      <c r="C48" s="80">
        <f>SUM(D39:AQ39)</f>
        <v>1010030.594664145</v>
      </c>
      <c r="D48" s="175"/>
      <c r="E48" s="175"/>
      <c r="F48" s="175"/>
      <c r="G48" s="175"/>
      <c r="H48" s="175"/>
      <c r="I48" s="175"/>
      <c r="J48" s="175"/>
      <c r="K48" s="175"/>
      <c r="L48" s="175"/>
      <c r="M48" s="175"/>
      <c r="N48" s="175"/>
      <c r="O48" s="175"/>
      <c r="P48" s="175"/>
      <c r="Q48" s="175"/>
      <c r="R48" s="175"/>
      <c r="S48" s="175"/>
      <c r="T48" s="175"/>
      <c r="U48" s="175"/>
      <c r="V48" s="175"/>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75"/>
      <c r="BF48" s="175"/>
      <c r="BG48" s="175"/>
      <c r="BH48" s="175"/>
      <c r="BI48" s="175"/>
      <c r="BJ48" s="175"/>
      <c r="BK48" s="175"/>
    </row>
    <row r="50" spans="1:63" x14ac:dyDescent="0.2">
      <c r="B50" s="35" t="s">
        <v>194</v>
      </c>
    </row>
    <row r="51" spans="1:63" x14ac:dyDescent="0.2">
      <c r="B51" s="54" t="s">
        <v>346</v>
      </c>
      <c r="D51" s="62">
        <f>IF(Dashboard!$C$34=Lists!$B$19,('Financial Analysis'!E33*D24/1000)+('Financial Analysis'!E34*D25/1000),0)</f>
        <v>0</v>
      </c>
      <c r="E51" s="62">
        <f>IF(Dashboard!$C$34=Lists!$B$19,('Financial Analysis'!F33*E24/1000)+('Financial Analysis'!F34*E25/1000),0)</f>
        <v>0</v>
      </c>
      <c r="F51" s="62">
        <f>IF(Dashboard!$C$34=Lists!$B$19,('Financial Analysis'!G33*F24/1000)+('Financial Analysis'!G34*F25/1000),0)</f>
        <v>0</v>
      </c>
      <c r="G51" s="62">
        <f>IF(Dashboard!$C$34=Lists!$B$19,('Financial Analysis'!H33*G24/1000)+('Financial Analysis'!H34*G25/1000),0)</f>
        <v>0</v>
      </c>
      <c r="H51" s="62">
        <f>IF(Dashboard!$C$34=Lists!$B$19,('Financial Analysis'!I33*H24/1000)+('Financial Analysis'!I34*H25/1000),0)</f>
        <v>0</v>
      </c>
      <c r="I51" s="62">
        <f>IF(Dashboard!$C$34=Lists!$B$19,('Financial Analysis'!J33*I24/1000)+('Financial Analysis'!J34*I25/1000),0)</f>
        <v>0</v>
      </c>
      <c r="J51" s="62">
        <f>IF(Dashboard!$C$34=Lists!$B$19,('Financial Analysis'!K33*J24/1000)+('Financial Analysis'!K34*J25/1000),0)</f>
        <v>0</v>
      </c>
      <c r="K51" s="62">
        <f>IF(Dashboard!$C$34=Lists!$B$19,('Financial Analysis'!L33*K24/1000)+('Financial Analysis'!L34*K25/1000),0)</f>
        <v>0</v>
      </c>
      <c r="L51" s="62">
        <f>IF(Dashboard!$C$34=Lists!$B$19,('Financial Analysis'!M33*L24/1000)+('Financial Analysis'!M34*L25/1000),0)</f>
        <v>0</v>
      </c>
      <c r="M51" s="62">
        <f>IF(Dashboard!$C$34=Lists!$B$19,('Financial Analysis'!N33*M24/1000)+('Financial Analysis'!N34*M25/1000),0)</f>
        <v>0</v>
      </c>
      <c r="N51" s="62">
        <f>IF(Dashboard!$C$34=Lists!$B$19,('Financial Analysis'!O33*N24/1000)+('Financial Analysis'!O34*N25/1000),0)</f>
        <v>0</v>
      </c>
      <c r="O51" s="62">
        <f>IF(Dashboard!$C$34=Lists!$B$19,('Financial Analysis'!P33*O24/1000)+('Financial Analysis'!P34*O25/1000),0)</f>
        <v>0</v>
      </c>
      <c r="P51" s="62">
        <f>IF(Dashboard!$C$34=Lists!$B$19,('Financial Analysis'!Q33*P24/1000)+('Financial Analysis'!Q34*P25/1000),0)</f>
        <v>0</v>
      </c>
      <c r="Q51" s="62">
        <f>IF(Dashboard!$C$34=Lists!$B$19,('Financial Analysis'!R33*Q24/1000)+('Financial Analysis'!R34*Q25/1000),0)</f>
        <v>0</v>
      </c>
      <c r="R51" s="62">
        <f>IF(Dashboard!$C$34=Lists!$B$19,('Financial Analysis'!S33*R24/1000)+('Financial Analysis'!S34*R25/1000),0)</f>
        <v>0</v>
      </c>
      <c r="S51" s="62">
        <f>IF(Dashboard!$C$34=Lists!$B$19,('Financial Analysis'!T33*S24/1000)+('Financial Analysis'!T34*S25/1000),0)</f>
        <v>0</v>
      </c>
      <c r="T51" s="62">
        <f>IF(Dashboard!$C$34=Lists!$B$19,('Financial Analysis'!U33*T24/1000)+('Financial Analysis'!U34*T25/1000),0)</f>
        <v>0</v>
      </c>
      <c r="U51" s="62">
        <f>IF(Dashboard!$C$34=Lists!$B$19,('Financial Analysis'!V33*U24/1000)+('Financial Analysis'!V34*U25/1000),0)</f>
        <v>0</v>
      </c>
      <c r="V51" s="62">
        <f>IF(Dashboard!$C$34=Lists!$B$19,('Financial Analysis'!W33*V24/1000)+('Financial Analysis'!W34*V25/1000),0)</f>
        <v>0</v>
      </c>
      <c r="W51" s="62">
        <f>IF(Dashboard!$C$34=Lists!$B$19,('Financial Analysis'!X33*W24/1000)+('Financial Analysis'!X34*W25/1000),0)</f>
        <v>0</v>
      </c>
      <c r="X51" s="62">
        <f>IF(Dashboard!$C$34=Lists!$B$19,('Financial Analysis'!Y33*X24/1000)+('Financial Analysis'!Y34*X25/1000),0)</f>
        <v>0</v>
      </c>
      <c r="Y51" s="62">
        <f>IF(Dashboard!$C$34=Lists!$B$19,('Financial Analysis'!Z33*Y24/1000)+('Financial Analysis'!Z34*Y25/1000),0)</f>
        <v>0</v>
      </c>
      <c r="Z51" s="62">
        <f>IF(Dashboard!$C$34=Lists!$B$19,('Financial Analysis'!AA33*Z24/1000)+('Financial Analysis'!AA34*Z25/1000),0)</f>
        <v>0</v>
      </c>
      <c r="AA51" s="62">
        <f>IF(Dashboard!$C$34=Lists!$B$19,('Financial Analysis'!AB33*AA24/1000)+('Financial Analysis'!AB34*AA25/1000),0)</f>
        <v>0</v>
      </c>
      <c r="AB51" s="62">
        <f>IF(Dashboard!$C$34=Lists!$B$19,('Financial Analysis'!AC33*AB24/1000)+('Financial Analysis'!AC34*AB25/1000),0)</f>
        <v>0</v>
      </c>
      <c r="AC51" s="62">
        <f>IF(Dashboard!$C$34=Lists!$B$19,('Financial Analysis'!AD33*AC24/1000)+('Financial Analysis'!AD34*AC25/1000),0)</f>
        <v>0</v>
      </c>
      <c r="AD51" s="62">
        <f>IF(Dashboard!$C$34=Lists!$B$19,('Financial Analysis'!AE33*AD24/1000)+('Financial Analysis'!AE34*AD25/1000),0)</f>
        <v>0</v>
      </c>
      <c r="AE51" s="62">
        <f>IF(Dashboard!$C$34=Lists!$B$19,('Financial Analysis'!AF33*AE24/1000)+('Financial Analysis'!AF34*AE25/1000),0)</f>
        <v>0</v>
      </c>
      <c r="AF51" s="62">
        <f>IF(Dashboard!$C$34=Lists!$B$19,('Financial Analysis'!AG33*AF24/1000)+('Financial Analysis'!AG34*AF25/1000),0)</f>
        <v>0</v>
      </c>
      <c r="AG51" s="62">
        <f>IF(Dashboard!$C$34=Lists!$B$19,('Financial Analysis'!AH33*AG24/1000)+('Financial Analysis'!AH34*AG25/1000),0)</f>
        <v>0</v>
      </c>
      <c r="AH51" s="62">
        <f>IF(Dashboard!$C$34=Lists!$B$19,('Financial Analysis'!AI33*AH24/1000)+('Financial Analysis'!AI34*AH25/1000),0)</f>
        <v>0</v>
      </c>
      <c r="AI51" s="62">
        <f>IF(Dashboard!$C$34=Lists!$B$19,('Financial Analysis'!AJ33*AI24/1000)+('Financial Analysis'!AJ34*AI25/1000),0)</f>
        <v>0</v>
      </c>
      <c r="AJ51" s="62">
        <f>IF(Dashboard!$C$34=Lists!$B$19,('Financial Analysis'!AK33*AJ24/1000)+('Financial Analysis'!AK34*AJ25/1000),0)</f>
        <v>0</v>
      </c>
      <c r="AK51" s="62">
        <f>IF(Dashboard!$C$34=Lists!$B$19,('Financial Analysis'!AL33*AK24/1000)+('Financial Analysis'!AL34*AK25/1000),0)</f>
        <v>0</v>
      </c>
      <c r="AL51" s="62">
        <f>IF(Dashboard!$C$34=Lists!$B$19,('Financial Analysis'!AM33*AL24/1000)+('Financial Analysis'!AM34*AL25/1000),0)</f>
        <v>0</v>
      </c>
      <c r="AM51" s="62">
        <f>IF(Dashboard!$C$34=Lists!$B$19,('Financial Analysis'!AN33*AM24/1000)+('Financial Analysis'!AN34*AM25/1000),0)</f>
        <v>0</v>
      </c>
      <c r="AN51" s="62">
        <f>IF(Dashboard!$C$34=Lists!$B$19,('Financial Analysis'!AO33*AN24/1000)+('Financial Analysis'!AO34*AN25/1000),0)</f>
        <v>0</v>
      </c>
      <c r="AO51" s="62">
        <f>IF(Dashboard!$C$34=Lists!$B$19,('Financial Analysis'!AP33*AO24/1000)+('Financial Analysis'!AP34*AO25/1000),0)</f>
        <v>0</v>
      </c>
      <c r="AP51" s="62">
        <f>IF(Dashboard!$C$34=Lists!$B$19,('Financial Analysis'!AQ33*AP24/1000)+('Financial Analysis'!AQ34*AP25/1000),0)</f>
        <v>0</v>
      </c>
      <c r="AQ51" s="62">
        <f>IF(Dashboard!$C$34=Lists!$B$19,('Financial Analysis'!AR33*AQ24/1000)+('Financial Analysis'!AR34*AQ25/1000),0)</f>
        <v>0</v>
      </c>
      <c r="AR51" s="62">
        <f>IF(Dashboard!$C$34=Lists!$B$19,('Financial Analysis'!AS33*AR24/1000)+('Financial Analysis'!AS34*AR25/1000),0)</f>
        <v>0</v>
      </c>
      <c r="AS51" s="62">
        <f>IF(Dashboard!$C$34=Lists!$B$19,('Financial Analysis'!AT33*AS24/1000)+('Financial Analysis'!AT34*AS25/1000),0)</f>
        <v>0</v>
      </c>
      <c r="AT51" s="62">
        <f>IF(Dashboard!$C$34=Lists!$B$19,('Financial Analysis'!AU33*AT24/1000)+('Financial Analysis'!AU34*AT25/1000),0)</f>
        <v>0</v>
      </c>
      <c r="AU51" s="62">
        <f>IF(Dashboard!$C$34=Lists!$B$19,('Financial Analysis'!AV33*AU24/1000)+('Financial Analysis'!AV34*AU25/1000),0)</f>
        <v>0</v>
      </c>
      <c r="AV51" s="62">
        <f>IF(Dashboard!$C$34=Lists!$B$19,('Financial Analysis'!AW33*AV24/1000)+('Financial Analysis'!AW34*AV25/1000),0)</f>
        <v>0</v>
      </c>
      <c r="AW51" s="62">
        <f>IF(Dashboard!$C$34=Lists!$B$19,('Financial Analysis'!AX33*AW24/1000)+('Financial Analysis'!AX34*AW25/1000),0)</f>
        <v>0</v>
      </c>
      <c r="AX51" s="62">
        <f>IF(Dashboard!$C$34=Lists!$B$19,('Financial Analysis'!AY33*AX24/1000)+('Financial Analysis'!AY34*AX25/1000),0)</f>
        <v>0</v>
      </c>
      <c r="AY51" s="62">
        <f>IF(Dashboard!$C$34=Lists!$B$19,('Financial Analysis'!AZ33*AY24/1000)+('Financial Analysis'!AZ34*AY25/1000),0)</f>
        <v>0</v>
      </c>
      <c r="AZ51" s="62">
        <f>IF(Dashboard!$C$34=Lists!$B$19,('Financial Analysis'!BA33*AZ24/1000)+('Financial Analysis'!BA34*AZ25/1000),0)</f>
        <v>0</v>
      </c>
      <c r="BA51" s="62">
        <f>IF(Dashboard!$C$34=Lists!$B$19,('Financial Analysis'!BB33*BA24/1000)+('Financial Analysis'!BB34*BA25/1000),0)</f>
        <v>0</v>
      </c>
      <c r="BB51" s="62">
        <f>IF(Dashboard!$C$34=Lists!$B$19,('Financial Analysis'!BC33*BB24/1000)+('Financial Analysis'!BC34*BB25/1000),0)</f>
        <v>0</v>
      </c>
      <c r="BC51" s="62">
        <f>IF(Dashboard!$C$34=Lists!$B$19,('Financial Analysis'!BD33*BC24/1000)+('Financial Analysis'!BD34*BC25/1000),0)</f>
        <v>0</v>
      </c>
      <c r="BD51" s="62">
        <f>IF(Dashboard!$C$34=Lists!$B$19,('Financial Analysis'!BE33*BD24/1000)+('Financial Analysis'!BE34*BD25/1000),0)</f>
        <v>0</v>
      </c>
      <c r="BE51" s="62">
        <f>IF(Dashboard!$C$34=Lists!$B$19,('Financial Analysis'!BF33*BE24/1000)+('Financial Analysis'!BF34*BE25/1000),0)</f>
        <v>0</v>
      </c>
      <c r="BF51" s="62">
        <f>IF(Dashboard!$C$34=Lists!$B$19,('Financial Analysis'!BG33*BF24/1000)+('Financial Analysis'!BG34*BF25/1000),0)</f>
        <v>0</v>
      </c>
      <c r="BG51" s="62">
        <f>IF(Dashboard!$C$34=Lists!$B$19,('Financial Analysis'!BH33*BG24/1000)+('Financial Analysis'!BH34*BG25/1000),0)</f>
        <v>0</v>
      </c>
      <c r="BH51" s="62">
        <f>IF(Dashboard!$C$34=Lists!$B$19,('Financial Analysis'!BI33*BH24/1000)+('Financial Analysis'!BI34*BH25/1000),0)</f>
        <v>0</v>
      </c>
      <c r="BI51" s="62">
        <f>IF(Dashboard!$C$34=Lists!$B$19,('Financial Analysis'!BJ33*BI24/1000)+('Financial Analysis'!BJ34*BI25/1000),0)</f>
        <v>0</v>
      </c>
      <c r="BJ51" s="62">
        <f>IF(Dashboard!$C$34=Lists!$B$19,('Financial Analysis'!BK33*BJ24/1000)+('Financial Analysis'!BK34*BJ25/1000),0)</f>
        <v>0</v>
      </c>
      <c r="BK51" s="62">
        <f>IF(Dashboard!$C$34=Lists!$B$19,('Financial Analysis'!BL33*BK24/1000)+('Financial Analysis'!BL34*BK25/1000),0)</f>
        <v>0</v>
      </c>
    </row>
    <row r="52" spans="1:63" x14ac:dyDescent="0.2">
      <c r="B52" s="54" t="s">
        <v>347</v>
      </c>
      <c r="D52" s="62">
        <f>IF(Dashboard!$C$34=Lists!$B$18,('Financial Analysis'!E29/CO2e!$C$11*D24/1000)+('Financial Analysis'!E30/CO2e!$C$12*D25/1000),0)</f>
        <v>9658.4909044418782</v>
      </c>
      <c r="E52" s="62">
        <f>IF(Dashboard!$C$34=Lists!$B$18,('Financial Analysis'!F29/CO2e!$C$11*E24/1000)+('Financial Analysis'!F30/CO2e!$C$12*E25/1000),0)</f>
        <v>8698.9501284913476</v>
      </c>
      <c r="F52" s="62">
        <f>IF(Dashboard!$C$34=Lists!$B$18,('Financial Analysis'!G29/CO2e!$C$11*F24/1000)+('Financial Analysis'!G30/CO2e!$C$12*F25/1000),0)</f>
        <v>7684.9458905102074</v>
      </c>
      <c r="G52" s="62">
        <f>IF(Dashboard!$C$34=Lists!$B$18,('Financial Analysis'!H29/CO2e!$C$11*G24/1000)+('Financial Analysis'!H30/CO2e!$C$12*G25/1000),0)</f>
        <v>6613.3868485037201</v>
      </c>
      <c r="H52" s="62">
        <f>IF(Dashboard!$C$34=Lists!$B$18,('Financial Analysis'!I29/CO2e!$C$11*H24/1000)+('Financial Analysis'!I30/CO2e!$C$12*H25/1000),0)</f>
        <v>5350.9394663643661</v>
      </c>
      <c r="I52" s="62">
        <f>IF(Dashboard!$C$34=Lists!$B$18,('Financial Analysis'!J29/CO2e!$C$11*I24/1000)+('Financial Analysis'!J30/CO2e!$C$12*I25/1000),0)</f>
        <v>4329.4840947001121</v>
      </c>
      <c r="J52" s="62">
        <f>IF(Dashboard!$C$34=Lists!$B$18,('Financial Analysis'!K29/CO2e!$C$11*J24/1000)+('Financial Analysis'!K30/CO2e!$C$12*J25/1000),0)</f>
        <v>3503.0171139269005</v>
      </c>
      <c r="K52" s="62">
        <f>IF(Dashboard!$C$34=Lists!$B$18,('Financial Analysis'!L29/CO2e!$C$11*K24/1000)+('Financial Analysis'!L30/CO2e!$C$12*K25/1000),0)</f>
        <v>2834.3166603813861</v>
      </c>
      <c r="L52" s="62">
        <f>IF(Dashboard!$C$34=Lists!$B$18,('Financial Analysis'!M29/CO2e!$C$11*L24/1000)+('Financial Analysis'!M30/CO2e!$C$12*L25/1000),0)</f>
        <v>2293.2662530757852</v>
      </c>
      <c r="M52" s="62">
        <f>IF(Dashboard!$C$34=Lists!$B$18,('Financial Analysis'!N29/CO2e!$C$11*M24/1000)+('Financial Analysis'!N30/CO2e!$C$12*M25/1000),0)</f>
        <v>1855.4984278956997</v>
      </c>
      <c r="N52" s="62">
        <f>IF(Dashboard!$C$34=Lists!$B$18,('Financial Analysis'!O29/CO2e!$C$11*N24/1000)+('Financial Analysis'!O30/CO2e!$C$12*N25/1000),0)</f>
        <v>1501.2972921507674</v>
      </c>
      <c r="O52" s="62">
        <f>IF(Dashboard!$C$34=Lists!$B$18,('Financial Analysis'!P29/CO2e!$C$11*O24/1000)+('Financial Analysis'!P30/CO2e!$C$12*O25/1000),0)</f>
        <v>1214.7105734685761</v>
      </c>
      <c r="P52" s="62">
        <f>IF(Dashboard!$C$34=Lists!$B$18,('Financial Analysis'!Q29/CO2e!$C$11*P24/1000)+('Financial Analysis'!Q30/CO2e!$C$12*P25/1000),0)</f>
        <v>982.83117208751901</v>
      </c>
      <c r="Q52" s="62">
        <f>IF(Dashboard!$C$34=Lists!$B$18,('Financial Analysis'!R29/CO2e!$C$11*Q24/1000)+('Financial Analysis'!R30/CO2e!$C$12*Q25/1000),0)</f>
        <v>795.21585958427886</v>
      </c>
      <c r="R52" s="62">
        <f>IF(Dashboard!$C$34=Lists!$B$18,('Financial Analysis'!S29/CO2e!$C$11*R24/1000)+('Financial Analysis'!S30/CO2e!$C$12*R25/1000),0)</f>
        <v>660.13922296707347</v>
      </c>
      <c r="S52" s="62">
        <f>IF(Dashboard!$C$34=Lists!$B$18,('Financial Analysis'!T29/CO2e!$C$11*S24/1000)+('Financial Analysis'!T30/CO2e!$C$12*S25/1000),0)</f>
        <v>626.4821484227914</v>
      </c>
      <c r="T52" s="62">
        <f>IF(Dashboard!$C$34=Lists!$B$18,('Financial Analysis'!U29/CO2e!$C$11*T24/1000)+('Financial Analysis'!U30/CO2e!$C$12*T25/1000),0)</f>
        <v>613.69151024651171</v>
      </c>
      <c r="U52" s="62">
        <f>IF(Dashboard!$C$34=Lists!$B$18,('Financial Analysis'!V29/CO2e!$C$11*U24/1000)+('Financial Analysis'!V30/CO2e!$C$12*U25/1000),0)</f>
        <v>576.80796236292235</v>
      </c>
      <c r="V52" s="62">
        <f>IF(Dashboard!$C$34=Lists!$B$18,('Financial Analysis'!W29/CO2e!$C$11*V24/1000)+('Financial Analysis'!W30/CO2e!$C$12*V25/1000),0)</f>
        <v>489.84373878016964</v>
      </c>
      <c r="W52" s="62">
        <f>IF(Dashboard!$C$34=Lists!$B$18,('Financial Analysis'!X29/CO2e!$C$11*W24/1000)+('Financial Analysis'!X30/CO2e!$C$12*W25/1000),0)</f>
        <v>444.73697694014186</v>
      </c>
      <c r="X52" s="62">
        <f>IF(Dashboard!$C$34=Lists!$B$18,('Financial Analysis'!Y29/CO2e!$C$11*X24/1000)+('Financial Analysis'!Y30/CO2e!$C$12*X25/1000),0)</f>
        <v>410.06617669268741</v>
      </c>
      <c r="Y52" s="62">
        <f>IF(Dashboard!$C$34=Lists!$B$18,('Financial Analysis'!Z29/CO2e!$C$11*Y24/1000)+('Financial Analysis'!Z30/CO2e!$C$12*Y25/1000),0)</f>
        <v>389.1954131527865</v>
      </c>
      <c r="Z52" s="62">
        <f>IF(Dashboard!$C$34=Lists!$B$18,('Financial Analysis'!AA29/CO2e!$C$11*Z24/1000)+('Financial Analysis'!AA30/CO2e!$C$12*Z25/1000),0)</f>
        <v>362.16227890647752</v>
      </c>
      <c r="AA52" s="62">
        <f>IF(Dashboard!$C$34=Lists!$B$18,('Financial Analysis'!AB29/CO2e!$C$11*AA24/1000)+('Financial Analysis'!AB30/CO2e!$C$12*AA25/1000),0)</f>
        <v>355.94461262084928</v>
      </c>
      <c r="AB52" s="62">
        <f>IF(Dashboard!$C$34=Lists!$B$18,('Financial Analysis'!AC29/CO2e!$C$11*AB24/1000)+('Financial Analysis'!AC30/CO2e!$C$12*AB25/1000),0)</f>
        <v>355.94461262084928</v>
      </c>
      <c r="AC52" s="62">
        <f>IF(Dashboard!$C$34=Lists!$B$18,('Financial Analysis'!AD29/CO2e!$C$11*AC24/1000)+('Financial Analysis'!AD30/CO2e!$C$12*AC25/1000),0)</f>
        <v>355.94461262084928</v>
      </c>
      <c r="AD52" s="62">
        <f>IF(Dashboard!$C$34=Lists!$B$18,('Financial Analysis'!AE29/CO2e!$C$11*AD24/1000)+('Financial Analysis'!AE30/CO2e!$C$12*AD25/1000),0)</f>
        <v>355.94461262084928</v>
      </c>
      <c r="AE52" s="62">
        <f>IF(Dashboard!$C$34=Lists!$B$18,('Financial Analysis'!AF29/CO2e!$C$11*AE24/1000)+('Financial Analysis'!AF30/CO2e!$C$12*AE25/1000),0)</f>
        <v>355.94461262084928</v>
      </c>
      <c r="AF52" s="62">
        <f>IF(Dashboard!$C$34=Lists!$B$18,('Financial Analysis'!AG29/CO2e!$C$11*AF24/1000)+('Financial Analysis'!AG30/CO2e!$C$12*AF25/1000),0)</f>
        <v>355.94461262084928</v>
      </c>
      <c r="AG52" s="62">
        <f>IF(Dashboard!$C$34=Lists!$B$18,('Financial Analysis'!AH29/CO2e!$C$11*AG24/1000)+('Financial Analysis'!AH30/CO2e!$C$12*AG25/1000),0)</f>
        <v>355.94461262084928</v>
      </c>
      <c r="AH52" s="62">
        <f>IF(Dashboard!$C$34=Lists!$B$18,('Financial Analysis'!AI29/CO2e!$C$11*AH24/1000)+('Financial Analysis'!AI30/CO2e!$C$12*AH25/1000),0)</f>
        <v>355.94461262084928</v>
      </c>
      <c r="AI52" s="62">
        <f>IF(Dashboard!$C$34=Lists!$B$18,('Financial Analysis'!AJ29/CO2e!$C$11*AI24/1000)+('Financial Analysis'!AJ30/CO2e!$C$12*AI25/1000),0)</f>
        <v>355.94461262084928</v>
      </c>
      <c r="AJ52" s="62">
        <f>IF(Dashboard!$C$34=Lists!$B$18,('Financial Analysis'!AK29/CO2e!$C$11*AJ24/1000)+('Financial Analysis'!AK30/CO2e!$C$12*AJ25/1000),0)</f>
        <v>355.94461262084928</v>
      </c>
      <c r="AK52" s="62">
        <f>IF(Dashboard!$C$34=Lists!$B$18,('Financial Analysis'!AL29/CO2e!$C$11*AK24/1000)+('Financial Analysis'!AL30/CO2e!$C$12*AK25/1000),0)</f>
        <v>355.94461262084928</v>
      </c>
      <c r="AL52" s="62">
        <f>IF(Dashboard!$C$34=Lists!$B$18,('Financial Analysis'!AM29/CO2e!$C$11*AL24/1000)+('Financial Analysis'!AM30/CO2e!$C$12*AL25/1000),0)</f>
        <v>355.94461262084928</v>
      </c>
      <c r="AM52" s="62">
        <f>IF(Dashboard!$C$34=Lists!$B$18,('Financial Analysis'!AN29/CO2e!$C$11*AM24/1000)+('Financial Analysis'!AN30/CO2e!$C$12*AM25/1000),0)</f>
        <v>355.94461262084928</v>
      </c>
      <c r="AN52" s="62">
        <f>IF(Dashboard!$C$34=Lists!$B$18,('Financial Analysis'!AO29/CO2e!$C$11*AN24/1000)+('Financial Analysis'!AO30/CO2e!$C$12*AN25/1000),0)</f>
        <v>355.94461262084928</v>
      </c>
      <c r="AO52" s="62">
        <f>IF(Dashboard!$C$34=Lists!$B$18,('Financial Analysis'!AP29/CO2e!$C$11*AO24/1000)+('Financial Analysis'!AP30/CO2e!$C$12*AO25/1000),0)</f>
        <v>355.94461262084928</v>
      </c>
      <c r="AP52" s="62">
        <f>IF(Dashboard!$C$34=Lists!$B$18,('Financial Analysis'!AQ29/CO2e!$C$11*AP24/1000)+('Financial Analysis'!AQ30/CO2e!$C$12*AP25/1000),0)</f>
        <v>355.94461262084928</v>
      </c>
      <c r="AQ52" s="62">
        <f>IF(Dashboard!$C$34=Lists!$B$18,('Financial Analysis'!AR29/CO2e!$C$11*AQ24/1000)+('Financial Analysis'!AR30/CO2e!$C$12*AQ25/1000),0)</f>
        <v>355.94461262084928</v>
      </c>
      <c r="AR52" s="62">
        <f>IF(Dashboard!$C$34=Lists!$B$18,('Financial Analysis'!AS29/CO2e!$C$11*AR24/1000)+('Financial Analysis'!AS30/CO2e!$C$12*AR25/1000),0)</f>
        <v>355.94461262084928</v>
      </c>
      <c r="AS52" s="62">
        <f>IF(Dashboard!$C$34=Lists!$B$18,('Financial Analysis'!AT29/CO2e!$C$11*AS24/1000)+('Financial Analysis'!AT30/CO2e!$C$12*AS25/1000),0)</f>
        <v>355.94461262084928</v>
      </c>
      <c r="AT52" s="62">
        <f>IF(Dashboard!$C$34=Lists!$B$18,('Financial Analysis'!AU29/CO2e!$C$11*AT24/1000)+('Financial Analysis'!AU30/CO2e!$C$12*AT25/1000),0)</f>
        <v>355.94461262084928</v>
      </c>
      <c r="AU52" s="62">
        <f>IF(Dashboard!$C$34=Lists!$B$18,('Financial Analysis'!AV29/CO2e!$C$11*AU24/1000)+('Financial Analysis'!AV30/CO2e!$C$12*AU25/1000),0)</f>
        <v>355.94461262084928</v>
      </c>
      <c r="AV52" s="62">
        <f>IF(Dashboard!$C$34=Lists!$B$18,('Financial Analysis'!AW29/CO2e!$C$11*AV24/1000)+('Financial Analysis'!AW30/CO2e!$C$12*AV25/1000),0)</f>
        <v>355.94461262084928</v>
      </c>
      <c r="AW52" s="62">
        <f>IF(Dashboard!$C$34=Lists!$B$18,('Financial Analysis'!AX29/CO2e!$C$11*AW24/1000)+('Financial Analysis'!AX30/CO2e!$C$12*AW25/1000),0)</f>
        <v>355.94461262084928</v>
      </c>
      <c r="AX52" s="62">
        <f>IF(Dashboard!$C$34=Lists!$B$18,('Financial Analysis'!AY29/CO2e!$C$11*AX24/1000)+('Financial Analysis'!AY30/CO2e!$C$12*AX25/1000),0)</f>
        <v>355.94461262084928</v>
      </c>
      <c r="AY52" s="62">
        <f>IF(Dashboard!$C$34=Lists!$B$18,('Financial Analysis'!AZ29/CO2e!$C$11*AY24/1000)+('Financial Analysis'!AZ30/CO2e!$C$12*AY25/1000),0)</f>
        <v>355.94461262084928</v>
      </c>
      <c r="AZ52" s="62">
        <f>IF(Dashboard!$C$34=Lists!$B$18,('Financial Analysis'!BA29/CO2e!$C$11*AZ24/1000)+('Financial Analysis'!BA30/CO2e!$C$12*AZ25/1000),0)</f>
        <v>355.94461262084928</v>
      </c>
      <c r="BA52" s="62">
        <f>IF(Dashboard!$C$34=Lists!$B$18,('Financial Analysis'!BB29/CO2e!$C$11*BA24/1000)+('Financial Analysis'!BB30/CO2e!$C$12*BA25/1000),0)</f>
        <v>355.94461262084928</v>
      </c>
      <c r="BB52" s="62">
        <f>IF(Dashboard!$C$34=Lists!$B$18,('Financial Analysis'!BC29/CO2e!$C$11*BB24/1000)+('Financial Analysis'!BC30/CO2e!$C$12*BB25/1000),0)</f>
        <v>355.94461262084928</v>
      </c>
      <c r="BC52" s="62">
        <f>IF(Dashboard!$C$34=Lists!$B$18,('Financial Analysis'!BD29/CO2e!$C$11*BC24/1000)+('Financial Analysis'!BD30/CO2e!$C$12*BC25/1000),0)</f>
        <v>355.94461262084928</v>
      </c>
      <c r="BD52" s="62">
        <f>IF(Dashboard!$C$34=Lists!$B$18,('Financial Analysis'!BE29/CO2e!$C$11*BD24/1000)+('Financial Analysis'!BE30/CO2e!$C$12*BD25/1000),0)</f>
        <v>355.94461262084928</v>
      </c>
      <c r="BE52" s="62">
        <f>IF(Dashboard!$C$34=Lists!$B$18,('Financial Analysis'!BF29/CO2e!$C$11*BE24/1000)+('Financial Analysis'!BF30/CO2e!$C$12*BE25/1000),0)</f>
        <v>355.94461262084928</v>
      </c>
      <c r="BF52" s="62">
        <f>IF(Dashboard!$C$34=Lists!$B$18,('Financial Analysis'!BG29/CO2e!$C$11*BF24/1000)+('Financial Analysis'!BG30/CO2e!$C$12*BF25/1000),0)</f>
        <v>355.94461262084928</v>
      </c>
      <c r="BG52" s="62">
        <f>IF(Dashboard!$C$34=Lists!$B$18,('Financial Analysis'!BH29/CO2e!$C$11*BG24/1000)+('Financial Analysis'!BH30/CO2e!$C$12*BG25/1000),0)</f>
        <v>355.94461262084928</v>
      </c>
      <c r="BH52" s="62">
        <f>IF(Dashboard!$C$34=Lists!$B$18,('Financial Analysis'!BI29/CO2e!$C$11*BH24/1000)+('Financial Analysis'!BI30/CO2e!$C$12*BH25/1000),0)</f>
        <v>355.94461262084928</v>
      </c>
      <c r="BI52" s="62">
        <f>IF(Dashboard!$C$34=Lists!$B$18,('Financial Analysis'!BJ29/CO2e!$C$11*BI24/1000)+('Financial Analysis'!BJ30/CO2e!$C$12*BI25/1000),0)</f>
        <v>355.94461262084928</v>
      </c>
      <c r="BJ52" s="62">
        <f>IF(Dashboard!$C$34=Lists!$B$18,('Financial Analysis'!BK29/CO2e!$C$11*BJ24/1000)+('Financial Analysis'!BK30/CO2e!$C$12*BJ25/1000),0)</f>
        <v>355.94461262084928</v>
      </c>
      <c r="BK52" s="62">
        <f>IF(Dashboard!$C$34=Lists!$B$18,('Financial Analysis'!BL29/CO2e!$C$11*BK24/1000)+('Financial Analysis'!BL30/CO2e!$C$12*BK25/1000),0)</f>
        <v>355.94461262084928</v>
      </c>
    </row>
    <row r="53" spans="1:63" x14ac:dyDescent="0.2">
      <c r="B53" s="54" t="s">
        <v>348</v>
      </c>
      <c r="D53" s="62">
        <f>('Financial Analysis'!E35*$C$9/1000)</f>
        <v>0</v>
      </c>
      <c r="E53" s="62">
        <f>('Financial Analysis'!F35*$C$9/1000)</f>
        <v>0</v>
      </c>
      <c r="F53" s="62">
        <f>('Financial Analysis'!G35*$C$9/1000)</f>
        <v>0</v>
      </c>
      <c r="G53" s="62">
        <f>('Financial Analysis'!H35*$C$9/1000)</f>
        <v>0</v>
      </c>
      <c r="H53" s="62">
        <f>('Financial Analysis'!I35*$C$9/1000)</f>
        <v>0</v>
      </c>
      <c r="I53" s="62">
        <f>('Financial Analysis'!J35*$C$9/1000)</f>
        <v>0</v>
      </c>
      <c r="J53" s="62">
        <f>('Financial Analysis'!K35*$C$9/1000)</f>
        <v>0</v>
      </c>
      <c r="K53" s="62">
        <f>('Financial Analysis'!L35*$C$9/1000)</f>
        <v>0</v>
      </c>
      <c r="L53" s="62">
        <f>('Financial Analysis'!M35*$C$9/1000)</f>
        <v>0</v>
      </c>
      <c r="M53" s="62">
        <f>('Financial Analysis'!N35*$C$9/1000)</f>
        <v>0</v>
      </c>
      <c r="N53" s="62">
        <f>('Financial Analysis'!O35*$C$9/1000)</f>
        <v>0</v>
      </c>
      <c r="O53" s="62">
        <f>('Financial Analysis'!P35*$C$9/1000)</f>
        <v>0</v>
      </c>
      <c r="P53" s="62">
        <f>('Financial Analysis'!Q35*$C$9/1000)</f>
        <v>0</v>
      </c>
      <c r="Q53" s="62">
        <f>('Financial Analysis'!R35*$C$9/1000)</f>
        <v>0</v>
      </c>
      <c r="R53" s="62">
        <f>('Financial Analysis'!S35*$C$9/1000)</f>
        <v>0</v>
      </c>
      <c r="S53" s="62">
        <f>('Financial Analysis'!T35*$C$9/1000)</f>
        <v>0</v>
      </c>
      <c r="T53" s="62">
        <f>('Financial Analysis'!U35*$C$9/1000)</f>
        <v>0</v>
      </c>
      <c r="U53" s="62">
        <f>('Financial Analysis'!V35*$C$9/1000)</f>
        <v>0</v>
      </c>
      <c r="V53" s="62">
        <f>('Financial Analysis'!W35*$C$9/1000)</f>
        <v>0</v>
      </c>
      <c r="W53" s="62">
        <f>('Financial Analysis'!X35*$C$9/1000)</f>
        <v>0</v>
      </c>
      <c r="X53" s="62">
        <f>('Financial Analysis'!Y35*$C$9/1000)</f>
        <v>0</v>
      </c>
      <c r="Y53" s="62">
        <f>('Financial Analysis'!Z35*$C$9/1000)</f>
        <v>0</v>
      </c>
      <c r="Z53" s="62">
        <f>('Financial Analysis'!AA35*$C$9/1000)</f>
        <v>0</v>
      </c>
      <c r="AA53" s="62">
        <f>('Financial Analysis'!AB35*$C$9/1000)</f>
        <v>0</v>
      </c>
      <c r="AB53" s="62">
        <f>('Financial Analysis'!AC35*$C$9/1000)</f>
        <v>0</v>
      </c>
      <c r="AC53" s="62">
        <f>('Financial Analysis'!AD35*$C$9/1000)</f>
        <v>0</v>
      </c>
      <c r="AD53" s="62">
        <f>('Financial Analysis'!AE35*$C$9/1000)</f>
        <v>0</v>
      </c>
      <c r="AE53" s="62">
        <f>('Financial Analysis'!AF35*$C$9/1000)</f>
        <v>0</v>
      </c>
      <c r="AF53" s="62">
        <f>('Financial Analysis'!AG35*$C$9/1000)</f>
        <v>0</v>
      </c>
      <c r="AG53" s="62">
        <f>('Financial Analysis'!AH35*$C$9/1000)</f>
        <v>0</v>
      </c>
      <c r="AH53" s="62">
        <f>('Financial Analysis'!AI35*$C$9/1000)</f>
        <v>0</v>
      </c>
      <c r="AI53" s="62">
        <f>('Financial Analysis'!AJ35*$C$9/1000)</f>
        <v>0</v>
      </c>
      <c r="AJ53" s="62">
        <f>('Financial Analysis'!AK35*$C$9/1000)</f>
        <v>0</v>
      </c>
      <c r="AK53" s="62">
        <f>('Financial Analysis'!AL35*$C$9/1000)</f>
        <v>0</v>
      </c>
      <c r="AL53" s="62">
        <f>('Financial Analysis'!AM35*$C$9/1000)</f>
        <v>0</v>
      </c>
      <c r="AM53" s="62">
        <f>('Financial Analysis'!AN35*$C$9/1000)</f>
        <v>0</v>
      </c>
      <c r="AN53" s="62">
        <f>('Financial Analysis'!AO35*$C$9/1000)</f>
        <v>0</v>
      </c>
      <c r="AO53" s="62">
        <f>('Financial Analysis'!AP35*$C$9/1000)</f>
        <v>0</v>
      </c>
      <c r="AP53" s="62">
        <f>('Financial Analysis'!AQ35*$C$9/1000)</f>
        <v>0</v>
      </c>
      <c r="AQ53" s="62">
        <f>('Financial Analysis'!AR35*$C$9/1000)</f>
        <v>0</v>
      </c>
      <c r="AR53" s="62">
        <f>('Financial Analysis'!AS35*$C$9/1000)</f>
        <v>0</v>
      </c>
      <c r="AS53" s="62">
        <f>('Financial Analysis'!AT35*$C$9/1000)</f>
        <v>0</v>
      </c>
      <c r="AT53" s="62">
        <f>('Financial Analysis'!AU35*$C$9/1000)</f>
        <v>0</v>
      </c>
      <c r="AU53" s="62">
        <f>('Financial Analysis'!AV35*$C$9/1000)</f>
        <v>0</v>
      </c>
      <c r="AV53" s="62">
        <f>('Financial Analysis'!AW35*$C$9/1000)</f>
        <v>0</v>
      </c>
      <c r="AW53" s="62">
        <f>('Financial Analysis'!AX35*$C$9/1000)</f>
        <v>0</v>
      </c>
      <c r="AX53" s="62">
        <f>('Financial Analysis'!AY35*$C$9/1000)</f>
        <v>0</v>
      </c>
      <c r="AY53" s="62">
        <f>('Financial Analysis'!AZ35*$C$9/1000)</f>
        <v>0</v>
      </c>
      <c r="AZ53" s="62">
        <f>('Financial Analysis'!BA35*$C$9/1000)</f>
        <v>0</v>
      </c>
      <c r="BA53" s="62">
        <f>('Financial Analysis'!BB35*$C$9/1000)</f>
        <v>0</v>
      </c>
      <c r="BB53" s="62">
        <f>('Financial Analysis'!BC35*$C$9/1000)</f>
        <v>0</v>
      </c>
      <c r="BC53" s="62">
        <f>('Financial Analysis'!BD35*$C$9/1000)</f>
        <v>0</v>
      </c>
      <c r="BD53" s="62">
        <f>('Financial Analysis'!BE35*$C$9/1000)</f>
        <v>0</v>
      </c>
      <c r="BE53" s="62">
        <f>('Financial Analysis'!BF35*$C$9/1000)</f>
        <v>0</v>
      </c>
      <c r="BF53" s="62">
        <f>('Financial Analysis'!BG35*$C$9/1000)</f>
        <v>0</v>
      </c>
      <c r="BG53" s="62">
        <f>('Financial Analysis'!BH35*$C$9/1000)</f>
        <v>0</v>
      </c>
      <c r="BH53" s="62">
        <f>('Financial Analysis'!BI35*$C$9/1000)</f>
        <v>0</v>
      </c>
      <c r="BI53" s="62">
        <f>('Financial Analysis'!BJ35*$C$9/1000)</f>
        <v>0</v>
      </c>
      <c r="BJ53" s="62">
        <f>('Financial Analysis'!BK35*$C$9/1000)</f>
        <v>0</v>
      </c>
      <c r="BK53" s="62">
        <f>('Financial Analysis'!BL35*$C$9/1000)</f>
        <v>0</v>
      </c>
    </row>
    <row r="54" spans="1:63" ht="5.25" customHeight="1" x14ac:dyDescent="0.2">
      <c r="B54" s="35"/>
    </row>
    <row r="55" spans="1:63" x14ac:dyDescent="0.2">
      <c r="B55" s="54" t="s">
        <v>345</v>
      </c>
      <c r="D55" s="80">
        <f>SUM(D51:D53)</f>
        <v>9658.4909044418782</v>
      </c>
      <c r="E55" s="80">
        <f t="shared" ref="E55:BJ55" si="9">SUM(E51:E53)</f>
        <v>8698.9501284913476</v>
      </c>
      <c r="F55" s="80">
        <f t="shared" si="9"/>
        <v>7684.9458905102074</v>
      </c>
      <c r="G55" s="80">
        <f t="shared" si="9"/>
        <v>6613.3868485037201</v>
      </c>
      <c r="H55" s="80">
        <f t="shared" si="9"/>
        <v>5350.9394663643661</v>
      </c>
      <c r="I55" s="80">
        <f t="shared" si="9"/>
        <v>4329.4840947001121</v>
      </c>
      <c r="J55" s="80">
        <f t="shared" si="9"/>
        <v>3503.0171139269005</v>
      </c>
      <c r="K55" s="80">
        <f t="shared" si="9"/>
        <v>2834.3166603813861</v>
      </c>
      <c r="L55" s="80">
        <f t="shared" si="9"/>
        <v>2293.2662530757852</v>
      </c>
      <c r="M55" s="80">
        <f t="shared" si="9"/>
        <v>1855.4984278956997</v>
      </c>
      <c r="N55" s="80">
        <f t="shared" si="9"/>
        <v>1501.2972921507674</v>
      </c>
      <c r="O55" s="80">
        <f t="shared" si="9"/>
        <v>1214.7105734685761</v>
      </c>
      <c r="P55" s="80">
        <f t="shared" si="9"/>
        <v>982.83117208751901</v>
      </c>
      <c r="Q55" s="80">
        <f t="shared" si="9"/>
        <v>795.21585958427886</v>
      </c>
      <c r="R55" s="80">
        <f t="shared" si="9"/>
        <v>660.13922296707347</v>
      </c>
      <c r="S55" s="80">
        <f t="shared" si="9"/>
        <v>626.4821484227914</v>
      </c>
      <c r="T55" s="80">
        <f t="shared" si="9"/>
        <v>613.69151024651171</v>
      </c>
      <c r="U55" s="80">
        <f t="shared" si="9"/>
        <v>576.80796236292235</v>
      </c>
      <c r="V55" s="80">
        <f t="shared" si="9"/>
        <v>489.84373878016964</v>
      </c>
      <c r="W55" s="80">
        <f t="shared" si="9"/>
        <v>444.73697694014186</v>
      </c>
      <c r="X55" s="80">
        <f t="shared" si="9"/>
        <v>410.06617669268741</v>
      </c>
      <c r="Y55" s="80">
        <f t="shared" si="9"/>
        <v>389.1954131527865</v>
      </c>
      <c r="Z55" s="80">
        <f t="shared" si="9"/>
        <v>362.16227890647752</v>
      </c>
      <c r="AA55" s="80">
        <f t="shared" si="9"/>
        <v>355.94461262084928</v>
      </c>
      <c r="AB55" s="80">
        <f t="shared" si="9"/>
        <v>355.94461262084928</v>
      </c>
      <c r="AC55" s="80">
        <f t="shared" si="9"/>
        <v>355.94461262084928</v>
      </c>
      <c r="AD55" s="80">
        <f t="shared" si="9"/>
        <v>355.94461262084928</v>
      </c>
      <c r="AE55" s="80">
        <f t="shared" si="9"/>
        <v>355.94461262084928</v>
      </c>
      <c r="AF55" s="80">
        <f t="shared" si="9"/>
        <v>355.94461262084928</v>
      </c>
      <c r="AG55" s="80">
        <f t="shared" si="9"/>
        <v>355.94461262084928</v>
      </c>
      <c r="AH55" s="80">
        <f t="shared" si="9"/>
        <v>355.94461262084928</v>
      </c>
      <c r="AI55" s="80">
        <f t="shared" si="9"/>
        <v>355.94461262084928</v>
      </c>
      <c r="AJ55" s="80">
        <f t="shared" si="9"/>
        <v>355.94461262084928</v>
      </c>
      <c r="AK55" s="80">
        <f t="shared" si="9"/>
        <v>355.94461262084928</v>
      </c>
      <c r="AL55" s="80">
        <f t="shared" si="9"/>
        <v>355.94461262084928</v>
      </c>
      <c r="AM55" s="80">
        <f t="shared" si="9"/>
        <v>355.94461262084928</v>
      </c>
      <c r="AN55" s="80">
        <f t="shared" si="9"/>
        <v>355.94461262084928</v>
      </c>
      <c r="AO55" s="80">
        <f t="shared" si="9"/>
        <v>355.94461262084928</v>
      </c>
      <c r="AP55" s="80">
        <f t="shared" si="9"/>
        <v>355.94461262084928</v>
      </c>
      <c r="AQ55" s="80">
        <f t="shared" si="9"/>
        <v>355.94461262084928</v>
      </c>
      <c r="AR55" s="80">
        <f t="shared" si="9"/>
        <v>355.94461262084928</v>
      </c>
      <c r="AS55" s="80">
        <f t="shared" si="9"/>
        <v>355.94461262084928</v>
      </c>
      <c r="AT55" s="80">
        <f t="shared" si="9"/>
        <v>355.94461262084928</v>
      </c>
      <c r="AU55" s="80">
        <f t="shared" si="9"/>
        <v>355.94461262084928</v>
      </c>
      <c r="AV55" s="80">
        <f t="shared" si="9"/>
        <v>355.94461262084928</v>
      </c>
      <c r="AW55" s="80">
        <f t="shared" si="9"/>
        <v>355.94461262084928</v>
      </c>
      <c r="AX55" s="80">
        <f t="shared" si="9"/>
        <v>355.94461262084928</v>
      </c>
      <c r="AY55" s="80">
        <f t="shared" si="9"/>
        <v>355.94461262084928</v>
      </c>
      <c r="AZ55" s="80">
        <f t="shared" si="9"/>
        <v>355.94461262084928</v>
      </c>
      <c r="BA55" s="80">
        <f t="shared" si="9"/>
        <v>355.94461262084928</v>
      </c>
      <c r="BB55" s="80">
        <f t="shared" si="9"/>
        <v>355.94461262084928</v>
      </c>
      <c r="BC55" s="80">
        <f t="shared" si="9"/>
        <v>355.94461262084928</v>
      </c>
      <c r="BD55" s="80">
        <f t="shared" si="9"/>
        <v>355.94461262084928</v>
      </c>
      <c r="BE55" s="80">
        <f t="shared" si="9"/>
        <v>355.94461262084928</v>
      </c>
      <c r="BF55" s="80">
        <f t="shared" si="9"/>
        <v>355.94461262084928</v>
      </c>
      <c r="BG55" s="80">
        <f t="shared" si="9"/>
        <v>355.94461262084928</v>
      </c>
      <c r="BH55" s="80">
        <f t="shared" si="9"/>
        <v>355.94461262084928</v>
      </c>
      <c r="BI55" s="80">
        <f t="shared" si="9"/>
        <v>355.94461262084928</v>
      </c>
      <c r="BJ55" s="80">
        <f t="shared" si="9"/>
        <v>355.94461262084928</v>
      </c>
      <c r="BK55" s="80">
        <f t="shared" ref="BK55" si="10">SUM(BK51:BK53)</f>
        <v>355.94461262084928</v>
      </c>
    </row>
    <row r="56" spans="1:63" x14ac:dyDescent="0.2">
      <c r="B56" s="54" t="s">
        <v>337</v>
      </c>
      <c r="D56" s="175">
        <f>D57*1000</f>
        <v>77.493989165328358</v>
      </c>
      <c r="E56" s="175">
        <f t="shared" ref="E56:BK56" si="11">E57*1000</f>
        <v>69.79520441407864</v>
      </c>
      <c r="F56" s="175">
        <f t="shared" si="11"/>
        <v>61.659437221341591</v>
      </c>
      <c r="G56" s="175">
        <f t="shared" si="11"/>
        <v>53.061884496715521</v>
      </c>
      <c r="H56" s="175">
        <f t="shared" si="11"/>
        <v>42.932757211591515</v>
      </c>
      <c r="I56" s="175">
        <f t="shared" si="11"/>
        <v>34.737206551786834</v>
      </c>
      <c r="J56" s="175">
        <f t="shared" si="11"/>
        <v>28.106126822334851</v>
      </c>
      <c r="K56" s="175">
        <f t="shared" si="11"/>
        <v>22.74087191713279</v>
      </c>
      <c r="L56" s="175">
        <f t="shared" si="11"/>
        <v>18.399805096605558</v>
      </c>
      <c r="M56" s="175">
        <f t="shared" si="11"/>
        <v>14.887416314851533</v>
      </c>
      <c r="N56" s="175">
        <f t="shared" si="11"/>
        <v>12.04551696977461</v>
      </c>
      <c r="O56" s="175">
        <f t="shared" si="11"/>
        <v>9.7461155112847475</v>
      </c>
      <c r="P56" s="175">
        <f t="shared" si="11"/>
        <v>7.8856530440040133</v>
      </c>
      <c r="Q56" s="175">
        <f t="shared" si="11"/>
        <v>6.3803393114322544</v>
      </c>
      <c r="R56" s="175">
        <f t="shared" si="11"/>
        <v>5.2965646805850364</v>
      </c>
      <c r="S56" s="175">
        <f t="shared" si="11"/>
        <v>5.0265203231511286</v>
      </c>
      <c r="T56" s="175">
        <f t="shared" si="11"/>
        <v>4.9238958462989109</v>
      </c>
      <c r="U56" s="175">
        <f t="shared" si="11"/>
        <v>4.6279641848884054</v>
      </c>
      <c r="V56" s="175">
        <f t="shared" si="11"/>
        <v>3.9302149540024791</v>
      </c>
      <c r="W56" s="175">
        <f t="shared" si="11"/>
        <v>3.5683051124032499</v>
      </c>
      <c r="X56" s="175">
        <f t="shared" si="11"/>
        <v>3.2901272225743257</v>
      </c>
      <c r="Y56" s="175">
        <f t="shared" si="11"/>
        <v>3.1226726233377726</v>
      </c>
      <c r="Z56" s="175">
        <f t="shared" si="11"/>
        <v>2.9057748250052291</v>
      </c>
      <c r="AA56" s="175">
        <f t="shared" si="11"/>
        <v>2.8558879670541066</v>
      </c>
      <c r="AB56" s="175">
        <f t="shared" si="11"/>
        <v>2.8558879670541066</v>
      </c>
      <c r="AC56" s="175">
        <f t="shared" si="11"/>
        <v>2.8558879670541066</v>
      </c>
      <c r="AD56" s="175">
        <f t="shared" si="11"/>
        <v>2.8558879670541066</v>
      </c>
      <c r="AE56" s="175">
        <f t="shared" si="11"/>
        <v>2.8558879670541066</v>
      </c>
      <c r="AF56" s="175">
        <f t="shared" si="11"/>
        <v>2.8558879670541066</v>
      </c>
      <c r="AG56" s="175">
        <f t="shared" si="11"/>
        <v>2.8558879670541066</v>
      </c>
      <c r="AH56" s="175">
        <f t="shared" si="11"/>
        <v>2.8558879670541066</v>
      </c>
      <c r="AI56" s="175">
        <f t="shared" si="11"/>
        <v>2.8558879670541066</v>
      </c>
      <c r="AJ56" s="175">
        <f t="shared" si="11"/>
        <v>2.8558879670541066</v>
      </c>
      <c r="AK56" s="175">
        <f t="shared" si="11"/>
        <v>2.8558879670541066</v>
      </c>
      <c r="AL56" s="175">
        <f t="shared" si="11"/>
        <v>2.8558879670541066</v>
      </c>
      <c r="AM56" s="175">
        <f t="shared" si="11"/>
        <v>2.8558879670541066</v>
      </c>
      <c r="AN56" s="175">
        <f t="shared" si="11"/>
        <v>2.8558879670541066</v>
      </c>
      <c r="AO56" s="175">
        <f t="shared" si="11"/>
        <v>2.8558879670541066</v>
      </c>
      <c r="AP56" s="175">
        <f t="shared" si="11"/>
        <v>2.8558879670541066</v>
      </c>
      <c r="AQ56" s="175">
        <f t="shared" si="11"/>
        <v>2.8558879670541066</v>
      </c>
      <c r="AR56" s="175">
        <f t="shared" si="11"/>
        <v>2.8558879670541066</v>
      </c>
      <c r="AS56" s="175">
        <f t="shared" si="11"/>
        <v>2.8558879670541066</v>
      </c>
      <c r="AT56" s="175">
        <f t="shared" si="11"/>
        <v>2.8558879670541066</v>
      </c>
      <c r="AU56" s="175">
        <f t="shared" si="11"/>
        <v>2.8558879670541066</v>
      </c>
      <c r="AV56" s="175">
        <f t="shared" si="11"/>
        <v>2.8558879670541066</v>
      </c>
      <c r="AW56" s="175">
        <f t="shared" si="11"/>
        <v>2.8558879670541066</v>
      </c>
      <c r="AX56" s="175">
        <f t="shared" si="11"/>
        <v>2.8558879670541066</v>
      </c>
      <c r="AY56" s="175">
        <f t="shared" si="11"/>
        <v>2.8558879670541066</v>
      </c>
      <c r="AZ56" s="175">
        <f t="shared" si="11"/>
        <v>2.8558879670541066</v>
      </c>
      <c r="BA56" s="175">
        <f t="shared" si="11"/>
        <v>2.8558879670541066</v>
      </c>
      <c r="BB56" s="175">
        <f t="shared" si="11"/>
        <v>2.8558879670541066</v>
      </c>
      <c r="BC56" s="175">
        <f t="shared" si="11"/>
        <v>2.8558879670541066</v>
      </c>
      <c r="BD56" s="175">
        <f t="shared" si="11"/>
        <v>2.8558879670541066</v>
      </c>
      <c r="BE56" s="175">
        <f t="shared" si="11"/>
        <v>2.8558879670541066</v>
      </c>
      <c r="BF56" s="175">
        <f t="shared" si="11"/>
        <v>2.8558879670541066</v>
      </c>
      <c r="BG56" s="175">
        <f t="shared" si="11"/>
        <v>2.8558879670541066</v>
      </c>
      <c r="BH56" s="175">
        <f t="shared" si="11"/>
        <v>2.8558879670541066</v>
      </c>
      <c r="BI56" s="175">
        <f t="shared" si="11"/>
        <v>2.8558879670541066</v>
      </c>
      <c r="BJ56" s="175">
        <f t="shared" si="11"/>
        <v>2.8558879670541066</v>
      </c>
      <c r="BK56" s="175">
        <f t="shared" si="11"/>
        <v>2.8558879670541066</v>
      </c>
    </row>
    <row r="57" spans="1:63" x14ac:dyDescent="0.2">
      <c r="B57" s="54" t="s">
        <v>338</v>
      </c>
      <c r="D57" s="175">
        <f>D55*1000/'Financial Analysis'!E31</f>
        <v>7.7493989165328361E-2</v>
      </c>
      <c r="E57" s="175">
        <f>E55*1000/'Financial Analysis'!F31</f>
        <v>6.9795204414078646E-2</v>
      </c>
      <c r="F57" s="175">
        <f>F55*1000/'Financial Analysis'!G31</f>
        <v>6.1659437221341588E-2</v>
      </c>
      <c r="G57" s="175">
        <f>G55*1000/'Financial Analysis'!H31</f>
        <v>5.306188449671552E-2</v>
      </c>
      <c r="H57" s="175">
        <f>H55*1000/'Financial Analysis'!I31</f>
        <v>4.2932757211591517E-2</v>
      </c>
      <c r="I57" s="175">
        <f>I55*1000/'Financial Analysis'!J31</f>
        <v>3.4737206551786831E-2</v>
      </c>
      <c r="J57" s="175">
        <f>J55*1000/'Financial Analysis'!K31</f>
        <v>2.8106126822334852E-2</v>
      </c>
      <c r="K57" s="175">
        <f>K55*1000/'Financial Analysis'!L31</f>
        <v>2.2740871917132789E-2</v>
      </c>
      <c r="L57" s="175">
        <f>L55*1000/'Financial Analysis'!M31</f>
        <v>1.8399805096605559E-2</v>
      </c>
      <c r="M57" s="175">
        <f>M55*1000/'Financial Analysis'!N31</f>
        <v>1.4887416314851533E-2</v>
      </c>
      <c r="N57" s="175">
        <f>N55*1000/'Financial Analysis'!O31</f>
        <v>1.204551696977461E-2</v>
      </c>
      <c r="O57" s="175">
        <f>O55*1000/'Financial Analysis'!P31</f>
        <v>9.7461155112847468E-3</v>
      </c>
      <c r="P57" s="175">
        <f>P55*1000/'Financial Analysis'!Q31</f>
        <v>7.8856530440040134E-3</v>
      </c>
      <c r="Q57" s="175">
        <f>Q55*1000/'Financial Analysis'!R31</f>
        <v>6.3803393114322546E-3</v>
      </c>
      <c r="R57" s="175">
        <f>R55*1000/'Financial Analysis'!S31</f>
        <v>5.2965646805850364E-3</v>
      </c>
      <c r="S57" s="175">
        <f>S55*1000/'Financial Analysis'!T31</f>
        <v>5.0265203231511287E-3</v>
      </c>
      <c r="T57" s="175">
        <f>T55*1000/'Financial Analysis'!U31</f>
        <v>4.9238958462989105E-3</v>
      </c>
      <c r="U57" s="175">
        <f>U55*1000/'Financial Analysis'!V31</f>
        <v>4.6279641848884058E-3</v>
      </c>
      <c r="V57" s="175">
        <f>V55*1000/'Financial Analysis'!W31</f>
        <v>3.930214954002479E-3</v>
      </c>
      <c r="W57" s="175">
        <f>W55*1000/'Financial Analysis'!X31</f>
        <v>3.5683051124032498E-3</v>
      </c>
      <c r="X57" s="175">
        <f>X55*1000/'Financial Analysis'!Y31</f>
        <v>3.2901272225743256E-3</v>
      </c>
      <c r="Y57" s="175">
        <f>Y55*1000/'Financial Analysis'!Z31</f>
        <v>3.1226726233377724E-3</v>
      </c>
      <c r="Z57" s="175">
        <f>Z55*1000/'Financial Analysis'!AA31</f>
        <v>2.9057748250052289E-3</v>
      </c>
      <c r="AA57" s="175">
        <f>AA55*1000/'Financial Analysis'!AB31</f>
        <v>2.8558879670541066E-3</v>
      </c>
      <c r="AB57" s="175">
        <f>AB55*1000/'Financial Analysis'!AC31</f>
        <v>2.8558879670541066E-3</v>
      </c>
      <c r="AC57" s="175">
        <f>AC55*1000/'Financial Analysis'!AD31</f>
        <v>2.8558879670541066E-3</v>
      </c>
      <c r="AD57" s="175">
        <f>AD55*1000/'Financial Analysis'!AE31</f>
        <v>2.8558879670541066E-3</v>
      </c>
      <c r="AE57" s="175">
        <f>AE55*1000/'Financial Analysis'!AF31</f>
        <v>2.8558879670541066E-3</v>
      </c>
      <c r="AF57" s="175">
        <f>AF55*1000/'Financial Analysis'!AG31</f>
        <v>2.8558879670541066E-3</v>
      </c>
      <c r="AG57" s="175">
        <f>AG55*1000/'Financial Analysis'!AH31</f>
        <v>2.8558879670541066E-3</v>
      </c>
      <c r="AH57" s="175">
        <f>AH55*1000/'Financial Analysis'!AI31</f>
        <v>2.8558879670541066E-3</v>
      </c>
      <c r="AI57" s="175">
        <f>AI55*1000/'Financial Analysis'!AJ31</f>
        <v>2.8558879670541066E-3</v>
      </c>
      <c r="AJ57" s="175">
        <f>AJ55*1000/'Financial Analysis'!AK31</f>
        <v>2.8558879670541066E-3</v>
      </c>
      <c r="AK57" s="175">
        <f>AK55*1000/'Financial Analysis'!AL31</f>
        <v>2.8558879670541066E-3</v>
      </c>
      <c r="AL57" s="175">
        <f>AL55*1000/'Financial Analysis'!AM31</f>
        <v>2.8558879670541066E-3</v>
      </c>
      <c r="AM57" s="175">
        <f>AM55*1000/'Financial Analysis'!AN31</f>
        <v>2.8558879670541066E-3</v>
      </c>
      <c r="AN57" s="175">
        <f>AN55*1000/'Financial Analysis'!AO31</f>
        <v>2.8558879670541066E-3</v>
      </c>
      <c r="AO57" s="175">
        <f>AO55*1000/'Financial Analysis'!AP31</f>
        <v>2.8558879670541066E-3</v>
      </c>
      <c r="AP57" s="175">
        <f>AP55*1000/'Financial Analysis'!AQ31</f>
        <v>2.8558879670541066E-3</v>
      </c>
      <c r="AQ57" s="175">
        <f>AQ55*1000/'Financial Analysis'!AR31</f>
        <v>2.8558879670541066E-3</v>
      </c>
      <c r="AR57" s="175">
        <f>AR55*1000/'Financial Analysis'!AS31</f>
        <v>2.8558879670541066E-3</v>
      </c>
      <c r="AS57" s="175">
        <f>AS55*1000/'Financial Analysis'!AT31</f>
        <v>2.8558879670541066E-3</v>
      </c>
      <c r="AT57" s="175">
        <f>AT55*1000/'Financial Analysis'!AU31</f>
        <v>2.8558879670541066E-3</v>
      </c>
      <c r="AU57" s="175">
        <f>AU55*1000/'Financial Analysis'!AV31</f>
        <v>2.8558879670541066E-3</v>
      </c>
      <c r="AV57" s="175">
        <f>AV55*1000/'Financial Analysis'!AW31</f>
        <v>2.8558879670541066E-3</v>
      </c>
      <c r="AW57" s="175">
        <f>AW55*1000/'Financial Analysis'!AX31</f>
        <v>2.8558879670541066E-3</v>
      </c>
      <c r="AX57" s="175">
        <f>AX55*1000/'Financial Analysis'!AY31</f>
        <v>2.8558879670541066E-3</v>
      </c>
      <c r="AY57" s="175">
        <f>AY55*1000/'Financial Analysis'!AZ31</f>
        <v>2.8558879670541066E-3</v>
      </c>
      <c r="AZ57" s="175">
        <f>AZ55*1000/'Financial Analysis'!BA31</f>
        <v>2.8558879670541066E-3</v>
      </c>
      <c r="BA57" s="175">
        <f>BA55*1000/'Financial Analysis'!BB31</f>
        <v>2.8558879670541066E-3</v>
      </c>
      <c r="BB57" s="175">
        <f>BB55*1000/'Financial Analysis'!BC31</f>
        <v>2.8558879670541066E-3</v>
      </c>
      <c r="BC57" s="175">
        <f>BC55*1000/'Financial Analysis'!BD31</f>
        <v>2.8558879670541066E-3</v>
      </c>
      <c r="BD57" s="175">
        <f>BD55*1000/'Financial Analysis'!BE31</f>
        <v>2.8558879670541066E-3</v>
      </c>
      <c r="BE57" s="175">
        <f>BE55*1000/'Financial Analysis'!BF31</f>
        <v>2.8558879670541066E-3</v>
      </c>
      <c r="BF57" s="175">
        <f>BF55*1000/'Financial Analysis'!BG31</f>
        <v>2.8558879670541066E-3</v>
      </c>
      <c r="BG57" s="175">
        <f>BG55*1000/'Financial Analysis'!BH31</f>
        <v>2.8558879670541066E-3</v>
      </c>
      <c r="BH57" s="175">
        <f>BH55*1000/'Financial Analysis'!BI31</f>
        <v>2.8558879670541066E-3</v>
      </c>
      <c r="BI57" s="175">
        <f>BI55*1000/'Financial Analysis'!BJ31</f>
        <v>2.8558879670541066E-3</v>
      </c>
      <c r="BJ57" s="175">
        <f>BJ55*1000/'Financial Analysis'!BK31</f>
        <v>2.8558879670541066E-3</v>
      </c>
      <c r="BK57" s="175">
        <f>BK55*1000/'Financial Analysis'!BL31</f>
        <v>2.8558879670541066E-3</v>
      </c>
    </row>
    <row r="58" spans="1:63" x14ac:dyDescent="0.2">
      <c r="B58" s="54"/>
      <c r="D58" s="175"/>
      <c r="E58" s="175"/>
      <c r="F58" s="175"/>
      <c r="G58" s="175"/>
      <c r="H58" s="175"/>
      <c r="I58" s="17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row>
    <row r="59" spans="1:63" x14ac:dyDescent="0.2">
      <c r="B59" s="54" t="s">
        <v>339</v>
      </c>
      <c r="C59" s="80">
        <f>SUM(D55:W55)</f>
        <v>60728.052245302162</v>
      </c>
      <c r="D59" s="175"/>
      <c r="E59" s="175"/>
      <c r="F59" s="175"/>
      <c r="G59" s="175"/>
      <c r="H59" s="175"/>
      <c r="I59" s="17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row>
    <row r="60" spans="1:63" x14ac:dyDescent="0.2">
      <c r="B60" s="54" t="s">
        <v>341</v>
      </c>
      <c r="C60" s="80">
        <f>SUM(D55:AG55)</f>
        <v>64381.088402400062</v>
      </c>
      <c r="D60" s="175"/>
      <c r="E60" s="175"/>
      <c r="F60" s="175"/>
      <c r="G60" s="175"/>
      <c r="H60" s="175"/>
      <c r="I60" s="17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row>
    <row r="61" spans="1:63" x14ac:dyDescent="0.2">
      <c r="B61" s="54" t="s">
        <v>343</v>
      </c>
      <c r="C61" s="80">
        <f>SUM(D55:AQ55)</f>
        <v>67940.53452860855</v>
      </c>
      <c r="D61" s="175"/>
      <c r="E61" s="175"/>
      <c r="F61" s="175"/>
      <c r="G61" s="175"/>
      <c r="H61" s="175"/>
      <c r="I61" s="17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row>
    <row r="64" spans="1:63" x14ac:dyDescent="0.2">
      <c r="A64" s="33"/>
      <c r="B64" s="33" t="s">
        <v>239</v>
      </c>
      <c r="C64" s="33"/>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2353F-E7A0-44DD-92C1-9F75C3459BA2}">
  <sheetPr>
    <tabColor theme="9" tint="0.79998168889431442"/>
  </sheetPr>
  <dimension ref="A2:AD64"/>
  <sheetViews>
    <sheetView workbookViewId="0">
      <selection activeCell="D14" sqref="D14"/>
    </sheetView>
  </sheetViews>
  <sheetFormatPr defaultColWidth="9.140625" defaultRowHeight="12.75" x14ac:dyDescent="0.2"/>
  <cols>
    <col min="1" max="1" width="2.85546875" style="11" customWidth="1"/>
    <col min="2" max="2" width="29.5703125" style="11" customWidth="1"/>
    <col min="3" max="3" width="16.5703125" style="11" customWidth="1"/>
    <col min="4" max="16384" width="9.140625" style="11"/>
  </cols>
  <sheetData>
    <row r="2" spans="1:24" x14ac:dyDescent="0.2">
      <c r="A2" s="10">
        <v>1</v>
      </c>
      <c r="B2" s="10" t="s">
        <v>351</v>
      </c>
      <c r="C2" s="10"/>
      <c r="D2" s="10"/>
      <c r="E2" s="10"/>
      <c r="F2" s="10"/>
      <c r="G2" s="10"/>
      <c r="H2" s="10"/>
      <c r="I2" s="10"/>
      <c r="J2" s="10"/>
      <c r="K2" s="10"/>
      <c r="L2" s="10"/>
      <c r="M2" s="10"/>
      <c r="N2" s="10"/>
      <c r="O2" s="10"/>
      <c r="P2" s="10"/>
      <c r="Q2" s="10"/>
      <c r="R2" s="10"/>
      <c r="S2" s="10"/>
      <c r="T2" s="10"/>
      <c r="U2" s="10"/>
      <c r="V2" s="10"/>
    </row>
    <row r="3" spans="1:24" x14ac:dyDescent="0.2">
      <c r="B3" s="12"/>
      <c r="C3" s="12"/>
    </row>
    <row r="4" spans="1:24" x14ac:dyDescent="0.2">
      <c r="B4" s="13" t="s">
        <v>352</v>
      </c>
      <c r="C4" s="14"/>
      <c r="D4" s="15">
        <v>2024</v>
      </c>
    </row>
    <row r="5" spans="1:24" x14ac:dyDescent="0.2">
      <c r="B5" s="12"/>
      <c r="C5" s="12"/>
    </row>
    <row r="6" spans="1:24" x14ac:dyDescent="0.2">
      <c r="B6" s="102"/>
      <c r="C6" s="16"/>
      <c r="D6" s="17">
        <v>2022</v>
      </c>
      <c r="E6" s="17">
        <v>2023</v>
      </c>
      <c r="F6" s="17">
        <v>2024</v>
      </c>
      <c r="G6" s="17">
        <v>2025</v>
      </c>
      <c r="H6" s="17">
        <v>2026</v>
      </c>
      <c r="I6" s="17">
        <v>2027</v>
      </c>
      <c r="J6" s="17">
        <v>2028</v>
      </c>
      <c r="K6" s="17">
        <v>2029</v>
      </c>
      <c r="L6" s="17">
        <v>2030</v>
      </c>
      <c r="M6" s="17">
        <v>2031</v>
      </c>
      <c r="N6" s="17">
        <v>2032</v>
      </c>
      <c r="O6" s="17">
        <v>2033</v>
      </c>
      <c r="P6" s="17">
        <v>2034</v>
      </c>
      <c r="Q6" s="17">
        <v>2035</v>
      </c>
      <c r="R6" s="17">
        <v>2036</v>
      </c>
      <c r="S6" s="17">
        <v>2037</v>
      </c>
      <c r="T6" s="17">
        <v>2038</v>
      </c>
      <c r="U6" s="17">
        <v>2039</v>
      </c>
      <c r="V6" s="17">
        <v>2040</v>
      </c>
      <c r="W6" s="17">
        <v>2041</v>
      </c>
      <c r="X6" s="103">
        <v>2042</v>
      </c>
    </row>
    <row r="7" spans="1:24" x14ac:dyDescent="0.2">
      <c r="B7" s="104"/>
      <c r="C7" s="18"/>
      <c r="D7" s="19"/>
      <c r="E7" s="19"/>
      <c r="F7" s="19"/>
      <c r="G7" s="19"/>
      <c r="H7" s="19"/>
      <c r="I7" s="19"/>
      <c r="J7" s="19"/>
      <c r="K7" s="19"/>
      <c r="L7" s="19"/>
      <c r="M7" s="19"/>
      <c r="N7" s="19"/>
      <c r="O7" s="19"/>
      <c r="P7" s="19"/>
      <c r="Q7" s="19"/>
      <c r="R7" s="19"/>
      <c r="S7" s="19"/>
      <c r="T7" s="19"/>
      <c r="U7" s="19"/>
      <c r="V7" s="19"/>
      <c r="W7" s="19"/>
      <c r="X7" s="105"/>
    </row>
    <row r="8" spans="1:24" x14ac:dyDescent="0.2">
      <c r="B8" s="106"/>
      <c r="C8" s="20"/>
      <c r="D8" s="21"/>
      <c r="E8" s="21"/>
      <c r="F8" s="21"/>
      <c r="G8" s="21"/>
      <c r="H8" s="21"/>
      <c r="I8" s="21"/>
      <c r="J8" s="21"/>
      <c r="K8" s="21"/>
      <c r="L8" s="21"/>
      <c r="M8" s="21"/>
      <c r="N8" s="21"/>
      <c r="O8" s="21"/>
      <c r="P8" s="21"/>
      <c r="Q8" s="21"/>
      <c r="R8" s="19"/>
      <c r="S8" s="19"/>
      <c r="T8" s="19"/>
      <c r="U8" s="19"/>
      <c r="V8" s="19"/>
      <c r="W8" s="19"/>
      <c r="X8" s="105"/>
    </row>
    <row r="9" spans="1:24" x14ac:dyDescent="0.2">
      <c r="B9" s="107"/>
      <c r="C9" s="22"/>
      <c r="D9" s="23">
        <f t="shared" ref="D9:X9" si="0">IF(D6&gt;=$D$4,1,0)</f>
        <v>0</v>
      </c>
      <c r="E9" s="23">
        <f t="shared" si="0"/>
        <v>0</v>
      </c>
      <c r="F9" s="23">
        <f t="shared" si="0"/>
        <v>1</v>
      </c>
      <c r="G9" s="23">
        <f t="shared" si="0"/>
        <v>1</v>
      </c>
      <c r="H9" s="23">
        <f t="shared" si="0"/>
        <v>1</v>
      </c>
      <c r="I9" s="23">
        <f t="shared" si="0"/>
        <v>1</v>
      </c>
      <c r="J9" s="23">
        <f t="shared" si="0"/>
        <v>1</v>
      </c>
      <c r="K9" s="23">
        <f t="shared" si="0"/>
        <v>1</v>
      </c>
      <c r="L9" s="23">
        <f t="shared" si="0"/>
        <v>1</v>
      </c>
      <c r="M9" s="23">
        <f t="shared" si="0"/>
        <v>1</v>
      </c>
      <c r="N9" s="23">
        <f t="shared" si="0"/>
        <v>1</v>
      </c>
      <c r="O9" s="23">
        <f t="shared" si="0"/>
        <v>1</v>
      </c>
      <c r="P9" s="23">
        <f t="shared" si="0"/>
        <v>1</v>
      </c>
      <c r="Q9" s="23">
        <f t="shared" si="0"/>
        <v>1</v>
      </c>
      <c r="R9" s="23">
        <f t="shared" si="0"/>
        <v>1</v>
      </c>
      <c r="S9" s="23">
        <f t="shared" si="0"/>
        <v>1</v>
      </c>
      <c r="T9" s="23">
        <f t="shared" si="0"/>
        <v>1</v>
      </c>
      <c r="U9" s="23">
        <f t="shared" si="0"/>
        <v>1</v>
      </c>
      <c r="V9" s="23">
        <f t="shared" si="0"/>
        <v>1</v>
      </c>
      <c r="W9" s="23">
        <f t="shared" si="0"/>
        <v>1</v>
      </c>
      <c r="X9" s="108">
        <f t="shared" si="0"/>
        <v>1</v>
      </c>
    </row>
    <row r="10" spans="1:24" x14ac:dyDescent="0.2">
      <c r="B10" s="107"/>
      <c r="C10" s="22"/>
      <c r="D10" s="23"/>
      <c r="E10" s="23"/>
      <c r="F10" s="23"/>
      <c r="G10" s="23"/>
      <c r="H10" s="23"/>
      <c r="I10" s="23"/>
      <c r="J10" s="23"/>
      <c r="K10" s="23"/>
      <c r="L10" s="23"/>
      <c r="M10" s="23"/>
      <c r="N10" s="23"/>
      <c r="O10" s="23"/>
      <c r="P10" s="23"/>
      <c r="Q10" s="23"/>
      <c r="R10" s="19"/>
      <c r="S10" s="19"/>
      <c r="T10" s="19"/>
      <c r="U10" s="19"/>
      <c r="V10" s="19"/>
      <c r="W10" s="19"/>
      <c r="X10" s="105"/>
    </row>
    <row r="11" spans="1:24" x14ac:dyDescent="0.2">
      <c r="B11" s="107"/>
      <c r="C11" s="22"/>
      <c r="D11" s="23"/>
      <c r="E11" s="23"/>
      <c r="F11" s="23"/>
      <c r="G11" s="23"/>
      <c r="H11" s="23"/>
      <c r="I11" s="23"/>
      <c r="J11" s="23"/>
      <c r="K11" s="23"/>
      <c r="L11" s="23"/>
      <c r="M11" s="23"/>
      <c r="N11" s="23"/>
      <c r="O11" s="23"/>
      <c r="P11" s="23"/>
      <c r="Q11" s="23"/>
      <c r="R11" s="19"/>
      <c r="S11" s="19"/>
      <c r="T11" s="19"/>
      <c r="U11" s="19"/>
      <c r="V11" s="19"/>
      <c r="W11" s="19"/>
      <c r="X11" s="105"/>
    </row>
    <row r="12" spans="1:24" x14ac:dyDescent="0.2">
      <c r="B12" s="109"/>
      <c r="C12" s="21"/>
      <c r="D12" s="19"/>
      <c r="E12" s="19"/>
      <c r="F12" s="19"/>
      <c r="G12" s="19"/>
      <c r="H12" s="19"/>
      <c r="I12" s="19"/>
      <c r="J12" s="19"/>
      <c r="K12" s="19"/>
      <c r="L12" s="19"/>
      <c r="M12" s="19"/>
      <c r="N12" s="19"/>
      <c r="O12" s="19"/>
      <c r="P12" s="19"/>
      <c r="Q12" s="19"/>
      <c r="R12" s="19"/>
      <c r="S12" s="19"/>
      <c r="T12" s="19"/>
      <c r="U12" s="19"/>
      <c r="V12" s="19"/>
      <c r="W12" s="19"/>
      <c r="X12" s="105"/>
    </row>
    <row r="13" spans="1:24" x14ac:dyDescent="0.2">
      <c r="B13" s="106" t="s">
        <v>353</v>
      </c>
      <c r="C13" s="20"/>
      <c r="D13" s="21"/>
      <c r="E13" s="21"/>
      <c r="F13" s="21"/>
      <c r="G13" s="21"/>
      <c r="H13" s="21"/>
      <c r="I13" s="21"/>
      <c r="J13" s="21"/>
      <c r="K13" s="21"/>
      <c r="L13" s="21"/>
      <c r="M13" s="21"/>
      <c r="N13" s="21"/>
      <c r="O13" s="21"/>
      <c r="P13" s="21"/>
      <c r="Q13" s="21"/>
      <c r="R13" s="19"/>
      <c r="S13" s="19"/>
      <c r="T13" s="19"/>
      <c r="U13" s="19"/>
      <c r="V13" s="19"/>
      <c r="W13" s="19"/>
      <c r="X13" s="105"/>
    </row>
    <row r="14" spans="1:24" x14ac:dyDescent="0.2">
      <c r="B14" s="110" t="s">
        <v>354</v>
      </c>
      <c r="C14" s="25" t="s">
        <v>355</v>
      </c>
      <c r="D14" s="21"/>
      <c r="E14" s="21"/>
      <c r="F14" s="21"/>
      <c r="G14" s="21"/>
      <c r="H14" s="21"/>
      <c r="I14" s="21"/>
      <c r="J14" s="21"/>
      <c r="K14" s="21"/>
      <c r="L14" s="21"/>
      <c r="M14" s="21"/>
      <c r="N14" s="21"/>
      <c r="O14" s="21"/>
      <c r="P14" s="21"/>
      <c r="Q14" s="21"/>
      <c r="R14" s="19"/>
      <c r="S14" s="19"/>
      <c r="T14" s="19"/>
      <c r="U14" s="19"/>
      <c r="V14" s="19"/>
      <c r="W14" s="19"/>
      <c r="X14" s="105"/>
    </row>
    <row r="15" spans="1:24" x14ac:dyDescent="0.2">
      <c r="B15" s="111" t="s">
        <v>269</v>
      </c>
      <c r="C15" s="27">
        <f>_xlfn.XLOOKUP($D$4,$D$6:$X$6,D15:X15,NA(),0)</f>
        <v>2.5770644828338236</v>
      </c>
      <c r="D15" s="28">
        <v>2.3907262850083861</v>
      </c>
      <c r="E15" s="28">
        <v>2.4826581393326599</v>
      </c>
      <c r="F15" s="28">
        <v>2.5770644828338236</v>
      </c>
      <c r="G15" s="28">
        <v>2.6701959928358878</v>
      </c>
      <c r="H15" s="28">
        <v>2.7170681493778597</v>
      </c>
      <c r="I15" s="28">
        <v>2.8030665197111828</v>
      </c>
      <c r="J15" s="28">
        <v>2.846685904003015</v>
      </c>
      <c r="K15" s="28">
        <v>2.8902130837142268</v>
      </c>
      <c r="L15" s="28">
        <v>2.932981734871603</v>
      </c>
      <c r="M15" s="28">
        <v>2.9758250956496153</v>
      </c>
      <c r="N15" s="28">
        <v>3.0187105958483036</v>
      </c>
      <c r="O15" s="28">
        <v>3.0615826701530811</v>
      </c>
      <c r="P15" s="28">
        <v>3.1044643371440777</v>
      </c>
      <c r="Q15" s="28">
        <v>3.1473558735173861</v>
      </c>
      <c r="R15" s="28">
        <v>3.1465179328539175</v>
      </c>
      <c r="S15" s="28">
        <v>3.1456652061535872</v>
      </c>
      <c r="T15" s="28">
        <v>3.1448341543333154</v>
      </c>
      <c r="U15" s="28">
        <v>3.1440452271663393</v>
      </c>
      <c r="V15" s="28">
        <v>3.1432720836885251</v>
      </c>
      <c r="W15" s="28">
        <f>V15</f>
        <v>3.1432720836885251</v>
      </c>
      <c r="X15" s="112">
        <f>W15</f>
        <v>3.1432720836885251</v>
      </c>
    </row>
    <row r="16" spans="1:24" x14ac:dyDescent="0.2">
      <c r="B16" s="111" t="s">
        <v>270</v>
      </c>
      <c r="C16" s="27">
        <f>_xlfn.XLOOKUP($D$4,$D$6:$X$6,D16:X16,NA(),0)</f>
        <v>4.5935853828101223</v>
      </c>
      <c r="D16" s="28">
        <v>4.5121059675819559</v>
      </c>
      <c r="E16" s="28">
        <v>4.5518677850106268</v>
      </c>
      <c r="F16" s="28">
        <v>4.5935853828101223</v>
      </c>
      <c r="G16" s="28">
        <v>4.6299159400037793</v>
      </c>
      <c r="H16" s="28">
        <v>4.6570876123001765</v>
      </c>
      <c r="I16" s="28">
        <v>4.6915183395176072</v>
      </c>
      <c r="J16" s="28">
        <v>4.7297353492679246</v>
      </c>
      <c r="K16" s="28">
        <v>4.7494395682245383</v>
      </c>
      <c r="L16" s="28">
        <v>4.7705587317759273</v>
      </c>
      <c r="M16" s="28">
        <v>4.7904819512560639</v>
      </c>
      <c r="N16" s="28">
        <v>4.8152143257939697</v>
      </c>
      <c r="O16" s="28">
        <v>4.8338583975800482</v>
      </c>
      <c r="P16" s="28">
        <v>4.8581264353060432</v>
      </c>
      <c r="Q16" s="28">
        <v>4.8870081295602947</v>
      </c>
      <c r="R16" s="28">
        <v>4.9208480740540042</v>
      </c>
      <c r="S16" s="28">
        <v>4.9163549390110735</v>
      </c>
      <c r="T16" s="28">
        <v>4.9117223912997092</v>
      </c>
      <c r="U16" s="28">
        <v>4.9071699169071499</v>
      </c>
      <c r="V16" s="28">
        <v>4.9026056007314107</v>
      </c>
      <c r="W16" s="28">
        <f t="shared" ref="W16:X44" si="1">V16</f>
        <v>4.9026056007314107</v>
      </c>
      <c r="X16" s="112">
        <f t="shared" si="1"/>
        <v>4.9026056007314107</v>
      </c>
    </row>
    <row r="17" spans="2:24" x14ac:dyDescent="0.2">
      <c r="B17" s="111" t="s">
        <v>356</v>
      </c>
      <c r="C17" s="27">
        <f>_xlfn.XLOOKUP($D$4,$D$6:$X$6,D17:X17,NA(),0)</f>
        <v>3.3775896623627961</v>
      </c>
      <c r="D17" s="28">
        <v>3.0954251360519347</v>
      </c>
      <c r="E17" s="28">
        <v>3.2349671506675346</v>
      </c>
      <c r="F17" s="28">
        <v>3.3775896623627961</v>
      </c>
      <c r="G17" s="28">
        <v>3.5171158535082947</v>
      </c>
      <c r="H17" s="28">
        <v>3.5686422090665562</v>
      </c>
      <c r="I17" s="28">
        <v>3.6583552499008367</v>
      </c>
      <c r="J17" s="28">
        <v>3.7058355468038546</v>
      </c>
      <c r="K17" s="28">
        <v>3.7544934108624912</v>
      </c>
      <c r="L17" s="28">
        <v>3.8001550347603543</v>
      </c>
      <c r="M17" s="28">
        <v>3.8459653724993617</v>
      </c>
      <c r="N17" s="28">
        <v>3.8918381515541864</v>
      </c>
      <c r="O17" s="28">
        <v>3.9377179455283859</v>
      </c>
      <c r="P17" s="28">
        <v>3.9836279128708054</v>
      </c>
      <c r="Q17" s="28">
        <v>4.0295684711033166</v>
      </c>
      <c r="R17" s="28">
        <v>4.0287305304398497</v>
      </c>
      <c r="S17" s="28">
        <v>4.0278778037395186</v>
      </c>
      <c r="T17" s="28">
        <v>4.0270467519192454</v>
      </c>
      <c r="U17" s="28">
        <v>4.0262578247522702</v>
      </c>
      <c r="V17" s="28">
        <v>4.025484681274456</v>
      </c>
      <c r="W17" s="28">
        <f t="shared" si="1"/>
        <v>4.025484681274456</v>
      </c>
      <c r="X17" s="112">
        <f t="shared" si="1"/>
        <v>4.025484681274456</v>
      </c>
    </row>
    <row r="18" spans="2:24" x14ac:dyDescent="0.2">
      <c r="B18" s="111"/>
      <c r="C18" s="27"/>
      <c r="D18" s="19"/>
      <c r="E18" s="19"/>
      <c r="F18" s="19"/>
      <c r="G18" s="19"/>
      <c r="H18" s="19"/>
      <c r="I18" s="19"/>
      <c r="J18" s="19"/>
      <c r="K18" s="19"/>
      <c r="L18" s="19"/>
      <c r="M18" s="19"/>
      <c r="N18" s="19"/>
      <c r="O18" s="19"/>
      <c r="P18" s="19"/>
      <c r="Q18" s="19"/>
      <c r="R18" s="19"/>
      <c r="S18" s="19"/>
      <c r="T18" s="19"/>
      <c r="U18" s="19"/>
      <c r="V18" s="19"/>
      <c r="W18" s="29"/>
      <c r="X18" s="113"/>
    </row>
    <row r="19" spans="2:24" x14ac:dyDescent="0.2">
      <c r="B19" s="110" t="s">
        <v>357</v>
      </c>
      <c r="C19" s="27"/>
      <c r="D19" s="19"/>
      <c r="E19" s="19"/>
      <c r="F19" s="19"/>
      <c r="G19" s="19"/>
      <c r="H19" s="19"/>
      <c r="I19" s="19"/>
      <c r="J19" s="19"/>
      <c r="K19" s="19"/>
      <c r="L19" s="19"/>
      <c r="M19" s="19"/>
      <c r="N19" s="19"/>
      <c r="O19" s="19"/>
      <c r="P19" s="19"/>
      <c r="Q19" s="19"/>
      <c r="R19" s="19"/>
      <c r="S19" s="19"/>
      <c r="T19" s="19"/>
      <c r="U19" s="19"/>
      <c r="V19" s="19"/>
      <c r="W19" s="29"/>
      <c r="X19" s="113"/>
    </row>
    <row r="20" spans="2:24" x14ac:dyDescent="0.2">
      <c r="B20" s="111" t="s">
        <v>269</v>
      </c>
      <c r="C20" s="27">
        <f>_xlfn.XLOOKUP($D$4,$D$6:$X$6,D20:X20,NA(),0)</f>
        <v>12.69381724105879</v>
      </c>
      <c r="D20" s="30">
        <v>13.019140391342299</v>
      </c>
      <c r="E20" s="30">
        <v>12.669866107464021</v>
      </c>
      <c r="F20" s="30">
        <v>12.69381724105879</v>
      </c>
      <c r="G20" s="30">
        <v>12.806687267670366</v>
      </c>
      <c r="H20" s="30">
        <v>12.859963758920717</v>
      </c>
      <c r="I20" s="30">
        <v>12.777534528737478</v>
      </c>
      <c r="J20" s="30">
        <v>12.469702939970285</v>
      </c>
      <c r="K20" s="30">
        <v>12.336515744907485</v>
      </c>
      <c r="L20" s="30">
        <v>12.444023633621345</v>
      </c>
      <c r="M20" s="30">
        <v>12.164735890978346</v>
      </c>
      <c r="N20" s="30">
        <v>12.046484316615299</v>
      </c>
      <c r="O20" s="30">
        <v>11.830661786895725</v>
      </c>
      <c r="P20" s="30">
        <v>11.610681543215147</v>
      </c>
      <c r="Q20" s="30">
        <v>11.525460181777795</v>
      </c>
      <c r="R20" s="30">
        <v>11.554564280254391</v>
      </c>
      <c r="S20" s="30">
        <v>11.573396361032712</v>
      </c>
      <c r="T20" s="30">
        <v>11.735856027732876</v>
      </c>
      <c r="U20" s="30">
        <v>11.701069544304987</v>
      </c>
      <c r="V20" s="30">
        <v>11.622182761546908</v>
      </c>
      <c r="W20" s="28">
        <f t="shared" si="1"/>
        <v>11.622182761546908</v>
      </c>
      <c r="X20" s="112">
        <f t="shared" si="1"/>
        <v>11.622182761546908</v>
      </c>
    </row>
    <row r="21" spans="2:24" x14ac:dyDescent="0.2">
      <c r="B21" s="111" t="s">
        <v>270</v>
      </c>
      <c r="C21" s="27">
        <f>_xlfn.XLOOKUP($D$4,$D$6:$X$6,D21:X21,NA(),0)</f>
        <v>21.083018597797892</v>
      </c>
      <c r="D21" s="30">
        <v>21.471199094408956</v>
      </c>
      <c r="E21" s="30">
        <v>21.424717096034602</v>
      </c>
      <c r="F21" s="30">
        <v>21.083018597797892</v>
      </c>
      <c r="G21" s="30">
        <v>21.30416617244482</v>
      </c>
      <c r="H21" s="30">
        <v>21.494529219209756</v>
      </c>
      <c r="I21" s="30">
        <v>21.093627028447031</v>
      </c>
      <c r="J21" s="30">
        <v>21.035830808173753</v>
      </c>
      <c r="K21" s="30">
        <v>20.869948779678765</v>
      </c>
      <c r="L21" s="30">
        <v>21.261395579614287</v>
      </c>
      <c r="M21" s="30">
        <v>21.200302737210905</v>
      </c>
      <c r="N21" s="30">
        <v>20.731494146276727</v>
      </c>
      <c r="O21" s="30">
        <v>20.199671829318252</v>
      </c>
      <c r="P21" s="30">
        <v>19.91703222683056</v>
      </c>
      <c r="Q21" s="30">
        <v>19.629426157793226</v>
      </c>
      <c r="R21" s="30">
        <v>19.493026005806126</v>
      </c>
      <c r="S21" s="30">
        <v>19.442814229733983</v>
      </c>
      <c r="T21" s="30">
        <v>19.276316133420906</v>
      </c>
      <c r="U21" s="30">
        <v>19.556109464943528</v>
      </c>
      <c r="V21" s="30">
        <v>19.260344498742715</v>
      </c>
      <c r="W21" s="28">
        <f t="shared" si="1"/>
        <v>19.260344498742715</v>
      </c>
      <c r="X21" s="112">
        <f t="shared" si="1"/>
        <v>19.260344498742715</v>
      </c>
    </row>
    <row r="22" spans="2:24" x14ac:dyDescent="0.2">
      <c r="B22" s="111" t="s">
        <v>356</v>
      </c>
      <c r="C22" s="27">
        <f>_xlfn.XLOOKUP($D$4,$D$6:$X$6,D22:X22,NA(),0)</f>
        <v>14.858507339888778</v>
      </c>
      <c r="D22" s="30">
        <v>15.210698868582147</v>
      </c>
      <c r="E22" s="30">
        <v>14.835090746619274</v>
      </c>
      <c r="F22" s="30">
        <v>14.858507339888778</v>
      </c>
      <c r="G22" s="30">
        <v>14.971231867876611</v>
      </c>
      <c r="H22" s="30">
        <v>15.030394083272297</v>
      </c>
      <c r="I22" s="30">
        <v>14.882964818908119</v>
      </c>
      <c r="J22" s="30">
        <v>14.535385415776556</v>
      </c>
      <c r="K22" s="30">
        <v>14.407510142908544</v>
      </c>
      <c r="L22" s="30">
        <v>14.593363121389041</v>
      </c>
      <c r="M22" s="30">
        <v>14.675933453596762</v>
      </c>
      <c r="N22" s="30">
        <v>14.46571207473392</v>
      </c>
      <c r="O22" s="30">
        <v>14.13655671473389</v>
      </c>
      <c r="P22" s="30">
        <v>13.834172620094522</v>
      </c>
      <c r="Q22" s="30">
        <v>13.697825548466383</v>
      </c>
      <c r="R22" s="30">
        <v>13.605076433578814</v>
      </c>
      <c r="S22" s="30">
        <v>13.411267208159186</v>
      </c>
      <c r="T22" s="30">
        <v>13.518246136434882</v>
      </c>
      <c r="U22" s="30">
        <v>13.458403122017055</v>
      </c>
      <c r="V22" s="30">
        <v>13.330484979256731</v>
      </c>
      <c r="W22" s="28">
        <f t="shared" si="1"/>
        <v>13.330484979256731</v>
      </c>
      <c r="X22" s="112">
        <f t="shared" si="1"/>
        <v>13.330484979256731</v>
      </c>
    </row>
    <row r="23" spans="2:24" x14ac:dyDescent="0.2">
      <c r="B23" s="109"/>
      <c r="C23" s="27"/>
      <c r="D23" s="19"/>
      <c r="E23" s="19"/>
      <c r="F23" s="19"/>
      <c r="G23" s="19"/>
      <c r="H23" s="19"/>
      <c r="I23" s="19"/>
      <c r="J23" s="19"/>
      <c r="K23" s="19"/>
      <c r="L23" s="19"/>
      <c r="M23" s="19"/>
      <c r="N23" s="19"/>
      <c r="O23" s="19"/>
      <c r="P23" s="19"/>
      <c r="Q23" s="19"/>
      <c r="R23" s="19"/>
      <c r="S23" s="19"/>
      <c r="T23" s="19"/>
      <c r="U23" s="19"/>
      <c r="V23" s="19"/>
      <c r="W23" s="29"/>
      <c r="X23" s="113"/>
    </row>
    <row r="24" spans="2:24" x14ac:dyDescent="0.2">
      <c r="B24" s="106" t="s">
        <v>358</v>
      </c>
      <c r="C24" s="27"/>
      <c r="D24" s="21"/>
      <c r="E24" s="21"/>
      <c r="F24" s="21"/>
      <c r="G24" s="21"/>
      <c r="H24" s="21"/>
      <c r="I24" s="21"/>
      <c r="J24" s="21"/>
      <c r="K24" s="21"/>
      <c r="L24" s="21"/>
      <c r="M24" s="21"/>
      <c r="N24" s="21"/>
      <c r="O24" s="21"/>
      <c r="P24" s="21"/>
      <c r="Q24" s="21"/>
      <c r="R24" s="21"/>
      <c r="S24" s="21"/>
      <c r="T24" s="21"/>
      <c r="U24" s="21"/>
      <c r="V24" s="21"/>
      <c r="W24" s="29"/>
      <c r="X24" s="113"/>
    </row>
    <row r="25" spans="2:24" x14ac:dyDescent="0.2">
      <c r="B25" s="110" t="s">
        <v>354</v>
      </c>
      <c r="C25" s="27"/>
      <c r="D25" s="21"/>
      <c r="E25" s="21"/>
      <c r="F25" s="21"/>
      <c r="G25" s="21"/>
      <c r="H25" s="21"/>
      <c r="I25" s="21"/>
      <c r="J25" s="21"/>
      <c r="K25" s="21"/>
      <c r="L25" s="21"/>
      <c r="M25" s="21"/>
      <c r="N25" s="21"/>
      <c r="O25" s="21"/>
      <c r="P25" s="21"/>
      <c r="Q25" s="21"/>
      <c r="R25" s="21"/>
      <c r="S25" s="21"/>
      <c r="T25" s="21"/>
      <c r="U25" s="21"/>
      <c r="V25" s="21"/>
      <c r="W25" s="29"/>
      <c r="X25" s="113"/>
    </row>
    <row r="26" spans="2:24" x14ac:dyDescent="0.2">
      <c r="B26" s="111" t="s">
        <v>269</v>
      </c>
      <c r="C26" s="27">
        <f>_xlfn.XLOOKUP($D$4,$D$6:$X$6,D26:X26,NA(),0)</f>
        <v>1.8821498286600218</v>
      </c>
      <c r="D26" s="28">
        <v>1.6958116308345825</v>
      </c>
      <c r="E26" s="28">
        <v>1.7877434851588581</v>
      </c>
      <c r="F26" s="28">
        <v>1.8821498286600218</v>
      </c>
      <c r="G26" s="28">
        <v>1.9752813386620856</v>
      </c>
      <c r="H26" s="28">
        <v>2.0221534952040563</v>
      </c>
      <c r="I26" s="28">
        <v>2.0263972003404631</v>
      </c>
      <c r="J26" s="28">
        <v>2.0700165846322944</v>
      </c>
      <c r="K26" s="28">
        <v>2.1135437643435058</v>
      </c>
      <c r="L26" s="28">
        <v>2.1563124155008824</v>
      </c>
      <c r="M26" s="28">
        <v>2.1991557762788929</v>
      </c>
      <c r="N26" s="28">
        <v>2.201163943879124</v>
      </c>
      <c r="O26" s="28">
        <v>2.2440360181839014</v>
      </c>
      <c r="P26" s="28">
        <v>2.286917685174898</v>
      </c>
      <c r="Q26" s="28">
        <v>2.2889318889497465</v>
      </c>
      <c r="R26" s="28">
        <v>2.2880939482862797</v>
      </c>
      <c r="S26" s="28">
        <v>2.2872412215859486</v>
      </c>
      <c r="T26" s="28">
        <v>2.2864101697656758</v>
      </c>
      <c r="U26" s="28">
        <v>2.2856212425987006</v>
      </c>
      <c r="V26" s="28">
        <v>2.2848480991208864</v>
      </c>
      <c r="W26" s="28">
        <f t="shared" si="1"/>
        <v>2.2848480991208864</v>
      </c>
      <c r="X26" s="112">
        <f t="shared" si="1"/>
        <v>2.2848480991208864</v>
      </c>
    </row>
    <row r="27" spans="2:24" x14ac:dyDescent="0.2">
      <c r="B27" s="111" t="s">
        <v>270</v>
      </c>
      <c r="C27" s="27">
        <f>_xlfn.XLOOKUP($D$4,$D$6:$X$6,D27:X27,NA(),0)</f>
        <v>3.9362674842059144</v>
      </c>
      <c r="D27" s="28">
        <v>3.893453827719175</v>
      </c>
      <c r="E27" s="28">
        <v>3.8945498864064221</v>
      </c>
      <c r="F27" s="28">
        <v>3.9362674842059144</v>
      </c>
      <c r="G27" s="28">
        <v>3.9725980413995727</v>
      </c>
      <c r="H27" s="28">
        <v>3.9997697136959713</v>
      </c>
      <c r="I27" s="28">
        <v>4.0342004409134002</v>
      </c>
      <c r="J27" s="28">
        <v>3.9950859331808717</v>
      </c>
      <c r="K27" s="28">
        <v>4.0147901521374871</v>
      </c>
      <c r="L27" s="28">
        <v>4.0359093156888726</v>
      </c>
      <c r="M27" s="28">
        <v>4.0558325351690101</v>
      </c>
      <c r="N27" s="28">
        <v>4.080564909706915</v>
      </c>
      <c r="O27" s="28">
        <v>4.0605432227515701</v>
      </c>
      <c r="P27" s="28">
        <v>4.084811260477565</v>
      </c>
      <c r="Q27" s="28">
        <v>4.1136929547318166</v>
      </c>
      <c r="R27" s="28">
        <v>4.1088671404841017</v>
      </c>
      <c r="S27" s="28">
        <v>4.1043740054411719</v>
      </c>
      <c r="T27" s="28">
        <v>4.0997414577298068</v>
      </c>
      <c r="U27" s="28">
        <v>4.0951889833372483</v>
      </c>
      <c r="V27" s="28">
        <v>4.0906246671615083</v>
      </c>
      <c r="W27" s="28">
        <f t="shared" si="1"/>
        <v>4.0906246671615083</v>
      </c>
      <c r="X27" s="112">
        <f t="shared" si="1"/>
        <v>4.0906246671615083</v>
      </c>
    </row>
    <row r="28" spans="2:24" x14ac:dyDescent="0.2">
      <c r="B28" s="111" t="s">
        <v>356</v>
      </c>
      <c r="C28" s="27">
        <f>_xlfn.XLOOKUP($D$4,$D$6:$X$6,D28:X28,NA(),0)</f>
        <v>2.6826750081889941</v>
      </c>
      <c r="D28" s="28">
        <v>2.4005104818781318</v>
      </c>
      <c r="E28" s="28">
        <v>2.5400524964937321</v>
      </c>
      <c r="F28" s="28">
        <v>2.6826750081889941</v>
      </c>
      <c r="G28" s="28">
        <v>2.8222011993344918</v>
      </c>
      <c r="H28" s="28">
        <v>2.8737275548927523</v>
      </c>
      <c r="I28" s="28">
        <v>2.8816859305301157</v>
      </c>
      <c r="J28" s="28">
        <v>2.9291662274331345</v>
      </c>
      <c r="K28" s="28">
        <v>2.9778240914917702</v>
      </c>
      <c r="L28" s="28">
        <v>3.0234857153896324</v>
      </c>
      <c r="M28" s="28">
        <v>3.0692960531286415</v>
      </c>
      <c r="N28" s="28">
        <v>3.0742914995850064</v>
      </c>
      <c r="O28" s="28">
        <v>3.1201712935592059</v>
      </c>
      <c r="P28" s="28">
        <v>3.1660812609016249</v>
      </c>
      <c r="Q28" s="28">
        <v>3.171144486535677</v>
      </c>
      <c r="R28" s="28">
        <v>3.1703065458722102</v>
      </c>
      <c r="S28" s="28">
        <v>3.1694538191718791</v>
      </c>
      <c r="T28" s="28">
        <v>3.1686227673516063</v>
      </c>
      <c r="U28" s="28">
        <v>3.1678338401846307</v>
      </c>
      <c r="V28" s="28">
        <v>3.1670606967068164</v>
      </c>
      <c r="W28" s="28">
        <f t="shared" si="1"/>
        <v>3.1670606967068164</v>
      </c>
      <c r="X28" s="112">
        <f t="shared" si="1"/>
        <v>3.1670606967068164</v>
      </c>
    </row>
    <row r="29" spans="2:24" x14ac:dyDescent="0.2">
      <c r="B29" s="111"/>
      <c r="C29" s="27"/>
      <c r="D29" s="19"/>
      <c r="E29" s="19"/>
      <c r="F29" s="19"/>
      <c r="G29" s="19"/>
      <c r="H29" s="19"/>
      <c r="I29" s="19"/>
      <c r="J29" s="19"/>
      <c r="K29" s="19"/>
      <c r="L29" s="19"/>
      <c r="M29" s="19"/>
      <c r="N29" s="19"/>
      <c r="O29" s="19"/>
      <c r="P29" s="19"/>
      <c r="Q29" s="19"/>
      <c r="R29" s="19"/>
      <c r="S29" s="19"/>
      <c r="T29" s="19"/>
      <c r="U29" s="19"/>
      <c r="V29" s="19"/>
      <c r="W29" s="29"/>
      <c r="X29" s="113"/>
    </row>
    <row r="30" spans="2:24" x14ac:dyDescent="0.2">
      <c r="B30" s="110" t="s">
        <v>357</v>
      </c>
      <c r="C30" s="27"/>
      <c r="D30" s="19"/>
      <c r="E30" s="19"/>
      <c r="F30" s="19"/>
      <c r="G30" s="19"/>
      <c r="H30" s="19"/>
      <c r="I30" s="19"/>
      <c r="J30" s="19"/>
      <c r="K30" s="19"/>
      <c r="L30" s="19"/>
      <c r="M30" s="19"/>
      <c r="N30" s="19"/>
      <c r="O30" s="19"/>
      <c r="P30" s="19"/>
      <c r="Q30" s="19"/>
      <c r="R30" s="19"/>
      <c r="S30" s="19"/>
      <c r="T30" s="19"/>
      <c r="U30" s="19"/>
      <c r="V30" s="19"/>
      <c r="W30" s="29"/>
      <c r="X30" s="113"/>
    </row>
    <row r="31" spans="2:24" x14ac:dyDescent="0.2">
      <c r="B31" s="111" t="s">
        <v>269</v>
      </c>
      <c r="C31" s="27">
        <f>_xlfn.XLOOKUP($D$4,$D$6:$X$6,D31:X31,NA(),0)</f>
        <v>11.146310025020325</v>
      </c>
      <c r="D31" s="30">
        <v>11.431972928661894</v>
      </c>
      <c r="E31" s="30">
        <v>11.125278781586752</v>
      </c>
      <c r="F31" s="30">
        <v>11.146310025020325</v>
      </c>
      <c r="G31" s="30">
        <v>11.245420031510381</v>
      </c>
      <c r="H31" s="30">
        <v>11.292201569108141</v>
      </c>
      <c r="I31" s="30">
        <v>11.219821312066601</v>
      </c>
      <c r="J31" s="30">
        <v>10.949517568225438</v>
      </c>
      <c r="K31" s="30">
        <v>10.832567265622139</v>
      </c>
      <c r="L31" s="30">
        <v>10.926968834116764</v>
      </c>
      <c r="M31" s="30">
        <v>10.681729147222761</v>
      </c>
      <c r="N31" s="30">
        <v>10.577893659144841</v>
      </c>
      <c r="O31" s="30">
        <v>10.388382121287068</v>
      </c>
      <c r="P31" s="30">
        <v>10.195219737673082</v>
      </c>
      <c r="Q31" s="30">
        <v>10.120387738968821</v>
      </c>
      <c r="R31" s="30">
        <v>10.145943747729493</v>
      </c>
      <c r="S31" s="30">
        <v>10.162480003670884</v>
      </c>
      <c r="T31" s="30">
        <v>10.30513416177112</v>
      </c>
      <c r="U31" s="30">
        <v>10.274588509379551</v>
      </c>
      <c r="V31" s="30">
        <v>10.205318838893525</v>
      </c>
      <c r="W31" s="28">
        <f t="shared" si="1"/>
        <v>10.205318838893525</v>
      </c>
      <c r="X31" s="112">
        <f t="shared" si="1"/>
        <v>10.205318838893525</v>
      </c>
    </row>
    <row r="32" spans="2:24" x14ac:dyDescent="0.2">
      <c r="B32" s="111" t="s">
        <v>270</v>
      </c>
      <c r="C32" s="27">
        <f>_xlfn.XLOOKUP($D$4,$D$6:$X$6,D32:X32,NA(),0)</f>
        <v>19.784000444156685</v>
      </c>
      <c r="D32" s="30">
        <v>20.148263421099106</v>
      </c>
      <c r="E32" s="30">
        <v>20.104645384515887</v>
      </c>
      <c r="F32" s="30">
        <v>19.784000444156685</v>
      </c>
      <c r="G32" s="30">
        <v>19.991522137255036</v>
      </c>
      <c r="H32" s="30">
        <v>20.170156073580543</v>
      </c>
      <c r="I32" s="30">
        <v>19.793955242408217</v>
      </c>
      <c r="J32" s="30">
        <v>19.739720103248562</v>
      </c>
      <c r="K32" s="30">
        <v>19.584058801229638</v>
      </c>
      <c r="L32" s="30">
        <v>19.951386830082061</v>
      </c>
      <c r="M32" s="30">
        <v>19.894058188282656</v>
      </c>
      <c r="N32" s="30">
        <v>19.454134971014568</v>
      </c>
      <c r="O32" s="30">
        <v>18.955080582473737</v>
      </c>
      <c r="P32" s="30">
        <v>18.68985565772142</v>
      </c>
      <c r="Q32" s="30">
        <v>18.419970272420326</v>
      </c>
      <c r="R32" s="30">
        <v>18.291974337920809</v>
      </c>
      <c r="S32" s="30">
        <v>18.244856331763149</v>
      </c>
      <c r="T32" s="30">
        <v>18.088616920593001</v>
      </c>
      <c r="U32" s="30">
        <v>18.351170945740702</v>
      </c>
      <c r="V32" s="30">
        <v>18.07362936906657</v>
      </c>
      <c r="W32" s="28">
        <f t="shared" si="1"/>
        <v>18.07362936906657</v>
      </c>
      <c r="X32" s="112">
        <f t="shared" si="1"/>
        <v>18.07362936906657</v>
      </c>
    </row>
    <row r="33" spans="2:24" x14ac:dyDescent="0.2">
      <c r="B33" s="111" t="s">
        <v>356</v>
      </c>
      <c r="C33" s="27">
        <f>_xlfn.XLOOKUP($D$4,$D$6:$X$6,D33:X33,NA(),0)</f>
        <v>12.647648114397713</v>
      </c>
      <c r="D33" s="30">
        <v>12.94743559788385</v>
      </c>
      <c r="E33" s="30">
        <v>12.627715773622432</v>
      </c>
      <c r="F33" s="30">
        <v>12.647648114397713</v>
      </c>
      <c r="G33" s="30">
        <v>12.743599890120455</v>
      </c>
      <c r="H33" s="30">
        <v>12.793959112946563</v>
      </c>
      <c r="I33" s="30">
        <v>12.668466463194532</v>
      </c>
      <c r="J33" s="30">
        <v>12.372604847888207</v>
      </c>
      <c r="K33" s="30">
        <v>12.263756669752212</v>
      </c>
      <c r="L33" s="30">
        <v>12.421955809077847</v>
      </c>
      <c r="M33" s="30">
        <v>12.492240157469199</v>
      </c>
      <c r="N33" s="30">
        <v>12.313298493602131</v>
      </c>
      <c r="O33" s="30">
        <v>12.033119531273105</v>
      </c>
      <c r="P33" s="30">
        <v>11.775728426170479</v>
      </c>
      <c r="Q33" s="30">
        <v>11.659669003515564</v>
      </c>
      <c r="R33" s="30">
        <v>11.580720415936335</v>
      </c>
      <c r="S33" s="30">
        <v>11.415748872808923</v>
      </c>
      <c r="T33" s="30">
        <v>11.506809960543766</v>
      </c>
      <c r="U33" s="30">
        <v>11.455871237619045</v>
      </c>
      <c r="V33" s="30">
        <v>11.346986568380661</v>
      </c>
      <c r="W33" s="28">
        <f t="shared" si="1"/>
        <v>11.346986568380661</v>
      </c>
      <c r="X33" s="112">
        <f t="shared" si="1"/>
        <v>11.346986568380661</v>
      </c>
    </row>
    <row r="34" spans="2:24" x14ac:dyDescent="0.2">
      <c r="B34" s="109"/>
      <c r="C34" s="27"/>
      <c r="D34" s="19"/>
      <c r="E34" s="19"/>
      <c r="F34" s="19"/>
      <c r="G34" s="19"/>
      <c r="H34" s="19"/>
      <c r="I34" s="19"/>
      <c r="J34" s="19"/>
      <c r="K34" s="19"/>
      <c r="L34" s="19"/>
      <c r="M34" s="19"/>
      <c r="N34" s="19"/>
      <c r="O34" s="19"/>
      <c r="P34" s="19"/>
      <c r="Q34" s="19"/>
      <c r="R34" s="19"/>
      <c r="S34" s="19"/>
      <c r="T34" s="19"/>
      <c r="U34" s="19"/>
      <c r="V34" s="19"/>
      <c r="W34" s="29"/>
      <c r="X34" s="113"/>
    </row>
    <row r="35" spans="2:24" x14ac:dyDescent="0.2">
      <c r="B35" s="106" t="s">
        <v>359</v>
      </c>
      <c r="C35" s="27"/>
      <c r="D35" s="21"/>
      <c r="E35" s="21"/>
      <c r="F35" s="21"/>
      <c r="G35" s="21"/>
      <c r="H35" s="21"/>
      <c r="I35" s="21"/>
      <c r="J35" s="21"/>
      <c r="K35" s="21"/>
      <c r="L35" s="21"/>
      <c r="M35" s="21"/>
      <c r="N35" s="21"/>
      <c r="O35" s="21"/>
      <c r="P35" s="21"/>
      <c r="Q35" s="21"/>
      <c r="R35" s="21"/>
      <c r="S35" s="21"/>
      <c r="T35" s="21"/>
      <c r="U35" s="21"/>
      <c r="V35" s="21"/>
      <c r="W35" s="29"/>
      <c r="X35" s="113"/>
    </row>
    <row r="36" spans="2:24" x14ac:dyDescent="0.2">
      <c r="B36" s="110" t="s">
        <v>354</v>
      </c>
      <c r="C36" s="27"/>
      <c r="D36" s="21"/>
      <c r="E36" s="21"/>
      <c r="F36" s="21"/>
      <c r="G36" s="21"/>
      <c r="H36" s="21"/>
      <c r="I36" s="21"/>
      <c r="J36" s="21"/>
      <c r="K36" s="21"/>
      <c r="L36" s="21"/>
      <c r="M36" s="21"/>
      <c r="N36" s="21"/>
      <c r="O36" s="21"/>
      <c r="P36" s="21"/>
      <c r="Q36" s="21"/>
      <c r="R36" s="21"/>
      <c r="S36" s="21"/>
      <c r="T36" s="21"/>
      <c r="U36" s="21"/>
      <c r="V36" s="21"/>
      <c r="W36" s="29"/>
      <c r="X36" s="113"/>
    </row>
    <row r="37" spans="2:24" x14ac:dyDescent="0.2">
      <c r="B37" s="111" t="s">
        <v>269</v>
      </c>
      <c r="C37" s="27">
        <f>_xlfn.XLOOKUP($D$4,$D$6:$X$6,D37:X37,NA(),0)</f>
        <v>3.5989977977952998</v>
      </c>
      <c r="D37" s="28">
        <v>3.4126595999698606</v>
      </c>
      <c r="E37" s="28">
        <v>3.5045914542941357</v>
      </c>
      <c r="F37" s="28">
        <v>3.5989977977952998</v>
      </c>
      <c r="G37" s="28">
        <v>3.6921293077973627</v>
      </c>
      <c r="H37" s="28">
        <v>3.739001464339335</v>
      </c>
      <c r="I37" s="28">
        <v>3.7841225020741986</v>
      </c>
      <c r="J37" s="28">
        <v>3.8277418863660322</v>
      </c>
      <c r="K37" s="28">
        <v>3.8712690660772426</v>
      </c>
      <c r="L37" s="28">
        <v>3.9140377172346184</v>
      </c>
      <c r="M37" s="28">
        <v>3.9568810780126298</v>
      </c>
      <c r="N37" s="28">
        <v>3.9997665782113194</v>
      </c>
      <c r="O37" s="28">
        <v>4.0426386525160956</v>
      </c>
      <c r="P37" s="28">
        <v>4.0855203195070944</v>
      </c>
      <c r="Q37" s="28">
        <v>4.1284118558804019</v>
      </c>
      <c r="R37" s="28">
        <v>4.1275739152169351</v>
      </c>
      <c r="S37" s="28">
        <v>4.126721188516604</v>
      </c>
      <c r="T37" s="28">
        <v>4.1258901366963316</v>
      </c>
      <c r="U37" s="28">
        <v>4.1251012095293556</v>
      </c>
      <c r="V37" s="28">
        <v>4.1243280660515413</v>
      </c>
      <c r="W37" s="28">
        <f t="shared" si="1"/>
        <v>4.1243280660515413</v>
      </c>
      <c r="X37" s="112">
        <f t="shared" si="1"/>
        <v>4.1243280660515413</v>
      </c>
    </row>
    <row r="38" spans="2:24" x14ac:dyDescent="0.2">
      <c r="B38" s="111" t="s">
        <v>270</v>
      </c>
      <c r="C38" s="27">
        <f>_xlfn.XLOOKUP($D$4,$D$6:$X$6,D38:X38,NA(),0)</f>
        <v>5.5602293513457193</v>
      </c>
      <c r="D38" s="28">
        <v>5.4787499361175511</v>
      </c>
      <c r="E38" s="28">
        <v>5.5185117535462238</v>
      </c>
      <c r="F38" s="28">
        <v>5.5602293513457193</v>
      </c>
      <c r="G38" s="28">
        <v>5.5965599085393753</v>
      </c>
      <c r="H38" s="28">
        <v>5.6237315808357726</v>
      </c>
      <c r="I38" s="28">
        <v>5.6581623080532042</v>
      </c>
      <c r="J38" s="28">
        <v>5.6577135590620955</v>
      </c>
      <c r="K38" s="28">
        <v>5.6774177780187109</v>
      </c>
      <c r="L38" s="28">
        <v>5.6985369415701008</v>
      </c>
      <c r="M38" s="28">
        <v>5.7184601610502357</v>
      </c>
      <c r="N38" s="28">
        <v>5.7431925355881424</v>
      </c>
      <c r="O38" s="28">
        <v>5.76183660737422</v>
      </c>
      <c r="P38" s="28">
        <v>5.7861046451002158</v>
      </c>
      <c r="Q38" s="28">
        <v>5.8149863393544656</v>
      </c>
      <c r="R38" s="28">
        <v>5.848826283848175</v>
      </c>
      <c r="S38" s="28">
        <v>5.8443331488052461</v>
      </c>
      <c r="T38" s="28">
        <v>5.839700601093881</v>
      </c>
      <c r="U38" s="28">
        <v>5.8351481267013225</v>
      </c>
      <c r="V38" s="28">
        <v>5.8305838105255834</v>
      </c>
      <c r="W38" s="28">
        <f t="shared" si="1"/>
        <v>5.8305838105255834</v>
      </c>
      <c r="X38" s="112">
        <f t="shared" si="1"/>
        <v>5.8305838105255834</v>
      </c>
    </row>
    <row r="39" spans="2:24" x14ac:dyDescent="0.2">
      <c r="B39" s="111" t="s">
        <v>356</v>
      </c>
      <c r="C39" s="27">
        <f>_xlfn.XLOOKUP($D$4,$D$6:$X$6,D39:X39,NA(),0)</f>
        <v>4.3995229773242706</v>
      </c>
      <c r="D39" s="28">
        <v>4.11735845101341</v>
      </c>
      <c r="E39" s="28">
        <v>4.256900465629009</v>
      </c>
      <c r="F39" s="28">
        <v>4.3995229773242706</v>
      </c>
      <c r="G39" s="28">
        <v>4.53904916846977</v>
      </c>
      <c r="H39" s="28">
        <v>4.5905755240280302</v>
      </c>
      <c r="I39" s="28">
        <v>4.6394112322638517</v>
      </c>
      <c r="J39" s="28">
        <v>4.6868915291668705</v>
      </c>
      <c r="K39" s="28">
        <v>4.7355493932255062</v>
      </c>
      <c r="L39" s="28">
        <v>4.7812110171233693</v>
      </c>
      <c r="M39" s="28">
        <v>4.8270213548623779</v>
      </c>
      <c r="N39" s="28">
        <v>4.8728941339172023</v>
      </c>
      <c r="O39" s="28">
        <v>4.9187739278914018</v>
      </c>
      <c r="P39" s="28">
        <v>4.9646838952338221</v>
      </c>
      <c r="Q39" s="28">
        <v>5.0106244534663311</v>
      </c>
      <c r="R39" s="28">
        <v>5.0097865128028651</v>
      </c>
      <c r="S39" s="28">
        <v>5.0089337861025331</v>
      </c>
      <c r="T39" s="28">
        <v>5.0081027342822617</v>
      </c>
      <c r="U39" s="28">
        <v>5.0073138071152856</v>
      </c>
      <c r="V39" s="28">
        <v>5.0065406636374705</v>
      </c>
      <c r="W39" s="28">
        <f t="shared" si="1"/>
        <v>5.0065406636374705</v>
      </c>
      <c r="X39" s="112">
        <f t="shared" si="1"/>
        <v>5.0065406636374705</v>
      </c>
    </row>
    <row r="40" spans="2:24" x14ac:dyDescent="0.2">
      <c r="B40" s="111"/>
      <c r="C40" s="27"/>
      <c r="D40" s="19"/>
      <c r="E40" s="19"/>
      <c r="F40" s="19"/>
      <c r="G40" s="19"/>
      <c r="H40" s="19"/>
      <c r="I40" s="19"/>
      <c r="J40" s="19"/>
      <c r="K40" s="19"/>
      <c r="L40" s="19"/>
      <c r="M40" s="19"/>
      <c r="N40" s="19"/>
      <c r="O40" s="19"/>
      <c r="P40" s="19"/>
      <c r="Q40" s="19"/>
      <c r="R40" s="19"/>
      <c r="S40" s="19"/>
      <c r="T40" s="19"/>
      <c r="U40" s="19"/>
      <c r="V40" s="19"/>
      <c r="W40" s="29"/>
      <c r="X40" s="113"/>
    </row>
    <row r="41" spans="2:24" x14ac:dyDescent="0.2">
      <c r="B41" s="110" t="s">
        <v>357</v>
      </c>
      <c r="C41" s="27"/>
      <c r="D41" s="19"/>
      <c r="E41" s="19"/>
      <c r="F41" s="19"/>
      <c r="G41" s="19"/>
      <c r="H41" s="19"/>
      <c r="I41" s="19"/>
      <c r="J41" s="19"/>
      <c r="K41" s="19"/>
      <c r="L41" s="19"/>
      <c r="M41" s="19"/>
      <c r="N41" s="19"/>
      <c r="O41" s="19"/>
      <c r="P41" s="19"/>
      <c r="Q41" s="19"/>
      <c r="R41" s="19"/>
      <c r="S41" s="19"/>
      <c r="T41" s="19"/>
      <c r="U41" s="19"/>
      <c r="V41" s="19"/>
      <c r="W41" s="29"/>
      <c r="X41" s="113"/>
    </row>
    <row r="42" spans="2:24" x14ac:dyDescent="0.2">
      <c r="B42" s="111" t="s">
        <v>269</v>
      </c>
      <c r="C42" s="27">
        <f>_xlfn.XLOOKUP($D$4,$D$6:$X$6,D42:X42,NA(),0)</f>
        <v>14.543033422743459</v>
      </c>
      <c r="D42" s="30">
        <v>14.915749159697825</v>
      </c>
      <c r="E42" s="30">
        <v>14.515593124071547</v>
      </c>
      <c r="F42" s="30">
        <v>14.543033422743459</v>
      </c>
      <c r="G42" s="30">
        <v>14.672346184875302</v>
      </c>
      <c r="H42" s="30">
        <v>14.73338391514876</v>
      </c>
      <c r="I42" s="30">
        <v>14.638946518832043</v>
      </c>
      <c r="J42" s="30">
        <v>14.286270487737387</v>
      </c>
      <c r="K42" s="30">
        <v>14.133680782647371</v>
      </c>
      <c r="L42" s="30">
        <v>14.256850258706709</v>
      </c>
      <c r="M42" s="30">
        <v>13.936876298259101</v>
      </c>
      <c r="N42" s="30">
        <v>13.801398012602743</v>
      </c>
      <c r="O42" s="30">
        <v>13.554134781733108</v>
      </c>
      <c r="P42" s="30">
        <v>13.302108147393207</v>
      </c>
      <c r="Q42" s="30">
        <v>13.204471866345589</v>
      </c>
      <c r="R42" s="30">
        <v>13.237815806064123</v>
      </c>
      <c r="S42" s="30">
        <v>13.259391316013412</v>
      </c>
      <c r="T42" s="30">
        <v>13.445517862331261</v>
      </c>
      <c r="U42" s="30">
        <v>13.405663736378106</v>
      </c>
      <c r="V42" s="30">
        <v>13.315284845893327</v>
      </c>
      <c r="W42" s="28">
        <f t="shared" si="1"/>
        <v>13.315284845893327</v>
      </c>
      <c r="X42" s="112">
        <f t="shared" si="1"/>
        <v>13.315284845893327</v>
      </c>
    </row>
    <row r="43" spans="2:24" x14ac:dyDescent="0.2">
      <c r="B43" s="111" t="s">
        <v>270</v>
      </c>
      <c r="C43" s="27">
        <f>_xlfn.XLOOKUP($D$4,$D$6:$X$6,D43:X43,NA(),0)</f>
        <v>22.472638484545296</v>
      </c>
      <c r="D43" s="30">
        <v>22.886404659755268</v>
      </c>
      <c r="E43" s="30">
        <v>22.836858948800238</v>
      </c>
      <c r="F43" s="30">
        <v>22.472638484545296</v>
      </c>
      <c r="G43" s="30">
        <v>22.708362295807003</v>
      </c>
      <c r="H43" s="30">
        <v>22.911272515276796</v>
      </c>
      <c r="I43" s="30">
        <v>22.483946136045031</v>
      </c>
      <c r="J43" s="30">
        <v>22.422340462362694</v>
      </c>
      <c r="K43" s="30">
        <v>22.245524849353643</v>
      </c>
      <c r="L43" s="30">
        <v>22.662772615847672</v>
      </c>
      <c r="M43" s="30">
        <v>22.597653033708326</v>
      </c>
      <c r="N43" s="30">
        <v>22.09794442065359</v>
      </c>
      <c r="O43" s="30">
        <v>21.531068732925014</v>
      </c>
      <c r="P43" s="30">
        <v>21.229799843052437</v>
      </c>
      <c r="Q43" s="30">
        <v>20.923237137837521</v>
      </c>
      <c r="R43" s="30">
        <v>20.777846605138219</v>
      </c>
      <c r="S43" s="30">
        <v>20.724325280091627</v>
      </c>
      <c r="T43" s="30">
        <v>20.546852993120364</v>
      </c>
      <c r="U43" s="30">
        <v>20.845088009160769</v>
      </c>
      <c r="V43" s="30">
        <v>20.529828639114069</v>
      </c>
      <c r="W43" s="28">
        <f t="shared" si="1"/>
        <v>20.529828639114069</v>
      </c>
      <c r="X43" s="112">
        <f t="shared" si="1"/>
        <v>20.529828639114069</v>
      </c>
    </row>
    <row r="44" spans="2:24" x14ac:dyDescent="0.2">
      <c r="B44" s="111" t="s">
        <v>356</v>
      </c>
      <c r="C44" s="27">
        <f>_xlfn.XLOOKUP($D$4,$D$6:$X$6,D44:X44,NA(),0)</f>
        <v>16.491814433229774</v>
      </c>
      <c r="D44" s="30">
        <v>16.882720276145353</v>
      </c>
      <c r="E44" s="30">
        <v>16.465823793522489</v>
      </c>
      <c r="F44" s="30">
        <v>16.491814433229774</v>
      </c>
      <c r="G44" s="30">
        <v>16.616930096272053</v>
      </c>
      <c r="H44" s="30">
        <v>16.682595661153197</v>
      </c>
      <c r="I44" s="30">
        <v>16.518960377049364</v>
      </c>
      <c r="J44" s="30">
        <v>16.133173643151139</v>
      </c>
      <c r="K44" s="30">
        <v>15.991241804205487</v>
      </c>
      <c r="L44" s="30">
        <v>16.197524492153221</v>
      </c>
      <c r="M44" s="30">
        <v>16.289171288517764</v>
      </c>
      <c r="N44" s="30">
        <v>16.055841527270719</v>
      </c>
      <c r="O44" s="30">
        <v>15.690504081681517</v>
      </c>
      <c r="P44" s="30">
        <v>15.354880706985927</v>
      </c>
      <c r="Q44" s="30">
        <v>15.203545814969623</v>
      </c>
      <c r="R44" s="30">
        <v>15.100601343053135</v>
      </c>
      <c r="S44" s="30">
        <v>14.885487825392591</v>
      </c>
      <c r="T44" s="30">
        <v>15.004226309214062</v>
      </c>
      <c r="U44" s="30">
        <v>14.937805109134665</v>
      </c>
      <c r="V44" s="30">
        <v>14.795825687865122</v>
      </c>
      <c r="W44" s="28">
        <f t="shared" si="1"/>
        <v>14.795825687865122</v>
      </c>
      <c r="X44" s="112">
        <f t="shared" si="1"/>
        <v>14.795825687865122</v>
      </c>
    </row>
    <row r="45" spans="2:24" x14ac:dyDescent="0.2">
      <c r="B45" s="111"/>
      <c r="C45" s="26"/>
      <c r="D45" s="19"/>
      <c r="E45" s="19"/>
      <c r="F45" s="19"/>
      <c r="G45" s="19"/>
      <c r="H45" s="19"/>
      <c r="I45" s="19"/>
      <c r="J45" s="19"/>
      <c r="K45" s="19"/>
      <c r="L45" s="19"/>
      <c r="M45" s="19"/>
      <c r="N45" s="19"/>
      <c r="O45" s="19"/>
      <c r="P45" s="19"/>
      <c r="Q45" s="19"/>
      <c r="R45" s="19"/>
      <c r="S45" s="19"/>
      <c r="T45" s="19"/>
      <c r="U45" s="19"/>
      <c r="V45" s="19"/>
      <c r="W45" s="19"/>
      <c r="X45" s="105"/>
    </row>
    <row r="46" spans="2:24" x14ac:dyDescent="0.2">
      <c r="B46" s="104" t="s">
        <v>360</v>
      </c>
      <c r="C46" s="18"/>
      <c r="D46" s="19"/>
      <c r="E46" s="19"/>
      <c r="F46" s="19"/>
      <c r="G46" s="19"/>
      <c r="H46" s="19"/>
      <c r="I46" s="19"/>
      <c r="J46" s="19"/>
      <c r="K46" s="19"/>
      <c r="L46" s="19"/>
      <c r="M46" s="19"/>
      <c r="N46" s="19"/>
      <c r="O46" s="19"/>
      <c r="P46" s="19"/>
      <c r="Q46" s="19"/>
      <c r="R46" s="19"/>
      <c r="S46" s="19"/>
      <c r="T46" s="19"/>
      <c r="U46" s="19"/>
      <c r="V46" s="19"/>
      <c r="W46" s="19"/>
      <c r="X46" s="105"/>
    </row>
    <row r="47" spans="2:24" x14ac:dyDescent="0.2">
      <c r="B47" s="107" t="s">
        <v>361</v>
      </c>
      <c r="C47" s="23">
        <f>IF(Dashboard!$C$29=Lists!B28,1,0)</f>
        <v>1</v>
      </c>
      <c r="D47" s="19"/>
      <c r="E47" s="19"/>
      <c r="F47" s="19"/>
      <c r="G47" s="19"/>
      <c r="H47" s="19"/>
      <c r="I47" s="19"/>
      <c r="J47" s="19"/>
      <c r="K47" s="19"/>
      <c r="L47" s="19"/>
      <c r="M47" s="19"/>
      <c r="N47" s="19"/>
      <c r="O47" s="19"/>
      <c r="P47" s="19"/>
      <c r="Q47" s="19"/>
      <c r="R47" s="19"/>
      <c r="S47" s="19"/>
      <c r="T47" s="19"/>
      <c r="U47" s="19"/>
      <c r="V47" s="19"/>
      <c r="W47" s="19"/>
      <c r="X47" s="105"/>
    </row>
    <row r="48" spans="2:24" x14ac:dyDescent="0.2">
      <c r="B48" s="107" t="s">
        <v>362</v>
      </c>
      <c r="C48" s="23">
        <f>IF(Dashboard!$C$29=Lists!B27,1,0)</f>
        <v>0</v>
      </c>
      <c r="D48" s="19"/>
      <c r="E48" s="19"/>
      <c r="F48" s="19"/>
      <c r="G48" s="19"/>
      <c r="H48" s="19"/>
      <c r="I48" s="19"/>
      <c r="J48" s="19"/>
      <c r="K48" s="19"/>
      <c r="L48" s="19"/>
      <c r="M48" s="19"/>
      <c r="N48" s="19"/>
      <c r="O48" s="19"/>
      <c r="P48" s="19"/>
      <c r="Q48" s="19"/>
      <c r="R48" s="19"/>
      <c r="S48" s="19"/>
      <c r="T48" s="19"/>
      <c r="U48" s="19"/>
      <c r="V48" s="19"/>
      <c r="W48" s="19"/>
      <c r="X48" s="105"/>
    </row>
    <row r="49" spans="1:30" x14ac:dyDescent="0.2">
      <c r="B49" s="107" t="s">
        <v>363</v>
      </c>
      <c r="C49" s="23">
        <f>IF(Dashboard!$C$29=Lists!B29,1,0)</f>
        <v>0</v>
      </c>
      <c r="D49" s="19"/>
      <c r="E49" s="19"/>
      <c r="F49" s="19"/>
      <c r="G49" s="19"/>
      <c r="H49" s="19"/>
      <c r="I49" s="19"/>
      <c r="J49" s="19"/>
      <c r="K49" s="19"/>
      <c r="L49" s="19"/>
      <c r="M49" s="19"/>
      <c r="N49" s="19"/>
      <c r="O49" s="19"/>
      <c r="P49" s="19"/>
      <c r="Q49" s="19"/>
      <c r="R49" s="19"/>
      <c r="S49" s="19"/>
      <c r="T49" s="19"/>
      <c r="U49" s="19"/>
      <c r="V49" s="19"/>
      <c r="W49" s="19"/>
      <c r="X49" s="105"/>
    </row>
    <row r="50" spans="1:30" x14ac:dyDescent="0.2">
      <c r="B50" s="104"/>
      <c r="C50" s="18"/>
      <c r="D50" s="19"/>
      <c r="E50" s="19"/>
      <c r="F50" s="19"/>
      <c r="G50" s="19"/>
      <c r="H50" s="19"/>
      <c r="I50" s="19"/>
      <c r="J50" s="19"/>
      <c r="K50" s="19"/>
      <c r="L50" s="19"/>
      <c r="M50" s="19"/>
      <c r="N50" s="19"/>
      <c r="O50" s="19"/>
      <c r="P50" s="19"/>
      <c r="Q50" s="19"/>
      <c r="R50" s="19"/>
      <c r="S50" s="19"/>
      <c r="T50" s="19"/>
      <c r="U50" s="19"/>
      <c r="V50" s="19"/>
      <c r="W50" s="19"/>
      <c r="X50" s="105"/>
    </row>
    <row r="51" spans="1:30" x14ac:dyDescent="0.2">
      <c r="B51" s="110" t="s">
        <v>354</v>
      </c>
      <c r="C51" s="24"/>
      <c r="D51" s="19"/>
      <c r="E51" s="19"/>
      <c r="F51" s="19"/>
      <c r="G51" s="19"/>
      <c r="H51" s="19"/>
      <c r="I51" s="19"/>
      <c r="J51" s="19"/>
      <c r="K51" s="19"/>
      <c r="L51" s="19"/>
      <c r="M51" s="19"/>
      <c r="N51" s="19"/>
      <c r="O51" s="19"/>
      <c r="P51" s="19"/>
      <c r="Q51" s="19"/>
      <c r="R51" s="19"/>
      <c r="S51" s="19"/>
      <c r="T51" s="19"/>
      <c r="U51" s="19"/>
      <c r="V51" s="19"/>
      <c r="W51" s="19"/>
      <c r="X51" s="105"/>
    </row>
    <row r="52" spans="1:30" x14ac:dyDescent="0.2">
      <c r="B52" s="111" t="s">
        <v>269</v>
      </c>
      <c r="C52" s="19"/>
      <c r="D52" s="31" t="str">
        <f>IF(D$9&lt;1,"",(D15/$C15*(D$9)*$C$47+D26/$C15*(D$9)*$C$48+D37/$C15*(D$9)*$C$49))</f>
        <v/>
      </c>
      <c r="E52" s="31" t="str">
        <f t="shared" ref="E52:X52" si="2">IF(E$9&lt;1,"",(E15/$C15*(E$9)*$C$47+E26/$C15*(E$9)*$C$48+E37/$C15*(E$9)*$C$49))</f>
        <v/>
      </c>
      <c r="F52" s="31">
        <f t="shared" si="2"/>
        <v>1</v>
      </c>
      <c r="G52" s="31">
        <f t="shared" si="2"/>
        <v>1.0361386029035851</v>
      </c>
      <c r="H52" s="31">
        <f t="shared" si="2"/>
        <v>1.0543267999216237</v>
      </c>
      <c r="I52" s="31">
        <f t="shared" si="2"/>
        <v>1.0876974706619835</v>
      </c>
      <c r="J52" s="31">
        <f t="shared" si="2"/>
        <v>1.1046234671135224</v>
      </c>
      <c r="K52" s="31">
        <f t="shared" si="2"/>
        <v>1.1215136846463596</v>
      </c>
      <c r="L52" s="31">
        <f t="shared" si="2"/>
        <v>1.138109563966518</v>
      </c>
      <c r="M52" s="31">
        <f t="shared" si="2"/>
        <v>1.1547344334889524</v>
      </c>
      <c r="N52" s="31">
        <f t="shared" si="2"/>
        <v>1.1713756547251124</v>
      </c>
      <c r="O52" s="31">
        <f t="shared" si="2"/>
        <v>1.1880116661987694</v>
      </c>
      <c r="P52" s="31">
        <f t="shared" si="2"/>
        <v>1.2046514000031183</v>
      </c>
      <c r="Q52" s="31">
        <f t="shared" si="2"/>
        <v>1.2212949635068702</v>
      </c>
      <c r="R52" s="31">
        <f t="shared" si="2"/>
        <v>1.2209698103455697</v>
      </c>
      <c r="S52" s="31">
        <f t="shared" si="2"/>
        <v>1.2206389196340606</v>
      </c>
      <c r="T52" s="31">
        <f t="shared" si="2"/>
        <v>1.2203164396085091</v>
      </c>
      <c r="U52" s="31">
        <f t="shared" si="2"/>
        <v>1.2200103055663727</v>
      </c>
      <c r="V52" s="31">
        <f t="shared" si="2"/>
        <v>1.2197102962018558</v>
      </c>
      <c r="W52" s="31">
        <f t="shared" si="2"/>
        <v>1.2197102962018558</v>
      </c>
      <c r="X52" s="114">
        <f t="shared" si="2"/>
        <v>1.2197102962018558</v>
      </c>
    </row>
    <row r="53" spans="1:30" x14ac:dyDescent="0.2">
      <c r="B53" s="111" t="s">
        <v>270</v>
      </c>
      <c r="C53" s="19"/>
      <c r="D53" s="31" t="str">
        <f>IF(D$9&lt;1,"",(D16/$C16*(D$9)*$C$47+D27/$C16*(D$9)*$C$48+D38/$C16*(D$9)*$C$49))</f>
        <v/>
      </c>
      <c r="E53" s="31" t="str">
        <f t="shared" ref="E53:X53" si="3">IF(E$9&lt;1,"",(E16/$C16*(E$9)*$C$47+E27/$C16*(E$9)*$C$48+E38/$C16*(E$9)*$C$49))</f>
        <v/>
      </c>
      <c r="F53" s="31">
        <f t="shared" si="3"/>
        <v>1</v>
      </c>
      <c r="G53" s="31">
        <f t="shared" si="3"/>
        <v>1.0079089761408619</v>
      </c>
      <c r="H53" s="31">
        <f t="shared" si="3"/>
        <v>1.0138241099703271</v>
      </c>
      <c r="I53" s="31">
        <f t="shared" si="3"/>
        <v>1.02131950286022</v>
      </c>
      <c r="J53" s="31">
        <f t="shared" si="3"/>
        <v>1.029639150056358</v>
      </c>
      <c r="K53" s="31">
        <f t="shared" si="3"/>
        <v>1.0339286575574813</v>
      </c>
      <c r="L53" s="31">
        <f t="shared" si="3"/>
        <v>1.0385261912466166</v>
      </c>
      <c r="M53" s="31">
        <f t="shared" si="3"/>
        <v>1.0428633740395374</v>
      </c>
      <c r="N53" s="31">
        <f t="shared" si="3"/>
        <v>1.0482474852461034</v>
      </c>
      <c r="O53" s="31">
        <f t="shared" si="3"/>
        <v>1.0523062041404658</v>
      </c>
      <c r="P53" s="31">
        <f t="shared" si="3"/>
        <v>1.0575892316023716</v>
      </c>
      <c r="Q53" s="31">
        <f t="shared" si="3"/>
        <v>1.0638766284497951</v>
      </c>
      <c r="R53" s="31">
        <f t="shared" si="3"/>
        <v>1.0712434109679441</v>
      </c>
      <c r="S53" s="31">
        <f t="shared" si="3"/>
        <v>1.0702652784922215</v>
      </c>
      <c r="T53" s="31">
        <f t="shared" si="3"/>
        <v>1.0692567965929409</v>
      </c>
      <c r="U53" s="31">
        <f t="shared" si="3"/>
        <v>1.068265746244863</v>
      </c>
      <c r="V53" s="31">
        <f t="shared" si="3"/>
        <v>1.067272118001265</v>
      </c>
      <c r="W53" s="31">
        <f t="shared" si="3"/>
        <v>1.067272118001265</v>
      </c>
      <c r="X53" s="114">
        <f t="shared" si="3"/>
        <v>1.067272118001265</v>
      </c>
    </row>
    <row r="54" spans="1:30" x14ac:dyDescent="0.2">
      <c r="B54" s="111" t="s">
        <v>356</v>
      </c>
      <c r="C54" s="19"/>
      <c r="D54" s="31" t="str">
        <f>IF(D$9&lt;1,"",(D17/$C17*(D$9)*$C$47+D28/$C17*(D$9)*$C$48+D39/$C17*(D$9)*$C$49))</f>
        <v/>
      </c>
      <c r="E54" s="31" t="str">
        <f t="shared" ref="E54:X54" si="4">IF(E$9&lt;1,"",(E17/$C17*(E$9)*$C$47+E28/$C17*(E$9)*$C$48+E39/$C17*(E$9)*$C$49))</f>
        <v/>
      </c>
      <c r="F54" s="31">
        <f t="shared" si="4"/>
        <v>1</v>
      </c>
      <c r="G54" s="31">
        <f t="shared" si="4"/>
        <v>1.0413093966683604</v>
      </c>
      <c r="H54" s="31">
        <f t="shared" si="4"/>
        <v>1.0565647594296901</v>
      </c>
      <c r="I54" s="31">
        <f t="shared" si="4"/>
        <v>1.083126020507071</v>
      </c>
      <c r="J54" s="31">
        <f t="shared" si="4"/>
        <v>1.0971834702417445</v>
      </c>
      <c r="K54" s="31">
        <f t="shared" si="4"/>
        <v>1.1115895612482518</v>
      </c>
      <c r="L54" s="31">
        <f t="shared" si="4"/>
        <v>1.1251085580662135</v>
      </c>
      <c r="M54" s="31">
        <f t="shared" si="4"/>
        <v>1.1386715844602961</v>
      </c>
      <c r="N54" s="31">
        <f t="shared" si="4"/>
        <v>1.152253097799822</v>
      </c>
      <c r="O54" s="31">
        <f t="shared" si="4"/>
        <v>1.1658366880403559</v>
      </c>
      <c r="P54" s="31">
        <f t="shared" si="4"/>
        <v>1.1794292116834746</v>
      </c>
      <c r="Q54" s="31">
        <f t="shared" si="4"/>
        <v>1.1930307923445111</v>
      </c>
      <c r="R54" s="31">
        <f t="shared" si="4"/>
        <v>1.1927827039894323</v>
      </c>
      <c r="S54" s="31">
        <f t="shared" si="4"/>
        <v>1.1925302379454268</v>
      </c>
      <c r="T54" s="31">
        <f t="shared" si="4"/>
        <v>1.1922841891640918</v>
      </c>
      <c r="U54" s="31">
        <f t="shared" si="4"/>
        <v>1.1920506121918013</v>
      </c>
      <c r="V54" s="31">
        <f t="shared" si="4"/>
        <v>1.1918217082824751</v>
      </c>
      <c r="W54" s="31">
        <f t="shared" si="4"/>
        <v>1.1918217082824751</v>
      </c>
      <c r="X54" s="114">
        <f t="shared" si="4"/>
        <v>1.1918217082824751</v>
      </c>
    </row>
    <row r="55" spans="1:30" x14ac:dyDescent="0.2">
      <c r="B55" s="111"/>
      <c r="C55" s="26"/>
      <c r="D55" s="31"/>
      <c r="E55" s="31"/>
      <c r="F55" s="31"/>
      <c r="G55" s="31"/>
      <c r="H55" s="31"/>
      <c r="I55" s="31"/>
      <c r="J55" s="31"/>
      <c r="K55" s="31"/>
      <c r="L55" s="31"/>
      <c r="M55" s="31"/>
      <c r="N55" s="31"/>
      <c r="O55" s="31"/>
      <c r="P55" s="31"/>
      <c r="Q55" s="31"/>
      <c r="R55" s="31"/>
      <c r="S55" s="31"/>
      <c r="T55" s="31"/>
      <c r="U55" s="31"/>
      <c r="V55" s="31"/>
      <c r="W55" s="31"/>
      <c r="X55" s="114"/>
    </row>
    <row r="56" spans="1:30" x14ac:dyDescent="0.2">
      <c r="B56" s="110" t="s">
        <v>357</v>
      </c>
      <c r="C56" s="24"/>
      <c r="D56" s="19"/>
      <c r="E56" s="19"/>
      <c r="F56" s="19"/>
      <c r="G56" s="19"/>
      <c r="H56" s="19"/>
      <c r="I56" s="19"/>
      <c r="J56" s="19"/>
      <c r="K56" s="19"/>
      <c r="L56" s="19"/>
      <c r="M56" s="19"/>
      <c r="N56" s="19"/>
      <c r="O56" s="19"/>
      <c r="P56" s="19"/>
      <c r="Q56" s="19"/>
      <c r="R56" s="19"/>
      <c r="S56" s="19"/>
      <c r="T56" s="19"/>
      <c r="U56" s="19"/>
      <c r="V56" s="19"/>
      <c r="W56" s="19"/>
      <c r="X56" s="105"/>
    </row>
    <row r="57" spans="1:30" x14ac:dyDescent="0.2">
      <c r="B57" s="111" t="s">
        <v>269</v>
      </c>
      <c r="C57" s="19"/>
      <c r="D57" s="31" t="str">
        <f>IF(D$9&lt;1,"",(D20/$C20*(D$9)*$C$47+D31/$C20*(D$9)*$C$48+D42/$C20*(D$9)*$C$49))</f>
        <v/>
      </c>
      <c r="E57" s="31" t="str">
        <f t="shared" ref="E57:X57" si="5">IF(E$9&lt;1,"",(E20/$C20*(E$9)*$C$47+E31/$C20*(E$9)*$C$48+E42/$C20*(E$9)*$C$49))</f>
        <v/>
      </c>
      <c r="F57" s="31">
        <f t="shared" si="5"/>
        <v>1</v>
      </c>
      <c r="G57" s="31">
        <f t="shared" si="5"/>
        <v>1.0088917324448703</v>
      </c>
      <c r="H57" s="31">
        <f t="shared" si="5"/>
        <v>1.0130887750080817</v>
      </c>
      <c r="I57" s="31">
        <f t="shared" si="5"/>
        <v>1.0065951231287544</v>
      </c>
      <c r="J57" s="31">
        <f t="shared" si="5"/>
        <v>0.98234460943997237</v>
      </c>
      <c r="K57" s="31">
        <f t="shared" si="5"/>
        <v>0.9718523207506411</v>
      </c>
      <c r="L57" s="31">
        <f t="shared" si="5"/>
        <v>0.9803216319650897</v>
      </c>
      <c r="M57" s="31">
        <f t="shared" si="5"/>
        <v>0.95831975992461083</v>
      </c>
      <c r="N57" s="31">
        <f t="shared" si="5"/>
        <v>0.9490040771699737</v>
      </c>
      <c r="O57" s="31">
        <f t="shared" si="5"/>
        <v>0.93200189999812311</v>
      </c>
      <c r="P57" s="31">
        <f t="shared" si="5"/>
        <v>0.91467218431819031</v>
      </c>
      <c r="Q57" s="31">
        <f t="shared" si="5"/>
        <v>0.90795857250080103</v>
      </c>
      <c r="R57" s="31">
        <f t="shared" si="5"/>
        <v>0.91025134999427693</v>
      </c>
      <c r="S57" s="31">
        <f t="shared" si="5"/>
        <v>0.91173491324563738</v>
      </c>
      <c r="T57" s="31">
        <f t="shared" si="5"/>
        <v>0.92453324361506162</v>
      </c>
      <c r="U57" s="31">
        <f t="shared" si="5"/>
        <v>0.9217928163056649</v>
      </c>
      <c r="V57" s="31">
        <f t="shared" si="5"/>
        <v>0.9155782331538832</v>
      </c>
      <c r="W57" s="31">
        <f t="shared" si="5"/>
        <v>0.9155782331538832</v>
      </c>
      <c r="X57" s="114">
        <f t="shared" si="5"/>
        <v>0.9155782331538832</v>
      </c>
    </row>
    <row r="58" spans="1:30" x14ac:dyDescent="0.2">
      <c r="B58" s="111" t="s">
        <v>270</v>
      </c>
      <c r="C58" s="19"/>
      <c r="D58" s="31" t="str">
        <f>IF(D$9&lt;1,"",(D21/$C21*(D$9)*$C$47+D32/$C21*(D$9)*$C$48+D43/$C21*(D$9)*$C$49))</f>
        <v/>
      </c>
      <c r="E58" s="31" t="str">
        <f t="shared" ref="E58:X58" si="6">IF(E$9&lt;1,"",(E21/$C21*(E$9)*$C$47+E32/$C21*(E$9)*$C$48+E43/$C21*(E$9)*$C$49))</f>
        <v/>
      </c>
      <c r="F58" s="31">
        <f t="shared" si="6"/>
        <v>1</v>
      </c>
      <c r="G58" s="31">
        <f t="shared" si="6"/>
        <v>1.0104893696138002</v>
      </c>
      <c r="H58" s="31">
        <f t="shared" si="6"/>
        <v>1.0195185817203067</v>
      </c>
      <c r="I58" s="31">
        <f t="shared" si="6"/>
        <v>1.0005031741825741</v>
      </c>
      <c r="J58" s="31">
        <f t="shared" si="6"/>
        <v>0.99776181055832924</v>
      </c>
      <c r="K58" s="31">
        <f t="shared" si="6"/>
        <v>0.98989377080275487</v>
      </c>
      <c r="L58" s="31">
        <f t="shared" si="6"/>
        <v>1.0084606946101649</v>
      </c>
      <c r="M58" s="31">
        <f t="shared" si="6"/>
        <v>1.0055629671277369</v>
      </c>
      <c r="N58" s="31">
        <f t="shared" si="6"/>
        <v>0.98332665458266577</v>
      </c>
      <c r="O58" s="31">
        <f t="shared" si="6"/>
        <v>0.9581015040905051</v>
      </c>
      <c r="P58" s="31">
        <f t="shared" si="6"/>
        <v>0.94469547301499235</v>
      </c>
      <c r="Q58" s="31">
        <f t="shared" si="6"/>
        <v>0.93105387479208068</v>
      </c>
      <c r="R58" s="31">
        <f t="shared" si="6"/>
        <v>0.92458420578551115</v>
      </c>
      <c r="S58" s="31">
        <f t="shared" si="6"/>
        <v>0.92220258401540156</v>
      </c>
      <c r="T58" s="31">
        <f t="shared" si="6"/>
        <v>0.91430532321563784</v>
      </c>
      <c r="U58" s="31">
        <f t="shared" si="6"/>
        <v>0.92757635128141236</v>
      </c>
      <c r="V58" s="31">
        <f t="shared" si="6"/>
        <v>0.91354776401679239</v>
      </c>
      <c r="W58" s="31">
        <f t="shared" si="6"/>
        <v>0.91354776401679239</v>
      </c>
      <c r="X58" s="114">
        <f t="shared" si="6"/>
        <v>0.91354776401679239</v>
      </c>
    </row>
    <row r="59" spans="1:30" x14ac:dyDescent="0.2">
      <c r="B59" s="115" t="s">
        <v>356</v>
      </c>
      <c r="C59" s="116"/>
      <c r="D59" s="117" t="str">
        <f>IF(D$9&lt;1,"",(D22/$C22*(D$9)*$C$47+D33/$C22*(D$9)*$C$48+D44/$C22*(D$9)*$C$49))</f>
        <v/>
      </c>
      <c r="E59" s="117" t="str">
        <f t="shared" ref="E59:X59" si="7">IF(E$9&lt;1,"",(E22/$C22*(E$9)*$C$47+E33/$C22*(E$9)*$C$48+E44/$C22*(E$9)*$C$49))</f>
        <v/>
      </c>
      <c r="F59" s="117">
        <f t="shared" si="7"/>
        <v>1</v>
      </c>
      <c r="G59" s="117">
        <f t="shared" si="7"/>
        <v>1.0075865310969168</v>
      </c>
      <c r="H59" s="117">
        <f t="shared" si="7"/>
        <v>1.0115682376063493</v>
      </c>
      <c r="I59" s="117">
        <f t="shared" si="7"/>
        <v>1.0016460253011878</v>
      </c>
      <c r="J59" s="117">
        <f t="shared" si="7"/>
        <v>0.97825340616518208</v>
      </c>
      <c r="K59" s="117">
        <f t="shared" si="7"/>
        <v>0.96964720704013796</v>
      </c>
      <c r="L59" s="117">
        <f t="shared" si="7"/>
        <v>0.98215539337602664</v>
      </c>
      <c r="M59" s="117">
        <f t="shared" si="7"/>
        <v>0.98771250152416845</v>
      </c>
      <c r="N59" s="117">
        <f t="shared" si="7"/>
        <v>0.97356428501398862</v>
      </c>
      <c r="O59" s="117">
        <f t="shared" si="7"/>
        <v>0.95141163182544208</v>
      </c>
      <c r="P59" s="117">
        <f t="shared" si="7"/>
        <v>0.93106072525573602</v>
      </c>
      <c r="Q59" s="117">
        <f t="shared" si="7"/>
        <v>0.92188436127049878</v>
      </c>
      <c r="R59" s="117">
        <f t="shared" si="7"/>
        <v>0.91564220566456</v>
      </c>
      <c r="S59" s="117">
        <f t="shared" si="7"/>
        <v>0.90259855188519733</v>
      </c>
      <c r="T59" s="117">
        <f t="shared" si="7"/>
        <v>0.90979839543802199</v>
      </c>
      <c r="U59" s="117">
        <f t="shared" si="7"/>
        <v>0.90577087012549107</v>
      </c>
      <c r="V59" s="117">
        <f t="shared" si="7"/>
        <v>0.89716178579190409</v>
      </c>
      <c r="W59" s="117">
        <f t="shared" si="7"/>
        <v>0.89716178579190409</v>
      </c>
      <c r="X59" s="118">
        <f t="shared" si="7"/>
        <v>0.89716178579190409</v>
      </c>
    </row>
    <row r="61" spans="1:30" x14ac:dyDescent="0.2">
      <c r="B61" s="11" t="s">
        <v>364</v>
      </c>
      <c r="C61" s="50" t="s">
        <v>365</v>
      </c>
    </row>
    <row r="62" spans="1:30" x14ac:dyDescent="0.2">
      <c r="B62" s="11" t="s">
        <v>366</v>
      </c>
      <c r="C62" s="32">
        <v>44476</v>
      </c>
    </row>
    <row r="64" spans="1:30" x14ac:dyDescent="0.2">
      <c r="A64" s="33"/>
      <c r="B64" s="33" t="s">
        <v>239</v>
      </c>
      <c r="C64" s="33"/>
      <c r="D64" s="51"/>
      <c r="E64" s="51"/>
      <c r="F64" s="51"/>
      <c r="G64" s="51"/>
      <c r="H64" s="51"/>
      <c r="I64" s="51"/>
      <c r="J64" s="51"/>
      <c r="K64" s="51"/>
      <c r="L64" s="51"/>
      <c r="M64" s="51"/>
      <c r="N64" s="51"/>
      <c r="O64" s="51"/>
      <c r="P64" s="51"/>
      <c r="Q64" s="51"/>
      <c r="R64" s="51"/>
      <c r="S64" s="51"/>
      <c r="T64" s="51"/>
      <c r="U64" s="51"/>
      <c r="V64" s="51"/>
      <c r="W64" s="51"/>
      <c r="X64" s="51"/>
      <c r="Y64" s="51"/>
      <c r="Z64" s="51"/>
      <c r="AA64" s="51"/>
      <c r="AB64" s="51"/>
      <c r="AC64" s="51"/>
      <c r="AD64" s="51"/>
    </row>
  </sheetData>
  <hyperlinks>
    <hyperlink ref="C61" r:id="rId1" display="https://www.gov.uk/government/collections/energy-and-emissions-projections" xr:uid="{4F5DE7E6-C1CF-41F1-BBD9-262211B91C97}"/>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A9979-B831-47A4-85C4-0F44E3328357}">
  <dimension ref="B3:B49"/>
  <sheetViews>
    <sheetView workbookViewId="0">
      <selection activeCell="B22" sqref="B22"/>
    </sheetView>
  </sheetViews>
  <sheetFormatPr defaultColWidth="9.140625" defaultRowHeight="12.75" x14ac:dyDescent="0.2"/>
  <cols>
    <col min="1" max="1" width="3.7109375" style="11" customWidth="1"/>
    <col min="2" max="2" width="29.85546875" style="11" customWidth="1"/>
    <col min="3" max="16384" width="9.140625" style="11"/>
  </cols>
  <sheetData>
    <row r="3" spans="2:2" x14ac:dyDescent="0.2">
      <c r="B3" s="11" t="s">
        <v>367</v>
      </c>
    </row>
    <row r="4" spans="2:2" x14ac:dyDescent="0.2">
      <c r="B4" s="11" t="s">
        <v>107</v>
      </c>
    </row>
    <row r="5" spans="2:2" x14ac:dyDescent="0.2">
      <c r="B5" s="11" t="s">
        <v>110</v>
      </c>
    </row>
    <row r="7" spans="2:2" x14ac:dyDescent="0.2">
      <c r="B7" s="11" t="s">
        <v>368</v>
      </c>
    </row>
    <row r="8" spans="2:2" x14ac:dyDescent="0.2">
      <c r="B8" s="11" t="s">
        <v>235</v>
      </c>
    </row>
    <row r="9" spans="2:2" x14ac:dyDescent="0.2">
      <c r="B9" s="11" t="s">
        <v>236</v>
      </c>
    </row>
    <row r="10" spans="2:2" x14ac:dyDescent="0.2">
      <c r="B10" s="11" t="s">
        <v>87</v>
      </c>
    </row>
    <row r="12" spans="2:2" x14ac:dyDescent="0.2">
      <c r="B12" s="11" t="s">
        <v>369</v>
      </c>
    </row>
    <row r="13" spans="2:2" x14ac:dyDescent="0.2">
      <c r="B13" s="11" t="s">
        <v>370</v>
      </c>
    </row>
    <row r="14" spans="2:2" x14ac:dyDescent="0.2">
      <c r="B14" s="11" t="s">
        <v>79</v>
      </c>
    </row>
    <row r="16" spans="2:2" x14ac:dyDescent="0.2">
      <c r="B16" s="11" t="s">
        <v>185</v>
      </c>
    </row>
    <row r="17" spans="2:2" x14ac:dyDescent="0.2">
      <c r="B17" s="11" t="s">
        <v>371</v>
      </c>
    </row>
    <row r="18" spans="2:2" x14ac:dyDescent="0.2">
      <c r="B18" s="11" t="s">
        <v>140</v>
      </c>
    </row>
    <row r="19" spans="2:2" x14ac:dyDescent="0.2">
      <c r="B19" s="11" t="s">
        <v>372</v>
      </c>
    </row>
    <row r="21" spans="2:2" x14ac:dyDescent="0.2">
      <c r="B21" s="11" t="s">
        <v>373</v>
      </c>
    </row>
    <row r="22" spans="2:2" x14ac:dyDescent="0.2">
      <c r="B22" s="11" t="s">
        <v>374</v>
      </c>
    </row>
    <row r="23" spans="2:2" x14ac:dyDescent="0.2">
      <c r="B23" s="11" t="s">
        <v>104</v>
      </c>
    </row>
    <row r="24" spans="2:2" x14ac:dyDescent="0.2">
      <c r="B24" s="11" t="s">
        <v>375</v>
      </c>
    </row>
    <row r="26" spans="2:2" x14ac:dyDescent="0.2">
      <c r="B26" s="11" t="s">
        <v>376</v>
      </c>
    </row>
    <row r="27" spans="2:2" x14ac:dyDescent="0.2">
      <c r="B27" s="11" t="s">
        <v>349</v>
      </c>
    </row>
    <row r="28" spans="2:2" x14ac:dyDescent="0.2">
      <c r="B28" s="11" t="s">
        <v>127</v>
      </c>
    </row>
    <row r="29" spans="2:2" x14ac:dyDescent="0.2">
      <c r="B29" s="11" t="s">
        <v>350</v>
      </c>
    </row>
    <row r="31" spans="2:2" x14ac:dyDescent="0.2">
      <c r="B31" s="11" t="s">
        <v>377</v>
      </c>
    </row>
    <row r="32" spans="2:2" x14ac:dyDescent="0.2">
      <c r="B32" s="11" t="s">
        <v>130</v>
      </c>
    </row>
    <row r="33" spans="2:2" x14ac:dyDescent="0.2">
      <c r="B33" s="11" t="s">
        <v>378</v>
      </c>
    </row>
    <row r="35" spans="2:2" x14ac:dyDescent="0.2">
      <c r="B35" s="11" t="s">
        <v>379</v>
      </c>
    </row>
    <row r="36" spans="2:2" x14ac:dyDescent="0.2">
      <c r="B36" s="11" t="s">
        <v>380</v>
      </c>
    </row>
    <row r="37" spans="2:2" x14ac:dyDescent="0.2">
      <c r="B37" s="11" t="s">
        <v>381</v>
      </c>
    </row>
    <row r="38" spans="2:2" x14ac:dyDescent="0.2">
      <c r="B38" s="11" t="s">
        <v>382</v>
      </c>
    </row>
    <row r="39" spans="2:2" x14ac:dyDescent="0.2">
      <c r="B39" s="11" t="s">
        <v>383</v>
      </c>
    </row>
    <row r="40" spans="2:2" x14ac:dyDescent="0.2">
      <c r="B40" s="11" t="s">
        <v>384</v>
      </c>
    </row>
    <row r="41" spans="2:2" x14ac:dyDescent="0.2">
      <c r="B41" s="11" t="s">
        <v>385</v>
      </c>
    </row>
    <row r="42" spans="2:2" x14ac:dyDescent="0.2">
      <c r="B42" s="11" t="s">
        <v>386</v>
      </c>
    </row>
    <row r="43" spans="2:2" x14ac:dyDescent="0.2">
      <c r="B43" s="11" t="s">
        <v>387</v>
      </c>
    </row>
    <row r="44" spans="2:2" x14ac:dyDescent="0.2">
      <c r="B44" s="11" t="s">
        <v>388</v>
      </c>
    </row>
    <row r="45" spans="2:2" x14ac:dyDescent="0.2">
      <c r="B45" s="11" t="s">
        <v>389</v>
      </c>
    </row>
    <row r="46" spans="2:2" x14ac:dyDescent="0.2">
      <c r="B46" s="11" t="s">
        <v>390</v>
      </c>
    </row>
    <row r="47" spans="2:2" x14ac:dyDescent="0.2">
      <c r="B47" s="11" t="s">
        <v>391</v>
      </c>
    </row>
    <row r="48" spans="2:2" x14ac:dyDescent="0.2">
      <c r="B48" s="11" t="s">
        <v>392</v>
      </c>
    </row>
    <row r="49" spans="2:2" x14ac:dyDescent="0.2">
      <c r="B49" s="11" t="s">
        <v>393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9FAEFEE351864B9C55185F174C5D3C" ma:contentTypeVersion="2" ma:contentTypeDescription="Create a new document." ma:contentTypeScope="" ma:versionID="d3c1733bb1124947287f95364f162d91">
  <xsd:schema xmlns:xsd="http://www.w3.org/2001/XMLSchema" xmlns:xs="http://www.w3.org/2001/XMLSchema" xmlns:p="http://schemas.microsoft.com/office/2006/metadata/properties" xmlns:ns2="280c889d-5107-4fa0-b600-fb38ee473165" targetNamespace="http://schemas.microsoft.com/office/2006/metadata/properties" ma:root="true" ma:fieldsID="42884234d4fe9559fe9b5237522f7262" ns2:_="">
    <xsd:import namespace="280c889d-5107-4fa0-b600-fb38ee47316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c889d-5107-4fa0-b600-fb38ee4731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F10147-1E2E-40A9-9385-0A6FCA5E08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0c889d-5107-4fa0-b600-fb38ee47316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66BB7D5-B044-499A-B320-53894630628A}">
  <ds:schemaRefs>
    <ds:schemaRef ds:uri="http://schemas.microsoft.com/sharepoint/v3/contenttype/forms"/>
  </ds:schemaRefs>
</ds:datastoreItem>
</file>

<file path=customXml/itemProps3.xml><?xml version="1.0" encoding="utf-8"?>
<ds:datastoreItem xmlns:ds="http://schemas.openxmlformats.org/officeDocument/2006/customXml" ds:itemID="{520AB50D-C208-463C-AC56-5E2F0134F7CB}">
  <ds:schemaRefs>
    <ds:schemaRef ds:uri="http://schemas.openxmlformats.org/package/2006/metadata/core-properties"/>
    <ds:schemaRef ds:uri="http://purl.org/dc/terms/"/>
    <ds:schemaRef ds:uri="http://schemas.microsoft.com/office/2006/documentManagement/types"/>
    <ds:schemaRef ds:uri="http://www.w3.org/XML/1998/namespace"/>
    <ds:schemaRef ds:uri="http://purl.org/dc/elements/1.1/"/>
    <ds:schemaRef ds:uri="http://purl.org/dc/dcmitype/"/>
    <ds:schemaRef ds:uri="http://schemas.microsoft.com/office/2006/metadata/properties"/>
    <ds:schemaRef ds:uri="http://schemas.microsoft.com/office/infopath/2007/PartnerControls"/>
    <ds:schemaRef ds:uri="280c889d-5107-4fa0-b600-fb38ee47316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7</vt:i4>
      </vt:variant>
    </vt:vector>
  </HeadingPairs>
  <TitlesOfParts>
    <vt:vector size="25" baseType="lpstr">
      <vt:lpstr>Version control</vt:lpstr>
      <vt:lpstr>Guide</vt:lpstr>
      <vt:lpstr>Dashboard</vt:lpstr>
      <vt:lpstr>Heat connections inputs</vt:lpstr>
      <vt:lpstr>Pipe data inputs</vt:lpstr>
      <vt:lpstr>Heat supplies inputs</vt:lpstr>
      <vt:lpstr>Heat connections</vt:lpstr>
      <vt:lpstr>Pipe data</vt:lpstr>
      <vt:lpstr>Heat supplies</vt:lpstr>
      <vt:lpstr>Technical inputs</vt:lpstr>
      <vt:lpstr>Operating model</vt:lpstr>
      <vt:lpstr>OPEX</vt:lpstr>
      <vt:lpstr>CAPEX</vt:lpstr>
      <vt:lpstr>Revenue</vt:lpstr>
      <vt:lpstr>Financial Analysis</vt:lpstr>
      <vt:lpstr>CO2e</vt:lpstr>
      <vt:lpstr>Price projections</vt:lpstr>
      <vt:lpstr>Lists</vt:lpstr>
      <vt:lpstr>Auxillaryboilers</vt:lpstr>
      <vt:lpstr>BEISpriceprojections</vt:lpstr>
      <vt:lpstr>Counterfactual</vt:lpstr>
      <vt:lpstr>Energytariffindexing</vt:lpstr>
      <vt:lpstr>Phase</vt:lpstr>
      <vt:lpstr>Years</vt:lpstr>
      <vt:lpstr>YesNo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Alexis Ciunek</dc:creator>
  <cp:keywords/>
  <dc:description/>
  <cp:lastModifiedBy>Adrien Grubb</cp:lastModifiedBy>
  <cp:revision/>
  <dcterms:created xsi:type="dcterms:W3CDTF">2022-11-14T13:11:09Z</dcterms:created>
  <dcterms:modified xsi:type="dcterms:W3CDTF">2023-06-23T14:01:23Z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0x010100239FAEFEE351864B9C55185F174C5D3C</vt:lpwstr>
  </property>
</Properties>
</file>