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16"/>
  <workbookPr defaultThemeVersion="166925"/>
  <xr:revisionPtr revIDLastSave="0" documentId="8_{A4F99E25-5DCC-4EFB-8888-731C041BCB62}" xr6:coauthVersionLast="47" xr6:coauthVersionMax="47" xr10:uidLastSave="{00000000-0000-0000-0000-000000000000}"/>
  <bookViews>
    <workbookView xWindow="0" yWindow="0" windowWidth="16384" windowHeight="8192" tabRatio="500" firstSheet="3" activeTab="4" xr2:uid="{00000000-000D-0000-FFFF-FFFF00000000}"/>
  </bookViews>
  <sheets>
    <sheet name="Version control" sheetId="1" r:id="rId1"/>
    <sheet name="Guide" sheetId="2" r:id="rId2"/>
    <sheet name="Dashboard" sheetId="3" r:id="rId3"/>
    <sheet name="Heat connections" sheetId="4" r:id="rId4"/>
    <sheet name="Pipe data" sheetId="5" r:id="rId5"/>
    <sheet name="Heat supplies" sheetId="6" r:id="rId6"/>
    <sheet name="Technical inputs" sheetId="7" r:id="rId7"/>
    <sheet name="Operating model" sheetId="8" r:id="rId8"/>
    <sheet name="OPEX" sheetId="9" r:id="rId9"/>
    <sheet name="CAPEX" sheetId="10" r:id="rId10"/>
    <sheet name="Revenue" sheetId="11" r:id="rId11"/>
    <sheet name="Financial Analysis" sheetId="12" r:id="rId12"/>
    <sheet name="CO2e" sheetId="13" r:id="rId13"/>
    <sheet name="Social IRR" sheetId="14" r:id="rId14"/>
    <sheet name="Price projections" sheetId="15" r:id="rId15"/>
    <sheet name="Lists" sheetId="16" r:id="rId16"/>
  </sheets>
  <definedNames>
    <definedName name="Auxillaryboilers">Lists!$B$22:$B$24</definedName>
    <definedName name="BEISpriceprojections">Lists!$B$27:$B$29</definedName>
    <definedName name="Counterfactual">Lists!$B$17:$B$19</definedName>
    <definedName name="Energytariffindexing">Lists!$B$32:$B$33</definedName>
    <definedName name="Phase">Lists!$B$8:$B$10</definedName>
    <definedName name="Years">Lists!$B$12:$B$14</definedName>
    <definedName name="YesNo">Lists!$B$4:$B$5</definedName>
  </definedNames>
  <calcPr calcId="191028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9" i="15" l="1"/>
  <c r="C48" i="15"/>
  <c r="C47" i="15"/>
  <c r="W44" i="15"/>
  <c r="X44" i="15" s="1"/>
  <c r="C44" i="15"/>
  <c r="W43" i="15"/>
  <c r="X43" i="15" s="1"/>
  <c r="C43" i="15"/>
  <c r="W42" i="15"/>
  <c r="X42" i="15" s="1"/>
  <c r="C42" i="15"/>
  <c r="W39" i="15"/>
  <c r="X39" i="15" s="1"/>
  <c r="C39" i="15"/>
  <c r="W38" i="15"/>
  <c r="X38" i="15" s="1"/>
  <c r="C38" i="15"/>
  <c r="W37" i="15"/>
  <c r="X37" i="15" s="1"/>
  <c r="C37" i="15"/>
  <c r="W33" i="15"/>
  <c r="X33" i="15" s="1"/>
  <c r="C33" i="15"/>
  <c r="W32" i="15"/>
  <c r="X32" i="15" s="1"/>
  <c r="C32" i="15"/>
  <c r="W31" i="15"/>
  <c r="X31" i="15" s="1"/>
  <c r="C31" i="15"/>
  <c r="W28" i="15"/>
  <c r="X28" i="15" s="1"/>
  <c r="C28" i="15"/>
  <c r="W27" i="15"/>
  <c r="X27" i="15" s="1"/>
  <c r="C27" i="15"/>
  <c r="W26" i="15"/>
  <c r="X26" i="15" s="1"/>
  <c r="C26" i="15"/>
  <c r="W22" i="15"/>
  <c r="X22" i="15" s="1"/>
  <c r="C22" i="15"/>
  <c r="W21" i="15"/>
  <c r="X21" i="15" s="1"/>
  <c r="C21" i="15"/>
  <c r="W20" i="15"/>
  <c r="X20" i="15" s="1"/>
  <c r="C20" i="15"/>
  <c r="W17" i="15"/>
  <c r="X17" i="15" s="1"/>
  <c r="C17" i="15"/>
  <c r="W16" i="15"/>
  <c r="X16" i="15" s="1"/>
  <c r="C16" i="15"/>
  <c r="W15" i="15"/>
  <c r="X15" i="15" s="1"/>
  <c r="C15" i="15"/>
  <c r="X9" i="15"/>
  <c r="W9" i="15"/>
  <c r="V9" i="15"/>
  <c r="U9" i="15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D4" i="14"/>
  <c r="E4" i="14" s="1"/>
  <c r="F4" i="14" s="1"/>
  <c r="G4" i="14" s="1"/>
  <c r="H4" i="14" s="1"/>
  <c r="I4" i="14" s="1"/>
  <c r="J4" i="14" s="1"/>
  <c r="K4" i="14" s="1"/>
  <c r="L4" i="14" s="1"/>
  <c r="M4" i="14" s="1"/>
  <c r="N4" i="14" s="1"/>
  <c r="O4" i="14" s="1"/>
  <c r="P4" i="14" s="1"/>
  <c r="Q4" i="14" s="1"/>
  <c r="R4" i="14" s="1"/>
  <c r="S4" i="14" s="1"/>
  <c r="T4" i="14" s="1"/>
  <c r="U4" i="14" s="1"/>
  <c r="V4" i="14" s="1"/>
  <c r="W4" i="14" s="1"/>
  <c r="X4" i="14" s="1"/>
  <c r="Y4" i="14" s="1"/>
  <c r="Z4" i="14" s="1"/>
  <c r="AA4" i="14" s="1"/>
  <c r="AB4" i="14" s="1"/>
  <c r="AC4" i="14" s="1"/>
  <c r="AD4" i="14" s="1"/>
  <c r="AE4" i="14" s="1"/>
  <c r="AF4" i="14" s="1"/>
  <c r="AG4" i="14" s="1"/>
  <c r="AH4" i="14" s="1"/>
  <c r="AI4" i="14" s="1"/>
  <c r="AJ4" i="14" s="1"/>
  <c r="AK4" i="14" s="1"/>
  <c r="AL4" i="14" s="1"/>
  <c r="AM4" i="14" s="1"/>
  <c r="AN4" i="14" s="1"/>
  <c r="AO4" i="14" s="1"/>
  <c r="AP4" i="14" s="1"/>
  <c r="AQ4" i="14" s="1"/>
  <c r="AR4" i="14" s="1"/>
  <c r="AS4" i="14" s="1"/>
  <c r="AT4" i="14" s="1"/>
  <c r="AU4" i="14" s="1"/>
  <c r="AV4" i="14" s="1"/>
  <c r="AW4" i="14" s="1"/>
  <c r="AX4" i="14" s="1"/>
  <c r="AY4" i="14" s="1"/>
  <c r="AZ4" i="14" s="1"/>
  <c r="BA4" i="14" s="1"/>
  <c r="BB4" i="14" s="1"/>
  <c r="BC4" i="14" s="1"/>
  <c r="BD4" i="14" s="1"/>
  <c r="BE4" i="14" s="1"/>
  <c r="BF4" i="14" s="1"/>
  <c r="BG4" i="14" s="1"/>
  <c r="BH4" i="14" s="1"/>
  <c r="BI4" i="14" s="1"/>
  <c r="BJ4" i="14" s="1"/>
  <c r="BK4" i="14" s="1"/>
  <c r="C4" i="14"/>
  <c r="BK73" i="13"/>
  <c r="BJ73" i="13"/>
  <c r="BI73" i="13"/>
  <c r="BH73" i="13"/>
  <c r="BG73" i="13"/>
  <c r="BF73" i="13"/>
  <c r="BE73" i="13"/>
  <c r="BD73" i="13"/>
  <c r="BC73" i="13"/>
  <c r="BB73" i="13"/>
  <c r="BA73" i="13"/>
  <c r="AZ73" i="13"/>
  <c r="AY73" i="13"/>
  <c r="AX73" i="13"/>
  <c r="AW73" i="13"/>
  <c r="AV73" i="13"/>
  <c r="AU73" i="13"/>
  <c r="AT73" i="13"/>
  <c r="AS73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BK63" i="13"/>
  <c r="BJ63" i="13"/>
  <c r="BI63" i="13"/>
  <c r="BH63" i="13"/>
  <c r="BG63" i="13"/>
  <c r="BF63" i="13"/>
  <c r="BE63" i="13"/>
  <c r="BD63" i="13"/>
  <c r="BC63" i="13"/>
  <c r="BB63" i="13"/>
  <c r="BA63" i="13"/>
  <c r="AZ63" i="13"/>
  <c r="AY63" i="13"/>
  <c r="AX63" i="13"/>
  <c r="AW63" i="13"/>
  <c r="AV63" i="13"/>
  <c r="AU63" i="13"/>
  <c r="AT63" i="13"/>
  <c r="AS63" i="13"/>
  <c r="AR63" i="13"/>
  <c r="AQ63" i="13"/>
  <c r="AP63" i="13"/>
  <c r="AO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BK62" i="13"/>
  <c r="BJ62" i="13"/>
  <c r="BI62" i="13"/>
  <c r="BH62" i="13"/>
  <c r="BG62" i="13"/>
  <c r="BF62" i="13"/>
  <c r="BE62" i="13"/>
  <c r="BD62" i="13"/>
  <c r="BC62" i="13"/>
  <c r="BB62" i="13"/>
  <c r="BA62" i="13"/>
  <c r="AZ62" i="13"/>
  <c r="AY62" i="13"/>
  <c r="AX62" i="13"/>
  <c r="AW62" i="13"/>
  <c r="AV62" i="13"/>
  <c r="AU62" i="13"/>
  <c r="AT62" i="13"/>
  <c r="AS62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D21" i="13"/>
  <c r="C21" i="13"/>
  <c r="C13" i="13"/>
  <c r="C12" i="13"/>
  <c r="C11" i="13"/>
  <c r="C10" i="13"/>
  <c r="D3" i="13"/>
  <c r="AR217" i="12"/>
  <c r="AQ217" i="12"/>
  <c r="AP217" i="12"/>
  <c r="AO217" i="12"/>
  <c r="AN217" i="12"/>
  <c r="AM217" i="12"/>
  <c r="AL217" i="12"/>
  <c r="AK217" i="12"/>
  <c r="AJ217" i="12"/>
  <c r="AI217" i="12"/>
  <c r="AH217" i="12"/>
  <c r="AG217" i="12"/>
  <c r="AF217" i="12"/>
  <c r="AE217" i="12"/>
  <c r="AD217" i="12"/>
  <c r="AC217" i="12"/>
  <c r="AB217" i="12"/>
  <c r="AA217" i="12"/>
  <c r="Z217" i="12"/>
  <c r="Y217" i="12"/>
  <c r="X217" i="12"/>
  <c r="W217" i="12"/>
  <c r="V217" i="12"/>
  <c r="U217" i="12"/>
  <c r="T217" i="12"/>
  <c r="S217" i="12"/>
  <c r="R217" i="12"/>
  <c r="Q217" i="12"/>
  <c r="P217" i="12"/>
  <c r="O217" i="12"/>
  <c r="N217" i="12"/>
  <c r="M217" i="12"/>
  <c r="L217" i="12"/>
  <c r="K217" i="12"/>
  <c r="J217" i="12"/>
  <c r="I217" i="12"/>
  <c r="H217" i="12"/>
  <c r="G217" i="12"/>
  <c r="F217" i="12"/>
  <c r="E217" i="12"/>
  <c r="D217" i="12"/>
  <c r="C172" i="12"/>
  <c r="BL107" i="12"/>
  <c r="BK107" i="12"/>
  <c r="BJ107" i="12"/>
  <c r="BI107" i="12"/>
  <c r="BH107" i="12"/>
  <c r="BG107" i="12"/>
  <c r="BF107" i="12"/>
  <c r="BE107" i="12"/>
  <c r="BD107" i="12"/>
  <c r="BC107" i="12"/>
  <c r="BB107" i="12"/>
  <c r="BA107" i="12"/>
  <c r="AZ107" i="12"/>
  <c r="AY107" i="12"/>
  <c r="AX107" i="12"/>
  <c r="AW107" i="12"/>
  <c r="AV107" i="12"/>
  <c r="AU107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BL106" i="12"/>
  <c r="BK106" i="12"/>
  <c r="BJ106" i="12"/>
  <c r="BI106" i="12"/>
  <c r="BH106" i="12"/>
  <c r="BG106" i="12"/>
  <c r="BF106" i="12"/>
  <c r="BE106" i="12"/>
  <c r="BD106" i="12"/>
  <c r="BC106" i="12"/>
  <c r="BB106" i="12"/>
  <c r="BA106" i="12"/>
  <c r="AZ106" i="12"/>
  <c r="AY106" i="12"/>
  <c r="AX106" i="12"/>
  <c r="AW106" i="12"/>
  <c r="AV106" i="12"/>
  <c r="AU106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BL69" i="12"/>
  <c r="BL70" i="12" s="1"/>
  <c r="BK69" i="12"/>
  <c r="BK70" i="12" s="1"/>
  <c r="BJ69" i="12"/>
  <c r="BJ70" i="12" s="1"/>
  <c r="BI69" i="12"/>
  <c r="BI70" i="12" s="1"/>
  <c r="BH69" i="12"/>
  <c r="BH70" i="12" s="1"/>
  <c r="BG69" i="12"/>
  <c r="BG70" i="12" s="1"/>
  <c r="BF69" i="12"/>
  <c r="BF70" i="12" s="1"/>
  <c r="BE69" i="12"/>
  <c r="BE70" i="12" s="1"/>
  <c r="BD69" i="12"/>
  <c r="BD70" i="12" s="1"/>
  <c r="BC69" i="12"/>
  <c r="BC70" i="12" s="1"/>
  <c r="BB69" i="12"/>
  <c r="BB70" i="12" s="1"/>
  <c r="BA69" i="12"/>
  <c r="BA70" i="12" s="1"/>
  <c r="AZ69" i="12"/>
  <c r="AZ70" i="12" s="1"/>
  <c r="AY69" i="12"/>
  <c r="AY70" i="12" s="1"/>
  <c r="AX69" i="12"/>
  <c r="AX70" i="12" s="1"/>
  <c r="AW69" i="12"/>
  <c r="AW70" i="12" s="1"/>
  <c r="AV69" i="12"/>
  <c r="AV70" i="12" s="1"/>
  <c r="AU69" i="12"/>
  <c r="AU70" i="12" s="1"/>
  <c r="AT69" i="12"/>
  <c r="AT70" i="12" s="1"/>
  <c r="AS69" i="12"/>
  <c r="AS70" i="12" s="1"/>
  <c r="AR69" i="12"/>
  <c r="AR70" i="12" s="1"/>
  <c r="AQ69" i="12"/>
  <c r="AQ70" i="12" s="1"/>
  <c r="AP69" i="12"/>
  <c r="AP70" i="12" s="1"/>
  <c r="AO69" i="12"/>
  <c r="AO70" i="12" s="1"/>
  <c r="AN69" i="12"/>
  <c r="AN70" i="12" s="1"/>
  <c r="AM69" i="12"/>
  <c r="AM70" i="12" s="1"/>
  <c r="AL69" i="12"/>
  <c r="AL70" i="12" s="1"/>
  <c r="AK69" i="12"/>
  <c r="AK70" i="12" s="1"/>
  <c r="AJ69" i="12"/>
  <c r="AJ70" i="12" s="1"/>
  <c r="AI69" i="12"/>
  <c r="AI70" i="12" s="1"/>
  <c r="AH69" i="12"/>
  <c r="AH70" i="12" s="1"/>
  <c r="AG69" i="12"/>
  <c r="AG70" i="12" s="1"/>
  <c r="AF69" i="12"/>
  <c r="AF70" i="12" s="1"/>
  <c r="AE69" i="12"/>
  <c r="AE70" i="12" s="1"/>
  <c r="AD69" i="12"/>
  <c r="AD70" i="12" s="1"/>
  <c r="AC69" i="12"/>
  <c r="AC70" i="12" s="1"/>
  <c r="AB69" i="12"/>
  <c r="AB70" i="12" s="1"/>
  <c r="AA69" i="12"/>
  <c r="AA70" i="12" s="1"/>
  <c r="Z69" i="12"/>
  <c r="Z70" i="12" s="1"/>
  <c r="Y69" i="12"/>
  <c r="Y70" i="12" s="1"/>
  <c r="X69" i="12"/>
  <c r="X70" i="12" s="1"/>
  <c r="W69" i="12"/>
  <c r="W70" i="12" s="1"/>
  <c r="V69" i="12"/>
  <c r="V70" i="12" s="1"/>
  <c r="U69" i="12"/>
  <c r="U70" i="12" s="1"/>
  <c r="T69" i="12"/>
  <c r="T70" i="12" s="1"/>
  <c r="S69" i="12"/>
  <c r="S70" i="12" s="1"/>
  <c r="R69" i="12"/>
  <c r="R70" i="12" s="1"/>
  <c r="Q69" i="12"/>
  <c r="Q70" i="12" s="1"/>
  <c r="P69" i="12"/>
  <c r="P70" i="12" s="1"/>
  <c r="O69" i="12"/>
  <c r="O70" i="12" s="1"/>
  <c r="O136" i="12" s="1"/>
  <c r="N69" i="12"/>
  <c r="N70" i="12" s="1"/>
  <c r="N136" i="12" s="1"/>
  <c r="M69" i="12"/>
  <c r="M70" i="12" s="1"/>
  <c r="M136" i="12" s="1"/>
  <c r="L69" i="12"/>
  <c r="L70" i="12" s="1"/>
  <c r="L136" i="12" s="1"/>
  <c r="K69" i="12"/>
  <c r="K70" i="12" s="1"/>
  <c r="K136" i="12" s="1"/>
  <c r="J69" i="12"/>
  <c r="J70" i="12" s="1"/>
  <c r="J136" i="12" s="1"/>
  <c r="I69" i="12"/>
  <c r="I70" i="12" s="1"/>
  <c r="I136" i="12" s="1"/>
  <c r="H69" i="12"/>
  <c r="H70" i="12" s="1"/>
  <c r="H136" i="12" s="1"/>
  <c r="G69" i="12"/>
  <c r="G70" i="12" s="1"/>
  <c r="G136" i="12" s="1"/>
  <c r="F69" i="12"/>
  <c r="F70" i="12" s="1"/>
  <c r="F136" i="12" s="1"/>
  <c r="E69" i="12"/>
  <c r="E70" i="12" s="1"/>
  <c r="E136" i="12" s="1"/>
  <c r="D69" i="12"/>
  <c r="D70" i="12" s="1"/>
  <c r="C55" i="12"/>
  <c r="C54" i="12"/>
  <c r="BL51" i="12"/>
  <c r="BK51" i="12"/>
  <c r="BJ51" i="12"/>
  <c r="BI51" i="12"/>
  <c r="BH51" i="12"/>
  <c r="BG51" i="12"/>
  <c r="BF51" i="12"/>
  <c r="BE51" i="12"/>
  <c r="BD51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BL50" i="12"/>
  <c r="BK50" i="12"/>
  <c r="BJ50" i="12"/>
  <c r="BI50" i="12"/>
  <c r="BH50" i="12"/>
  <c r="BG50" i="12"/>
  <c r="BF50" i="12"/>
  <c r="BE50" i="12"/>
  <c r="BD50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BL12" i="12"/>
  <c r="BK12" i="12"/>
  <c r="BJ12" i="12"/>
  <c r="BI12" i="12"/>
  <c r="BH12" i="12"/>
  <c r="BG12" i="12"/>
  <c r="BF12" i="12"/>
  <c r="BE12" i="12"/>
  <c r="BD12" i="12"/>
  <c r="BC12" i="12"/>
  <c r="BB12" i="12"/>
  <c r="BA12" i="12"/>
  <c r="AZ12" i="12"/>
  <c r="AY12" i="12"/>
  <c r="AX12" i="12"/>
  <c r="AW12" i="12"/>
  <c r="AV12" i="12"/>
  <c r="AU12" i="12"/>
  <c r="AT12" i="12"/>
  <c r="AS12" i="12"/>
  <c r="AR12" i="12"/>
  <c r="AQ12" i="12"/>
  <c r="AP12" i="12"/>
  <c r="AO12" i="12"/>
  <c r="AN12" i="12"/>
  <c r="AM12" i="12"/>
  <c r="AL12" i="12"/>
  <c r="AK12" i="12"/>
  <c r="AJ12" i="12"/>
  <c r="AI12" i="12"/>
  <c r="AH12" i="12"/>
  <c r="AG12" i="12"/>
  <c r="AF12" i="12"/>
  <c r="AE12" i="12"/>
  <c r="AD12" i="12"/>
  <c r="AC12" i="12"/>
  <c r="AB12" i="12"/>
  <c r="AA12" i="12"/>
  <c r="Z12" i="12"/>
  <c r="Y12" i="12"/>
  <c r="X12" i="12"/>
  <c r="W12" i="12"/>
  <c r="V12" i="12"/>
  <c r="U12" i="12"/>
  <c r="T12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E5" i="12"/>
  <c r="D5" i="12"/>
  <c r="D121" i="12" s="1"/>
  <c r="C75" i="10"/>
  <c r="C74" i="10"/>
  <c r="C73" i="10"/>
  <c r="C72" i="10"/>
  <c r="K35" i="10"/>
  <c r="K34" i="10"/>
  <c r="K30" i="10"/>
  <c r="K29" i="10"/>
  <c r="K28" i="10"/>
  <c r="K27" i="10"/>
  <c r="K25" i="10"/>
  <c r="C25" i="10"/>
  <c r="K24" i="10"/>
  <c r="G24" i="10"/>
  <c r="K23" i="10"/>
  <c r="I23" i="10"/>
  <c r="N23" i="10" s="1"/>
  <c r="H23" i="10"/>
  <c r="M23" i="10" s="1"/>
  <c r="G23" i="10"/>
  <c r="L23" i="10" s="1"/>
  <c r="K22" i="10"/>
  <c r="K19" i="10"/>
  <c r="K18" i="10"/>
  <c r="K17" i="10"/>
  <c r="K16" i="10"/>
  <c r="K15" i="10"/>
  <c r="K14" i="10"/>
  <c r="G14" i="10"/>
  <c r="K12" i="10"/>
  <c r="K11" i="10"/>
  <c r="K9" i="10"/>
  <c r="K8" i="10"/>
  <c r="E30" i="9"/>
  <c r="D30" i="9"/>
  <c r="C30" i="9"/>
  <c r="E29" i="9"/>
  <c r="D29" i="9"/>
  <c r="C29" i="9"/>
  <c r="C36" i="8"/>
  <c r="C23" i="9" s="1"/>
  <c r="C35" i="8"/>
  <c r="C34" i="8"/>
  <c r="E23" i="8"/>
  <c r="D23" i="8"/>
  <c r="C23" i="8"/>
  <c r="E21" i="8"/>
  <c r="D21" i="8"/>
  <c r="C21" i="8"/>
  <c r="E16" i="8"/>
  <c r="D16" i="8"/>
  <c r="C16" i="8"/>
  <c r="E15" i="8"/>
  <c r="D15" i="8"/>
  <c r="C15" i="8"/>
  <c r="E11" i="8"/>
  <c r="D11" i="8"/>
  <c r="C11" i="8"/>
  <c r="C110" i="7"/>
  <c r="C109" i="7"/>
  <c r="D61" i="10" s="1"/>
  <c r="G61" i="10" s="1"/>
  <c r="C108" i="7"/>
  <c r="C107" i="7"/>
  <c r="C104" i="7"/>
  <c r="C103" i="7"/>
  <c r="D103" i="7" s="1"/>
  <c r="E103" i="7" s="1"/>
  <c r="C102" i="7"/>
  <c r="D102" i="7" s="1"/>
  <c r="E102" i="7" s="1"/>
  <c r="C101" i="7"/>
  <c r="E96" i="7"/>
  <c r="D96" i="7"/>
  <c r="C96" i="7"/>
  <c r="C68" i="7"/>
  <c r="C61" i="7"/>
  <c r="C62" i="7" s="1"/>
  <c r="C7" i="7"/>
  <c r="C6" i="7"/>
  <c r="L5" i="4"/>
  <c r="F44" i="3"/>
  <c r="F41" i="3"/>
  <c r="H34" i="3"/>
  <c r="G34" i="3"/>
  <c r="F34" i="3"/>
  <c r="I34" i="3" s="1"/>
  <c r="H31" i="3"/>
  <c r="G31" i="3"/>
  <c r="F31" i="3"/>
  <c r="H23" i="3"/>
  <c r="H22" i="3"/>
  <c r="G22" i="3"/>
  <c r="H21" i="3"/>
  <c r="H20" i="3"/>
  <c r="G20" i="3"/>
  <c r="H19" i="3"/>
  <c r="G19" i="3"/>
  <c r="H16" i="3"/>
  <c r="H15" i="3"/>
  <c r="H14" i="3"/>
  <c r="F13" i="3"/>
  <c r="F12" i="3"/>
  <c r="H10" i="3"/>
  <c r="G10" i="3"/>
  <c r="H9" i="3"/>
  <c r="C5" i="11" l="1"/>
  <c r="C5" i="9"/>
  <c r="C6" i="8"/>
  <c r="D5" i="11"/>
  <c r="D5" i="9"/>
  <c r="D6" i="8"/>
  <c r="E5" i="11"/>
  <c r="E5" i="9"/>
  <c r="E6" i="8"/>
  <c r="G41" i="3"/>
  <c r="G44" i="3"/>
  <c r="C7" i="8"/>
  <c r="D6" i="7"/>
  <c r="E6" i="7" s="1"/>
  <c r="D7" i="7"/>
  <c r="E7" i="7" s="1"/>
  <c r="E12" i="8"/>
  <c r="C17" i="3" s="1"/>
  <c r="D12" i="8"/>
  <c r="C16" i="3" s="1"/>
  <c r="C12" i="8"/>
  <c r="C15" i="3" s="1"/>
  <c r="C63" i="7"/>
  <c r="E74" i="10"/>
  <c r="E72" i="10"/>
  <c r="E69" i="10"/>
  <c r="D101" i="7"/>
  <c r="E75" i="10"/>
  <c r="E73" i="10"/>
  <c r="E70" i="10"/>
  <c r="D104" i="7"/>
  <c r="D59" i="10"/>
  <c r="G59" i="10" s="1"/>
  <c r="D58" i="10"/>
  <c r="G58" i="10" s="1"/>
  <c r="G63" i="10" s="1"/>
  <c r="G22" i="10"/>
  <c r="L22" i="10" s="1"/>
  <c r="C13" i="8"/>
  <c r="H22" i="10"/>
  <c r="M22" i="10" s="1"/>
  <c r="D13" i="8"/>
  <c r="I22" i="10"/>
  <c r="N22" i="10" s="1"/>
  <c r="E13" i="8"/>
  <c r="G11" i="10"/>
  <c r="L11" i="10" s="1"/>
  <c r="C17" i="9"/>
  <c r="H11" i="10"/>
  <c r="M11" i="10" s="1"/>
  <c r="D17" i="9"/>
  <c r="C47" i="10"/>
  <c r="F47" i="10" s="1"/>
  <c r="I11" i="10"/>
  <c r="N11" i="10" s="1"/>
  <c r="E17" i="9"/>
  <c r="G12" i="10"/>
  <c r="L12" i="10" s="1"/>
  <c r="C18" i="9"/>
  <c r="H12" i="10"/>
  <c r="M12" i="10" s="1"/>
  <c r="D18" i="9"/>
  <c r="I12" i="10"/>
  <c r="N12" i="10" s="1"/>
  <c r="E18" i="9"/>
  <c r="C8" i="9"/>
  <c r="C27" i="8"/>
  <c r="D8" i="9"/>
  <c r="D27" i="8"/>
  <c r="E8" i="9"/>
  <c r="E27" i="8"/>
  <c r="C24" i="9"/>
  <c r="C22" i="9"/>
  <c r="L14" i="10"/>
  <c r="H14" i="10"/>
  <c r="L24" i="10"/>
  <c r="H24" i="10"/>
  <c r="I25" i="10"/>
  <c r="N25" i="10" s="1"/>
  <c r="H25" i="10"/>
  <c r="M25" i="10" s="1"/>
  <c r="G25" i="10"/>
  <c r="L25" i="10" s="1"/>
  <c r="N27" i="10"/>
  <c r="M27" i="10"/>
  <c r="L27" i="10"/>
  <c r="N28" i="10"/>
  <c r="M28" i="10"/>
  <c r="L28" i="10"/>
  <c r="N29" i="10"/>
  <c r="M29" i="10"/>
  <c r="L29" i="10"/>
  <c r="N34" i="10"/>
  <c r="M34" i="10"/>
  <c r="L34" i="10"/>
  <c r="N35" i="10"/>
  <c r="M35" i="10"/>
  <c r="L35" i="10"/>
  <c r="D158" i="12"/>
  <c r="D159" i="12" s="1"/>
  <c r="D143" i="12"/>
  <c r="E121" i="12"/>
  <c r="E92" i="12"/>
  <c r="E8" i="12"/>
  <c r="E7" i="12"/>
  <c r="E6" i="12"/>
  <c r="F5" i="12"/>
  <c r="D52" i="13"/>
  <c r="E38" i="12"/>
  <c r="E142" i="12" s="1"/>
  <c r="E52" i="13"/>
  <c r="F38" i="12"/>
  <c r="F142" i="12" s="1"/>
  <c r="F52" i="13"/>
  <c r="G38" i="12"/>
  <c r="G142" i="12" s="1"/>
  <c r="G52" i="13"/>
  <c r="H38" i="12"/>
  <c r="H142" i="12" s="1"/>
  <c r="H52" i="13"/>
  <c r="I38" i="12"/>
  <c r="I142" i="12" s="1"/>
  <c r="I52" i="13"/>
  <c r="J38" i="12"/>
  <c r="J142" i="12" s="1"/>
  <c r="J52" i="13"/>
  <c r="K38" i="12"/>
  <c r="K142" i="12" s="1"/>
  <c r="K52" i="13"/>
  <c r="L38" i="12"/>
  <c r="L142" i="12" s="1"/>
  <c r="L52" i="13"/>
  <c r="M38" i="12"/>
  <c r="M142" i="12" s="1"/>
  <c r="M52" i="13"/>
  <c r="N38" i="12"/>
  <c r="N142" i="12" s="1"/>
  <c r="N52" i="13"/>
  <c r="O38" i="12"/>
  <c r="O142" i="12" s="1"/>
  <c r="O52" i="13"/>
  <c r="P38" i="12"/>
  <c r="P142" i="12" s="1"/>
  <c r="P52" i="13"/>
  <c r="Q38" i="12"/>
  <c r="Q142" i="12" s="1"/>
  <c r="Q52" i="13"/>
  <c r="R38" i="12"/>
  <c r="R142" i="12" s="1"/>
  <c r="R52" i="13"/>
  <c r="S38" i="12"/>
  <c r="S142" i="12" s="1"/>
  <c r="S52" i="13"/>
  <c r="T38" i="12"/>
  <c r="T142" i="12" s="1"/>
  <c r="T52" i="13"/>
  <c r="U38" i="12"/>
  <c r="U142" i="12" s="1"/>
  <c r="U52" i="13"/>
  <c r="V38" i="12"/>
  <c r="V142" i="12" s="1"/>
  <c r="V52" i="13"/>
  <c r="W38" i="12"/>
  <c r="W142" i="12" s="1"/>
  <c r="W52" i="13"/>
  <c r="X38" i="12"/>
  <c r="X142" i="12" s="1"/>
  <c r="X52" i="13"/>
  <c r="Y38" i="12"/>
  <c r="Y142" i="12" s="1"/>
  <c r="Y52" i="13"/>
  <c r="Z38" i="12"/>
  <c r="Z142" i="12" s="1"/>
  <c r="Z52" i="13"/>
  <c r="AA38" i="12"/>
  <c r="AA142" i="12" s="1"/>
  <c r="AA52" i="13"/>
  <c r="AB38" i="12"/>
  <c r="AB142" i="12" s="1"/>
  <c r="AB52" i="13"/>
  <c r="AC38" i="12"/>
  <c r="AC142" i="12" s="1"/>
  <c r="AC52" i="13"/>
  <c r="AD38" i="12"/>
  <c r="AD142" i="12" s="1"/>
  <c r="AD52" i="13"/>
  <c r="AE38" i="12"/>
  <c r="AE142" i="12" s="1"/>
  <c r="AE52" i="13"/>
  <c r="AF38" i="12"/>
  <c r="AF142" i="12" s="1"/>
  <c r="AF52" i="13"/>
  <c r="AG38" i="12"/>
  <c r="AG142" i="12" s="1"/>
  <c r="AG52" i="13"/>
  <c r="AH38" i="12"/>
  <c r="AH142" i="12" s="1"/>
  <c r="AH52" i="13"/>
  <c r="AI38" i="12"/>
  <c r="AI142" i="12" s="1"/>
  <c r="AI52" i="13"/>
  <c r="AJ38" i="12"/>
  <c r="AJ142" i="12" s="1"/>
  <c r="AJ52" i="13"/>
  <c r="AK38" i="12"/>
  <c r="AK142" i="12" s="1"/>
  <c r="AK52" i="13"/>
  <c r="AL38" i="12"/>
  <c r="AL142" i="12" s="1"/>
  <c r="AL52" i="13"/>
  <c r="AM38" i="12"/>
  <c r="AM142" i="12" s="1"/>
  <c r="AM52" i="13"/>
  <c r="AN38" i="12"/>
  <c r="AN142" i="12" s="1"/>
  <c r="AN52" i="13"/>
  <c r="AO38" i="12"/>
  <c r="AO142" i="12" s="1"/>
  <c r="AO52" i="13"/>
  <c r="AP38" i="12"/>
  <c r="AP142" i="12" s="1"/>
  <c r="AP52" i="13"/>
  <c r="AQ38" i="12"/>
  <c r="AQ142" i="12" s="1"/>
  <c r="AQ52" i="13"/>
  <c r="AR38" i="12"/>
  <c r="AR142" i="12" s="1"/>
  <c r="AR52" i="13"/>
  <c r="AS38" i="12"/>
  <c r="AS142" i="12" s="1"/>
  <c r="AS52" i="13"/>
  <c r="AT38" i="12"/>
  <c r="AT142" i="12" s="1"/>
  <c r="AT52" i="13"/>
  <c r="AU38" i="12"/>
  <c r="AU142" i="12" s="1"/>
  <c r="AU52" i="13"/>
  <c r="AV38" i="12"/>
  <c r="AV142" i="12" s="1"/>
  <c r="AV52" i="13"/>
  <c r="AW38" i="12"/>
  <c r="AW142" i="12" s="1"/>
  <c r="AW52" i="13"/>
  <c r="AX38" i="12"/>
  <c r="AX142" i="12" s="1"/>
  <c r="AX52" i="13"/>
  <c r="AY38" i="12"/>
  <c r="AY142" i="12" s="1"/>
  <c r="AY52" i="13"/>
  <c r="AZ38" i="12"/>
  <c r="AZ142" i="12" s="1"/>
  <c r="AZ52" i="13"/>
  <c r="BA38" i="12"/>
  <c r="BA142" i="12" s="1"/>
  <c r="BA52" i="13"/>
  <c r="BB38" i="12"/>
  <c r="BB142" i="12" s="1"/>
  <c r="BB52" i="13"/>
  <c r="BC38" i="12"/>
  <c r="BC142" i="12" s="1"/>
  <c r="BC52" i="13"/>
  <c r="BD38" i="12"/>
  <c r="BD142" i="12" s="1"/>
  <c r="BD52" i="13"/>
  <c r="BE38" i="12"/>
  <c r="BE142" i="12" s="1"/>
  <c r="BE52" i="13"/>
  <c r="BF38" i="12"/>
  <c r="BF142" i="12" s="1"/>
  <c r="BF52" i="13"/>
  <c r="BG38" i="12"/>
  <c r="BG142" i="12" s="1"/>
  <c r="BG52" i="13"/>
  <c r="BH38" i="12"/>
  <c r="BH142" i="12" s="1"/>
  <c r="BH52" i="13"/>
  <c r="BI38" i="12"/>
  <c r="BI142" i="12" s="1"/>
  <c r="BI52" i="13"/>
  <c r="BJ38" i="12"/>
  <c r="BJ142" i="12" s="1"/>
  <c r="BJ52" i="13"/>
  <c r="BK38" i="12"/>
  <c r="BK142" i="12" s="1"/>
  <c r="BK52" i="13"/>
  <c r="BL38" i="12"/>
  <c r="BL142" i="12" s="1"/>
  <c r="D55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AD55" i="13"/>
  <c r="AE55" i="13"/>
  <c r="AF55" i="13"/>
  <c r="AG55" i="13"/>
  <c r="AH55" i="13"/>
  <c r="AI55" i="13"/>
  <c r="AJ55" i="13"/>
  <c r="AK55" i="13"/>
  <c r="AL55" i="13"/>
  <c r="AM55" i="13"/>
  <c r="AN55" i="13"/>
  <c r="AO55" i="13"/>
  <c r="AP55" i="13"/>
  <c r="AQ55" i="13"/>
  <c r="AR55" i="13"/>
  <c r="AS55" i="13"/>
  <c r="AT55" i="13"/>
  <c r="AU55" i="13"/>
  <c r="AV55" i="13"/>
  <c r="AW55" i="13"/>
  <c r="AX55" i="13"/>
  <c r="AY55" i="13"/>
  <c r="AZ55" i="13"/>
  <c r="BA55" i="13"/>
  <c r="BB55" i="13"/>
  <c r="BC55" i="13"/>
  <c r="BD55" i="13"/>
  <c r="BE55" i="13"/>
  <c r="BF55" i="13"/>
  <c r="BG55" i="13"/>
  <c r="BH55" i="13"/>
  <c r="BI55" i="13"/>
  <c r="BJ55" i="13"/>
  <c r="BK55" i="13"/>
  <c r="E91" i="12"/>
  <c r="E90" i="12"/>
  <c r="E93" i="12" s="1"/>
  <c r="F91" i="12"/>
  <c r="F90" i="12"/>
  <c r="G91" i="12"/>
  <c r="G90" i="12"/>
  <c r="H91" i="12"/>
  <c r="H90" i="12"/>
  <c r="I91" i="12"/>
  <c r="I90" i="12"/>
  <c r="J91" i="12"/>
  <c r="J90" i="12"/>
  <c r="K91" i="12"/>
  <c r="K90" i="12"/>
  <c r="L91" i="12"/>
  <c r="L90" i="12"/>
  <c r="M91" i="12"/>
  <c r="M90" i="12"/>
  <c r="N91" i="12"/>
  <c r="N90" i="12"/>
  <c r="O91" i="12"/>
  <c r="O90" i="12"/>
  <c r="P91" i="12"/>
  <c r="P90" i="12"/>
  <c r="Q91" i="12"/>
  <c r="Q90" i="12"/>
  <c r="R91" i="12"/>
  <c r="R90" i="12"/>
  <c r="S91" i="12"/>
  <c r="S90" i="12"/>
  <c r="T91" i="12"/>
  <c r="T90" i="12"/>
  <c r="U91" i="12"/>
  <c r="U90" i="12"/>
  <c r="V91" i="12"/>
  <c r="V90" i="12"/>
  <c r="W91" i="12"/>
  <c r="W90" i="12"/>
  <c r="X91" i="12"/>
  <c r="X90" i="12"/>
  <c r="Y91" i="12"/>
  <c r="Y90" i="12"/>
  <c r="Z91" i="12"/>
  <c r="Z90" i="12"/>
  <c r="AA91" i="12"/>
  <c r="AA90" i="12"/>
  <c r="AB91" i="12"/>
  <c r="AB90" i="12"/>
  <c r="AC91" i="12"/>
  <c r="AC90" i="12"/>
  <c r="AD91" i="12"/>
  <c r="AD90" i="12"/>
  <c r="AE91" i="12"/>
  <c r="AE90" i="12"/>
  <c r="AF91" i="12"/>
  <c r="AF90" i="12"/>
  <c r="AG91" i="12"/>
  <c r="AG90" i="12"/>
  <c r="AH91" i="12"/>
  <c r="AH90" i="12"/>
  <c r="AI91" i="12"/>
  <c r="AI90" i="12"/>
  <c r="AJ91" i="12"/>
  <c r="AJ90" i="12"/>
  <c r="AK91" i="12"/>
  <c r="AK90" i="12"/>
  <c r="AL91" i="12"/>
  <c r="AL90" i="12"/>
  <c r="AM91" i="12"/>
  <c r="AM90" i="12"/>
  <c r="AN91" i="12"/>
  <c r="AN90" i="12"/>
  <c r="AO91" i="12"/>
  <c r="AO90" i="12"/>
  <c r="AP91" i="12"/>
  <c r="AP90" i="12"/>
  <c r="AQ91" i="12"/>
  <c r="AQ90" i="12"/>
  <c r="AR91" i="12"/>
  <c r="AR90" i="12"/>
  <c r="AS91" i="12"/>
  <c r="AS90" i="12"/>
  <c r="AT91" i="12"/>
  <c r="AT90" i="12"/>
  <c r="AU91" i="12"/>
  <c r="AU90" i="12"/>
  <c r="AV91" i="12"/>
  <c r="AV90" i="12"/>
  <c r="AW91" i="12"/>
  <c r="AW90" i="12"/>
  <c r="AX91" i="12"/>
  <c r="AX90" i="12"/>
  <c r="AY91" i="12"/>
  <c r="AY90" i="12"/>
  <c r="AZ91" i="12"/>
  <c r="AZ90" i="12"/>
  <c r="BA91" i="12"/>
  <c r="BA90" i="12"/>
  <c r="BB91" i="12"/>
  <c r="BB90" i="12"/>
  <c r="BC91" i="12"/>
  <c r="BC90" i="12"/>
  <c r="BD91" i="12"/>
  <c r="BD90" i="12"/>
  <c r="BE91" i="12"/>
  <c r="BE90" i="12"/>
  <c r="BF91" i="12"/>
  <c r="BF90" i="12"/>
  <c r="BG91" i="12"/>
  <c r="BG90" i="12"/>
  <c r="BH91" i="12"/>
  <c r="BH90" i="12"/>
  <c r="BI91" i="12"/>
  <c r="BI90" i="12"/>
  <c r="BJ91" i="12"/>
  <c r="BJ90" i="12"/>
  <c r="BK91" i="12"/>
  <c r="BK90" i="12"/>
  <c r="BL91" i="12"/>
  <c r="BL90" i="12"/>
  <c r="D75" i="13"/>
  <c r="E100" i="12"/>
  <c r="E99" i="12"/>
  <c r="E75" i="13"/>
  <c r="F100" i="12"/>
  <c r="F99" i="12"/>
  <c r="F75" i="13"/>
  <c r="G100" i="12"/>
  <c r="G99" i="12"/>
  <c r="G75" i="13"/>
  <c r="H100" i="12"/>
  <c r="H99" i="12"/>
  <c r="H75" i="13"/>
  <c r="I100" i="12"/>
  <c r="I99" i="12"/>
  <c r="I75" i="13"/>
  <c r="J100" i="12"/>
  <c r="J99" i="12"/>
  <c r="J75" i="13"/>
  <c r="K100" i="12"/>
  <c r="K99" i="12"/>
  <c r="K75" i="13"/>
  <c r="L100" i="12"/>
  <c r="L99" i="12"/>
  <c r="L75" i="13"/>
  <c r="M100" i="12"/>
  <c r="M99" i="12"/>
  <c r="M75" i="13"/>
  <c r="N100" i="12"/>
  <c r="N99" i="12"/>
  <c r="N75" i="13"/>
  <c r="O100" i="12"/>
  <c r="O99" i="12"/>
  <c r="O75" i="13"/>
  <c r="P100" i="12"/>
  <c r="P99" i="12"/>
  <c r="P75" i="13"/>
  <c r="Q100" i="12"/>
  <c r="Q99" i="12"/>
  <c r="Q75" i="13"/>
  <c r="R100" i="12"/>
  <c r="R99" i="12"/>
  <c r="R75" i="13"/>
  <c r="S100" i="12"/>
  <c r="S99" i="12"/>
  <c r="S75" i="13"/>
  <c r="T100" i="12"/>
  <c r="T99" i="12"/>
  <c r="T75" i="13"/>
  <c r="U100" i="12"/>
  <c r="U99" i="12"/>
  <c r="U75" i="13"/>
  <c r="V100" i="12"/>
  <c r="V99" i="12"/>
  <c r="V75" i="13"/>
  <c r="W100" i="12"/>
  <c r="W99" i="12"/>
  <c r="W75" i="13"/>
  <c r="X100" i="12"/>
  <c r="X99" i="12"/>
  <c r="X75" i="13"/>
  <c r="Y100" i="12"/>
  <c r="Y99" i="12"/>
  <c r="Y75" i="13"/>
  <c r="Z100" i="12"/>
  <c r="Z99" i="12"/>
  <c r="Z75" i="13"/>
  <c r="AA100" i="12"/>
  <c r="AA99" i="12"/>
  <c r="AA75" i="13"/>
  <c r="AB100" i="12"/>
  <c r="AB99" i="12"/>
  <c r="AB75" i="13"/>
  <c r="AC100" i="12"/>
  <c r="AC99" i="12"/>
  <c r="AC75" i="13"/>
  <c r="AD100" i="12"/>
  <c r="AD99" i="12"/>
  <c r="AD75" i="13"/>
  <c r="AE100" i="12"/>
  <c r="AE99" i="12"/>
  <c r="AE75" i="13"/>
  <c r="AF100" i="12"/>
  <c r="AF99" i="12"/>
  <c r="AF75" i="13"/>
  <c r="AG100" i="12"/>
  <c r="AG99" i="12"/>
  <c r="AG75" i="13"/>
  <c r="AH100" i="12"/>
  <c r="AH99" i="12"/>
  <c r="AH75" i="13"/>
  <c r="AI100" i="12"/>
  <c r="AI99" i="12"/>
  <c r="AI75" i="13"/>
  <c r="AJ100" i="12"/>
  <c r="AJ99" i="12"/>
  <c r="AJ75" i="13"/>
  <c r="AK100" i="12"/>
  <c r="AK99" i="12"/>
  <c r="AK75" i="13"/>
  <c r="AL100" i="12"/>
  <c r="AL99" i="12"/>
  <c r="AL75" i="13"/>
  <c r="AM100" i="12"/>
  <c r="AM99" i="12"/>
  <c r="AM75" i="13"/>
  <c r="AN100" i="12"/>
  <c r="AN99" i="12"/>
  <c r="AN75" i="13"/>
  <c r="AO100" i="12"/>
  <c r="AO99" i="12"/>
  <c r="AO75" i="13"/>
  <c r="AP100" i="12"/>
  <c r="AP99" i="12"/>
  <c r="AP75" i="13"/>
  <c r="AQ100" i="12"/>
  <c r="AQ99" i="12"/>
  <c r="AQ75" i="13"/>
  <c r="AR100" i="12"/>
  <c r="AR99" i="12"/>
  <c r="AR75" i="13"/>
  <c r="AS100" i="12"/>
  <c r="AS99" i="12"/>
  <c r="AS75" i="13"/>
  <c r="AT100" i="12"/>
  <c r="AT99" i="12"/>
  <c r="AT75" i="13"/>
  <c r="AU100" i="12"/>
  <c r="AU99" i="12"/>
  <c r="AU75" i="13"/>
  <c r="AV100" i="12"/>
  <c r="AV99" i="12"/>
  <c r="AV75" i="13"/>
  <c r="AW100" i="12"/>
  <c r="AW99" i="12"/>
  <c r="AW75" i="13"/>
  <c r="AX100" i="12"/>
  <c r="AX99" i="12"/>
  <c r="AX75" i="13"/>
  <c r="AY100" i="12"/>
  <c r="AY99" i="12"/>
  <c r="AY75" i="13"/>
  <c r="AZ100" i="12"/>
  <c r="AZ99" i="12"/>
  <c r="AZ75" i="13"/>
  <c r="BA100" i="12"/>
  <c r="BA99" i="12"/>
  <c r="BA75" i="13"/>
  <c r="BB100" i="12"/>
  <c r="BB99" i="12"/>
  <c r="BB75" i="13"/>
  <c r="BC100" i="12"/>
  <c r="BC99" i="12"/>
  <c r="BC75" i="13"/>
  <c r="BD100" i="12"/>
  <c r="BD99" i="12"/>
  <c r="BD75" i="13"/>
  <c r="BE100" i="12"/>
  <c r="BE99" i="12"/>
  <c r="BE75" i="13"/>
  <c r="BF100" i="12"/>
  <c r="BF99" i="12"/>
  <c r="BF75" i="13"/>
  <c r="BG100" i="12"/>
  <c r="BG99" i="12"/>
  <c r="BG75" i="13"/>
  <c r="BH100" i="12"/>
  <c r="BH99" i="12"/>
  <c r="BH75" i="13"/>
  <c r="BI100" i="12"/>
  <c r="BI99" i="12"/>
  <c r="BI75" i="13"/>
  <c r="BJ100" i="12"/>
  <c r="BJ99" i="12"/>
  <c r="BJ75" i="13"/>
  <c r="BK100" i="12"/>
  <c r="BK99" i="12"/>
  <c r="BK75" i="13"/>
  <c r="BL100" i="12"/>
  <c r="BL99" i="12"/>
  <c r="P143" i="12"/>
  <c r="P136" i="12"/>
  <c r="Q143" i="12"/>
  <c r="Q136" i="12"/>
  <c r="R143" i="12"/>
  <c r="R136" i="12"/>
  <c r="S143" i="12"/>
  <c r="S136" i="12"/>
  <c r="T143" i="12"/>
  <c r="T136" i="12"/>
  <c r="U143" i="12"/>
  <c r="U136" i="12"/>
  <c r="V143" i="12"/>
  <c r="V136" i="12"/>
  <c r="W143" i="12"/>
  <c r="W136" i="12"/>
  <c r="X143" i="12"/>
  <c r="X136" i="12"/>
  <c r="Y143" i="12"/>
  <c r="Y136" i="12"/>
  <c r="Z143" i="12"/>
  <c r="Z136" i="12"/>
  <c r="AA143" i="12"/>
  <c r="AA136" i="12"/>
  <c r="AB143" i="12"/>
  <c r="AB136" i="12"/>
  <c r="AC143" i="12"/>
  <c r="AC136" i="12"/>
  <c r="AD143" i="12"/>
  <c r="AD136" i="12"/>
  <c r="AE143" i="12"/>
  <c r="AE136" i="12"/>
  <c r="AF143" i="12"/>
  <c r="AF136" i="12"/>
  <c r="AG143" i="12"/>
  <c r="AG136" i="12"/>
  <c r="AH143" i="12"/>
  <c r="AH136" i="12"/>
  <c r="AI143" i="12"/>
  <c r="AI136" i="12"/>
  <c r="AJ143" i="12"/>
  <c r="AJ136" i="12"/>
  <c r="AK143" i="12"/>
  <c r="AK136" i="12"/>
  <c r="AL143" i="12"/>
  <c r="AL136" i="12"/>
  <c r="AM143" i="12"/>
  <c r="AM136" i="12"/>
  <c r="AN143" i="12"/>
  <c r="AN136" i="12"/>
  <c r="AO143" i="12"/>
  <c r="AO136" i="12"/>
  <c r="AP143" i="12"/>
  <c r="AP136" i="12"/>
  <c r="AQ143" i="12"/>
  <c r="AQ136" i="12"/>
  <c r="AR143" i="12"/>
  <c r="AR136" i="12"/>
  <c r="AS143" i="12"/>
  <c r="AS136" i="12"/>
  <c r="AT143" i="12"/>
  <c r="AT136" i="12"/>
  <c r="AU143" i="12"/>
  <c r="AU136" i="12"/>
  <c r="AV143" i="12"/>
  <c r="AV136" i="12"/>
  <c r="AW143" i="12"/>
  <c r="AW136" i="12"/>
  <c r="AX143" i="12"/>
  <c r="AX136" i="12"/>
  <c r="AY143" i="12"/>
  <c r="AY136" i="12"/>
  <c r="AZ143" i="12"/>
  <c r="AZ136" i="12"/>
  <c r="BA143" i="12"/>
  <c r="BA136" i="12"/>
  <c r="BB143" i="12"/>
  <c r="BB136" i="12"/>
  <c r="BC143" i="12"/>
  <c r="BC136" i="12"/>
  <c r="BD143" i="12"/>
  <c r="BD136" i="12"/>
  <c r="BE143" i="12"/>
  <c r="BE136" i="12"/>
  <c r="BF143" i="12"/>
  <c r="BF136" i="12"/>
  <c r="BG143" i="12"/>
  <c r="BG136" i="12"/>
  <c r="BH143" i="12"/>
  <c r="BH136" i="12"/>
  <c r="BI143" i="12"/>
  <c r="BI136" i="12"/>
  <c r="BJ143" i="12"/>
  <c r="BJ136" i="12"/>
  <c r="BK143" i="12"/>
  <c r="BK136" i="12"/>
  <c r="BL143" i="12"/>
  <c r="BL136" i="12"/>
  <c r="C25" i="13"/>
  <c r="C24" i="13"/>
  <c r="C23" i="13"/>
  <c r="D25" i="13"/>
  <c r="D56" i="13" s="1"/>
  <c r="D24" i="13"/>
  <c r="D23" i="13"/>
  <c r="E21" i="13"/>
  <c r="D59" i="15"/>
  <c r="D58" i="15"/>
  <c r="D57" i="15"/>
  <c r="D54" i="15"/>
  <c r="D53" i="15"/>
  <c r="D52" i="15"/>
  <c r="E59" i="15"/>
  <c r="E58" i="15"/>
  <c r="E57" i="15"/>
  <c r="E54" i="15"/>
  <c r="E53" i="15"/>
  <c r="E52" i="15"/>
  <c r="F59" i="15"/>
  <c r="F58" i="15"/>
  <c r="F57" i="15"/>
  <c r="F54" i="15"/>
  <c r="F53" i="15"/>
  <c r="F52" i="15"/>
  <c r="G59" i="15"/>
  <c r="G58" i="15"/>
  <c r="G57" i="15"/>
  <c r="G54" i="15"/>
  <c r="G53" i="15"/>
  <c r="G52" i="15"/>
  <c r="H59" i="15"/>
  <c r="H58" i="15"/>
  <c r="H57" i="15"/>
  <c r="H54" i="15"/>
  <c r="H53" i="15"/>
  <c r="H52" i="15"/>
  <c r="I59" i="15"/>
  <c r="E65" i="12" s="1"/>
  <c r="I58" i="15"/>
  <c r="E64" i="12" s="1"/>
  <c r="I57" i="15"/>
  <c r="E63" i="12" s="1"/>
  <c r="I54" i="15"/>
  <c r="E60" i="12" s="1"/>
  <c r="I53" i="15"/>
  <c r="E59" i="12" s="1"/>
  <c r="I52" i="15"/>
  <c r="E58" i="12" s="1"/>
  <c r="J59" i="15"/>
  <c r="J58" i="15"/>
  <c r="J57" i="15"/>
  <c r="J54" i="15"/>
  <c r="J53" i="15"/>
  <c r="J52" i="15"/>
  <c r="K59" i="15"/>
  <c r="K58" i="15"/>
  <c r="K57" i="15"/>
  <c r="K54" i="15"/>
  <c r="K53" i="15"/>
  <c r="K52" i="15"/>
  <c r="L59" i="15"/>
  <c r="L58" i="15"/>
  <c r="L57" i="15"/>
  <c r="L54" i="15"/>
  <c r="L53" i="15"/>
  <c r="L52" i="15"/>
  <c r="M59" i="15"/>
  <c r="M58" i="15"/>
  <c r="M57" i="15"/>
  <c r="M54" i="15"/>
  <c r="M53" i="15"/>
  <c r="M52" i="15"/>
  <c r="N59" i="15"/>
  <c r="N58" i="15"/>
  <c r="N57" i="15"/>
  <c r="N54" i="15"/>
  <c r="N53" i="15"/>
  <c r="N52" i="15"/>
  <c r="O59" i="15"/>
  <c r="O58" i="15"/>
  <c r="O57" i="15"/>
  <c r="O54" i="15"/>
  <c r="O53" i="15"/>
  <c r="O52" i="15"/>
  <c r="P59" i="15"/>
  <c r="P58" i="15"/>
  <c r="P57" i="15"/>
  <c r="P54" i="15"/>
  <c r="P53" i="15"/>
  <c r="P52" i="15"/>
  <c r="Q59" i="15"/>
  <c r="Q58" i="15"/>
  <c r="Q57" i="15"/>
  <c r="Q54" i="15"/>
  <c r="Q53" i="15"/>
  <c r="Q52" i="15"/>
  <c r="R59" i="15"/>
  <c r="R58" i="15"/>
  <c r="R57" i="15"/>
  <c r="R54" i="15"/>
  <c r="R53" i="15"/>
  <c r="R52" i="15"/>
  <c r="S59" i="15"/>
  <c r="S58" i="15"/>
  <c r="S57" i="15"/>
  <c r="S54" i="15"/>
  <c r="S53" i="15"/>
  <c r="S52" i="15"/>
  <c r="T59" i="15"/>
  <c r="T58" i="15"/>
  <c r="T57" i="15"/>
  <c r="T54" i="15"/>
  <c r="T53" i="15"/>
  <c r="T52" i="15"/>
  <c r="U59" i="15"/>
  <c r="U58" i="15"/>
  <c r="U57" i="15"/>
  <c r="U54" i="15"/>
  <c r="U53" i="15"/>
  <c r="U52" i="15"/>
  <c r="V59" i="15"/>
  <c r="V58" i="15"/>
  <c r="V57" i="15"/>
  <c r="V54" i="15"/>
  <c r="V53" i="15"/>
  <c r="V52" i="15"/>
  <c r="W59" i="15"/>
  <c r="W58" i="15"/>
  <c r="W57" i="15"/>
  <c r="W54" i="15"/>
  <c r="W53" i="15"/>
  <c r="W52" i="15"/>
  <c r="X59" i="15"/>
  <c r="X58" i="15"/>
  <c r="X57" i="15"/>
  <c r="X54" i="15"/>
  <c r="X53" i="15"/>
  <c r="X52" i="15"/>
  <c r="E25" i="13" l="1"/>
  <c r="E56" i="13" s="1"/>
  <c r="E24" i="13"/>
  <c r="E23" i="13"/>
  <c r="F21" i="13"/>
  <c r="E3" i="13"/>
  <c r="D58" i="13"/>
  <c r="D60" i="13" s="1"/>
  <c r="D53" i="13"/>
  <c r="E145" i="12"/>
  <c r="BK59" i="13"/>
  <c r="BJ59" i="13"/>
  <c r="BI59" i="13"/>
  <c r="BH59" i="13"/>
  <c r="BG59" i="13"/>
  <c r="BF59" i="13"/>
  <c r="BE59" i="13"/>
  <c r="BD59" i="13"/>
  <c r="BC59" i="13"/>
  <c r="BB59" i="13"/>
  <c r="BA59" i="13"/>
  <c r="AZ59" i="13"/>
  <c r="AY59" i="13"/>
  <c r="AX59" i="13"/>
  <c r="AW59" i="13"/>
  <c r="AV59" i="13"/>
  <c r="AU59" i="13"/>
  <c r="AT59" i="13"/>
  <c r="AS59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D61" i="13" s="1"/>
  <c r="F121" i="12"/>
  <c r="F143" i="12" s="1"/>
  <c r="F92" i="12"/>
  <c r="F93" i="12" s="1"/>
  <c r="F65" i="12"/>
  <c r="F64" i="12"/>
  <c r="F63" i="12"/>
  <c r="F60" i="12"/>
  <c r="F59" i="12"/>
  <c r="F58" i="12"/>
  <c r="F8" i="12"/>
  <c r="F7" i="12"/>
  <c r="F6" i="12"/>
  <c r="G5" i="12"/>
  <c r="E108" i="12"/>
  <c r="E83" i="12"/>
  <c r="D9" i="12"/>
  <c r="E4" i="12"/>
  <c r="D2" i="13" s="1"/>
  <c r="D2" i="14" s="1"/>
  <c r="E16" i="12"/>
  <c r="E17" i="12"/>
  <c r="E23" i="12"/>
  <c r="E101" i="12"/>
  <c r="E102" i="12"/>
  <c r="D4" i="13"/>
  <c r="D10" i="12"/>
  <c r="D5" i="13"/>
  <c r="D11" i="12"/>
  <c r="E143" i="12"/>
  <c r="M24" i="10"/>
  <c r="I24" i="10"/>
  <c r="N24" i="10" s="1"/>
  <c r="M14" i="10"/>
  <c r="I14" i="10"/>
  <c r="N14" i="10" s="1"/>
  <c r="E10" i="9"/>
  <c r="E9" i="9"/>
  <c r="D10" i="9"/>
  <c r="D9" i="9"/>
  <c r="F29" i="12"/>
  <c r="E36" i="13" s="1"/>
  <c r="E29" i="12"/>
  <c r="D36" i="13" s="1"/>
  <c r="F75" i="12"/>
  <c r="E75" i="12"/>
  <c r="C10" i="9"/>
  <c r="C9" i="9"/>
  <c r="F85" i="12"/>
  <c r="E85" i="12"/>
  <c r="F84" i="12"/>
  <c r="E84" i="12"/>
  <c r="C49" i="10"/>
  <c r="F49" i="10" s="1"/>
  <c r="C48" i="10"/>
  <c r="F48" i="10" s="1"/>
  <c r="F51" i="10" s="1"/>
  <c r="D8" i="10" s="1"/>
  <c r="I17" i="10"/>
  <c r="N17" i="10" s="1"/>
  <c r="I16" i="10"/>
  <c r="N16" i="10" s="1"/>
  <c r="I15" i="10"/>
  <c r="N15" i="10" s="1"/>
  <c r="I9" i="10"/>
  <c r="N9" i="10" s="1"/>
  <c r="H17" i="10"/>
  <c r="M17" i="10" s="1"/>
  <c r="H16" i="10"/>
  <c r="M16" i="10" s="1"/>
  <c r="H15" i="10"/>
  <c r="M15" i="10" s="1"/>
  <c r="H9" i="10"/>
  <c r="M9" i="10" s="1"/>
  <c r="G17" i="10"/>
  <c r="L17" i="10" s="1"/>
  <c r="G16" i="10"/>
  <c r="L16" i="10" s="1"/>
  <c r="G15" i="10"/>
  <c r="L15" i="10" s="1"/>
  <c r="G9" i="10"/>
  <c r="L9" i="10" s="1"/>
  <c r="F39" i="3"/>
  <c r="C87" i="10"/>
  <c r="C25" i="9"/>
  <c r="F75" i="10"/>
  <c r="F73" i="10"/>
  <c r="F70" i="10"/>
  <c r="E104" i="7"/>
  <c r="F74" i="10"/>
  <c r="F72" i="10"/>
  <c r="F69" i="10"/>
  <c r="E101" i="7"/>
  <c r="E78" i="10"/>
  <c r="C28" i="9"/>
  <c r="C29" i="8"/>
  <c r="C8" i="8"/>
  <c r="F36" i="3"/>
  <c r="H44" i="3"/>
  <c r="I44" i="3"/>
  <c r="H41" i="3"/>
  <c r="I41" i="3"/>
  <c r="E7" i="8"/>
  <c r="E19" i="9"/>
  <c r="E13" i="9"/>
  <c r="D7" i="8"/>
  <c r="D19" i="9"/>
  <c r="D13" i="9"/>
  <c r="C19" i="9"/>
  <c r="C13" i="9"/>
  <c r="F80" i="12" l="1"/>
  <c r="E80" i="12"/>
  <c r="F86" i="12"/>
  <c r="E86" i="12"/>
  <c r="D29" i="8"/>
  <c r="G36" i="3"/>
  <c r="D8" i="8"/>
  <c r="E29" i="8"/>
  <c r="H36" i="3"/>
  <c r="E8" i="8"/>
  <c r="I36" i="3"/>
  <c r="F20" i="12"/>
  <c r="E20" i="12"/>
  <c r="F37" i="3"/>
  <c r="C9" i="8"/>
  <c r="F31" i="12"/>
  <c r="E31" i="12"/>
  <c r="C90" i="10"/>
  <c r="G74" i="10"/>
  <c r="G72" i="10"/>
  <c r="G69" i="10"/>
  <c r="F78" i="10"/>
  <c r="D28" i="9"/>
  <c r="G75" i="10"/>
  <c r="G73" i="10"/>
  <c r="G70" i="10"/>
  <c r="BL128" i="12"/>
  <c r="BK128" i="12"/>
  <c r="BJ128" i="12"/>
  <c r="BI128" i="12"/>
  <c r="BH128" i="12"/>
  <c r="BG128" i="12"/>
  <c r="BF128" i="12"/>
  <c r="BE128" i="12"/>
  <c r="BD128" i="12"/>
  <c r="BC128" i="12"/>
  <c r="BB128" i="12"/>
  <c r="BA128" i="12"/>
  <c r="AZ128" i="12"/>
  <c r="AY128" i="12"/>
  <c r="AX128" i="12"/>
  <c r="AW128" i="12"/>
  <c r="AV128" i="12"/>
  <c r="AU128" i="12"/>
  <c r="AT128" i="12"/>
  <c r="AS128" i="12"/>
  <c r="AR128" i="12"/>
  <c r="AQ128" i="12"/>
  <c r="AP128" i="12"/>
  <c r="AO128" i="12"/>
  <c r="AN128" i="12"/>
  <c r="AM128" i="12"/>
  <c r="AL128" i="12"/>
  <c r="AK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G39" i="3"/>
  <c r="I8" i="10"/>
  <c r="H8" i="10"/>
  <c r="G8" i="10"/>
  <c r="F76" i="12"/>
  <c r="E76" i="12"/>
  <c r="F77" i="12"/>
  <c r="E77" i="12"/>
  <c r="D34" i="13"/>
  <c r="D33" i="13"/>
  <c r="D32" i="13"/>
  <c r="E45" i="12"/>
  <c r="E49" i="12" s="1"/>
  <c r="D30" i="13"/>
  <c r="D29" i="13"/>
  <c r="D28" i="13"/>
  <c r="E44" i="12"/>
  <c r="E18" i="12"/>
  <c r="E135" i="12"/>
  <c r="E110" i="12"/>
  <c r="G121" i="12"/>
  <c r="G92" i="12"/>
  <c r="G93" i="12" s="1"/>
  <c r="G145" i="12" s="1"/>
  <c r="G65" i="12"/>
  <c r="G64" i="12"/>
  <c r="G63" i="12"/>
  <c r="G60" i="12"/>
  <c r="G59" i="12"/>
  <c r="G58" i="12"/>
  <c r="G8" i="12"/>
  <c r="G7" i="12"/>
  <c r="G6" i="12"/>
  <c r="H5" i="12"/>
  <c r="F108" i="12"/>
  <c r="F83" i="12"/>
  <c r="E9" i="12"/>
  <c r="F4" i="12"/>
  <c r="E2" i="13" s="1"/>
  <c r="E2" i="14" s="1"/>
  <c r="F16" i="12"/>
  <c r="F17" i="12"/>
  <c r="F23" i="12"/>
  <c r="F101" i="12"/>
  <c r="F102" i="12"/>
  <c r="E4" i="13"/>
  <c r="E10" i="12"/>
  <c r="E5" i="13"/>
  <c r="E11" i="12"/>
  <c r="F145" i="12"/>
  <c r="F25" i="13"/>
  <c r="F56" i="13" s="1"/>
  <c r="F24" i="13"/>
  <c r="F23" i="13"/>
  <c r="G21" i="13"/>
  <c r="F3" i="13"/>
  <c r="E58" i="13"/>
  <c r="E60" i="13" s="1"/>
  <c r="E53" i="13"/>
  <c r="E61" i="13" l="1"/>
  <c r="G25" i="13"/>
  <c r="G56" i="13" s="1"/>
  <c r="G24" i="13"/>
  <c r="G23" i="13"/>
  <c r="H21" i="13"/>
  <c r="G3" i="13"/>
  <c r="F58" i="13"/>
  <c r="F60" i="13" s="1"/>
  <c r="F53" i="13"/>
  <c r="E34" i="13"/>
  <c r="E33" i="13"/>
  <c r="E32" i="13"/>
  <c r="F45" i="12"/>
  <c r="F49" i="12" s="1"/>
  <c r="E30" i="13"/>
  <c r="E29" i="13"/>
  <c r="E28" i="13"/>
  <c r="F44" i="12"/>
  <c r="F18" i="12"/>
  <c r="F135" i="12"/>
  <c r="F110" i="12"/>
  <c r="H121" i="12"/>
  <c r="H143" i="12" s="1"/>
  <c r="H92" i="12"/>
  <c r="H93" i="12" s="1"/>
  <c r="H65" i="12"/>
  <c r="H64" i="12"/>
  <c r="H63" i="12"/>
  <c r="H60" i="12"/>
  <c r="H59" i="12"/>
  <c r="H58" i="12"/>
  <c r="H8" i="12"/>
  <c r="H7" i="12"/>
  <c r="H6" i="12"/>
  <c r="I5" i="12"/>
  <c r="G108" i="12"/>
  <c r="G83" i="12"/>
  <c r="F9" i="12"/>
  <c r="G4" i="12"/>
  <c r="F2" i="13" s="1"/>
  <c r="F2" i="14" s="1"/>
  <c r="G16" i="12"/>
  <c r="G17" i="12"/>
  <c r="G23" i="12"/>
  <c r="G101" i="12"/>
  <c r="G102" i="12"/>
  <c r="G29" i="12"/>
  <c r="F36" i="13" s="1"/>
  <c r="G75" i="12"/>
  <c r="G85" i="12"/>
  <c r="G84" i="12"/>
  <c r="G80" i="12"/>
  <c r="G86" i="12"/>
  <c r="G20" i="12"/>
  <c r="G31" i="12"/>
  <c r="G76" i="12"/>
  <c r="G77" i="12"/>
  <c r="F4" i="13"/>
  <c r="F10" i="12"/>
  <c r="F5" i="13"/>
  <c r="F11" i="12"/>
  <c r="G143" i="12"/>
  <c r="E134" i="12"/>
  <c r="E21" i="12"/>
  <c r="D74" i="13"/>
  <c r="D77" i="13" s="1"/>
  <c r="E48" i="12"/>
  <c r="E46" i="12"/>
  <c r="E148" i="12" s="1"/>
  <c r="D38" i="13"/>
  <c r="G18" i="10"/>
  <c r="L8" i="10"/>
  <c r="H18" i="10"/>
  <c r="M8" i="10"/>
  <c r="I18" i="10"/>
  <c r="N8" i="10"/>
  <c r="H39" i="3"/>
  <c r="I39" i="3"/>
  <c r="E158" i="12"/>
  <c r="E159" i="12" s="1"/>
  <c r="E144" i="12"/>
  <c r="G15" i="3"/>
  <c r="F158" i="12"/>
  <c r="F144" i="12"/>
  <c r="G158" i="12"/>
  <c r="G144" i="12"/>
  <c r="H158" i="12"/>
  <c r="H144" i="12"/>
  <c r="I144" i="12"/>
  <c r="J144" i="12"/>
  <c r="K144" i="12"/>
  <c r="L144" i="12"/>
  <c r="M144" i="12"/>
  <c r="N144" i="12"/>
  <c r="O144" i="12"/>
  <c r="P144" i="12"/>
  <c r="Q144" i="12"/>
  <c r="R144" i="12"/>
  <c r="S144" i="12"/>
  <c r="T144" i="12"/>
  <c r="U144" i="12"/>
  <c r="V144" i="12"/>
  <c r="W144" i="12"/>
  <c r="X144" i="12"/>
  <c r="Y144" i="12"/>
  <c r="Z144" i="12"/>
  <c r="AA144" i="12"/>
  <c r="AB144" i="12"/>
  <c r="AC144" i="12"/>
  <c r="AD144" i="12"/>
  <c r="AE144" i="12"/>
  <c r="AF144" i="12"/>
  <c r="AG144" i="12"/>
  <c r="AH144" i="12"/>
  <c r="AI144" i="12"/>
  <c r="AJ144" i="12"/>
  <c r="AK144" i="12"/>
  <c r="AL144" i="12"/>
  <c r="AM144" i="12"/>
  <c r="AN144" i="12"/>
  <c r="AO144" i="12"/>
  <c r="AP144" i="12"/>
  <c r="AQ144" i="12"/>
  <c r="AR144" i="12"/>
  <c r="AS144" i="12"/>
  <c r="AT144" i="12"/>
  <c r="AU144" i="12"/>
  <c r="AV144" i="12"/>
  <c r="AW144" i="12"/>
  <c r="AX144" i="12"/>
  <c r="AY144" i="12"/>
  <c r="AZ144" i="12"/>
  <c r="BA144" i="12"/>
  <c r="BB144" i="12"/>
  <c r="BC144" i="12"/>
  <c r="BD144" i="12"/>
  <c r="BE144" i="12"/>
  <c r="BF144" i="12"/>
  <c r="BG144" i="12"/>
  <c r="BH144" i="12"/>
  <c r="BI144" i="12"/>
  <c r="BJ144" i="12"/>
  <c r="BK144" i="12"/>
  <c r="BL144" i="12"/>
  <c r="D90" i="10"/>
  <c r="G78" i="10"/>
  <c r="E28" i="9"/>
  <c r="C22" i="8"/>
  <c r="C19" i="8"/>
  <c r="I37" i="3"/>
  <c r="F38" i="3"/>
  <c r="I38" i="3" s="1"/>
  <c r="E9" i="8"/>
  <c r="G37" i="3"/>
  <c r="H37" i="3" s="1"/>
  <c r="H38" i="3" s="1"/>
  <c r="D9" i="8"/>
  <c r="G38" i="3"/>
  <c r="D22" i="8" l="1"/>
  <c r="D19" i="8"/>
  <c r="E22" i="8"/>
  <c r="E19" i="8"/>
  <c r="C26" i="8"/>
  <c r="C18" i="8"/>
  <c r="H24" i="12"/>
  <c r="G24" i="12"/>
  <c r="F24" i="12"/>
  <c r="E24" i="12"/>
  <c r="C28" i="8"/>
  <c r="F42" i="3"/>
  <c r="I42" i="3" s="1"/>
  <c r="G98" i="12"/>
  <c r="F98" i="12"/>
  <c r="E98" i="12"/>
  <c r="E90" i="10"/>
  <c r="E123" i="12"/>
  <c r="E149" i="12" s="1"/>
  <c r="D123" i="12"/>
  <c r="F159" i="12"/>
  <c r="G159" i="12" s="1"/>
  <c r="H159" i="12" s="1"/>
  <c r="N18" i="10"/>
  <c r="I19" i="10"/>
  <c r="M18" i="10"/>
  <c r="H19" i="10"/>
  <c r="L18" i="10"/>
  <c r="G19" i="10"/>
  <c r="E97" i="12"/>
  <c r="E96" i="12"/>
  <c r="E103" i="12" s="1"/>
  <c r="C83" i="13"/>
  <c r="I23" i="3" s="1"/>
  <c r="C82" i="13"/>
  <c r="C81" i="13"/>
  <c r="D79" i="13"/>
  <c r="D78" i="13" s="1"/>
  <c r="I19" i="3" s="1"/>
  <c r="F34" i="13"/>
  <c r="F33" i="13"/>
  <c r="F32" i="13"/>
  <c r="G45" i="12"/>
  <c r="G49" i="12" s="1"/>
  <c r="F30" i="13"/>
  <c r="F29" i="13"/>
  <c r="F28" i="13"/>
  <c r="G44" i="12"/>
  <c r="G18" i="12"/>
  <c r="F123" i="12"/>
  <c r="F149" i="12" s="1"/>
  <c r="G135" i="12"/>
  <c r="G110" i="12"/>
  <c r="I121" i="12"/>
  <c r="I92" i="12"/>
  <c r="I93" i="12" s="1"/>
  <c r="I145" i="12" s="1"/>
  <c r="I65" i="12"/>
  <c r="I64" i="12"/>
  <c r="I63" i="12"/>
  <c r="I60" i="12"/>
  <c r="I59" i="12"/>
  <c r="I58" i="12"/>
  <c r="I8" i="12"/>
  <c r="I7" i="12"/>
  <c r="I6" i="12"/>
  <c r="J5" i="12"/>
  <c r="H108" i="12"/>
  <c r="H83" i="12"/>
  <c r="G9" i="12"/>
  <c r="H4" i="12"/>
  <c r="G2" i="13" s="1"/>
  <c r="G2" i="14" s="1"/>
  <c r="H16" i="12"/>
  <c r="H17" i="12"/>
  <c r="H23" i="12"/>
  <c r="H101" i="12"/>
  <c r="H102" i="12"/>
  <c r="H29" i="12"/>
  <c r="G36" i="13" s="1"/>
  <c r="H75" i="12"/>
  <c r="H85" i="12"/>
  <c r="H84" i="12"/>
  <c r="H80" i="12"/>
  <c r="H86" i="12"/>
  <c r="H20" i="12"/>
  <c r="H31" i="12"/>
  <c r="H98" i="12"/>
  <c r="H76" i="12"/>
  <c r="H77" i="12"/>
  <c r="G4" i="13"/>
  <c r="G10" i="12"/>
  <c r="G5" i="13"/>
  <c r="G11" i="12"/>
  <c r="H145" i="12"/>
  <c r="F134" i="12"/>
  <c r="F21" i="12"/>
  <c r="E74" i="13"/>
  <c r="E77" i="13" s="1"/>
  <c r="F48" i="12"/>
  <c r="F46" i="12"/>
  <c r="F148" i="12" s="1"/>
  <c r="E38" i="13"/>
  <c r="F61" i="13"/>
  <c r="H25" i="13"/>
  <c r="H56" i="13" s="1"/>
  <c r="H24" i="13"/>
  <c r="H23" i="13"/>
  <c r="I21" i="13"/>
  <c r="H3" i="13"/>
  <c r="G58" i="13"/>
  <c r="G60" i="13" s="1"/>
  <c r="G53" i="13"/>
  <c r="G61" i="13" l="1"/>
  <c r="I25" i="13"/>
  <c r="I56" i="13" s="1"/>
  <c r="I24" i="13"/>
  <c r="I23" i="13"/>
  <c r="J21" i="13"/>
  <c r="I3" i="13"/>
  <c r="H58" i="13"/>
  <c r="H60" i="13" s="1"/>
  <c r="H53" i="13"/>
  <c r="F97" i="12"/>
  <c r="F96" i="12"/>
  <c r="F103" i="12" s="1"/>
  <c r="F151" i="12" s="1"/>
  <c r="E79" i="13"/>
  <c r="E78" i="13" s="1"/>
  <c r="G34" i="13"/>
  <c r="G33" i="13"/>
  <c r="G32" i="13"/>
  <c r="H45" i="12"/>
  <c r="H49" i="12" s="1"/>
  <c r="G30" i="13"/>
  <c r="G29" i="13"/>
  <c r="G28" i="13"/>
  <c r="H44" i="12"/>
  <c r="H18" i="12"/>
  <c r="G123" i="12"/>
  <c r="G149" i="12" s="1"/>
  <c r="H135" i="12"/>
  <c r="H110" i="12"/>
  <c r="J121" i="12"/>
  <c r="J92" i="12"/>
  <c r="J93" i="12" s="1"/>
  <c r="J65" i="12"/>
  <c r="J64" i="12"/>
  <c r="J63" i="12"/>
  <c r="J60" i="12"/>
  <c r="J59" i="12"/>
  <c r="J58" i="12"/>
  <c r="J8" i="12"/>
  <c r="J7" i="12"/>
  <c r="J6" i="12"/>
  <c r="K5" i="12"/>
  <c r="I108" i="12"/>
  <c r="I83" i="12"/>
  <c r="H9" i="12"/>
  <c r="I4" i="12"/>
  <c r="H2" i="13" s="1"/>
  <c r="H2" i="14" s="1"/>
  <c r="I16" i="12"/>
  <c r="I17" i="12"/>
  <c r="I23" i="12"/>
  <c r="I101" i="12"/>
  <c r="I102" i="12"/>
  <c r="I29" i="12"/>
  <c r="H36" i="13" s="1"/>
  <c r="I75" i="12"/>
  <c r="I85" i="12"/>
  <c r="I84" i="12"/>
  <c r="I80" i="12"/>
  <c r="I86" i="12"/>
  <c r="I20" i="12"/>
  <c r="I31" i="12"/>
  <c r="I98" i="12"/>
  <c r="I76" i="12"/>
  <c r="I77" i="12"/>
  <c r="I129" i="12"/>
  <c r="I24" i="12"/>
  <c r="H4" i="13"/>
  <c r="H10" i="12"/>
  <c r="H5" i="13"/>
  <c r="H11" i="12"/>
  <c r="I143" i="12"/>
  <c r="I158" i="12"/>
  <c r="G134" i="12"/>
  <c r="G21" i="12"/>
  <c r="F74" i="13"/>
  <c r="F77" i="13" s="1"/>
  <c r="G48" i="12"/>
  <c r="G46" i="12"/>
  <c r="G148" i="12" s="1"/>
  <c r="F38" i="13"/>
  <c r="E151" i="12"/>
  <c r="I16" i="3"/>
  <c r="L19" i="10"/>
  <c r="G31" i="10"/>
  <c r="G38" i="10" s="1"/>
  <c r="L31" i="10"/>
  <c r="L38" i="10" s="1"/>
  <c r="M19" i="10"/>
  <c r="H31" i="10"/>
  <c r="H38" i="10" s="1"/>
  <c r="M31" i="10"/>
  <c r="M38" i="10" s="1"/>
  <c r="N19" i="10"/>
  <c r="I31" i="10"/>
  <c r="I38" i="10" s="1"/>
  <c r="N31" i="10"/>
  <c r="N38" i="10" s="1"/>
  <c r="I159" i="12"/>
  <c r="D161" i="12"/>
  <c r="D162" i="12" s="1"/>
  <c r="D149" i="12"/>
  <c r="C174" i="12" s="1"/>
  <c r="I10" i="3" s="1"/>
  <c r="I14" i="3"/>
  <c r="H129" i="12"/>
  <c r="G129" i="12"/>
  <c r="F129" i="12"/>
  <c r="E129" i="12"/>
  <c r="C20" i="8"/>
  <c r="C25" i="8"/>
  <c r="E26" i="8"/>
  <c r="E18" i="8"/>
  <c r="E28" i="8"/>
  <c r="D26" i="8"/>
  <c r="D18" i="8"/>
  <c r="D28" i="8"/>
  <c r="G42" i="3"/>
  <c r="H42" i="3" s="1"/>
  <c r="J30" i="12" l="1"/>
  <c r="I30" i="12"/>
  <c r="H30" i="12"/>
  <c r="G30" i="12"/>
  <c r="F30" i="12"/>
  <c r="E30" i="12"/>
  <c r="D20" i="8"/>
  <c r="D25" i="8"/>
  <c r="D31" i="8" s="1"/>
  <c r="J28" i="12"/>
  <c r="I28" i="12"/>
  <c r="H28" i="12"/>
  <c r="G28" i="12"/>
  <c r="F28" i="12"/>
  <c r="E28" i="12"/>
  <c r="E20" i="8"/>
  <c r="E25" i="8"/>
  <c r="E31" i="8" s="1"/>
  <c r="J27" i="12"/>
  <c r="I27" i="12"/>
  <c r="I33" i="12" s="1"/>
  <c r="H37" i="13" s="1"/>
  <c r="H27" i="12"/>
  <c r="H33" i="12" s="1"/>
  <c r="G37" i="13" s="1"/>
  <c r="G39" i="13" s="1"/>
  <c r="G42" i="13" s="1"/>
  <c r="G41" i="13" s="1"/>
  <c r="G27" i="12"/>
  <c r="G33" i="12" s="1"/>
  <c r="F37" i="13" s="1"/>
  <c r="F39" i="13" s="1"/>
  <c r="F42" i="13" s="1"/>
  <c r="F41" i="13" s="1"/>
  <c r="F27" i="12"/>
  <c r="F33" i="12" s="1"/>
  <c r="E37" i="13" s="1"/>
  <c r="E39" i="13" s="1"/>
  <c r="E27" i="12"/>
  <c r="E33" i="12" s="1"/>
  <c r="D37" i="13" s="1"/>
  <c r="D39" i="13" s="1"/>
  <c r="C31" i="8"/>
  <c r="C15" i="9"/>
  <c r="F40" i="3"/>
  <c r="E161" i="12"/>
  <c r="E150" i="12"/>
  <c r="I15" i="3"/>
  <c r="F161" i="12"/>
  <c r="F150" i="12"/>
  <c r="G150" i="12"/>
  <c r="H150" i="12"/>
  <c r="E162" i="12"/>
  <c r="F162" i="12" s="1"/>
  <c r="E84" i="10"/>
  <c r="N41" i="10"/>
  <c r="I41" i="10"/>
  <c r="I39" i="10"/>
  <c r="D84" i="10"/>
  <c r="M41" i="10"/>
  <c r="H41" i="10"/>
  <c r="H39" i="10"/>
  <c r="H119" i="12"/>
  <c r="H137" i="12" s="1"/>
  <c r="G119" i="12"/>
  <c r="G137" i="12" s="1"/>
  <c r="F119" i="12"/>
  <c r="F137" i="12" s="1"/>
  <c r="E119" i="12"/>
  <c r="E137" i="12" s="1"/>
  <c r="D119" i="12"/>
  <c r="C84" i="10"/>
  <c r="L41" i="10"/>
  <c r="F32" i="3"/>
  <c r="G41" i="10"/>
  <c r="G39" i="10"/>
  <c r="F40" i="13"/>
  <c r="G97" i="12"/>
  <c r="G96" i="12"/>
  <c r="G103" i="12" s="1"/>
  <c r="F79" i="13"/>
  <c r="F78" i="13" s="1"/>
  <c r="I150" i="12"/>
  <c r="H39" i="13"/>
  <c r="H34" i="13"/>
  <c r="H33" i="13"/>
  <c r="H32" i="13"/>
  <c r="I45" i="12"/>
  <c r="I49" i="12" s="1"/>
  <c r="H30" i="13"/>
  <c r="H29" i="13"/>
  <c r="H28" i="13"/>
  <c r="I44" i="12"/>
  <c r="I18" i="12"/>
  <c r="H123" i="12"/>
  <c r="I135" i="12"/>
  <c r="I110" i="12"/>
  <c r="K121" i="12"/>
  <c r="K92" i="12"/>
  <c r="K93" i="12" s="1"/>
  <c r="K145" i="12" s="1"/>
  <c r="K65" i="12"/>
  <c r="K64" i="12"/>
  <c r="K63" i="12"/>
  <c r="K60" i="12"/>
  <c r="K59" i="12"/>
  <c r="K58" i="12"/>
  <c r="K8" i="12"/>
  <c r="K7" i="12"/>
  <c r="K6" i="12"/>
  <c r="L5" i="12"/>
  <c r="J108" i="12"/>
  <c r="J83" i="12"/>
  <c r="I9" i="12"/>
  <c r="J4" i="12"/>
  <c r="I2" i="13" s="1"/>
  <c r="I2" i="14" s="1"/>
  <c r="J16" i="12"/>
  <c r="J17" i="12"/>
  <c r="J23" i="12"/>
  <c r="J101" i="12"/>
  <c r="J102" i="12"/>
  <c r="J29" i="12"/>
  <c r="I36" i="13" s="1"/>
  <c r="J75" i="12"/>
  <c r="J85" i="12"/>
  <c r="J84" i="12"/>
  <c r="J80" i="12"/>
  <c r="J86" i="12"/>
  <c r="J20" i="12"/>
  <c r="J31" i="12"/>
  <c r="J98" i="12"/>
  <c r="J76" i="12"/>
  <c r="J77" i="12"/>
  <c r="J129" i="12"/>
  <c r="J24" i="12"/>
  <c r="I4" i="13"/>
  <c r="I10" i="12"/>
  <c r="I5" i="13"/>
  <c r="I11" i="12"/>
  <c r="J145" i="12"/>
  <c r="J143" i="12"/>
  <c r="J158" i="12"/>
  <c r="J159" i="12" s="1"/>
  <c r="H134" i="12"/>
  <c r="H21" i="12"/>
  <c r="G74" i="13"/>
  <c r="G77" i="13" s="1"/>
  <c r="H48" i="12"/>
  <c r="H46" i="12"/>
  <c r="H148" i="12" s="1"/>
  <c r="G38" i="13"/>
  <c r="G40" i="13" s="1"/>
  <c r="H61" i="13"/>
  <c r="J25" i="13"/>
  <c r="J56" i="13" s="1"/>
  <c r="J24" i="13"/>
  <c r="J23" i="13"/>
  <c r="K21" i="13"/>
  <c r="J3" i="13"/>
  <c r="I58" i="13"/>
  <c r="I60" i="13" s="1"/>
  <c r="I53" i="13"/>
  <c r="I61" i="13" l="1"/>
  <c r="K25" i="13"/>
  <c r="K56" i="13" s="1"/>
  <c r="K24" i="13"/>
  <c r="K23" i="13"/>
  <c r="L21" i="13"/>
  <c r="K3" i="13"/>
  <c r="J58" i="13"/>
  <c r="J60" i="13" s="1"/>
  <c r="J53" i="13"/>
  <c r="H97" i="12"/>
  <c r="H96" i="12"/>
  <c r="H103" i="12" s="1"/>
  <c r="H151" i="12" s="1"/>
  <c r="G79" i="13"/>
  <c r="G78" i="13" s="1"/>
  <c r="J150" i="12"/>
  <c r="I34" i="13"/>
  <c r="I33" i="13"/>
  <c r="I32" i="13"/>
  <c r="J45" i="12"/>
  <c r="J49" i="12" s="1"/>
  <c r="I30" i="13"/>
  <c r="I29" i="13"/>
  <c r="I28" i="13"/>
  <c r="J44" i="12"/>
  <c r="J18" i="12"/>
  <c r="I123" i="12"/>
  <c r="I119" i="12"/>
  <c r="I137" i="12" s="1"/>
  <c r="J135" i="12"/>
  <c r="J110" i="12"/>
  <c r="L121" i="12"/>
  <c r="L92" i="12"/>
  <c r="L93" i="12" s="1"/>
  <c r="L65" i="12"/>
  <c r="L64" i="12"/>
  <c r="L63" i="12"/>
  <c r="L60" i="12"/>
  <c r="L59" i="12"/>
  <c r="L58" i="12"/>
  <c r="L8" i="12"/>
  <c r="L7" i="12"/>
  <c r="L6" i="12"/>
  <c r="M5" i="12"/>
  <c r="K108" i="12"/>
  <c r="K83" i="12"/>
  <c r="J9" i="12"/>
  <c r="K4" i="12"/>
  <c r="J2" i="13" s="1"/>
  <c r="J2" i="14" s="1"/>
  <c r="K16" i="12"/>
  <c r="K17" i="12"/>
  <c r="K23" i="12"/>
  <c r="K101" i="12"/>
  <c r="K102" i="12"/>
  <c r="K29" i="12"/>
  <c r="J36" i="13" s="1"/>
  <c r="K75" i="12"/>
  <c r="K85" i="12"/>
  <c r="K84" i="12"/>
  <c r="K80" i="12"/>
  <c r="K86" i="12"/>
  <c r="K20" i="12"/>
  <c r="K31" i="12"/>
  <c r="K98" i="12"/>
  <c r="K76" i="12"/>
  <c r="K77" i="12"/>
  <c r="K129" i="12"/>
  <c r="K24" i="12"/>
  <c r="K30" i="12"/>
  <c r="K28" i="12"/>
  <c r="K27" i="12"/>
  <c r="K33" i="12" s="1"/>
  <c r="J37" i="13" s="1"/>
  <c r="J4" i="13"/>
  <c r="J10" i="12"/>
  <c r="J5" i="13"/>
  <c r="J11" i="12"/>
  <c r="K143" i="12"/>
  <c r="K158" i="12"/>
  <c r="K159" i="12" s="1"/>
  <c r="H149" i="12"/>
  <c r="H161" i="12"/>
  <c r="I134" i="12"/>
  <c r="I21" i="12"/>
  <c r="H74" i="13"/>
  <c r="H77" i="13" s="1"/>
  <c r="I48" i="12"/>
  <c r="I46" i="12"/>
  <c r="I148" i="12" s="1"/>
  <c r="H38" i="13"/>
  <c r="H40" i="13" s="1"/>
  <c r="H42" i="13"/>
  <c r="H41" i="13" s="1"/>
  <c r="G151" i="12"/>
  <c r="G161" i="12"/>
  <c r="J113" i="12"/>
  <c r="I113" i="12"/>
  <c r="H113" i="12"/>
  <c r="G113" i="12"/>
  <c r="F113" i="12"/>
  <c r="E113" i="12"/>
  <c r="D113" i="12"/>
  <c r="L39" i="10"/>
  <c r="F33" i="3"/>
  <c r="F35" i="3"/>
  <c r="G32" i="3"/>
  <c r="J118" i="12"/>
  <c r="I118" i="12"/>
  <c r="H118" i="12"/>
  <c r="G118" i="12"/>
  <c r="F118" i="12"/>
  <c r="E118" i="12"/>
  <c r="D118" i="12"/>
  <c r="D155" i="12" s="1"/>
  <c r="L127" i="12"/>
  <c r="K127" i="12"/>
  <c r="J127" i="12"/>
  <c r="I127" i="12"/>
  <c r="H127" i="12"/>
  <c r="G127" i="12"/>
  <c r="F127" i="12"/>
  <c r="E127" i="12"/>
  <c r="D137" i="12"/>
  <c r="M39" i="10"/>
  <c r="G33" i="3"/>
  <c r="N39" i="10"/>
  <c r="H33" i="3"/>
  <c r="G162" i="12"/>
  <c r="H162" i="12" s="1"/>
  <c r="F43" i="3"/>
  <c r="I40" i="3"/>
  <c r="C12" i="9"/>
  <c r="C11" i="9"/>
  <c r="C48" i="13"/>
  <c r="F23" i="3" s="1"/>
  <c r="C46" i="13"/>
  <c r="C44" i="13"/>
  <c r="D42" i="13"/>
  <c r="D41" i="13" s="1"/>
  <c r="F19" i="3" s="1"/>
  <c r="D40" i="13"/>
  <c r="E42" i="13"/>
  <c r="E41" i="13" s="1"/>
  <c r="E40" i="13"/>
  <c r="J33" i="12"/>
  <c r="I37" i="13" s="1"/>
  <c r="I39" i="13" s="1"/>
  <c r="I42" i="13" s="1"/>
  <c r="I41" i="13" s="1"/>
  <c r="E12" i="9"/>
  <c r="E11" i="9"/>
  <c r="E15" i="9"/>
  <c r="D12" i="9"/>
  <c r="D11" i="9"/>
  <c r="D15" i="9"/>
  <c r="G40" i="3"/>
  <c r="G43" i="3" l="1"/>
  <c r="H40" i="3"/>
  <c r="H43" i="3" s="1"/>
  <c r="L82" i="12"/>
  <c r="K82" i="12"/>
  <c r="J82" i="12"/>
  <c r="I82" i="12"/>
  <c r="H82" i="12"/>
  <c r="G82" i="12"/>
  <c r="F82" i="12"/>
  <c r="E82" i="12"/>
  <c r="C49" i="13"/>
  <c r="F21" i="3" s="1"/>
  <c r="C47" i="13"/>
  <c r="C45" i="13"/>
  <c r="L78" i="12"/>
  <c r="K78" i="12"/>
  <c r="J78" i="12"/>
  <c r="J87" i="12" s="1"/>
  <c r="J139" i="12" s="1"/>
  <c r="I78" i="12"/>
  <c r="I87" i="12" s="1"/>
  <c r="I139" i="12" s="1"/>
  <c r="H78" i="12"/>
  <c r="H87" i="12" s="1"/>
  <c r="H139" i="12" s="1"/>
  <c r="G78" i="12"/>
  <c r="G87" i="12" s="1"/>
  <c r="G139" i="12" s="1"/>
  <c r="F78" i="12"/>
  <c r="F87" i="12" s="1"/>
  <c r="F139" i="12" s="1"/>
  <c r="E78" i="12"/>
  <c r="E87" i="12" s="1"/>
  <c r="L79" i="12"/>
  <c r="K79" i="12"/>
  <c r="J79" i="12"/>
  <c r="I79" i="12"/>
  <c r="H79" i="12"/>
  <c r="G79" i="12"/>
  <c r="F79" i="12"/>
  <c r="E79" i="12"/>
  <c r="E155" i="12"/>
  <c r="E138" i="12"/>
  <c r="F155" i="12"/>
  <c r="F138" i="12"/>
  <c r="G155" i="12"/>
  <c r="G138" i="12"/>
  <c r="H155" i="12"/>
  <c r="H138" i="12"/>
  <c r="I155" i="12"/>
  <c r="I138" i="12"/>
  <c r="J155" i="12"/>
  <c r="J138" i="12"/>
  <c r="K138" i="12"/>
  <c r="L138" i="12"/>
  <c r="D205" i="12"/>
  <c r="D193" i="12"/>
  <c r="D181" i="12"/>
  <c r="D164" i="12"/>
  <c r="D156" i="12"/>
  <c r="G35" i="3"/>
  <c r="H32" i="3"/>
  <c r="H35" i="3" s="1"/>
  <c r="I32" i="3"/>
  <c r="I35" i="3"/>
  <c r="I33" i="3"/>
  <c r="I97" i="12"/>
  <c r="I96" i="12"/>
  <c r="I103" i="12" s="1"/>
  <c r="I151" i="12" s="1"/>
  <c r="H79" i="13"/>
  <c r="H78" i="13" s="1"/>
  <c r="K150" i="12"/>
  <c r="K87" i="12"/>
  <c r="K139" i="12" s="1"/>
  <c r="J39" i="13"/>
  <c r="J34" i="13"/>
  <c r="J33" i="13"/>
  <c r="J32" i="13"/>
  <c r="K45" i="12"/>
  <c r="K49" i="12" s="1"/>
  <c r="J30" i="13"/>
  <c r="J29" i="13"/>
  <c r="J28" i="13"/>
  <c r="K44" i="12"/>
  <c r="K18" i="12"/>
  <c r="J123" i="12"/>
  <c r="J119" i="12"/>
  <c r="K135" i="12"/>
  <c r="K110" i="12"/>
  <c r="M121" i="12"/>
  <c r="M92" i="12"/>
  <c r="M93" i="12" s="1"/>
  <c r="M145" i="12" s="1"/>
  <c r="M65" i="12"/>
  <c r="M64" i="12"/>
  <c r="M63" i="12"/>
  <c r="M60" i="12"/>
  <c r="M59" i="12"/>
  <c r="M58" i="12"/>
  <c r="M8" i="12"/>
  <c r="M7" i="12"/>
  <c r="M6" i="12"/>
  <c r="N5" i="12"/>
  <c r="L108" i="12"/>
  <c r="L83" i="12"/>
  <c r="K9" i="12"/>
  <c r="L4" i="12"/>
  <c r="K2" i="13" s="1"/>
  <c r="K2" i="14" s="1"/>
  <c r="L16" i="12"/>
  <c r="L17" i="12"/>
  <c r="L23" i="12"/>
  <c r="L101" i="12"/>
  <c r="L102" i="12"/>
  <c r="L29" i="12"/>
  <c r="K36" i="13" s="1"/>
  <c r="L75" i="12"/>
  <c r="L85" i="12"/>
  <c r="L84" i="12"/>
  <c r="L80" i="12"/>
  <c r="L86" i="12"/>
  <c r="L20" i="12"/>
  <c r="L31" i="12"/>
  <c r="L98" i="12"/>
  <c r="L76" i="12"/>
  <c r="L77" i="12"/>
  <c r="L129" i="12"/>
  <c r="L24" i="12"/>
  <c r="L30" i="12"/>
  <c r="L28" i="12"/>
  <c r="L27" i="12"/>
  <c r="L33" i="12" s="1"/>
  <c r="K37" i="13" s="1"/>
  <c r="K4" i="13"/>
  <c r="K10" i="12"/>
  <c r="K5" i="13"/>
  <c r="K11" i="12"/>
  <c r="L145" i="12"/>
  <c r="L143" i="12"/>
  <c r="L158" i="12"/>
  <c r="L159" i="12" s="1"/>
  <c r="I149" i="12"/>
  <c r="I161" i="12"/>
  <c r="I162" i="12" s="1"/>
  <c r="J134" i="12"/>
  <c r="J21" i="12"/>
  <c r="I74" i="13"/>
  <c r="I77" i="13" s="1"/>
  <c r="J48" i="12"/>
  <c r="J46" i="12"/>
  <c r="J148" i="12" s="1"/>
  <c r="I38" i="13"/>
  <c r="I40" i="13" s="1"/>
  <c r="J61" i="13"/>
  <c r="L25" i="13"/>
  <c r="L56" i="13" s="1"/>
  <c r="L24" i="13"/>
  <c r="L23" i="13"/>
  <c r="M21" i="13"/>
  <c r="L3" i="13"/>
  <c r="K58" i="13"/>
  <c r="K60" i="13" s="1"/>
  <c r="K53" i="13"/>
  <c r="K61" i="13" l="1"/>
  <c r="M25" i="13"/>
  <c r="M56" i="13" s="1"/>
  <c r="M24" i="13"/>
  <c r="M23" i="13"/>
  <c r="N21" i="13"/>
  <c r="M3" i="13"/>
  <c r="L58" i="13"/>
  <c r="L60" i="13" s="1"/>
  <c r="L53" i="13"/>
  <c r="J97" i="12"/>
  <c r="J96" i="12"/>
  <c r="J103" i="12" s="1"/>
  <c r="J151" i="12" s="1"/>
  <c r="I79" i="13"/>
  <c r="I78" i="13" s="1"/>
  <c r="L150" i="12"/>
  <c r="L87" i="12"/>
  <c r="L139" i="12" s="1"/>
  <c r="K39" i="13"/>
  <c r="K34" i="13"/>
  <c r="K33" i="13"/>
  <c r="K32" i="13"/>
  <c r="L45" i="12"/>
  <c r="L49" i="12" s="1"/>
  <c r="K30" i="13"/>
  <c r="K29" i="13"/>
  <c r="K28" i="13"/>
  <c r="L44" i="12"/>
  <c r="L18" i="12"/>
  <c r="K123" i="12"/>
  <c r="K119" i="12"/>
  <c r="K137" i="12" s="1"/>
  <c r="K113" i="12"/>
  <c r="K118" i="12"/>
  <c r="K155" i="12" s="1"/>
  <c r="L135" i="12"/>
  <c r="L110" i="12"/>
  <c r="N121" i="12"/>
  <c r="N92" i="12"/>
  <c r="N93" i="12" s="1"/>
  <c r="N65" i="12"/>
  <c r="N64" i="12"/>
  <c r="N63" i="12"/>
  <c r="N60" i="12"/>
  <c r="N59" i="12"/>
  <c r="N58" i="12"/>
  <c r="N8" i="12"/>
  <c r="N7" i="12"/>
  <c r="N6" i="12"/>
  <c r="O5" i="12"/>
  <c r="M108" i="12"/>
  <c r="M83" i="12"/>
  <c r="L9" i="12"/>
  <c r="M4" i="12"/>
  <c r="L2" i="13" s="1"/>
  <c r="L2" i="14" s="1"/>
  <c r="M16" i="12"/>
  <c r="M17" i="12"/>
  <c r="M23" i="12"/>
  <c r="M101" i="12"/>
  <c r="M102" i="12"/>
  <c r="M29" i="12"/>
  <c r="L36" i="13" s="1"/>
  <c r="M75" i="12"/>
  <c r="M85" i="12"/>
  <c r="M84" i="12"/>
  <c r="M80" i="12"/>
  <c r="M86" i="12"/>
  <c r="M20" i="12"/>
  <c r="M31" i="12"/>
  <c r="M98" i="12"/>
  <c r="M76" i="12"/>
  <c r="M77" i="12"/>
  <c r="M129" i="12"/>
  <c r="M24" i="12"/>
  <c r="M30" i="12"/>
  <c r="M28" i="12"/>
  <c r="M27" i="12"/>
  <c r="M33" i="12" s="1"/>
  <c r="L37" i="13" s="1"/>
  <c r="M127" i="12"/>
  <c r="M82" i="12"/>
  <c r="M78" i="12"/>
  <c r="M79" i="12"/>
  <c r="L4" i="13"/>
  <c r="L10" i="12"/>
  <c r="L5" i="13"/>
  <c r="L11" i="12"/>
  <c r="M143" i="12"/>
  <c r="M158" i="12"/>
  <c r="M159" i="12" s="1"/>
  <c r="J137" i="12"/>
  <c r="J149" i="12"/>
  <c r="J161" i="12"/>
  <c r="J162" i="12" s="1"/>
  <c r="K134" i="12"/>
  <c r="K21" i="12"/>
  <c r="J74" i="13"/>
  <c r="J77" i="13" s="1"/>
  <c r="K48" i="12"/>
  <c r="K46" i="12"/>
  <c r="K148" i="12" s="1"/>
  <c r="J38" i="13"/>
  <c r="J40" i="13" s="1"/>
  <c r="J42" i="13"/>
  <c r="J41" i="13" s="1"/>
  <c r="D165" i="12"/>
  <c r="E156" i="12"/>
  <c r="D206" i="12"/>
  <c r="D194" i="12"/>
  <c r="D182" i="12"/>
  <c r="J205" i="12"/>
  <c r="J193" i="12"/>
  <c r="J181" i="12"/>
  <c r="J164" i="12"/>
  <c r="I205" i="12"/>
  <c r="I193" i="12"/>
  <c r="I181" i="12"/>
  <c r="I164" i="12"/>
  <c r="H205" i="12"/>
  <c r="H193" i="12"/>
  <c r="H181" i="12"/>
  <c r="H164" i="12"/>
  <c r="G205" i="12"/>
  <c r="G193" i="12"/>
  <c r="G181" i="12"/>
  <c r="G164" i="12"/>
  <c r="F205" i="12"/>
  <c r="F193" i="12"/>
  <c r="F181" i="12"/>
  <c r="F164" i="12"/>
  <c r="E205" i="12"/>
  <c r="E193" i="12"/>
  <c r="E181" i="12"/>
  <c r="E164" i="12"/>
  <c r="E139" i="12"/>
  <c r="F16" i="3"/>
  <c r="E206" i="12" l="1"/>
  <c r="E207" i="12" s="1"/>
  <c r="E208" i="12" s="1"/>
  <c r="C211" i="12" s="1"/>
  <c r="E194" i="12"/>
  <c r="E195" i="12" s="1"/>
  <c r="E196" i="12" s="1"/>
  <c r="C199" i="12" s="1"/>
  <c r="E182" i="12"/>
  <c r="E183" i="12" s="1"/>
  <c r="E184" i="12" s="1"/>
  <c r="C187" i="12" s="1"/>
  <c r="F206" i="12"/>
  <c r="F207" i="12" s="1"/>
  <c r="F208" i="12" s="1"/>
  <c r="F194" i="12"/>
  <c r="F195" i="12" s="1"/>
  <c r="F196" i="12" s="1"/>
  <c r="F182" i="12"/>
  <c r="F183" i="12" s="1"/>
  <c r="F184" i="12" s="1"/>
  <c r="G206" i="12"/>
  <c r="G207" i="12" s="1"/>
  <c r="G208" i="12" s="1"/>
  <c r="G194" i="12"/>
  <c r="G195" i="12" s="1"/>
  <c r="G196" i="12" s="1"/>
  <c r="G182" i="12"/>
  <c r="G183" i="12" s="1"/>
  <c r="G184" i="12" s="1"/>
  <c r="H206" i="12"/>
  <c r="H207" i="12" s="1"/>
  <c r="H208" i="12" s="1"/>
  <c r="H194" i="12"/>
  <c r="H195" i="12" s="1"/>
  <c r="H196" i="12" s="1"/>
  <c r="H182" i="12"/>
  <c r="H183" i="12" s="1"/>
  <c r="H184" i="12" s="1"/>
  <c r="I206" i="12"/>
  <c r="I207" i="12" s="1"/>
  <c r="I208" i="12" s="1"/>
  <c r="I194" i="12"/>
  <c r="I195" i="12" s="1"/>
  <c r="I196" i="12" s="1"/>
  <c r="I182" i="12"/>
  <c r="I183" i="12" s="1"/>
  <c r="I184" i="12" s="1"/>
  <c r="J206" i="12"/>
  <c r="J207" i="12" s="1"/>
  <c r="J208" i="12" s="1"/>
  <c r="J194" i="12"/>
  <c r="J195" i="12" s="1"/>
  <c r="J196" i="12" s="1"/>
  <c r="J182" i="12"/>
  <c r="J183" i="12" s="1"/>
  <c r="J184" i="12" s="1"/>
  <c r="C188" i="12"/>
  <c r="C186" i="12"/>
  <c r="C185" i="12"/>
  <c r="D183" i="12"/>
  <c r="C200" i="12"/>
  <c r="C198" i="12"/>
  <c r="C197" i="12"/>
  <c r="D195" i="12"/>
  <c r="C212" i="12"/>
  <c r="C210" i="12"/>
  <c r="F11" i="3" s="1"/>
  <c r="C209" i="12"/>
  <c r="D207" i="12"/>
  <c r="E165" i="12"/>
  <c r="F156" i="12"/>
  <c r="K97" i="12"/>
  <c r="K96" i="12"/>
  <c r="K103" i="12" s="1"/>
  <c r="K151" i="12" s="1"/>
  <c r="J79" i="13"/>
  <c r="J78" i="13" s="1"/>
  <c r="M138" i="12"/>
  <c r="M150" i="12"/>
  <c r="M87" i="12"/>
  <c r="M139" i="12" s="1"/>
  <c r="L39" i="13"/>
  <c r="L34" i="13"/>
  <c r="L33" i="13"/>
  <c r="L32" i="13"/>
  <c r="M45" i="12"/>
  <c r="M49" i="12" s="1"/>
  <c r="L30" i="13"/>
  <c r="L29" i="13"/>
  <c r="L28" i="13"/>
  <c r="M44" i="12"/>
  <c r="M18" i="12"/>
  <c r="L123" i="12"/>
  <c r="L119" i="12"/>
  <c r="L113" i="12"/>
  <c r="L118" i="12"/>
  <c r="L155" i="12" s="1"/>
  <c r="M135" i="12"/>
  <c r="M110" i="12"/>
  <c r="O121" i="12"/>
  <c r="O92" i="12"/>
  <c r="O93" i="12" s="1"/>
  <c r="O145" i="12" s="1"/>
  <c r="O65" i="12"/>
  <c r="O64" i="12"/>
  <c r="O63" i="12"/>
  <c r="O60" i="12"/>
  <c r="O59" i="12"/>
  <c r="O58" i="12"/>
  <c r="O8" i="12"/>
  <c r="O7" i="12"/>
  <c r="O6" i="12"/>
  <c r="P5" i="12"/>
  <c r="N108" i="12"/>
  <c r="N83" i="12"/>
  <c r="M9" i="12"/>
  <c r="N4" i="12"/>
  <c r="M2" i="13" s="1"/>
  <c r="M2" i="14" s="1"/>
  <c r="N16" i="12"/>
  <c r="N17" i="12"/>
  <c r="N23" i="12"/>
  <c r="N101" i="12"/>
  <c r="N102" i="12"/>
  <c r="N29" i="12"/>
  <c r="M36" i="13" s="1"/>
  <c r="N75" i="12"/>
  <c r="N85" i="12"/>
  <c r="N84" i="12"/>
  <c r="N80" i="12"/>
  <c r="N86" i="12"/>
  <c r="N20" i="12"/>
  <c r="N31" i="12"/>
  <c r="N98" i="12"/>
  <c r="N76" i="12"/>
  <c r="N77" i="12"/>
  <c r="N129" i="12"/>
  <c r="N24" i="12"/>
  <c r="N30" i="12"/>
  <c r="N28" i="12"/>
  <c r="N27" i="12"/>
  <c r="N33" i="12" s="1"/>
  <c r="M37" i="13" s="1"/>
  <c r="N127" i="12"/>
  <c r="N82" i="12"/>
  <c r="N78" i="12"/>
  <c r="N79" i="12"/>
  <c r="M4" i="13"/>
  <c r="M10" i="12"/>
  <c r="M5" i="13"/>
  <c r="M11" i="12"/>
  <c r="N145" i="12"/>
  <c r="N143" i="12"/>
  <c r="N158" i="12"/>
  <c r="N159" i="12" s="1"/>
  <c r="K205" i="12"/>
  <c r="K193" i="12"/>
  <c r="K181" i="12"/>
  <c r="K164" i="12"/>
  <c r="K149" i="12"/>
  <c r="K161" i="12"/>
  <c r="K162" i="12" s="1"/>
  <c r="L134" i="12"/>
  <c r="L21" i="12"/>
  <c r="K74" i="13"/>
  <c r="K77" i="13" s="1"/>
  <c r="L48" i="12"/>
  <c r="L46" i="12"/>
  <c r="L148" i="12" s="1"/>
  <c r="K38" i="13"/>
  <c r="K40" i="13" s="1"/>
  <c r="K42" i="13"/>
  <c r="K41" i="13" s="1"/>
  <c r="L61" i="13"/>
  <c r="N25" i="13"/>
  <c r="N56" i="13" s="1"/>
  <c r="N24" i="13"/>
  <c r="N23" i="13"/>
  <c r="O21" i="13"/>
  <c r="N3" i="13"/>
  <c r="M58" i="13"/>
  <c r="M60" i="13" s="1"/>
  <c r="M53" i="13"/>
  <c r="M61" i="13" l="1"/>
  <c r="O25" i="13"/>
  <c r="O56" i="13" s="1"/>
  <c r="O24" i="13"/>
  <c r="O23" i="13"/>
  <c r="P21" i="13"/>
  <c r="O3" i="13"/>
  <c r="N58" i="13"/>
  <c r="N60" i="13" s="1"/>
  <c r="N53" i="13"/>
  <c r="L97" i="12"/>
  <c r="L96" i="12"/>
  <c r="L103" i="12" s="1"/>
  <c r="L151" i="12" s="1"/>
  <c r="K79" i="13"/>
  <c r="K78" i="13" s="1"/>
  <c r="K206" i="12"/>
  <c r="K194" i="12"/>
  <c r="K195" i="12" s="1"/>
  <c r="K196" i="12" s="1"/>
  <c r="K182" i="12"/>
  <c r="K183" i="12" s="1"/>
  <c r="K184" i="12" s="1"/>
  <c r="N138" i="12"/>
  <c r="N150" i="12"/>
  <c r="N87" i="12"/>
  <c r="N139" i="12" s="1"/>
  <c r="M39" i="13"/>
  <c r="M34" i="13"/>
  <c r="M33" i="13"/>
  <c r="M32" i="13"/>
  <c r="N45" i="12"/>
  <c r="N49" i="12" s="1"/>
  <c r="M30" i="13"/>
  <c r="M29" i="13"/>
  <c r="M28" i="13"/>
  <c r="N44" i="12"/>
  <c r="N18" i="12"/>
  <c r="M123" i="12"/>
  <c r="M119" i="12"/>
  <c r="M137" i="12" s="1"/>
  <c r="M113" i="12"/>
  <c r="M118" i="12"/>
  <c r="M155" i="12" s="1"/>
  <c r="N135" i="12"/>
  <c r="N110" i="12"/>
  <c r="P92" i="12"/>
  <c r="P93" i="12" s="1"/>
  <c r="P65" i="12"/>
  <c r="P64" i="12"/>
  <c r="P63" i="12"/>
  <c r="P60" i="12"/>
  <c r="P59" i="12"/>
  <c r="P58" i="12"/>
  <c r="P8" i="12"/>
  <c r="P7" i="12"/>
  <c r="P6" i="12"/>
  <c r="Q5" i="12"/>
  <c r="O108" i="12"/>
  <c r="O83" i="12"/>
  <c r="N9" i="12"/>
  <c r="O4" i="12"/>
  <c r="N2" i="13" s="1"/>
  <c r="N2" i="14" s="1"/>
  <c r="O16" i="12"/>
  <c r="O17" i="12"/>
  <c r="O23" i="12"/>
  <c r="O101" i="12"/>
  <c r="O102" i="12"/>
  <c r="O29" i="12"/>
  <c r="N36" i="13" s="1"/>
  <c r="O75" i="12"/>
  <c r="O85" i="12"/>
  <c r="O84" i="12"/>
  <c r="O80" i="12"/>
  <c r="O86" i="12"/>
  <c r="O20" i="12"/>
  <c r="O31" i="12"/>
  <c r="O98" i="12"/>
  <c r="O76" i="12"/>
  <c r="O77" i="12"/>
  <c r="O129" i="12"/>
  <c r="O24" i="12"/>
  <c r="O30" i="12"/>
  <c r="O28" i="12"/>
  <c r="O27" i="12"/>
  <c r="O33" i="12" s="1"/>
  <c r="N37" i="13" s="1"/>
  <c r="O127" i="12"/>
  <c r="O82" i="12"/>
  <c r="O78" i="12"/>
  <c r="O79" i="12"/>
  <c r="N4" i="13"/>
  <c r="N10" i="12"/>
  <c r="N5" i="13"/>
  <c r="N11" i="12"/>
  <c r="O143" i="12"/>
  <c r="O158" i="12"/>
  <c r="O159" i="12" s="1"/>
  <c r="G14" i="3"/>
  <c r="L205" i="12"/>
  <c r="L193" i="12"/>
  <c r="L181" i="12"/>
  <c r="L164" i="12"/>
  <c r="L137" i="12"/>
  <c r="L149" i="12"/>
  <c r="L161" i="12"/>
  <c r="L162" i="12" s="1"/>
  <c r="M134" i="12"/>
  <c r="M21" i="12"/>
  <c r="L74" i="13"/>
  <c r="L77" i="13" s="1"/>
  <c r="M48" i="12"/>
  <c r="M46" i="12"/>
  <c r="M148" i="12" s="1"/>
  <c r="L38" i="13"/>
  <c r="L40" i="13" s="1"/>
  <c r="L42" i="13"/>
  <c r="L41" i="13" s="1"/>
  <c r="F165" i="12"/>
  <c r="G156" i="12"/>
  <c r="G165" i="12" l="1"/>
  <c r="H156" i="12"/>
  <c r="M97" i="12"/>
  <c r="M96" i="12"/>
  <c r="M103" i="12" s="1"/>
  <c r="M151" i="12" s="1"/>
  <c r="L79" i="13"/>
  <c r="L78" i="13" s="1"/>
  <c r="L206" i="12"/>
  <c r="L207" i="12" s="1"/>
  <c r="L208" i="12" s="1"/>
  <c r="L194" i="12"/>
  <c r="L195" i="12" s="1"/>
  <c r="L196" i="12" s="1"/>
  <c r="L182" i="12"/>
  <c r="L183" i="12" s="1"/>
  <c r="L184" i="12" s="1"/>
  <c r="O138" i="12"/>
  <c r="O150" i="12"/>
  <c r="O87" i="12"/>
  <c r="O139" i="12" s="1"/>
  <c r="N39" i="13"/>
  <c r="N34" i="13"/>
  <c r="N33" i="13"/>
  <c r="N32" i="13"/>
  <c r="O45" i="12"/>
  <c r="O49" i="12" s="1"/>
  <c r="N30" i="13"/>
  <c r="N29" i="13"/>
  <c r="N28" i="13"/>
  <c r="O44" i="12"/>
  <c r="O18" i="12"/>
  <c r="N123" i="12"/>
  <c r="N119" i="12"/>
  <c r="N113" i="12"/>
  <c r="N118" i="12"/>
  <c r="N155" i="12" s="1"/>
  <c r="O135" i="12"/>
  <c r="O110" i="12"/>
  <c r="Q92" i="12"/>
  <c r="Q93" i="12" s="1"/>
  <c r="Q65" i="12"/>
  <c r="Q64" i="12"/>
  <c r="Q63" i="12"/>
  <c r="Q60" i="12"/>
  <c r="Q59" i="12"/>
  <c r="Q58" i="12"/>
  <c r="Q8" i="12"/>
  <c r="Q7" i="12"/>
  <c r="Q6" i="12"/>
  <c r="R5" i="12"/>
  <c r="P108" i="12"/>
  <c r="P83" i="12"/>
  <c r="O9" i="12"/>
  <c r="P4" i="12"/>
  <c r="O2" i="13" s="1"/>
  <c r="O2" i="14" s="1"/>
  <c r="P16" i="12"/>
  <c r="P17" i="12"/>
  <c r="P23" i="12"/>
  <c r="P101" i="12"/>
  <c r="P102" i="12"/>
  <c r="P29" i="12"/>
  <c r="O36" i="13" s="1"/>
  <c r="P75" i="12"/>
  <c r="P85" i="12"/>
  <c r="P84" i="12"/>
  <c r="P80" i="12"/>
  <c r="P86" i="12"/>
  <c r="P20" i="12"/>
  <c r="P31" i="12"/>
  <c r="P98" i="12"/>
  <c r="P76" i="12"/>
  <c r="P77" i="12"/>
  <c r="P129" i="12"/>
  <c r="P24" i="12"/>
  <c r="P30" i="12"/>
  <c r="P28" i="12"/>
  <c r="P27" i="12"/>
  <c r="P33" i="12" s="1"/>
  <c r="O37" i="13" s="1"/>
  <c r="P127" i="12"/>
  <c r="P82" i="12"/>
  <c r="P78" i="12"/>
  <c r="P79" i="12"/>
  <c r="O4" i="13"/>
  <c r="O10" i="12"/>
  <c r="O5" i="13"/>
  <c r="O11" i="12"/>
  <c r="P145" i="12"/>
  <c r="P158" i="12"/>
  <c r="P159" i="12" s="1"/>
  <c r="M205" i="12"/>
  <c r="M193" i="12"/>
  <c r="M181" i="12"/>
  <c r="M164" i="12"/>
  <c r="M149" i="12"/>
  <c r="M161" i="12"/>
  <c r="M162" i="12" s="1"/>
  <c r="N134" i="12"/>
  <c r="N21" i="12"/>
  <c r="M74" i="13"/>
  <c r="M77" i="13" s="1"/>
  <c r="N48" i="12"/>
  <c r="N46" i="12"/>
  <c r="N148" i="12" s="1"/>
  <c r="M38" i="13"/>
  <c r="M40" i="13" s="1"/>
  <c r="M42" i="13"/>
  <c r="M41" i="13" s="1"/>
  <c r="K207" i="12"/>
  <c r="N61" i="13"/>
  <c r="P25" i="13"/>
  <c r="P56" i="13" s="1"/>
  <c r="P24" i="13"/>
  <c r="P23" i="13"/>
  <c r="Q21" i="13"/>
  <c r="P3" i="13"/>
  <c r="O58" i="13"/>
  <c r="O60" i="13" s="1"/>
  <c r="O53" i="13"/>
  <c r="O61" i="13" l="1"/>
  <c r="Q25" i="13"/>
  <c r="Q56" i="13" s="1"/>
  <c r="Q24" i="13"/>
  <c r="Q23" i="13"/>
  <c r="R21" i="13"/>
  <c r="Q3" i="13"/>
  <c r="P58" i="13"/>
  <c r="P60" i="13" s="1"/>
  <c r="P53" i="13"/>
  <c r="K208" i="12"/>
  <c r="N97" i="12"/>
  <c r="N96" i="12"/>
  <c r="N103" i="12" s="1"/>
  <c r="N151" i="12" s="1"/>
  <c r="M79" i="13"/>
  <c r="M78" i="13" s="1"/>
  <c r="M206" i="12"/>
  <c r="M194" i="12"/>
  <c r="M195" i="12" s="1"/>
  <c r="M196" i="12" s="1"/>
  <c r="M182" i="12"/>
  <c r="M183" i="12" s="1"/>
  <c r="M184" i="12" s="1"/>
  <c r="P138" i="12"/>
  <c r="P150" i="12"/>
  <c r="P87" i="12"/>
  <c r="P139" i="12" s="1"/>
  <c r="O39" i="13"/>
  <c r="O34" i="13"/>
  <c r="O33" i="13"/>
  <c r="O32" i="13"/>
  <c r="P45" i="12"/>
  <c r="P49" i="12" s="1"/>
  <c r="O30" i="13"/>
  <c r="O29" i="13"/>
  <c r="O28" i="13"/>
  <c r="P44" i="12"/>
  <c r="P18" i="12"/>
  <c r="O123" i="12"/>
  <c r="O119" i="12"/>
  <c r="O137" i="12" s="1"/>
  <c r="O113" i="12"/>
  <c r="O118" i="12"/>
  <c r="O155" i="12" s="1"/>
  <c r="P135" i="12"/>
  <c r="P110" i="12"/>
  <c r="R92" i="12"/>
  <c r="R93" i="12" s="1"/>
  <c r="R65" i="12"/>
  <c r="R64" i="12"/>
  <c r="R63" i="12"/>
  <c r="R60" i="12"/>
  <c r="R59" i="12"/>
  <c r="R58" i="12"/>
  <c r="R8" i="12"/>
  <c r="R7" i="12"/>
  <c r="R6" i="12"/>
  <c r="S5" i="12"/>
  <c r="Q108" i="12"/>
  <c r="Q83" i="12"/>
  <c r="P9" i="12"/>
  <c r="Q4" i="12"/>
  <c r="P2" i="13" s="1"/>
  <c r="P2" i="14" s="1"/>
  <c r="Q16" i="12"/>
  <c r="Q17" i="12"/>
  <c r="Q23" i="12"/>
  <c r="Q101" i="12"/>
  <c r="Q102" i="12"/>
  <c r="Q29" i="12"/>
  <c r="P36" i="13" s="1"/>
  <c r="Q75" i="12"/>
  <c r="Q85" i="12"/>
  <c r="Q84" i="12"/>
  <c r="Q80" i="12"/>
  <c r="Q86" i="12"/>
  <c r="Q20" i="12"/>
  <c r="Q31" i="12"/>
  <c r="Q98" i="12"/>
  <c r="Q76" i="12"/>
  <c r="Q77" i="12"/>
  <c r="Q129" i="12"/>
  <c r="Q24" i="12"/>
  <c r="Q30" i="12"/>
  <c r="Q28" i="12"/>
  <c r="Q27" i="12"/>
  <c r="Q33" i="12" s="1"/>
  <c r="P37" i="13" s="1"/>
  <c r="Q127" i="12"/>
  <c r="Q82" i="12"/>
  <c r="Q78" i="12"/>
  <c r="Q79" i="12"/>
  <c r="P4" i="13"/>
  <c r="P10" i="12"/>
  <c r="P5" i="13"/>
  <c r="P11" i="12"/>
  <c r="Q145" i="12"/>
  <c r="Q158" i="12"/>
  <c r="Q159" i="12" s="1"/>
  <c r="N205" i="12"/>
  <c r="N193" i="12"/>
  <c r="N181" i="12"/>
  <c r="N164" i="12"/>
  <c r="N137" i="12"/>
  <c r="N149" i="12"/>
  <c r="N161" i="12"/>
  <c r="N162" i="12" s="1"/>
  <c r="O134" i="12"/>
  <c r="O21" i="12"/>
  <c r="N74" i="13"/>
  <c r="N77" i="13" s="1"/>
  <c r="O48" i="12"/>
  <c r="O46" i="12"/>
  <c r="O148" i="12" s="1"/>
  <c r="N38" i="13"/>
  <c r="N40" i="13" s="1"/>
  <c r="N42" i="13"/>
  <c r="N41" i="13" s="1"/>
  <c r="H165" i="12"/>
  <c r="I156" i="12"/>
  <c r="I165" i="12" l="1"/>
  <c r="J156" i="12"/>
  <c r="O97" i="12"/>
  <c r="O96" i="12"/>
  <c r="O103" i="12" s="1"/>
  <c r="O151" i="12" s="1"/>
  <c r="N79" i="13"/>
  <c r="N78" i="13" s="1"/>
  <c r="N206" i="12"/>
  <c r="N207" i="12" s="1"/>
  <c r="N208" i="12" s="1"/>
  <c r="N194" i="12"/>
  <c r="N195" i="12" s="1"/>
  <c r="N196" i="12" s="1"/>
  <c r="N182" i="12"/>
  <c r="N183" i="12" s="1"/>
  <c r="N184" i="12" s="1"/>
  <c r="Q138" i="12"/>
  <c r="Q150" i="12"/>
  <c r="Q87" i="12"/>
  <c r="Q139" i="12" s="1"/>
  <c r="P39" i="13"/>
  <c r="P34" i="13"/>
  <c r="P33" i="13"/>
  <c r="P32" i="13"/>
  <c r="Q45" i="12"/>
  <c r="Q49" i="12" s="1"/>
  <c r="P30" i="13"/>
  <c r="P29" i="13"/>
  <c r="P28" i="13"/>
  <c r="Q44" i="12"/>
  <c r="Q18" i="12"/>
  <c r="P123" i="12"/>
  <c r="P119" i="12"/>
  <c r="P113" i="12"/>
  <c r="P118" i="12"/>
  <c r="P155" i="12" s="1"/>
  <c r="Q135" i="12"/>
  <c r="Q110" i="12"/>
  <c r="S92" i="12"/>
  <c r="S93" i="12" s="1"/>
  <c r="S65" i="12"/>
  <c r="S64" i="12"/>
  <c r="S63" i="12"/>
  <c r="S60" i="12"/>
  <c r="S59" i="12"/>
  <c r="S58" i="12"/>
  <c r="S8" i="12"/>
  <c r="S7" i="12"/>
  <c r="S6" i="12"/>
  <c r="T5" i="12"/>
  <c r="R108" i="12"/>
  <c r="R83" i="12"/>
  <c r="Q9" i="12"/>
  <c r="R4" i="12"/>
  <c r="Q2" i="13" s="1"/>
  <c r="Q2" i="14" s="1"/>
  <c r="R16" i="12"/>
  <c r="R17" i="12"/>
  <c r="R23" i="12"/>
  <c r="R101" i="12"/>
  <c r="R102" i="12"/>
  <c r="R29" i="12"/>
  <c r="Q36" i="13" s="1"/>
  <c r="R75" i="12"/>
  <c r="R85" i="12"/>
  <c r="R84" i="12"/>
  <c r="R80" i="12"/>
  <c r="R86" i="12"/>
  <c r="R20" i="12"/>
  <c r="R31" i="12"/>
  <c r="R98" i="12"/>
  <c r="R76" i="12"/>
  <c r="R77" i="12"/>
  <c r="R129" i="12"/>
  <c r="R24" i="12"/>
  <c r="R30" i="12"/>
  <c r="R28" i="12"/>
  <c r="R27" i="12"/>
  <c r="R33" i="12" s="1"/>
  <c r="Q37" i="13" s="1"/>
  <c r="R127" i="12"/>
  <c r="R82" i="12"/>
  <c r="R78" i="12"/>
  <c r="R79" i="12"/>
  <c r="Q4" i="13"/>
  <c r="Q10" i="12"/>
  <c r="Q5" i="13"/>
  <c r="Q11" i="12"/>
  <c r="R145" i="12"/>
  <c r="R158" i="12"/>
  <c r="R159" i="12" s="1"/>
  <c r="O205" i="12"/>
  <c r="O193" i="12"/>
  <c r="O181" i="12"/>
  <c r="O164" i="12"/>
  <c r="O149" i="12"/>
  <c r="O161" i="12"/>
  <c r="O162" i="12" s="1"/>
  <c r="P134" i="12"/>
  <c r="P21" i="12"/>
  <c r="O74" i="13"/>
  <c r="O77" i="13" s="1"/>
  <c r="P48" i="12"/>
  <c r="P46" i="12"/>
  <c r="P148" i="12" s="1"/>
  <c r="O38" i="13"/>
  <c r="O40" i="13" s="1"/>
  <c r="O42" i="13"/>
  <c r="O41" i="13" s="1"/>
  <c r="M207" i="12"/>
  <c r="P61" i="13"/>
  <c r="R25" i="13"/>
  <c r="R56" i="13" s="1"/>
  <c r="R24" i="13"/>
  <c r="R23" i="13"/>
  <c r="S21" i="13"/>
  <c r="R3" i="13"/>
  <c r="Q58" i="13"/>
  <c r="Q60" i="13" s="1"/>
  <c r="Q53" i="13"/>
  <c r="Q61" i="13" l="1"/>
  <c r="S25" i="13"/>
  <c r="S56" i="13" s="1"/>
  <c r="S24" i="13"/>
  <c r="S23" i="13"/>
  <c r="T21" i="13"/>
  <c r="S3" i="13"/>
  <c r="R58" i="13"/>
  <c r="R60" i="13" s="1"/>
  <c r="R53" i="13"/>
  <c r="M208" i="12"/>
  <c r="P97" i="12"/>
  <c r="P96" i="12"/>
  <c r="P103" i="12" s="1"/>
  <c r="P151" i="12" s="1"/>
  <c r="O79" i="13"/>
  <c r="O78" i="13" s="1"/>
  <c r="O206" i="12"/>
  <c r="O194" i="12"/>
  <c r="O195" i="12" s="1"/>
  <c r="O196" i="12" s="1"/>
  <c r="O182" i="12"/>
  <c r="O183" i="12" s="1"/>
  <c r="O184" i="12" s="1"/>
  <c r="R138" i="12"/>
  <c r="R150" i="12"/>
  <c r="R87" i="12"/>
  <c r="R139" i="12" s="1"/>
  <c r="Q39" i="13"/>
  <c r="Q34" i="13"/>
  <c r="Q33" i="13"/>
  <c r="Q32" i="13"/>
  <c r="R45" i="12"/>
  <c r="R49" i="12" s="1"/>
  <c r="Q30" i="13"/>
  <c r="Q29" i="13"/>
  <c r="Q28" i="13"/>
  <c r="R44" i="12"/>
  <c r="R18" i="12"/>
  <c r="Q123" i="12"/>
  <c r="Q119" i="12"/>
  <c r="Q137" i="12" s="1"/>
  <c r="Q113" i="12"/>
  <c r="Q118" i="12"/>
  <c r="Q155" i="12" s="1"/>
  <c r="R135" i="12"/>
  <c r="R110" i="12"/>
  <c r="T92" i="12"/>
  <c r="T93" i="12" s="1"/>
  <c r="T65" i="12"/>
  <c r="T64" i="12"/>
  <c r="T63" i="12"/>
  <c r="T60" i="12"/>
  <c r="T59" i="12"/>
  <c r="T58" i="12"/>
  <c r="T8" i="12"/>
  <c r="T7" i="12"/>
  <c r="T6" i="12"/>
  <c r="U5" i="12"/>
  <c r="S108" i="12"/>
  <c r="S83" i="12"/>
  <c r="R9" i="12"/>
  <c r="S4" i="12"/>
  <c r="R2" i="13" s="1"/>
  <c r="R2" i="14" s="1"/>
  <c r="S16" i="12"/>
  <c r="S17" i="12"/>
  <c r="S23" i="12"/>
  <c r="S101" i="12"/>
  <c r="S102" i="12"/>
  <c r="S29" i="12"/>
  <c r="R36" i="13" s="1"/>
  <c r="S75" i="12"/>
  <c r="S85" i="12"/>
  <c r="S84" i="12"/>
  <c r="S80" i="12"/>
  <c r="S86" i="12"/>
  <c r="S20" i="12"/>
  <c r="S31" i="12"/>
  <c r="S98" i="12"/>
  <c r="S76" i="12"/>
  <c r="S77" i="12"/>
  <c r="S129" i="12"/>
  <c r="S24" i="12"/>
  <c r="S30" i="12"/>
  <c r="S28" i="12"/>
  <c r="S27" i="12"/>
  <c r="S33" i="12" s="1"/>
  <c r="R37" i="13" s="1"/>
  <c r="S127" i="12"/>
  <c r="S82" i="12"/>
  <c r="S78" i="12"/>
  <c r="S79" i="12"/>
  <c r="R4" i="13"/>
  <c r="R10" i="12"/>
  <c r="R5" i="13"/>
  <c r="R11" i="12"/>
  <c r="S145" i="12"/>
  <c r="S158" i="12"/>
  <c r="S159" i="12" s="1"/>
  <c r="P205" i="12"/>
  <c r="P193" i="12"/>
  <c r="P181" i="12"/>
  <c r="P164" i="12"/>
  <c r="P137" i="12"/>
  <c r="P149" i="12"/>
  <c r="P161" i="12"/>
  <c r="P162" i="12" s="1"/>
  <c r="Q134" i="12"/>
  <c r="Q21" i="12"/>
  <c r="P74" i="13"/>
  <c r="P77" i="13" s="1"/>
  <c r="Q48" i="12"/>
  <c r="Q46" i="12"/>
  <c r="Q148" i="12" s="1"/>
  <c r="P38" i="13"/>
  <c r="P40" i="13" s="1"/>
  <c r="P42" i="13"/>
  <c r="P41" i="13" s="1"/>
  <c r="J165" i="12"/>
  <c r="K156" i="12"/>
  <c r="K165" i="12" l="1"/>
  <c r="L156" i="12"/>
  <c r="Q97" i="12"/>
  <c r="Q96" i="12"/>
  <c r="Q103" i="12" s="1"/>
  <c r="Q151" i="12" s="1"/>
  <c r="P79" i="13"/>
  <c r="P78" i="13" s="1"/>
  <c r="P206" i="12"/>
  <c r="P207" i="12" s="1"/>
  <c r="P208" i="12" s="1"/>
  <c r="P194" i="12"/>
  <c r="P195" i="12" s="1"/>
  <c r="P196" i="12" s="1"/>
  <c r="P182" i="12"/>
  <c r="P183" i="12" s="1"/>
  <c r="P184" i="12" s="1"/>
  <c r="S138" i="12"/>
  <c r="S150" i="12"/>
  <c r="S87" i="12"/>
  <c r="S139" i="12" s="1"/>
  <c r="R39" i="13"/>
  <c r="R34" i="13"/>
  <c r="R33" i="13"/>
  <c r="R32" i="13"/>
  <c r="S45" i="12"/>
  <c r="S49" i="12" s="1"/>
  <c r="R30" i="13"/>
  <c r="R29" i="13"/>
  <c r="R28" i="13"/>
  <c r="S44" i="12"/>
  <c r="S18" i="12"/>
  <c r="R123" i="12"/>
  <c r="R119" i="12"/>
  <c r="R113" i="12"/>
  <c r="R118" i="12"/>
  <c r="R155" i="12" s="1"/>
  <c r="S135" i="12"/>
  <c r="S110" i="12"/>
  <c r="U92" i="12"/>
  <c r="U93" i="12" s="1"/>
  <c r="U65" i="12"/>
  <c r="U64" i="12"/>
  <c r="U63" i="12"/>
  <c r="U60" i="12"/>
  <c r="U59" i="12"/>
  <c r="U58" i="12"/>
  <c r="U8" i="12"/>
  <c r="U7" i="12"/>
  <c r="U6" i="12"/>
  <c r="V5" i="12"/>
  <c r="T108" i="12"/>
  <c r="T83" i="12"/>
  <c r="S9" i="12"/>
  <c r="T4" i="12"/>
  <c r="S2" i="13" s="1"/>
  <c r="S2" i="14" s="1"/>
  <c r="T16" i="12"/>
  <c r="T17" i="12"/>
  <c r="T23" i="12"/>
  <c r="T101" i="12"/>
  <c r="T102" i="12"/>
  <c r="T29" i="12"/>
  <c r="S36" i="13" s="1"/>
  <c r="T75" i="12"/>
  <c r="T85" i="12"/>
  <c r="T84" i="12"/>
  <c r="T80" i="12"/>
  <c r="T86" i="12"/>
  <c r="T20" i="12"/>
  <c r="T31" i="12"/>
  <c r="T98" i="12"/>
  <c r="T76" i="12"/>
  <c r="T77" i="12"/>
  <c r="T129" i="12"/>
  <c r="T24" i="12"/>
  <c r="T30" i="12"/>
  <c r="T28" i="12"/>
  <c r="T27" i="12"/>
  <c r="T33" i="12" s="1"/>
  <c r="S37" i="13" s="1"/>
  <c r="T127" i="12"/>
  <c r="T82" i="12"/>
  <c r="T78" i="12"/>
  <c r="T79" i="12"/>
  <c r="S4" i="13"/>
  <c r="S10" i="12"/>
  <c r="S5" i="13"/>
  <c r="S11" i="12"/>
  <c r="T145" i="12"/>
  <c r="T158" i="12"/>
  <c r="T159" i="12" s="1"/>
  <c r="Q205" i="12"/>
  <c r="Q193" i="12"/>
  <c r="Q181" i="12"/>
  <c r="Q164" i="12"/>
  <c r="Q149" i="12"/>
  <c r="Q161" i="12"/>
  <c r="Q162" i="12" s="1"/>
  <c r="R134" i="12"/>
  <c r="R21" i="12"/>
  <c r="Q74" i="13"/>
  <c r="Q77" i="13" s="1"/>
  <c r="R48" i="12"/>
  <c r="R46" i="12"/>
  <c r="R148" i="12" s="1"/>
  <c r="Q38" i="13"/>
  <c r="Q40" i="13" s="1"/>
  <c r="Q42" i="13"/>
  <c r="Q41" i="13" s="1"/>
  <c r="O207" i="12"/>
  <c r="R61" i="13"/>
  <c r="T25" i="13"/>
  <c r="T56" i="13" s="1"/>
  <c r="T24" i="13"/>
  <c r="T23" i="13"/>
  <c r="U21" i="13"/>
  <c r="T3" i="13"/>
  <c r="S58" i="13"/>
  <c r="S60" i="13" s="1"/>
  <c r="S53" i="13"/>
  <c r="S61" i="13" l="1"/>
  <c r="U25" i="13"/>
  <c r="U56" i="13" s="1"/>
  <c r="U24" i="13"/>
  <c r="U23" i="13"/>
  <c r="V21" i="13"/>
  <c r="U3" i="13"/>
  <c r="T58" i="13"/>
  <c r="T60" i="13" s="1"/>
  <c r="T53" i="13"/>
  <c r="O208" i="12"/>
  <c r="R97" i="12"/>
  <c r="R96" i="12"/>
  <c r="R103" i="12" s="1"/>
  <c r="R151" i="12" s="1"/>
  <c r="Q79" i="13"/>
  <c r="Q78" i="13" s="1"/>
  <c r="Q206" i="12"/>
  <c r="Q194" i="12"/>
  <c r="Q195" i="12" s="1"/>
  <c r="Q196" i="12" s="1"/>
  <c r="Q182" i="12"/>
  <c r="Q183" i="12" s="1"/>
  <c r="Q184" i="12" s="1"/>
  <c r="T138" i="12"/>
  <c r="T150" i="12"/>
  <c r="T87" i="12"/>
  <c r="T139" i="12" s="1"/>
  <c r="S39" i="13"/>
  <c r="S34" i="13"/>
  <c r="S33" i="13"/>
  <c r="S32" i="13"/>
  <c r="T45" i="12"/>
  <c r="T49" i="12" s="1"/>
  <c r="S30" i="13"/>
  <c r="S29" i="13"/>
  <c r="S28" i="13"/>
  <c r="T44" i="12"/>
  <c r="T18" i="12"/>
  <c r="S123" i="12"/>
  <c r="S119" i="12"/>
  <c r="S137" i="12" s="1"/>
  <c r="S113" i="12"/>
  <c r="S118" i="12"/>
  <c r="S155" i="12" s="1"/>
  <c r="T135" i="12"/>
  <c r="T110" i="12"/>
  <c r="V92" i="12"/>
  <c r="V93" i="12" s="1"/>
  <c r="V65" i="12"/>
  <c r="V64" i="12"/>
  <c r="V63" i="12"/>
  <c r="V60" i="12"/>
  <c r="V59" i="12"/>
  <c r="V58" i="12"/>
  <c r="V8" i="12"/>
  <c r="V7" i="12"/>
  <c r="V6" i="12"/>
  <c r="W5" i="12"/>
  <c r="U108" i="12"/>
  <c r="U83" i="12"/>
  <c r="T9" i="12"/>
  <c r="U4" i="12"/>
  <c r="T2" i="13" s="1"/>
  <c r="T2" i="14" s="1"/>
  <c r="U16" i="12"/>
  <c r="U17" i="12"/>
  <c r="U23" i="12"/>
  <c r="U101" i="12"/>
  <c r="U102" i="12"/>
  <c r="U29" i="12"/>
  <c r="T36" i="13" s="1"/>
  <c r="U75" i="12"/>
  <c r="U85" i="12"/>
  <c r="U84" i="12"/>
  <c r="U80" i="12"/>
  <c r="U86" i="12"/>
  <c r="U20" i="12"/>
  <c r="U31" i="12"/>
  <c r="U98" i="12"/>
  <c r="U76" i="12"/>
  <c r="U77" i="12"/>
  <c r="U129" i="12"/>
  <c r="U24" i="12"/>
  <c r="U30" i="12"/>
  <c r="U28" i="12"/>
  <c r="U27" i="12"/>
  <c r="U33" i="12" s="1"/>
  <c r="T37" i="13" s="1"/>
  <c r="U127" i="12"/>
  <c r="U82" i="12"/>
  <c r="U78" i="12"/>
  <c r="U79" i="12"/>
  <c r="T4" i="13"/>
  <c r="T10" i="12"/>
  <c r="T5" i="13"/>
  <c r="T11" i="12"/>
  <c r="U145" i="12"/>
  <c r="U158" i="12"/>
  <c r="U159" i="12" s="1"/>
  <c r="R205" i="12"/>
  <c r="R193" i="12"/>
  <c r="R181" i="12"/>
  <c r="R164" i="12"/>
  <c r="R137" i="12"/>
  <c r="R149" i="12"/>
  <c r="R161" i="12"/>
  <c r="R162" i="12" s="1"/>
  <c r="S134" i="12"/>
  <c r="S21" i="12"/>
  <c r="R74" i="13"/>
  <c r="R77" i="13" s="1"/>
  <c r="S48" i="12"/>
  <c r="S46" i="12"/>
  <c r="S148" i="12" s="1"/>
  <c r="R38" i="13"/>
  <c r="R40" i="13" s="1"/>
  <c r="R42" i="13"/>
  <c r="R41" i="13" s="1"/>
  <c r="L165" i="12"/>
  <c r="M156" i="12"/>
  <c r="M165" i="12" l="1"/>
  <c r="N156" i="12"/>
  <c r="S97" i="12"/>
  <c r="S96" i="12"/>
  <c r="S103" i="12" s="1"/>
  <c r="S151" i="12" s="1"/>
  <c r="R79" i="13"/>
  <c r="R78" i="13" s="1"/>
  <c r="R206" i="12"/>
  <c r="R207" i="12" s="1"/>
  <c r="R208" i="12" s="1"/>
  <c r="R194" i="12"/>
  <c r="R195" i="12" s="1"/>
  <c r="R196" i="12" s="1"/>
  <c r="R182" i="12"/>
  <c r="R183" i="12" s="1"/>
  <c r="R184" i="12" s="1"/>
  <c r="U138" i="12"/>
  <c r="U150" i="12"/>
  <c r="U87" i="12"/>
  <c r="U139" i="12" s="1"/>
  <c r="T39" i="13"/>
  <c r="T34" i="13"/>
  <c r="T33" i="13"/>
  <c r="T32" i="13"/>
  <c r="U45" i="12"/>
  <c r="U49" i="12" s="1"/>
  <c r="T30" i="13"/>
  <c r="T29" i="13"/>
  <c r="T28" i="13"/>
  <c r="U44" i="12"/>
  <c r="U18" i="12"/>
  <c r="T123" i="12"/>
  <c r="T119" i="12"/>
  <c r="T113" i="12"/>
  <c r="T118" i="12"/>
  <c r="T155" i="12" s="1"/>
  <c r="U135" i="12"/>
  <c r="U110" i="12"/>
  <c r="W92" i="12"/>
  <c r="W93" i="12" s="1"/>
  <c r="W65" i="12"/>
  <c r="W64" i="12"/>
  <c r="W63" i="12"/>
  <c r="W60" i="12"/>
  <c r="W59" i="12"/>
  <c r="W58" i="12"/>
  <c r="W8" i="12"/>
  <c r="W7" i="12"/>
  <c r="W6" i="12"/>
  <c r="X5" i="12"/>
  <c r="V108" i="12"/>
  <c r="V83" i="12"/>
  <c r="U9" i="12"/>
  <c r="V4" i="12"/>
  <c r="U2" i="13" s="1"/>
  <c r="U2" i="14" s="1"/>
  <c r="V16" i="12"/>
  <c r="V17" i="12"/>
  <c r="V23" i="12"/>
  <c r="V101" i="12"/>
  <c r="V102" i="12"/>
  <c r="V29" i="12"/>
  <c r="U36" i="13" s="1"/>
  <c r="V75" i="12"/>
  <c r="V85" i="12"/>
  <c r="V84" i="12"/>
  <c r="V80" i="12"/>
  <c r="V86" i="12"/>
  <c r="V20" i="12"/>
  <c r="V31" i="12"/>
  <c r="V98" i="12"/>
  <c r="V76" i="12"/>
  <c r="V77" i="12"/>
  <c r="V129" i="12"/>
  <c r="V24" i="12"/>
  <c r="V30" i="12"/>
  <c r="V28" i="12"/>
  <c r="V27" i="12"/>
  <c r="V33" i="12" s="1"/>
  <c r="U37" i="13" s="1"/>
  <c r="V127" i="12"/>
  <c r="V82" i="12"/>
  <c r="V78" i="12"/>
  <c r="V79" i="12"/>
  <c r="U4" i="13"/>
  <c r="U10" i="12"/>
  <c r="U5" i="13"/>
  <c r="U11" i="12"/>
  <c r="V145" i="12"/>
  <c r="V158" i="12"/>
  <c r="V159" i="12" s="1"/>
  <c r="S205" i="12"/>
  <c r="S193" i="12"/>
  <c r="S181" i="12"/>
  <c r="S164" i="12"/>
  <c r="S149" i="12"/>
  <c r="S161" i="12"/>
  <c r="S162" i="12" s="1"/>
  <c r="T134" i="12"/>
  <c r="T21" i="12"/>
  <c r="S74" i="13"/>
  <c r="S77" i="13" s="1"/>
  <c r="T48" i="12"/>
  <c r="T46" i="12"/>
  <c r="T148" i="12" s="1"/>
  <c r="S38" i="13"/>
  <c r="S40" i="13" s="1"/>
  <c r="S42" i="13"/>
  <c r="S41" i="13" s="1"/>
  <c r="Q207" i="12"/>
  <c r="T61" i="13"/>
  <c r="V25" i="13"/>
  <c r="V56" i="13" s="1"/>
  <c r="V24" i="13"/>
  <c r="V23" i="13"/>
  <c r="W21" i="13"/>
  <c r="V3" i="13"/>
  <c r="U58" i="13"/>
  <c r="U60" i="13" s="1"/>
  <c r="U53" i="13"/>
  <c r="U61" i="13" l="1"/>
  <c r="W25" i="13"/>
  <c r="W56" i="13" s="1"/>
  <c r="W24" i="13"/>
  <c r="W23" i="13"/>
  <c r="X21" i="13"/>
  <c r="W3" i="13"/>
  <c r="V58" i="13"/>
  <c r="V60" i="13" s="1"/>
  <c r="V53" i="13"/>
  <c r="Q208" i="12"/>
  <c r="T97" i="12"/>
  <c r="T96" i="12"/>
  <c r="T103" i="12" s="1"/>
  <c r="T151" i="12" s="1"/>
  <c r="S79" i="13"/>
  <c r="S78" i="13" s="1"/>
  <c r="S206" i="12"/>
  <c r="S194" i="12"/>
  <c r="S195" i="12" s="1"/>
  <c r="S196" i="12" s="1"/>
  <c r="S182" i="12"/>
  <c r="S183" i="12" s="1"/>
  <c r="S184" i="12" s="1"/>
  <c r="V138" i="12"/>
  <c r="V150" i="12"/>
  <c r="V87" i="12"/>
  <c r="V139" i="12" s="1"/>
  <c r="U39" i="13"/>
  <c r="U34" i="13"/>
  <c r="U33" i="13"/>
  <c r="U32" i="13"/>
  <c r="V45" i="12"/>
  <c r="V49" i="12" s="1"/>
  <c r="U30" i="13"/>
  <c r="U29" i="13"/>
  <c r="U28" i="13"/>
  <c r="V44" i="12"/>
  <c r="V18" i="12"/>
  <c r="U123" i="12"/>
  <c r="U119" i="12"/>
  <c r="U137" i="12" s="1"/>
  <c r="U113" i="12"/>
  <c r="U118" i="12"/>
  <c r="U155" i="12" s="1"/>
  <c r="V135" i="12"/>
  <c r="V110" i="12"/>
  <c r="X92" i="12"/>
  <c r="X93" i="12" s="1"/>
  <c r="X65" i="12"/>
  <c r="X64" i="12"/>
  <c r="X63" i="12"/>
  <c r="X60" i="12"/>
  <c r="X59" i="12"/>
  <c r="X58" i="12"/>
  <c r="X8" i="12"/>
  <c r="X7" i="12"/>
  <c r="X6" i="12"/>
  <c r="Y5" i="12"/>
  <c r="W108" i="12"/>
  <c r="W83" i="12"/>
  <c r="V9" i="12"/>
  <c r="W4" i="12"/>
  <c r="V2" i="13" s="1"/>
  <c r="V2" i="14" s="1"/>
  <c r="W16" i="12"/>
  <c r="W17" i="12"/>
  <c r="W23" i="12"/>
  <c r="W101" i="12"/>
  <c r="W102" i="12"/>
  <c r="W29" i="12"/>
  <c r="V36" i="13" s="1"/>
  <c r="W75" i="12"/>
  <c r="W85" i="12"/>
  <c r="W84" i="12"/>
  <c r="W80" i="12"/>
  <c r="W86" i="12"/>
  <c r="W20" i="12"/>
  <c r="W31" i="12"/>
  <c r="W98" i="12"/>
  <c r="W76" i="12"/>
  <c r="W77" i="12"/>
  <c r="W129" i="12"/>
  <c r="W24" i="12"/>
  <c r="W30" i="12"/>
  <c r="W28" i="12"/>
  <c r="W27" i="12"/>
  <c r="W33" i="12" s="1"/>
  <c r="V37" i="13" s="1"/>
  <c r="W127" i="12"/>
  <c r="W82" i="12"/>
  <c r="W78" i="12"/>
  <c r="W79" i="12"/>
  <c r="V4" i="13"/>
  <c r="V10" i="12"/>
  <c r="V5" i="13"/>
  <c r="V11" i="12"/>
  <c r="W145" i="12"/>
  <c r="W158" i="12"/>
  <c r="W159" i="12" s="1"/>
  <c r="T205" i="12"/>
  <c r="T193" i="12"/>
  <c r="T181" i="12"/>
  <c r="T164" i="12"/>
  <c r="T137" i="12"/>
  <c r="T149" i="12"/>
  <c r="T161" i="12"/>
  <c r="T162" i="12" s="1"/>
  <c r="U134" i="12"/>
  <c r="U21" i="12"/>
  <c r="T74" i="13"/>
  <c r="T77" i="13" s="1"/>
  <c r="U48" i="12"/>
  <c r="U46" i="12"/>
  <c r="U148" i="12" s="1"/>
  <c r="T38" i="13"/>
  <c r="T40" i="13" s="1"/>
  <c r="T42" i="13"/>
  <c r="T41" i="13" s="1"/>
  <c r="N165" i="12"/>
  <c r="O156" i="12"/>
  <c r="O165" i="12" l="1"/>
  <c r="P156" i="12"/>
  <c r="U97" i="12"/>
  <c r="U96" i="12"/>
  <c r="U103" i="12" s="1"/>
  <c r="U151" i="12" s="1"/>
  <c r="T79" i="13"/>
  <c r="T78" i="13" s="1"/>
  <c r="T206" i="12"/>
  <c r="T207" i="12" s="1"/>
  <c r="T208" i="12" s="1"/>
  <c r="T194" i="12"/>
  <c r="T195" i="12" s="1"/>
  <c r="T196" i="12" s="1"/>
  <c r="T182" i="12"/>
  <c r="T183" i="12" s="1"/>
  <c r="T184" i="12" s="1"/>
  <c r="W138" i="12"/>
  <c r="W150" i="12"/>
  <c r="W87" i="12"/>
  <c r="W139" i="12" s="1"/>
  <c r="V39" i="13"/>
  <c r="V34" i="13"/>
  <c r="V33" i="13"/>
  <c r="V32" i="13"/>
  <c r="W45" i="12"/>
  <c r="W49" i="12" s="1"/>
  <c r="V30" i="13"/>
  <c r="V29" i="13"/>
  <c r="V28" i="13"/>
  <c r="W44" i="12"/>
  <c r="W18" i="12"/>
  <c r="V123" i="12"/>
  <c r="V119" i="12"/>
  <c r="V113" i="12"/>
  <c r="V118" i="12"/>
  <c r="V155" i="12" s="1"/>
  <c r="W135" i="12"/>
  <c r="W110" i="12"/>
  <c r="Y92" i="12"/>
  <c r="Y93" i="12" s="1"/>
  <c r="Y65" i="12"/>
  <c r="Y64" i="12"/>
  <c r="Y63" i="12"/>
  <c r="Y60" i="12"/>
  <c r="Y59" i="12"/>
  <c r="Y58" i="12"/>
  <c r="Y8" i="12"/>
  <c r="Y7" i="12"/>
  <c r="Y6" i="12"/>
  <c r="Z5" i="12"/>
  <c r="X108" i="12"/>
  <c r="X83" i="12"/>
  <c r="W9" i="12"/>
  <c r="X4" i="12"/>
  <c r="W2" i="13" s="1"/>
  <c r="W2" i="14" s="1"/>
  <c r="X16" i="12"/>
  <c r="X17" i="12"/>
  <c r="X23" i="12"/>
  <c r="X101" i="12"/>
  <c r="X102" i="12"/>
  <c r="X29" i="12"/>
  <c r="W36" i="13" s="1"/>
  <c r="X75" i="12"/>
  <c r="X85" i="12"/>
  <c r="X84" i="12"/>
  <c r="X80" i="12"/>
  <c r="X86" i="12"/>
  <c r="X20" i="12"/>
  <c r="X31" i="12"/>
  <c r="X98" i="12"/>
  <c r="X76" i="12"/>
  <c r="X77" i="12"/>
  <c r="X129" i="12"/>
  <c r="X24" i="12"/>
  <c r="X30" i="12"/>
  <c r="X28" i="12"/>
  <c r="X27" i="12"/>
  <c r="X33" i="12" s="1"/>
  <c r="W37" i="13" s="1"/>
  <c r="X127" i="12"/>
  <c r="X82" i="12"/>
  <c r="X78" i="12"/>
  <c r="X79" i="12"/>
  <c r="W4" i="13"/>
  <c r="W10" i="12"/>
  <c r="W5" i="13"/>
  <c r="W11" i="12"/>
  <c r="X145" i="12"/>
  <c r="X158" i="12"/>
  <c r="X159" i="12" s="1"/>
  <c r="U205" i="12"/>
  <c r="U193" i="12"/>
  <c r="U181" i="12"/>
  <c r="U164" i="12"/>
  <c r="U149" i="12"/>
  <c r="U161" i="12"/>
  <c r="U162" i="12" s="1"/>
  <c r="V134" i="12"/>
  <c r="V21" i="12"/>
  <c r="U74" i="13"/>
  <c r="U77" i="13" s="1"/>
  <c r="V48" i="12"/>
  <c r="V46" i="12"/>
  <c r="V148" i="12" s="1"/>
  <c r="U38" i="13"/>
  <c r="U40" i="13" s="1"/>
  <c r="U42" i="13"/>
  <c r="U41" i="13" s="1"/>
  <c r="S207" i="12"/>
  <c r="V61" i="13"/>
  <c r="X25" i="13"/>
  <c r="X56" i="13" s="1"/>
  <c r="X24" i="13"/>
  <c r="X23" i="13"/>
  <c r="Y21" i="13"/>
  <c r="X3" i="13"/>
  <c r="W58" i="13"/>
  <c r="W60" i="13" s="1"/>
  <c r="W53" i="13"/>
  <c r="W61" i="13" l="1"/>
  <c r="C65" i="13"/>
  <c r="Y25" i="13"/>
  <c r="Y56" i="13" s="1"/>
  <c r="Y24" i="13"/>
  <c r="Y23" i="13"/>
  <c r="Z21" i="13"/>
  <c r="Y3" i="13"/>
  <c r="X58" i="13"/>
  <c r="X60" i="13" s="1"/>
  <c r="X53" i="13"/>
  <c r="S208" i="12"/>
  <c r="V97" i="12"/>
  <c r="V96" i="12"/>
  <c r="V103" i="12" s="1"/>
  <c r="V151" i="12" s="1"/>
  <c r="U79" i="13"/>
  <c r="U78" i="13" s="1"/>
  <c r="U206" i="12"/>
  <c r="U194" i="12"/>
  <c r="U195" i="12" s="1"/>
  <c r="U196" i="12" s="1"/>
  <c r="U182" i="12"/>
  <c r="U183" i="12" s="1"/>
  <c r="U184" i="12" s="1"/>
  <c r="X138" i="12"/>
  <c r="X150" i="12"/>
  <c r="X87" i="12"/>
  <c r="X139" i="12" s="1"/>
  <c r="W39" i="13"/>
  <c r="W34" i="13"/>
  <c r="W33" i="13"/>
  <c r="W32" i="13"/>
  <c r="X45" i="12"/>
  <c r="X49" i="12" s="1"/>
  <c r="W30" i="13"/>
  <c r="W29" i="13"/>
  <c r="W28" i="13"/>
  <c r="X44" i="12"/>
  <c r="X18" i="12"/>
  <c r="W123" i="12"/>
  <c r="W119" i="12"/>
  <c r="W137" i="12" s="1"/>
  <c r="W113" i="12"/>
  <c r="W118" i="12"/>
  <c r="W155" i="12" s="1"/>
  <c r="X135" i="12"/>
  <c r="X110" i="12"/>
  <c r="Z92" i="12"/>
  <c r="Z93" i="12" s="1"/>
  <c r="Z65" i="12"/>
  <c r="Z64" i="12"/>
  <c r="Z63" i="12"/>
  <c r="Z60" i="12"/>
  <c r="Z59" i="12"/>
  <c r="Z58" i="12"/>
  <c r="Z8" i="12"/>
  <c r="Z7" i="12"/>
  <c r="Z6" i="12"/>
  <c r="AA5" i="12"/>
  <c r="Y108" i="12"/>
  <c r="Y83" i="12"/>
  <c r="X9" i="12"/>
  <c r="Y4" i="12"/>
  <c r="X2" i="13" s="1"/>
  <c r="X2" i="14" s="1"/>
  <c r="Y16" i="12"/>
  <c r="Y17" i="12"/>
  <c r="Y23" i="12"/>
  <c r="Y101" i="12"/>
  <c r="Y102" i="12"/>
  <c r="Y29" i="12"/>
  <c r="X36" i="13" s="1"/>
  <c r="Y75" i="12"/>
  <c r="Y85" i="12"/>
  <c r="Y84" i="12"/>
  <c r="Y80" i="12"/>
  <c r="Y86" i="12"/>
  <c r="Y20" i="12"/>
  <c r="Y31" i="12"/>
  <c r="Y98" i="12"/>
  <c r="Y76" i="12"/>
  <c r="Y77" i="12"/>
  <c r="Y129" i="12"/>
  <c r="Y24" i="12"/>
  <c r="Y30" i="12"/>
  <c r="Y28" i="12"/>
  <c r="Y27" i="12"/>
  <c r="Y33" i="12" s="1"/>
  <c r="X37" i="13" s="1"/>
  <c r="Y127" i="12"/>
  <c r="Y82" i="12"/>
  <c r="Y78" i="12"/>
  <c r="Y79" i="12"/>
  <c r="X4" i="13"/>
  <c r="X10" i="12"/>
  <c r="X5" i="13"/>
  <c r="X11" i="12"/>
  <c r="Y145" i="12"/>
  <c r="Y158" i="12"/>
  <c r="Y159" i="12" s="1"/>
  <c r="C190" i="12"/>
  <c r="V205" i="12"/>
  <c r="V193" i="12"/>
  <c r="V181" i="12"/>
  <c r="V164" i="12"/>
  <c r="V137" i="12"/>
  <c r="V149" i="12"/>
  <c r="V161" i="12"/>
  <c r="V162" i="12" s="1"/>
  <c r="W134" i="12"/>
  <c r="W21" i="12"/>
  <c r="V74" i="13"/>
  <c r="V77" i="13" s="1"/>
  <c r="W48" i="12"/>
  <c r="W46" i="12"/>
  <c r="W148" i="12" s="1"/>
  <c r="V38" i="13"/>
  <c r="V40" i="13" s="1"/>
  <c r="V42" i="13"/>
  <c r="V41" i="13" s="1"/>
  <c r="C189" i="12"/>
  <c r="P165" i="12"/>
  <c r="Q156" i="12"/>
  <c r="Q165" i="12" l="1"/>
  <c r="R156" i="12"/>
  <c r="W97" i="12"/>
  <c r="W96" i="12"/>
  <c r="W103" i="12" s="1"/>
  <c r="W151" i="12" s="1"/>
  <c r="V79" i="13"/>
  <c r="V78" i="13" s="1"/>
  <c r="V206" i="12"/>
  <c r="V207" i="12" s="1"/>
  <c r="V208" i="12" s="1"/>
  <c r="V194" i="12"/>
  <c r="V195" i="12" s="1"/>
  <c r="V196" i="12" s="1"/>
  <c r="V182" i="12"/>
  <c r="V183" i="12" s="1"/>
  <c r="V184" i="12" s="1"/>
  <c r="Y138" i="12"/>
  <c r="Y150" i="12"/>
  <c r="Y87" i="12"/>
  <c r="Y139" i="12" s="1"/>
  <c r="X39" i="13"/>
  <c r="X34" i="13"/>
  <c r="X33" i="13"/>
  <c r="X32" i="13"/>
  <c r="Y45" i="12"/>
  <c r="Y49" i="12" s="1"/>
  <c r="X30" i="13"/>
  <c r="X29" i="13"/>
  <c r="X28" i="13"/>
  <c r="Y44" i="12"/>
  <c r="Y18" i="12"/>
  <c r="X123" i="12"/>
  <c r="X119" i="12"/>
  <c r="X113" i="12"/>
  <c r="X118" i="12"/>
  <c r="X155" i="12" s="1"/>
  <c r="Y135" i="12"/>
  <c r="Y110" i="12"/>
  <c r="AA92" i="12"/>
  <c r="AA93" i="12" s="1"/>
  <c r="AA65" i="12"/>
  <c r="AA64" i="12"/>
  <c r="AA63" i="12"/>
  <c r="AA60" i="12"/>
  <c r="AA59" i="12"/>
  <c r="AA58" i="12"/>
  <c r="AA8" i="12"/>
  <c r="AA7" i="12"/>
  <c r="AA6" i="12"/>
  <c r="AB5" i="12"/>
  <c r="Z108" i="12"/>
  <c r="Z83" i="12"/>
  <c r="Y9" i="12"/>
  <c r="Z4" i="12"/>
  <c r="Y2" i="13" s="1"/>
  <c r="Y2" i="14" s="1"/>
  <c r="Z16" i="12"/>
  <c r="Z17" i="12"/>
  <c r="Z23" i="12"/>
  <c r="Z101" i="12"/>
  <c r="Z102" i="12"/>
  <c r="Z29" i="12"/>
  <c r="Y36" i="13" s="1"/>
  <c r="Z75" i="12"/>
  <c r="Z85" i="12"/>
  <c r="Z84" i="12"/>
  <c r="Z80" i="12"/>
  <c r="Z86" i="12"/>
  <c r="Z20" i="12"/>
  <c r="Z31" i="12"/>
  <c r="Z98" i="12"/>
  <c r="Z76" i="12"/>
  <c r="Z77" i="12"/>
  <c r="Z129" i="12"/>
  <c r="Z24" i="12"/>
  <c r="Z30" i="12"/>
  <c r="Z28" i="12"/>
  <c r="Z27" i="12"/>
  <c r="Z33" i="12" s="1"/>
  <c r="Y37" i="13" s="1"/>
  <c r="Z127" i="12"/>
  <c r="Z82" i="12"/>
  <c r="Z78" i="12"/>
  <c r="Z79" i="12"/>
  <c r="Y4" i="13"/>
  <c r="Y10" i="12"/>
  <c r="Y5" i="13"/>
  <c r="Y11" i="12"/>
  <c r="Z145" i="12"/>
  <c r="Z158" i="12"/>
  <c r="Z159" i="12" s="1"/>
  <c r="W205" i="12"/>
  <c r="W193" i="12"/>
  <c r="W181" i="12"/>
  <c r="W164" i="12"/>
  <c r="W149" i="12"/>
  <c r="W161" i="12"/>
  <c r="W162" i="12" s="1"/>
  <c r="X134" i="12"/>
  <c r="X21" i="12"/>
  <c r="W74" i="13"/>
  <c r="W77" i="13" s="1"/>
  <c r="X48" i="12"/>
  <c r="X46" i="12"/>
  <c r="X148" i="12" s="1"/>
  <c r="W38" i="13"/>
  <c r="W40" i="13" s="1"/>
  <c r="W42" i="13"/>
  <c r="W41" i="13" s="1"/>
  <c r="U207" i="12"/>
  <c r="X61" i="13"/>
  <c r="Z25" i="13"/>
  <c r="Z56" i="13" s="1"/>
  <c r="Z24" i="13"/>
  <c r="Z23" i="13"/>
  <c r="AA21" i="13"/>
  <c r="Z3" i="13"/>
  <c r="Y58" i="13"/>
  <c r="Y60" i="13" s="1"/>
  <c r="Y53" i="13"/>
  <c r="C66" i="13"/>
  <c r="Y61" i="13" l="1"/>
  <c r="AA25" i="13"/>
  <c r="AA56" i="13" s="1"/>
  <c r="AA24" i="13"/>
  <c r="AA23" i="13"/>
  <c r="AB21" i="13"/>
  <c r="AA3" i="13"/>
  <c r="Z58" i="13"/>
  <c r="Z60" i="13" s="1"/>
  <c r="Z53" i="13"/>
  <c r="U208" i="12"/>
  <c r="X97" i="12"/>
  <c r="X96" i="12"/>
  <c r="X103" i="12" s="1"/>
  <c r="X151" i="12" s="1"/>
  <c r="W79" i="13"/>
  <c r="W78" i="13" s="1"/>
  <c r="W206" i="12"/>
  <c r="W194" i="12"/>
  <c r="W195" i="12" s="1"/>
  <c r="W196" i="12" s="1"/>
  <c r="W182" i="12"/>
  <c r="W183" i="12" s="1"/>
  <c r="W184" i="12" s="1"/>
  <c r="Z138" i="12"/>
  <c r="Z150" i="12"/>
  <c r="Z87" i="12"/>
  <c r="Z139" i="12" s="1"/>
  <c r="Y39" i="13"/>
  <c r="Y34" i="13"/>
  <c r="Y33" i="13"/>
  <c r="Y32" i="13"/>
  <c r="Z45" i="12"/>
  <c r="Z49" i="12" s="1"/>
  <c r="Y30" i="13"/>
  <c r="Y29" i="13"/>
  <c r="Y28" i="13"/>
  <c r="Z44" i="12"/>
  <c r="Z18" i="12"/>
  <c r="Y123" i="12"/>
  <c r="Y119" i="12"/>
  <c r="Y137" i="12" s="1"/>
  <c r="Y113" i="12"/>
  <c r="Y118" i="12"/>
  <c r="Y155" i="12" s="1"/>
  <c r="Z135" i="12"/>
  <c r="Z110" i="12"/>
  <c r="AB92" i="12"/>
  <c r="AB93" i="12" s="1"/>
  <c r="AB65" i="12"/>
  <c r="AB64" i="12"/>
  <c r="AB63" i="12"/>
  <c r="AB60" i="12"/>
  <c r="AB59" i="12"/>
  <c r="AB58" i="12"/>
  <c r="AB8" i="12"/>
  <c r="AB7" i="12"/>
  <c r="AB6" i="12"/>
  <c r="AC5" i="12"/>
  <c r="AA108" i="12"/>
  <c r="AA83" i="12"/>
  <c r="Z9" i="12"/>
  <c r="AA4" i="12"/>
  <c r="Z2" i="13" s="1"/>
  <c r="Z2" i="14" s="1"/>
  <c r="AA16" i="12"/>
  <c r="AA17" i="12"/>
  <c r="AA23" i="12"/>
  <c r="AA101" i="12"/>
  <c r="AA102" i="12"/>
  <c r="AA29" i="12"/>
  <c r="Z36" i="13" s="1"/>
  <c r="AA75" i="12"/>
  <c r="AA85" i="12"/>
  <c r="AA84" i="12"/>
  <c r="AA80" i="12"/>
  <c r="AA86" i="12"/>
  <c r="AA20" i="12"/>
  <c r="AA31" i="12"/>
  <c r="AA98" i="12"/>
  <c r="AA76" i="12"/>
  <c r="AA77" i="12"/>
  <c r="AA129" i="12"/>
  <c r="AA24" i="12"/>
  <c r="AA30" i="12"/>
  <c r="AA28" i="12"/>
  <c r="AA27" i="12"/>
  <c r="AA33" i="12" s="1"/>
  <c r="Z37" i="13" s="1"/>
  <c r="AA127" i="12"/>
  <c r="AA82" i="12"/>
  <c r="AA78" i="12"/>
  <c r="AA79" i="12"/>
  <c r="Z4" i="13"/>
  <c r="Z10" i="12"/>
  <c r="Z5" i="13"/>
  <c r="Z11" i="12"/>
  <c r="AA145" i="12"/>
  <c r="AA158" i="12"/>
  <c r="AA159" i="12" s="1"/>
  <c r="Y206" i="12"/>
  <c r="Y207" i="12" s="1"/>
  <c r="Y208" i="12" s="1"/>
  <c r="Y194" i="12"/>
  <c r="Y195" i="12" s="1"/>
  <c r="Y196" i="12" s="1"/>
  <c r="X205" i="12"/>
  <c r="X193" i="12"/>
  <c r="X181" i="12"/>
  <c r="X164" i="12"/>
  <c r="X137" i="12"/>
  <c r="X149" i="12"/>
  <c r="X161" i="12"/>
  <c r="X162" i="12" s="1"/>
  <c r="Y134" i="12"/>
  <c r="Y21" i="12"/>
  <c r="X74" i="13"/>
  <c r="X77" i="13" s="1"/>
  <c r="Y48" i="12"/>
  <c r="Y46" i="12"/>
  <c r="Y148" i="12" s="1"/>
  <c r="X38" i="13"/>
  <c r="X40" i="13" s="1"/>
  <c r="X42" i="13"/>
  <c r="X41" i="13" s="1"/>
  <c r="R165" i="12"/>
  <c r="S156" i="12"/>
  <c r="S165" i="12" l="1"/>
  <c r="T156" i="12"/>
  <c r="Y97" i="12"/>
  <c r="Y96" i="12"/>
  <c r="Y103" i="12" s="1"/>
  <c r="Y151" i="12" s="1"/>
  <c r="X79" i="13"/>
  <c r="X78" i="13" s="1"/>
  <c r="X206" i="12"/>
  <c r="X207" i="12" s="1"/>
  <c r="X208" i="12" s="1"/>
  <c r="X194" i="12"/>
  <c r="X195" i="12" s="1"/>
  <c r="X196" i="12" s="1"/>
  <c r="X182" i="12"/>
  <c r="X183" i="12" s="1"/>
  <c r="X184" i="12" s="1"/>
  <c r="AA138" i="12"/>
  <c r="AA150" i="12"/>
  <c r="AA87" i="12"/>
  <c r="AA139" i="12" s="1"/>
  <c r="Z39" i="13"/>
  <c r="Z34" i="13"/>
  <c r="Z33" i="13"/>
  <c r="Z32" i="13"/>
  <c r="AA45" i="12"/>
  <c r="AA49" i="12" s="1"/>
  <c r="Z30" i="13"/>
  <c r="Z29" i="13"/>
  <c r="Z28" i="13"/>
  <c r="AA44" i="12"/>
  <c r="AA18" i="12"/>
  <c r="Z123" i="12"/>
  <c r="Z119" i="12"/>
  <c r="Z113" i="12"/>
  <c r="Z118" i="12"/>
  <c r="Z155" i="12" s="1"/>
  <c r="AA135" i="12"/>
  <c r="AA110" i="12"/>
  <c r="AC92" i="12"/>
  <c r="AC93" i="12" s="1"/>
  <c r="AC65" i="12"/>
  <c r="AC64" i="12"/>
  <c r="AC63" i="12"/>
  <c r="AC60" i="12"/>
  <c r="AC59" i="12"/>
  <c r="AC58" i="12"/>
  <c r="AC8" i="12"/>
  <c r="AC7" i="12"/>
  <c r="AC6" i="12"/>
  <c r="AD5" i="12"/>
  <c r="AB108" i="12"/>
  <c r="AB83" i="12"/>
  <c r="AA9" i="12"/>
  <c r="AB4" i="12"/>
  <c r="AA2" i="13" s="1"/>
  <c r="AA2" i="14" s="1"/>
  <c r="AB16" i="12"/>
  <c r="AB17" i="12"/>
  <c r="AB23" i="12"/>
  <c r="AB101" i="12"/>
  <c r="AB102" i="12"/>
  <c r="AB29" i="12"/>
  <c r="AA36" i="13" s="1"/>
  <c r="AB75" i="12"/>
  <c r="AB85" i="12"/>
  <c r="AB84" i="12"/>
  <c r="AB80" i="12"/>
  <c r="AB86" i="12"/>
  <c r="AB20" i="12"/>
  <c r="AB31" i="12"/>
  <c r="AB98" i="12"/>
  <c r="AB76" i="12"/>
  <c r="AB77" i="12"/>
  <c r="AB129" i="12"/>
  <c r="AB24" i="12"/>
  <c r="AB30" i="12"/>
  <c r="AB28" i="12"/>
  <c r="AB27" i="12"/>
  <c r="AB33" i="12" s="1"/>
  <c r="AA37" i="13" s="1"/>
  <c r="AB127" i="12"/>
  <c r="AB82" i="12"/>
  <c r="AB78" i="12"/>
  <c r="AB79" i="12"/>
  <c r="AA4" i="13"/>
  <c r="AA10" i="12"/>
  <c r="AA5" i="13"/>
  <c r="AA11" i="12"/>
  <c r="AB145" i="12"/>
  <c r="AB158" i="12"/>
  <c r="AB159" i="12" s="1"/>
  <c r="Z206" i="12"/>
  <c r="Z207" i="12" s="1"/>
  <c r="Z208" i="12" s="1"/>
  <c r="Z194" i="12"/>
  <c r="Z195" i="12" s="1"/>
  <c r="Z196" i="12" s="1"/>
  <c r="Y205" i="12"/>
  <c r="Y193" i="12"/>
  <c r="Y164" i="12"/>
  <c r="Y149" i="12"/>
  <c r="Y161" i="12"/>
  <c r="Y162" i="12" s="1"/>
  <c r="Z134" i="12"/>
  <c r="Z21" i="12"/>
  <c r="Y74" i="13"/>
  <c r="Y77" i="13" s="1"/>
  <c r="Z48" i="12"/>
  <c r="Z46" i="12"/>
  <c r="Z148" i="12" s="1"/>
  <c r="Y38" i="13"/>
  <c r="Y40" i="13" s="1"/>
  <c r="Y42" i="13"/>
  <c r="Y41" i="13" s="1"/>
  <c r="W207" i="12"/>
  <c r="Z61" i="13"/>
  <c r="AB25" i="13"/>
  <c r="AB56" i="13" s="1"/>
  <c r="AB24" i="13"/>
  <c r="AB23" i="13"/>
  <c r="AC21" i="13"/>
  <c r="AB3" i="13"/>
  <c r="AA58" i="13"/>
  <c r="AA60" i="13" s="1"/>
  <c r="AA53" i="13"/>
  <c r="AA61" i="13" l="1"/>
  <c r="AC25" i="13"/>
  <c r="AC56" i="13" s="1"/>
  <c r="AC24" i="13"/>
  <c r="AC23" i="13"/>
  <c r="AD21" i="13"/>
  <c r="AC3" i="13"/>
  <c r="AB58" i="13"/>
  <c r="AB60" i="13" s="1"/>
  <c r="AB53" i="13"/>
  <c r="W208" i="12"/>
  <c r="Z97" i="12"/>
  <c r="Z96" i="12"/>
  <c r="Z103" i="12" s="1"/>
  <c r="Z151" i="12" s="1"/>
  <c r="Y79" i="13"/>
  <c r="Y78" i="13" s="1"/>
  <c r="AB138" i="12"/>
  <c r="AB150" i="12"/>
  <c r="AB87" i="12"/>
  <c r="AB139" i="12" s="1"/>
  <c r="AA39" i="13"/>
  <c r="AA34" i="13"/>
  <c r="AA33" i="13"/>
  <c r="AA32" i="13"/>
  <c r="AB45" i="12"/>
  <c r="AB49" i="12" s="1"/>
  <c r="AA30" i="13"/>
  <c r="AA29" i="13"/>
  <c r="AA28" i="13"/>
  <c r="AB44" i="12"/>
  <c r="AB18" i="12"/>
  <c r="AA123" i="12"/>
  <c r="AA119" i="12"/>
  <c r="AA137" i="12" s="1"/>
  <c r="AA113" i="12"/>
  <c r="AA118" i="12"/>
  <c r="AA155" i="12" s="1"/>
  <c r="AB135" i="12"/>
  <c r="AB110" i="12"/>
  <c r="AD92" i="12"/>
  <c r="AD93" i="12" s="1"/>
  <c r="AD65" i="12"/>
  <c r="AD64" i="12"/>
  <c r="AD63" i="12"/>
  <c r="AD60" i="12"/>
  <c r="AD59" i="12"/>
  <c r="AD58" i="12"/>
  <c r="AD8" i="12"/>
  <c r="AD7" i="12"/>
  <c r="AD6" i="12"/>
  <c r="AE5" i="12"/>
  <c r="AC108" i="12"/>
  <c r="AC83" i="12"/>
  <c r="AB9" i="12"/>
  <c r="AC4" i="12"/>
  <c r="AB2" i="13" s="1"/>
  <c r="AB2" i="14" s="1"/>
  <c r="AC16" i="12"/>
  <c r="AC17" i="12"/>
  <c r="AC23" i="12"/>
  <c r="AC101" i="12"/>
  <c r="AC102" i="12"/>
  <c r="AC29" i="12"/>
  <c r="AB36" i="13" s="1"/>
  <c r="AC75" i="12"/>
  <c r="AC85" i="12"/>
  <c r="AC84" i="12"/>
  <c r="AC80" i="12"/>
  <c r="AC86" i="12"/>
  <c r="AC20" i="12"/>
  <c r="AC31" i="12"/>
  <c r="AC98" i="12"/>
  <c r="AC76" i="12"/>
  <c r="AC77" i="12"/>
  <c r="AC129" i="12"/>
  <c r="AC24" i="12"/>
  <c r="AC30" i="12"/>
  <c r="AC28" i="12"/>
  <c r="AC27" i="12"/>
  <c r="AC33" i="12" s="1"/>
  <c r="AB37" i="13" s="1"/>
  <c r="AC127" i="12"/>
  <c r="AC82" i="12"/>
  <c r="AC78" i="12"/>
  <c r="AC79" i="12"/>
  <c r="AB4" i="13"/>
  <c r="AB10" i="12"/>
  <c r="AB5" i="13"/>
  <c r="AB11" i="12"/>
  <c r="AC145" i="12"/>
  <c r="AC158" i="12"/>
  <c r="AC159" i="12" s="1"/>
  <c r="AA206" i="12"/>
  <c r="AA194" i="12"/>
  <c r="AA195" i="12" s="1"/>
  <c r="AA196" i="12" s="1"/>
  <c r="Z205" i="12"/>
  <c r="Z193" i="12"/>
  <c r="Z164" i="12"/>
  <c r="Z137" i="12"/>
  <c r="Z149" i="12"/>
  <c r="Z161" i="12"/>
  <c r="Z162" i="12" s="1"/>
  <c r="AA134" i="12"/>
  <c r="AA21" i="12"/>
  <c r="Z74" i="13"/>
  <c r="Z77" i="13" s="1"/>
  <c r="AA48" i="12"/>
  <c r="AA46" i="12"/>
  <c r="AA148" i="12" s="1"/>
  <c r="Z38" i="13"/>
  <c r="Z40" i="13" s="1"/>
  <c r="Z42" i="13"/>
  <c r="Z41" i="13" s="1"/>
  <c r="T165" i="12"/>
  <c r="U156" i="12"/>
  <c r="U165" i="12" l="1"/>
  <c r="V156" i="12"/>
  <c r="AA97" i="12"/>
  <c r="AA96" i="12"/>
  <c r="AA103" i="12" s="1"/>
  <c r="AA151" i="12" s="1"/>
  <c r="Z79" i="13"/>
  <c r="Z78" i="13" s="1"/>
  <c r="AA207" i="12"/>
  <c r="AC138" i="12"/>
  <c r="AC150" i="12"/>
  <c r="AC87" i="12"/>
  <c r="AC139" i="12" s="1"/>
  <c r="AB39" i="13"/>
  <c r="AB34" i="13"/>
  <c r="AB33" i="13"/>
  <c r="AB32" i="13"/>
  <c r="AC45" i="12"/>
  <c r="AC49" i="12" s="1"/>
  <c r="AB30" i="13"/>
  <c r="AB29" i="13"/>
  <c r="AB28" i="13"/>
  <c r="AC44" i="12"/>
  <c r="AC18" i="12"/>
  <c r="AB123" i="12"/>
  <c r="AB119" i="12"/>
  <c r="AB113" i="12"/>
  <c r="AB118" i="12"/>
  <c r="AB155" i="12" s="1"/>
  <c r="AC135" i="12"/>
  <c r="AC110" i="12"/>
  <c r="AE92" i="12"/>
  <c r="AE93" i="12" s="1"/>
  <c r="AE65" i="12"/>
  <c r="AE64" i="12"/>
  <c r="AE63" i="12"/>
  <c r="AE60" i="12"/>
  <c r="AE59" i="12"/>
  <c r="AE58" i="12"/>
  <c r="AE8" i="12"/>
  <c r="AE7" i="12"/>
  <c r="AE6" i="12"/>
  <c r="AF5" i="12"/>
  <c r="AD108" i="12"/>
  <c r="AD83" i="12"/>
  <c r="AC9" i="12"/>
  <c r="AD4" i="12"/>
  <c r="AC2" i="13" s="1"/>
  <c r="AC2" i="14" s="1"/>
  <c r="AD16" i="12"/>
  <c r="AD17" i="12"/>
  <c r="AD23" i="12"/>
  <c r="AD101" i="12"/>
  <c r="AD102" i="12"/>
  <c r="AD29" i="12"/>
  <c r="AC36" i="13" s="1"/>
  <c r="AD75" i="12"/>
  <c r="AD85" i="12"/>
  <c r="AD84" i="12"/>
  <c r="AD80" i="12"/>
  <c r="AD86" i="12"/>
  <c r="AD20" i="12"/>
  <c r="AD31" i="12"/>
  <c r="AD98" i="12"/>
  <c r="AD76" i="12"/>
  <c r="AD77" i="12"/>
  <c r="AD129" i="12"/>
  <c r="AD24" i="12"/>
  <c r="AD30" i="12"/>
  <c r="AD28" i="12"/>
  <c r="AD27" i="12"/>
  <c r="AD33" i="12" s="1"/>
  <c r="AC37" i="13" s="1"/>
  <c r="AD127" i="12"/>
  <c r="AD82" i="12"/>
  <c r="AD78" i="12"/>
  <c r="AD79" i="12"/>
  <c r="AC4" i="13"/>
  <c r="AC10" i="12"/>
  <c r="AC5" i="13"/>
  <c r="AC11" i="12"/>
  <c r="AD145" i="12"/>
  <c r="AD158" i="12"/>
  <c r="AD159" i="12" s="1"/>
  <c r="AB206" i="12"/>
  <c r="AB194" i="12"/>
  <c r="AB195" i="12" s="1"/>
  <c r="AB196" i="12" s="1"/>
  <c r="AA205" i="12"/>
  <c r="AA193" i="12"/>
  <c r="AA164" i="12"/>
  <c r="AA149" i="12"/>
  <c r="AA161" i="12"/>
  <c r="AA162" i="12" s="1"/>
  <c r="AB134" i="12"/>
  <c r="AB21" i="12"/>
  <c r="AA74" i="13"/>
  <c r="AA77" i="13" s="1"/>
  <c r="AB48" i="12"/>
  <c r="AB46" i="12"/>
  <c r="AB148" i="12" s="1"/>
  <c r="AA38" i="13"/>
  <c r="AA40" i="13" s="1"/>
  <c r="AA42" i="13"/>
  <c r="AA41" i="13" s="1"/>
  <c r="AB61" i="13"/>
  <c r="AD25" i="13"/>
  <c r="AD56" i="13" s="1"/>
  <c r="AD24" i="13"/>
  <c r="AD23" i="13"/>
  <c r="AE21" i="13"/>
  <c r="AD3" i="13"/>
  <c r="AC58" i="13"/>
  <c r="AC60" i="13" s="1"/>
  <c r="AC53" i="13"/>
  <c r="AC61" i="13" l="1"/>
  <c r="AE25" i="13"/>
  <c r="AE56" i="13" s="1"/>
  <c r="AE24" i="13"/>
  <c r="AE23" i="13"/>
  <c r="AF21" i="13"/>
  <c r="AE3" i="13"/>
  <c r="AD58" i="13"/>
  <c r="AD60" i="13" s="1"/>
  <c r="AD53" i="13"/>
  <c r="AB97" i="12"/>
  <c r="AB96" i="12"/>
  <c r="AB103" i="12" s="1"/>
  <c r="AB151" i="12" s="1"/>
  <c r="AA79" i="13"/>
  <c r="AA78" i="13" s="1"/>
  <c r="AB207" i="12"/>
  <c r="AB208" i="12" s="1"/>
  <c r="AD138" i="12"/>
  <c r="AD150" i="12"/>
  <c r="AD87" i="12"/>
  <c r="AD139" i="12" s="1"/>
  <c r="AC39" i="13"/>
  <c r="AC34" i="13"/>
  <c r="AC33" i="13"/>
  <c r="AC32" i="13"/>
  <c r="AD45" i="12"/>
  <c r="AD49" i="12" s="1"/>
  <c r="AC30" i="13"/>
  <c r="AC29" i="13"/>
  <c r="AC28" i="13"/>
  <c r="AD44" i="12"/>
  <c r="AD18" i="12"/>
  <c r="AC123" i="12"/>
  <c r="AC119" i="12"/>
  <c r="AC137" i="12" s="1"/>
  <c r="AC113" i="12"/>
  <c r="AC118" i="12"/>
  <c r="AC155" i="12" s="1"/>
  <c r="AD135" i="12"/>
  <c r="AD110" i="12"/>
  <c r="AF92" i="12"/>
  <c r="AF93" i="12" s="1"/>
  <c r="AF65" i="12"/>
  <c r="AF64" i="12"/>
  <c r="AF63" i="12"/>
  <c r="AF60" i="12"/>
  <c r="AF59" i="12"/>
  <c r="AF58" i="12"/>
  <c r="AF8" i="12"/>
  <c r="AF7" i="12"/>
  <c r="AF6" i="12"/>
  <c r="AG5" i="12"/>
  <c r="AE108" i="12"/>
  <c r="AE83" i="12"/>
  <c r="AD9" i="12"/>
  <c r="AE4" i="12"/>
  <c r="AD2" i="13" s="1"/>
  <c r="AD2" i="14" s="1"/>
  <c r="AE16" i="12"/>
  <c r="AE17" i="12"/>
  <c r="AE23" i="12"/>
  <c r="AE101" i="12"/>
  <c r="AE102" i="12"/>
  <c r="AE29" i="12"/>
  <c r="AD36" i="13" s="1"/>
  <c r="AE75" i="12"/>
  <c r="AE85" i="12"/>
  <c r="AE84" i="12"/>
  <c r="AE80" i="12"/>
  <c r="AE86" i="12"/>
  <c r="AE20" i="12"/>
  <c r="AE31" i="12"/>
  <c r="AE98" i="12"/>
  <c r="AE76" i="12"/>
  <c r="AE77" i="12"/>
  <c r="AE129" i="12"/>
  <c r="AE24" i="12"/>
  <c r="AE30" i="12"/>
  <c r="AE28" i="12"/>
  <c r="AE27" i="12"/>
  <c r="AE33" i="12" s="1"/>
  <c r="AD37" i="13" s="1"/>
  <c r="AE127" i="12"/>
  <c r="AE82" i="12"/>
  <c r="AE78" i="12"/>
  <c r="AE79" i="12"/>
  <c r="AD4" i="13"/>
  <c r="AD10" i="12"/>
  <c r="AD5" i="13"/>
  <c r="AD11" i="12"/>
  <c r="AE145" i="12"/>
  <c r="AE158" i="12"/>
  <c r="AE159" i="12" s="1"/>
  <c r="AC206" i="12"/>
  <c r="AC194" i="12"/>
  <c r="AC195" i="12" s="1"/>
  <c r="AC196" i="12" s="1"/>
  <c r="AB205" i="12"/>
  <c r="AB193" i="12"/>
  <c r="AB164" i="12"/>
  <c r="AB137" i="12"/>
  <c r="AB149" i="12"/>
  <c r="AB161" i="12"/>
  <c r="AB162" i="12" s="1"/>
  <c r="AC134" i="12"/>
  <c r="AC21" i="12"/>
  <c r="AB74" i="13"/>
  <c r="AB77" i="13" s="1"/>
  <c r="AC48" i="12"/>
  <c r="AC46" i="12"/>
  <c r="AC148" i="12" s="1"/>
  <c r="AB38" i="13"/>
  <c r="AB40" i="13" s="1"/>
  <c r="AB42" i="13"/>
  <c r="AB41" i="13" s="1"/>
  <c r="AA208" i="12"/>
  <c r="V165" i="12"/>
  <c r="W156" i="12"/>
  <c r="W165" i="12" l="1"/>
  <c r="X156" i="12"/>
  <c r="AC97" i="12"/>
  <c r="AC96" i="12"/>
  <c r="AC103" i="12" s="1"/>
  <c r="AC151" i="12" s="1"/>
  <c r="AB79" i="13"/>
  <c r="AB78" i="13" s="1"/>
  <c r="AC207" i="12"/>
  <c r="AE138" i="12"/>
  <c r="AE150" i="12"/>
  <c r="AE87" i="12"/>
  <c r="AE139" i="12" s="1"/>
  <c r="AD39" i="13"/>
  <c r="AD34" i="13"/>
  <c r="AD33" i="13"/>
  <c r="AD32" i="13"/>
  <c r="AE45" i="12"/>
  <c r="AE49" i="12" s="1"/>
  <c r="AD30" i="13"/>
  <c r="AD29" i="13"/>
  <c r="AD28" i="13"/>
  <c r="AE44" i="12"/>
  <c r="AE18" i="12"/>
  <c r="AD123" i="12"/>
  <c r="AD119" i="12"/>
  <c r="AD113" i="12"/>
  <c r="AD118" i="12"/>
  <c r="AD155" i="12" s="1"/>
  <c r="AE135" i="12"/>
  <c r="AE110" i="12"/>
  <c r="AG92" i="12"/>
  <c r="AG93" i="12" s="1"/>
  <c r="AG65" i="12"/>
  <c r="AG64" i="12"/>
  <c r="AG63" i="12"/>
  <c r="AG60" i="12"/>
  <c r="AG59" i="12"/>
  <c r="AG58" i="12"/>
  <c r="AG8" i="12"/>
  <c r="AG7" i="12"/>
  <c r="AG6" i="12"/>
  <c r="AH5" i="12"/>
  <c r="AF108" i="12"/>
  <c r="AF83" i="12"/>
  <c r="AE9" i="12"/>
  <c r="AF4" i="12"/>
  <c r="AE2" i="13" s="1"/>
  <c r="AE2" i="14" s="1"/>
  <c r="AF16" i="12"/>
  <c r="AF17" i="12"/>
  <c r="AF23" i="12"/>
  <c r="AF101" i="12"/>
  <c r="AF102" i="12"/>
  <c r="AF29" i="12"/>
  <c r="AE36" i="13" s="1"/>
  <c r="AF75" i="12"/>
  <c r="AF85" i="12"/>
  <c r="AF84" i="12"/>
  <c r="AF80" i="12"/>
  <c r="AF86" i="12"/>
  <c r="AF20" i="12"/>
  <c r="AF31" i="12"/>
  <c r="AF98" i="12"/>
  <c r="AF76" i="12"/>
  <c r="AF77" i="12"/>
  <c r="AF129" i="12"/>
  <c r="AF24" i="12"/>
  <c r="AF30" i="12"/>
  <c r="AF28" i="12"/>
  <c r="AF27" i="12"/>
  <c r="AF33" i="12" s="1"/>
  <c r="AE37" i="13" s="1"/>
  <c r="AF127" i="12"/>
  <c r="AF82" i="12"/>
  <c r="AF78" i="12"/>
  <c r="AF79" i="12"/>
  <c r="AE4" i="13"/>
  <c r="AE10" i="12"/>
  <c r="AE5" i="13"/>
  <c r="AE11" i="12"/>
  <c r="AF145" i="12"/>
  <c r="AF158" i="12"/>
  <c r="AF159" i="12" s="1"/>
  <c r="AD206" i="12"/>
  <c r="AD194" i="12"/>
  <c r="AD195" i="12" s="1"/>
  <c r="AD196" i="12" s="1"/>
  <c r="AC205" i="12"/>
  <c r="AC193" i="12"/>
  <c r="AC164" i="12"/>
  <c r="AC149" i="12"/>
  <c r="AC161" i="12"/>
  <c r="AC162" i="12" s="1"/>
  <c r="AD134" i="12"/>
  <c r="AD21" i="12"/>
  <c r="AC74" i="13"/>
  <c r="AC77" i="13" s="1"/>
  <c r="AD48" i="12"/>
  <c r="AD46" i="12"/>
  <c r="AD148" i="12" s="1"/>
  <c r="AC38" i="13"/>
  <c r="AC40" i="13" s="1"/>
  <c r="AC42" i="13"/>
  <c r="AC41" i="13" s="1"/>
  <c r="AD61" i="13"/>
  <c r="AF25" i="13"/>
  <c r="AF56" i="13" s="1"/>
  <c r="AF24" i="13"/>
  <c r="AF23" i="13"/>
  <c r="AG21" i="13"/>
  <c r="AF3" i="13"/>
  <c r="AE58" i="13"/>
  <c r="AE60" i="13" s="1"/>
  <c r="AE53" i="13"/>
  <c r="AE61" i="13" l="1"/>
  <c r="AG25" i="13"/>
  <c r="AG56" i="13" s="1"/>
  <c r="AG24" i="13"/>
  <c r="AG23" i="13"/>
  <c r="AH21" i="13"/>
  <c r="AG3" i="13"/>
  <c r="AF58" i="13"/>
  <c r="AF60" i="13" s="1"/>
  <c r="AF53" i="13"/>
  <c r="AD97" i="12"/>
  <c r="AD96" i="12"/>
  <c r="AD103" i="12" s="1"/>
  <c r="AD151" i="12" s="1"/>
  <c r="AC79" i="13"/>
  <c r="AC78" i="13" s="1"/>
  <c r="AD207" i="12"/>
  <c r="AD208" i="12" s="1"/>
  <c r="AF138" i="12"/>
  <c r="AF150" i="12"/>
  <c r="AF87" i="12"/>
  <c r="AF139" i="12" s="1"/>
  <c r="AE39" i="13"/>
  <c r="AE34" i="13"/>
  <c r="AE33" i="13"/>
  <c r="AE32" i="13"/>
  <c r="AF45" i="12"/>
  <c r="AF49" i="12" s="1"/>
  <c r="AE30" i="13"/>
  <c r="AE29" i="13"/>
  <c r="AE28" i="13"/>
  <c r="AF44" i="12"/>
  <c r="AF18" i="12"/>
  <c r="AE123" i="12"/>
  <c r="AE119" i="12"/>
  <c r="AE137" i="12" s="1"/>
  <c r="AE113" i="12"/>
  <c r="AE118" i="12"/>
  <c r="AE155" i="12" s="1"/>
  <c r="AF135" i="12"/>
  <c r="AF110" i="12"/>
  <c r="AH92" i="12"/>
  <c r="AH93" i="12" s="1"/>
  <c r="AH65" i="12"/>
  <c r="AH64" i="12"/>
  <c r="AH63" i="12"/>
  <c r="AH60" i="12"/>
  <c r="AH59" i="12"/>
  <c r="AH58" i="12"/>
  <c r="AH8" i="12"/>
  <c r="AH7" i="12"/>
  <c r="AH6" i="12"/>
  <c r="AI5" i="12"/>
  <c r="AG108" i="12"/>
  <c r="AG83" i="12"/>
  <c r="AF9" i="12"/>
  <c r="AG4" i="12"/>
  <c r="AF2" i="13" s="1"/>
  <c r="AF2" i="14" s="1"/>
  <c r="AG16" i="12"/>
  <c r="AG17" i="12"/>
  <c r="AG23" i="12"/>
  <c r="AG101" i="12"/>
  <c r="AG102" i="12"/>
  <c r="AG29" i="12"/>
  <c r="AF36" i="13" s="1"/>
  <c r="AG75" i="12"/>
  <c r="AG85" i="12"/>
  <c r="AG84" i="12"/>
  <c r="AG80" i="12"/>
  <c r="AG86" i="12"/>
  <c r="AG20" i="12"/>
  <c r="AG31" i="12"/>
  <c r="AG98" i="12"/>
  <c r="AG76" i="12"/>
  <c r="AG77" i="12"/>
  <c r="AG129" i="12"/>
  <c r="AG24" i="12"/>
  <c r="AG30" i="12"/>
  <c r="AG28" i="12"/>
  <c r="AG27" i="12"/>
  <c r="AG33" i="12" s="1"/>
  <c r="AF37" i="13" s="1"/>
  <c r="AG127" i="12"/>
  <c r="AG82" i="12"/>
  <c r="AG78" i="12"/>
  <c r="AG79" i="12"/>
  <c r="AF4" i="13"/>
  <c r="AF10" i="12"/>
  <c r="AF5" i="13"/>
  <c r="AF11" i="12"/>
  <c r="AG145" i="12"/>
  <c r="AG158" i="12"/>
  <c r="AG159" i="12" s="1"/>
  <c r="AE206" i="12"/>
  <c r="AE194" i="12"/>
  <c r="AE195" i="12" s="1"/>
  <c r="AE196" i="12" s="1"/>
  <c r="AD205" i="12"/>
  <c r="AD193" i="12"/>
  <c r="AD164" i="12"/>
  <c r="AD137" i="12"/>
  <c r="AD149" i="12"/>
  <c r="AD161" i="12"/>
  <c r="AD162" i="12" s="1"/>
  <c r="AE134" i="12"/>
  <c r="AE21" i="12"/>
  <c r="AD74" i="13"/>
  <c r="AD77" i="13" s="1"/>
  <c r="AE48" i="12"/>
  <c r="AE46" i="12"/>
  <c r="AE148" i="12" s="1"/>
  <c r="AD38" i="13"/>
  <c r="AD40" i="13" s="1"/>
  <c r="AD42" i="13"/>
  <c r="AD41" i="13" s="1"/>
  <c r="AC208" i="12"/>
  <c r="X165" i="12"/>
  <c r="Y156" i="12"/>
  <c r="Y165" i="12" l="1"/>
  <c r="Z156" i="12"/>
  <c r="AE97" i="12"/>
  <c r="AE96" i="12"/>
  <c r="AE103" i="12" s="1"/>
  <c r="AE151" i="12" s="1"/>
  <c r="AD79" i="13"/>
  <c r="AD78" i="13" s="1"/>
  <c r="AE207" i="12"/>
  <c r="AG138" i="12"/>
  <c r="AG150" i="12"/>
  <c r="AG87" i="12"/>
  <c r="AG139" i="12" s="1"/>
  <c r="AF39" i="13"/>
  <c r="AF34" i="13"/>
  <c r="AF33" i="13"/>
  <c r="AF32" i="13"/>
  <c r="AG45" i="12"/>
  <c r="AG49" i="12" s="1"/>
  <c r="AF30" i="13"/>
  <c r="AF29" i="13"/>
  <c r="AF28" i="13"/>
  <c r="AG44" i="12"/>
  <c r="AG18" i="12"/>
  <c r="AF123" i="12"/>
  <c r="AF119" i="12"/>
  <c r="AF113" i="12"/>
  <c r="AF118" i="12"/>
  <c r="AF155" i="12" s="1"/>
  <c r="AG135" i="12"/>
  <c r="AG110" i="12"/>
  <c r="AI92" i="12"/>
  <c r="AI93" i="12" s="1"/>
  <c r="AI65" i="12"/>
  <c r="AI64" i="12"/>
  <c r="AI63" i="12"/>
  <c r="AI60" i="12"/>
  <c r="AI59" i="12"/>
  <c r="AI58" i="12"/>
  <c r="AI8" i="12"/>
  <c r="AI7" i="12"/>
  <c r="AI6" i="12"/>
  <c r="AJ5" i="12"/>
  <c r="AH108" i="12"/>
  <c r="AH83" i="12"/>
  <c r="AG9" i="12"/>
  <c r="AH4" i="12"/>
  <c r="AG2" i="13" s="1"/>
  <c r="AG2" i="14" s="1"/>
  <c r="AH16" i="12"/>
  <c r="AH17" i="12"/>
  <c r="AH23" i="12"/>
  <c r="AH101" i="12"/>
  <c r="AH102" i="12"/>
  <c r="AH29" i="12"/>
  <c r="AG36" i="13" s="1"/>
  <c r="AH75" i="12"/>
  <c r="AH85" i="12"/>
  <c r="AH84" i="12"/>
  <c r="AH80" i="12"/>
  <c r="AH86" i="12"/>
  <c r="AH20" i="12"/>
  <c r="AH31" i="12"/>
  <c r="AH98" i="12"/>
  <c r="AH76" i="12"/>
  <c r="AH77" i="12"/>
  <c r="AH129" i="12"/>
  <c r="AH24" i="12"/>
  <c r="AH30" i="12"/>
  <c r="AH28" i="12"/>
  <c r="AH27" i="12"/>
  <c r="AH33" i="12" s="1"/>
  <c r="AG37" i="13" s="1"/>
  <c r="AH127" i="12"/>
  <c r="AH82" i="12"/>
  <c r="AH78" i="12"/>
  <c r="AH79" i="12"/>
  <c r="AG4" i="13"/>
  <c r="AG10" i="12"/>
  <c r="AG5" i="13"/>
  <c r="AG11" i="12"/>
  <c r="AH145" i="12"/>
  <c r="AH158" i="12"/>
  <c r="AH159" i="12" s="1"/>
  <c r="AF206" i="12"/>
  <c r="AF194" i="12"/>
  <c r="AF195" i="12" s="1"/>
  <c r="AF196" i="12" s="1"/>
  <c r="AE205" i="12"/>
  <c r="AE193" i="12"/>
  <c r="AE164" i="12"/>
  <c r="AE149" i="12"/>
  <c r="AE161" i="12"/>
  <c r="AE162" i="12" s="1"/>
  <c r="AF134" i="12"/>
  <c r="AF21" i="12"/>
  <c r="AE74" i="13"/>
  <c r="AE77" i="13" s="1"/>
  <c r="AF48" i="12"/>
  <c r="AF46" i="12"/>
  <c r="AF148" i="12" s="1"/>
  <c r="AE38" i="13"/>
  <c r="AE40" i="13" s="1"/>
  <c r="AE42" i="13"/>
  <c r="AE41" i="13" s="1"/>
  <c r="AF61" i="13"/>
  <c r="AH25" i="13"/>
  <c r="AH56" i="13" s="1"/>
  <c r="AH24" i="13"/>
  <c r="AH23" i="13"/>
  <c r="AI21" i="13"/>
  <c r="AH3" i="13"/>
  <c r="AG58" i="13"/>
  <c r="AG60" i="13" s="1"/>
  <c r="AG53" i="13"/>
  <c r="AG61" i="13" l="1"/>
  <c r="C67" i="13"/>
  <c r="AI25" i="13"/>
  <c r="AI56" i="13" s="1"/>
  <c r="AI24" i="13"/>
  <c r="AI23" i="13"/>
  <c r="AJ21" i="13"/>
  <c r="AI3" i="13"/>
  <c r="AH58" i="13"/>
  <c r="AH60" i="13" s="1"/>
  <c r="AH53" i="13"/>
  <c r="AF97" i="12"/>
  <c r="AF96" i="12"/>
  <c r="AF103" i="12" s="1"/>
  <c r="AF151" i="12" s="1"/>
  <c r="AE79" i="13"/>
  <c r="AE78" i="13" s="1"/>
  <c r="AF207" i="12"/>
  <c r="AF208" i="12" s="1"/>
  <c r="AH138" i="12"/>
  <c r="AH150" i="12"/>
  <c r="AH87" i="12"/>
  <c r="AH139" i="12" s="1"/>
  <c r="AG39" i="13"/>
  <c r="AG34" i="13"/>
  <c r="AG33" i="13"/>
  <c r="AG32" i="13"/>
  <c r="AH45" i="12"/>
  <c r="AH49" i="12" s="1"/>
  <c r="AG30" i="13"/>
  <c r="AG29" i="13"/>
  <c r="AG28" i="13"/>
  <c r="AH44" i="12"/>
  <c r="AH18" i="12"/>
  <c r="AG123" i="12"/>
  <c r="AG119" i="12"/>
  <c r="AG137" i="12" s="1"/>
  <c r="AG113" i="12"/>
  <c r="AG118" i="12"/>
  <c r="AG155" i="12" s="1"/>
  <c r="AH135" i="12"/>
  <c r="AH110" i="12"/>
  <c r="AJ92" i="12"/>
  <c r="AJ93" i="12" s="1"/>
  <c r="AJ65" i="12"/>
  <c r="AJ64" i="12"/>
  <c r="AJ63" i="12"/>
  <c r="AJ60" i="12"/>
  <c r="AJ59" i="12"/>
  <c r="AJ58" i="12"/>
  <c r="AJ8" i="12"/>
  <c r="AJ7" i="12"/>
  <c r="AJ6" i="12"/>
  <c r="AK5" i="12"/>
  <c r="AI108" i="12"/>
  <c r="AI83" i="12"/>
  <c r="AH9" i="12"/>
  <c r="AI4" i="12"/>
  <c r="AH2" i="13" s="1"/>
  <c r="AH2" i="14" s="1"/>
  <c r="AI16" i="12"/>
  <c r="AI17" i="12"/>
  <c r="AI23" i="12"/>
  <c r="AI101" i="12"/>
  <c r="AI102" i="12"/>
  <c r="AI29" i="12"/>
  <c r="AH36" i="13" s="1"/>
  <c r="AI75" i="12"/>
  <c r="AI85" i="12"/>
  <c r="AI84" i="12"/>
  <c r="AI80" i="12"/>
  <c r="AI86" i="12"/>
  <c r="AI20" i="12"/>
  <c r="AI31" i="12"/>
  <c r="AI98" i="12"/>
  <c r="AI76" i="12"/>
  <c r="AI77" i="12"/>
  <c r="AI129" i="12"/>
  <c r="AI24" i="12"/>
  <c r="AI30" i="12"/>
  <c r="AI28" i="12"/>
  <c r="AI27" i="12"/>
  <c r="AI33" i="12" s="1"/>
  <c r="AH37" i="13" s="1"/>
  <c r="AI127" i="12"/>
  <c r="AI82" i="12"/>
  <c r="AI78" i="12"/>
  <c r="AI79" i="12"/>
  <c r="AH4" i="13"/>
  <c r="AH10" i="12"/>
  <c r="AH5" i="13"/>
  <c r="AH11" i="12"/>
  <c r="AI145" i="12"/>
  <c r="AI158" i="12"/>
  <c r="AI159" i="12" s="1"/>
  <c r="AG206" i="12"/>
  <c r="AG194" i="12"/>
  <c r="AG195" i="12" s="1"/>
  <c r="AG196" i="12" s="1"/>
  <c r="C202" i="12"/>
  <c r="AF205" i="12"/>
  <c r="AF193" i="12"/>
  <c r="AF164" i="12"/>
  <c r="AF137" i="12"/>
  <c r="AF149" i="12"/>
  <c r="AF161" i="12"/>
  <c r="AF162" i="12" s="1"/>
  <c r="AG134" i="12"/>
  <c r="AG21" i="12"/>
  <c r="AF74" i="13"/>
  <c r="AF77" i="13" s="1"/>
  <c r="AG48" i="12"/>
  <c r="AG46" i="12"/>
  <c r="AG148" i="12" s="1"/>
  <c r="AF38" i="13"/>
  <c r="AF40" i="13" s="1"/>
  <c r="AF42" i="13"/>
  <c r="AF41" i="13" s="1"/>
  <c r="C201" i="12"/>
  <c r="AE208" i="12"/>
  <c r="Z165" i="12"/>
  <c r="AA156" i="12"/>
  <c r="AA165" i="12" l="1"/>
  <c r="AB156" i="12"/>
  <c r="AG97" i="12"/>
  <c r="AG96" i="12"/>
  <c r="AG103" i="12" s="1"/>
  <c r="AG151" i="12" s="1"/>
  <c r="AF79" i="13"/>
  <c r="AF78" i="13" s="1"/>
  <c r="AG207" i="12"/>
  <c r="AI138" i="12"/>
  <c r="AI150" i="12"/>
  <c r="AI87" i="12"/>
  <c r="AI139" i="12" s="1"/>
  <c r="AH39" i="13"/>
  <c r="AH34" i="13"/>
  <c r="AH33" i="13"/>
  <c r="AH32" i="13"/>
  <c r="AI45" i="12"/>
  <c r="AI49" i="12" s="1"/>
  <c r="AH30" i="13"/>
  <c r="AH29" i="13"/>
  <c r="AH28" i="13"/>
  <c r="AI44" i="12"/>
  <c r="AI18" i="12"/>
  <c r="AH123" i="12"/>
  <c r="AH119" i="12"/>
  <c r="AH113" i="12"/>
  <c r="AH118" i="12"/>
  <c r="AH155" i="12" s="1"/>
  <c r="AI135" i="12"/>
  <c r="AI110" i="12"/>
  <c r="AI206" i="12" s="1"/>
  <c r="AI207" i="12" s="1"/>
  <c r="AI208" i="12" s="1"/>
  <c r="AK92" i="12"/>
  <c r="AK93" i="12" s="1"/>
  <c r="AK65" i="12"/>
  <c r="AK64" i="12"/>
  <c r="AK63" i="12"/>
  <c r="AK60" i="12"/>
  <c r="AK59" i="12"/>
  <c r="AK58" i="12"/>
  <c r="AK8" i="12"/>
  <c r="AK7" i="12"/>
  <c r="AK6" i="12"/>
  <c r="AL5" i="12"/>
  <c r="AJ108" i="12"/>
  <c r="AJ83" i="12"/>
  <c r="AI9" i="12"/>
  <c r="AJ4" i="12"/>
  <c r="AI2" i="13" s="1"/>
  <c r="AI2" i="14" s="1"/>
  <c r="AJ16" i="12"/>
  <c r="AJ17" i="12"/>
  <c r="AJ23" i="12"/>
  <c r="AJ101" i="12"/>
  <c r="AJ102" i="12"/>
  <c r="AJ29" i="12"/>
  <c r="AI36" i="13" s="1"/>
  <c r="AJ75" i="12"/>
  <c r="AJ85" i="12"/>
  <c r="AJ84" i="12"/>
  <c r="AJ80" i="12"/>
  <c r="AJ86" i="12"/>
  <c r="AJ20" i="12"/>
  <c r="AJ31" i="12"/>
  <c r="AJ98" i="12"/>
  <c r="AJ76" i="12"/>
  <c r="AJ77" i="12"/>
  <c r="AJ129" i="12"/>
  <c r="AJ24" i="12"/>
  <c r="AJ30" i="12"/>
  <c r="AJ28" i="12"/>
  <c r="AJ27" i="12"/>
  <c r="AJ33" i="12" s="1"/>
  <c r="AI37" i="13" s="1"/>
  <c r="AJ127" i="12"/>
  <c r="AJ82" i="12"/>
  <c r="AJ78" i="12"/>
  <c r="AJ79" i="12"/>
  <c r="AI4" i="13"/>
  <c r="AI10" i="12"/>
  <c r="AI5" i="13"/>
  <c r="AI11" i="12"/>
  <c r="AJ145" i="12"/>
  <c r="AJ158" i="12"/>
  <c r="AJ159" i="12" s="1"/>
  <c r="AH206" i="12"/>
  <c r="AH194" i="12"/>
  <c r="AH195" i="12" s="1"/>
  <c r="AH196" i="12" s="1"/>
  <c r="AG205" i="12"/>
  <c r="AG193" i="12"/>
  <c r="AG164" i="12"/>
  <c r="AG149" i="12"/>
  <c r="AG161" i="12"/>
  <c r="AG162" i="12" s="1"/>
  <c r="AH134" i="12"/>
  <c r="AH21" i="12"/>
  <c r="AG74" i="13"/>
  <c r="AG77" i="13" s="1"/>
  <c r="AH48" i="12"/>
  <c r="AH46" i="12"/>
  <c r="AH148" i="12" s="1"/>
  <c r="AG38" i="13"/>
  <c r="AG40" i="13" s="1"/>
  <c r="AG42" i="13"/>
  <c r="AG41" i="13" s="1"/>
  <c r="AH61" i="13"/>
  <c r="AJ25" i="13"/>
  <c r="AJ56" i="13" s="1"/>
  <c r="AJ24" i="13"/>
  <c r="AJ23" i="13"/>
  <c r="AK21" i="13"/>
  <c r="AJ3" i="13"/>
  <c r="AI58" i="13"/>
  <c r="AI60" i="13" s="1"/>
  <c r="AI53" i="13"/>
  <c r="C68" i="13"/>
  <c r="AI61" i="13" l="1"/>
  <c r="AK25" i="13"/>
  <c r="AK56" i="13" s="1"/>
  <c r="AK24" i="13"/>
  <c r="AK23" i="13"/>
  <c r="AL21" i="13"/>
  <c r="AK3" i="13"/>
  <c r="AJ58" i="13"/>
  <c r="AJ60" i="13" s="1"/>
  <c r="AJ53" i="13"/>
  <c r="AH97" i="12"/>
  <c r="AH96" i="12"/>
  <c r="AH103" i="12" s="1"/>
  <c r="AH151" i="12" s="1"/>
  <c r="AG79" i="13"/>
  <c r="AG78" i="13" s="1"/>
  <c r="AH207" i="12"/>
  <c r="AH208" i="12" s="1"/>
  <c r="AJ138" i="12"/>
  <c r="AJ150" i="12"/>
  <c r="AJ87" i="12"/>
  <c r="AJ139" i="12" s="1"/>
  <c r="AI39" i="13"/>
  <c r="AI34" i="13"/>
  <c r="AI33" i="13"/>
  <c r="AI32" i="13"/>
  <c r="AJ45" i="12"/>
  <c r="AJ49" i="12" s="1"/>
  <c r="AI30" i="13"/>
  <c r="AI29" i="13"/>
  <c r="AI28" i="13"/>
  <c r="AJ44" i="12"/>
  <c r="AJ18" i="12"/>
  <c r="AI123" i="12"/>
  <c r="AI119" i="12"/>
  <c r="AI137" i="12" s="1"/>
  <c r="AI113" i="12"/>
  <c r="AI118" i="12"/>
  <c r="AI155" i="12" s="1"/>
  <c r="AJ135" i="12"/>
  <c r="AJ110" i="12"/>
  <c r="AJ206" i="12" s="1"/>
  <c r="AL92" i="12"/>
  <c r="AL93" i="12" s="1"/>
  <c r="AL65" i="12"/>
  <c r="AL64" i="12"/>
  <c r="AL63" i="12"/>
  <c r="AL60" i="12"/>
  <c r="AL59" i="12"/>
  <c r="AL58" i="12"/>
  <c r="AL8" i="12"/>
  <c r="AL7" i="12"/>
  <c r="AL6" i="12"/>
  <c r="AM5" i="12"/>
  <c r="AK108" i="12"/>
  <c r="AK83" i="12"/>
  <c r="AJ9" i="12"/>
  <c r="AK4" i="12"/>
  <c r="AJ2" i="13" s="1"/>
  <c r="AJ2" i="14" s="1"/>
  <c r="AK16" i="12"/>
  <c r="AK17" i="12"/>
  <c r="AK23" i="12"/>
  <c r="AK101" i="12"/>
  <c r="AK102" i="12"/>
  <c r="AK29" i="12"/>
  <c r="AJ36" i="13" s="1"/>
  <c r="AK75" i="12"/>
  <c r="AK85" i="12"/>
  <c r="AK84" i="12"/>
  <c r="AK80" i="12"/>
  <c r="AK86" i="12"/>
  <c r="AK20" i="12"/>
  <c r="AK31" i="12"/>
  <c r="AK98" i="12"/>
  <c r="AK76" i="12"/>
  <c r="AK77" i="12"/>
  <c r="AK129" i="12"/>
  <c r="AK24" i="12"/>
  <c r="AK30" i="12"/>
  <c r="AK28" i="12"/>
  <c r="AK27" i="12"/>
  <c r="AK33" i="12" s="1"/>
  <c r="AJ37" i="13" s="1"/>
  <c r="AK127" i="12"/>
  <c r="AK82" i="12"/>
  <c r="AK78" i="12"/>
  <c r="AK79" i="12"/>
  <c r="AJ4" i="13"/>
  <c r="AJ10" i="12"/>
  <c r="AJ5" i="13"/>
  <c r="AJ11" i="12"/>
  <c r="AK145" i="12"/>
  <c r="AK158" i="12"/>
  <c r="AK159" i="12" s="1"/>
  <c r="AH205" i="12"/>
  <c r="AH193" i="12"/>
  <c r="AH164" i="12"/>
  <c r="AH137" i="12"/>
  <c r="AH149" i="12"/>
  <c r="AH161" i="12"/>
  <c r="AH162" i="12" s="1"/>
  <c r="AI134" i="12"/>
  <c r="AI21" i="12"/>
  <c r="AH74" i="13"/>
  <c r="AH77" i="13" s="1"/>
  <c r="AI48" i="12"/>
  <c r="AI46" i="12"/>
  <c r="AI148" i="12" s="1"/>
  <c r="AH38" i="13"/>
  <c r="AH40" i="13" s="1"/>
  <c r="AH42" i="13"/>
  <c r="AH41" i="13" s="1"/>
  <c r="AG208" i="12"/>
  <c r="AB165" i="12"/>
  <c r="AC156" i="12"/>
  <c r="AC165" i="12" l="1"/>
  <c r="AD156" i="12"/>
  <c r="AI97" i="12"/>
  <c r="AI96" i="12"/>
  <c r="AI103" i="12" s="1"/>
  <c r="AI151" i="12" s="1"/>
  <c r="AH79" i="13"/>
  <c r="AH78" i="13" s="1"/>
  <c r="AK138" i="12"/>
  <c r="AK150" i="12"/>
  <c r="AK87" i="12"/>
  <c r="AK139" i="12" s="1"/>
  <c r="AJ39" i="13"/>
  <c r="AJ34" i="13"/>
  <c r="AJ33" i="13"/>
  <c r="AJ32" i="13"/>
  <c r="AK45" i="12"/>
  <c r="AK49" i="12" s="1"/>
  <c r="AJ30" i="13"/>
  <c r="AJ29" i="13"/>
  <c r="AJ28" i="13"/>
  <c r="AK44" i="12"/>
  <c r="AK18" i="12"/>
  <c r="AJ123" i="12"/>
  <c r="AJ119" i="12"/>
  <c r="AJ113" i="12"/>
  <c r="AJ118" i="12"/>
  <c r="AJ155" i="12" s="1"/>
  <c r="AK135" i="12"/>
  <c r="AK110" i="12"/>
  <c r="AK206" i="12" s="1"/>
  <c r="AK207" i="12" s="1"/>
  <c r="AK208" i="12" s="1"/>
  <c r="AM92" i="12"/>
  <c r="AM93" i="12" s="1"/>
  <c r="AM65" i="12"/>
  <c r="AM64" i="12"/>
  <c r="AM63" i="12"/>
  <c r="AM60" i="12"/>
  <c r="AM59" i="12"/>
  <c r="AM58" i="12"/>
  <c r="AM8" i="12"/>
  <c r="AM7" i="12"/>
  <c r="AM6" i="12"/>
  <c r="AN5" i="12"/>
  <c r="AL108" i="12"/>
  <c r="AL83" i="12"/>
  <c r="AK9" i="12"/>
  <c r="AL4" i="12"/>
  <c r="AK2" i="13" s="1"/>
  <c r="AK2" i="14" s="1"/>
  <c r="AL16" i="12"/>
  <c r="AL17" i="12"/>
  <c r="AL23" i="12"/>
  <c r="AL101" i="12"/>
  <c r="AL102" i="12"/>
  <c r="AL29" i="12"/>
  <c r="AK36" i="13" s="1"/>
  <c r="AL75" i="12"/>
  <c r="AL85" i="12"/>
  <c r="AL84" i="12"/>
  <c r="AL80" i="12"/>
  <c r="AL86" i="12"/>
  <c r="AL20" i="12"/>
  <c r="AL31" i="12"/>
  <c r="AL98" i="12"/>
  <c r="AL76" i="12"/>
  <c r="AL77" i="12"/>
  <c r="AL129" i="12"/>
  <c r="AL24" i="12"/>
  <c r="AL30" i="12"/>
  <c r="AL28" i="12"/>
  <c r="AL27" i="12"/>
  <c r="AL33" i="12" s="1"/>
  <c r="AK37" i="13" s="1"/>
  <c r="AL127" i="12"/>
  <c r="AL82" i="12"/>
  <c r="AL78" i="12"/>
  <c r="AL79" i="12"/>
  <c r="AK4" i="13"/>
  <c r="AK10" i="12"/>
  <c r="AK5" i="13"/>
  <c r="AK11" i="12"/>
  <c r="AL145" i="12"/>
  <c r="AL158" i="12"/>
  <c r="AL159" i="12" s="1"/>
  <c r="AJ207" i="12"/>
  <c r="AI205" i="12"/>
  <c r="AI164" i="12"/>
  <c r="AI149" i="12"/>
  <c r="AI161" i="12"/>
  <c r="AI162" i="12" s="1"/>
  <c r="AJ134" i="12"/>
  <c r="AJ21" i="12"/>
  <c r="AI74" i="13"/>
  <c r="AI77" i="13" s="1"/>
  <c r="AJ48" i="12"/>
  <c r="AJ46" i="12"/>
  <c r="AJ148" i="12" s="1"/>
  <c r="AI38" i="13"/>
  <c r="AI40" i="13" s="1"/>
  <c r="AI42" i="13"/>
  <c r="AI41" i="13" s="1"/>
  <c r="AJ61" i="13"/>
  <c r="AL25" i="13"/>
  <c r="AL56" i="13" s="1"/>
  <c r="AL24" i="13"/>
  <c r="AL23" i="13"/>
  <c r="AM21" i="13"/>
  <c r="AL3" i="13"/>
  <c r="AK58" i="13"/>
  <c r="AK60" i="13" s="1"/>
  <c r="AK53" i="13"/>
  <c r="AK61" i="13" l="1"/>
  <c r="AM25" i="13"/>
  <c r="AM56" i="13" s="1"/>
  <c r="AM24" i="13"/>
  <c r="AM23" i="13"/>
  <c r="AN21" i="13"/>
  <c r="AM3" i="13"/>
  <c r="AL58" i="13"/>
  <c r="AL60" i="13" s="1"/>
  <c r="AL53" i="13"/>
  <c r="AJ97" i="12"/>
  <c r="AJ96" i="12"/>
  <c r="AJ103" i="12" s="1"/>
  <c r="AJ151" i="12" s="1"/>
  <c r="AI79" i="13"/>
  <c r="AI78" i="13" s="1"/>
  <c r="AJ208" i="12"/>
  <c r="AL138" i="12"/>
  <c r="AL150" i="12"/>
  <c r="AL87" i="12"/>
  <c r="AL139" i="12" s="1"/>
  <c r="AK39" i="13"/>
  <c r="AK34" i="13"/>
  <c r="AK33" i="13"/>
  <c r="AK32" i="13"/>
  <c r="AL45" i="12"/>
  <c r="AL49" i="12" s="1"/>
  <c r="AK30" i="13"/>
  <c r="AK29" i="13"/>
  <c r="AK28" i="13"/>
  <c r="AL44" i="12"/>
  <c r="AL18" i="12"/>
  <c r="AK123" i="12"/>
  <c r="AK119" i="12"/>
  <c r="AK137" i="12" s="1"/>
  <c r="AK113" i="12"/>
  <c r="AK118" i="12"/>
  <c r="AK155" i="12" s="1"/>
  <c r="AL135" i="12"/>
  <c r="AL110" i="12"/>
  <c r="AL206" i="12" s="1"/>
  <c r="AN92" i="12"/>
  <c r="AN93" i="12" s="1"/>
  <c r="AN65" i="12"/>
  <c r="AN64" i="12"/>
  <c r="AN63" i="12"/>
  <c r="AN60" i="12"/>
  <c r="AN59" i="12"/>
  <c r="AN58" i="12"/>
  <c r="AN8" i="12"/>
  <c r="AN7" i="12"/>
  <c r="AN6" i="12"/>
  <c r="AO5" i="12"/>
  <c r="AM108" i="12"/>
  <c r="AM83" i="12"/>
  <c r="AL9" i="12"/>
  <c r="AM4" i="12"/>
  <c r="AL2" i="13" s="1"/>
  <c r="AL2" i="14" s="1"/>
  <c r="AM16" i="12"/>
  <c r="AM17" i="12"/>
  <c r="AM23" i="12"/>
  <c r="AM101" i="12"/>
  <c r="AM102" i="12"/>
  <c r="AM29" i="12"/>
  <c r="AL36" i="13" s="1"/>
  <c r="AM75" i="12"/>
  <c r="AM85" i="12"/>
  <c r="AM84" i="12"/>
  <c r="AM80" i="12"/>
  <c r="AM86" i="12"/>
  <c r="AM20" i="12"/>
  <c r="AM31" i="12"/>
  <c r="AM98" i="12"/>
  <c r="AM76" i="12"/>
  <c r="AM77" i="12"/>
  <c r="AM129" i="12"/>
  <c r="AM24" i="12"/>
  <c r="AM30" i="12"/>
  <c r="AM28" i="12"/>
  <c r="AM27" i="12"/>
  <c r="AM33" i="12" s="1"/>
  <c r="AL37" i="13" s="1"/>
  <c r="AM127" i="12"/>
  <c r="AM82" i="12"/>
  <c r="AM78" i="12"/>
  <c r="AM79" i="12"/>
  <c r="AL4" i="13"/>
  <c r="AL10" i="12"/>
  <c r="AL5" i="13"/>
  <c r="AL11" i="12"/>
  <c r="AM145" i="12"/>
  <c r="AM158" i="12"/>
  <c r="AM159" i="12" s="1"/>
  <c r="AJ205" i="12"/>
  <c r="AJ164" i="12"/>
  <c r="AJ137" i="12"/>
  <c r="AJ149" i="12"/>
  <c r="AJ161" i="12"/>
  <c r="AJ162" i="12" s="1"/>
  <c r="AK134" i="12"/>
  <c r="AK21" i="12"/>
  <c r="AJ74" i="13"/>
  <c r="AJ77" i="13" s="1"/>
  <c r="AK48" i="12"/>
  <c r="AK46" i="12"/>
  <c r="AK148" i="12" s="1"/>
  <c r="AJ38" i="13"/>
  <c r="AJ40" i="13" s="1"/>
  <c r="AJ42" i="13"/>
  <c r="AJ41" i="13" s="1"/>
  <c r="AD165" i="12"/>
  <c r="AE156" i="12"/>
  <c r="AE165" i="12" l="1"/>
  <c r="AF156" i="12"/>
  <c r="AK97" i="12"/>
  <c r="AK96" i="12"/>
  <c r="AK103" i="12" s="1"/>
  <c r="AK151" i="12" s="1"/>
  <c r="AJ79" i="13"/>
  <c r="AJ78" i="13" s="1"/>
  <c r="AM138" i="12"/>
  <c r="AM150" i="12"/>
  <c r="AM87" i="12"/>
  <c r="AM139" i="12" s="1"/>
  <c r="AL39" i="13"/>
  <c r="AL34" i="13"/>
  <c r="AL33" i="13"/>
  <c r="AL32" i="13"/>
  <c r="AM45" i="12"/>
  <c r="AM49" i="12" s="1"/>
  <c r="AL30" i="13"/>
  <c r="AL29" i="13"/>
  <c r="AL28" i="13"/>
  <c r="AM44" i="12"/>
  <c r="AM18" i="12"/>
  <c r="AL123" i="12"/>
  <c r="AL119" i="12"/>
  <c r="AL113" i="12"/>
  <c r="AL118" i="12"/>
  <c r="AL155" i="12" s="1"/>
  <c r="AM135" i="12"/>
  <c r="AM110" i="12"/>
  <c r="AM206" i="12" s="1"/>
  <c r="AM207" i="12" s="1"/>
  <c r="AM208" i="12" s="1"/>
  <c r="AO92" i="12"/>
  <c r="AO93" i="12" s="1"/>
  <c r="AO65" i="12"/>
  <c r="AO64" i="12"/>
  <c r="AO63" i="12"/>
  <c r="AO60" i="12"/>
  <c r="AO59" i="12"/>
  <c r="AO58" i="12"/>
  <c r="AO8" i="12"/>
  <c r="AO7" i="12"/>
  <c r="AO6" i="12"/>
  <c r="AP5" i="12"/>
  <c r="AN108" i="12"/>
  <c r="AN83" i="12"/>
  <c r="AM9" i="12"/>
  <c r="AN4" i="12"/>
  <c r="AM2" i="13" s="1"/>
  <c r="AM2" i="14" s="1"/>
  <c r="AN16" i="12"/>
  <c r="AN17" i="12"/>
  <c r="AN23" i="12"/>
  <c r="AN101" i="12"/>
  <c r="AN102" i="12"/>
  <c r="AN29" i="12"/>
  <c r="AM36" i="13" s="1"/>
  <c r="AN75" i="12"/>
  <c r="AN85" i="12"/>
  <c r="AN84" i="12"/>
  <c r="AN80" i="12"/>
  <c r="AN86" i="12"/>
  <c r="AN20" i="12"/>
  <c r="AN31" i="12"/>
  <c r="AN98" i="12"/>
  <c r="AN76" i="12"/>
  <c r="AN77" i="12"/>
  <c r="AN129" i="12"/>
  <c r="AN24" i="12"/>
  <c r="AN30" i="12"/>
  <c r="AN28" i="12"/>
  <c r="AN27" i="12"/>
  <c r="AN33" i="12" s="1"/>
  <c r="AM37" i="13" s="1"/>
  <c r="AN127" i="12"/>
  <c r="AN82" i="12"/>
  <c r="AN78" i="12"/>
  <c r="AN79" i="12"/>
  <c r="AM4" i="13"/>
  <c r="AM10" i="12"/>
  <c r="AM5" i="13"/>
  <c r="AM11" i="12"/>
  <c r="AN145" i="12"/>
  <c r="AN158" i="12"/>
  <c r="AN159" i="12" s="1"/>
  <c r="AL207" i="12"/>
  <c r="AK205" i="12"/>
  <c r="AK164" i="12"/>
  <c r="AK149" i="12"/>
  <c r="AK161" i="12"/>
  <c r="AK162" i="12" s="1"/>
  <c r="AL134" i="12"/>
  <c r="AL21" i="12"/>
  <c r="AK74" i="13"/>
  <c r="AK77" i="13" s="1"/>
  <c r="AL48" i="12"/>
  <c r="AL46" i="12"/>
  <c r="AL148" i="12" s="1"/>
  <c r="AK38" i="13"/>
  <c r="AK40" i="13" s="1"/>
  <c r="AK42" i="13"/>
  <c r="AK41" i="13" s="1"/>
  <c r="AL61" i="13"/>
  <c r="AN25" i="13"/>
  <c r="AN56" i="13" s="1"/>
  <c r="AN24" i="13"/>
  <c r="AN23" i="13"/>
  <c r="AO21" i="13"/>
  <c r="AN3" i="13"/>
  <c r="AM58" i="13"/>
  <c r="AM60" i="13" s="1"/>
  <c r="AM53" i="13"/>
  <c r="AM61" i="13" l="1"/>
  <c r="AO25" i="13"/>
  <c r="AO56" i="13" s="1"/>
  <c r="AO24" i="13"/>
  <c r="AO23" i="13"/>
  <c r="AP21" i="13"/>
  <c r="AO3" i="13"/>
  <c r="AN58" i="13"/>
  <c r="AN60" i="13" s="1"/>
  <c r="AN53" i="13"/>
  <c r="AL97" i="12"/>
  <c r="AL96" i="12"/>
  <c r="AL103" i="12" s="1"/>
  <c r="AL151" i="12" s="1"/>
  <c r="AK79" i="13"/>
  <c r="AK78" i="13" s="1"/>
  <c r="AL208" i="12"/>
  <c r="AN138" i="12"/>
  <c r="AN150" i="12"/>
  <c r="AN87" i="12"/>
  <c r="AN139" i="12" s="1"/>
  <c r="AM39" i="13"/>
  <c r="AM34" i="13"/>
  <c r="AM33" i="13"/>
  <c r="AM32" i="13"/>
  <c r="AN45" i="12"/>
  <c r="AN49" i="12" s="1"/>
  <c r="AM30" i="13"/>
  <c r="AM29" i="13"/>
  <c r="AM28" i="13"/>
  <c r="AN44" i="12"/>
  <c r="AN18" i="12"/>
  <c r="AM123" i="12"/>
  <c r="AM119" i="12"/>
  <c r="AM137" i="12" s="1"/>
  <c r="AM113" i="12"/>
  <c r="AM118" i="12"/>
  <c r="AM155" i="12" s="1"/>
  <c r="AN135" i="12"/>
  <c r="AN110" i="12"/>
  <c r="AN206" i="12" s="1"/>
  <c r="AP92" i="12"/>
  <c r="AP93" i="12" s="1"/>
  <c r="AP65" i="12"/>
  <c r="AP64" i="12"/>
  <c r="AP63" i="12"/>
  <c r="AP60" i="12"/>
  <c r="AP59" i="12"/>
  <c r="AP58" i="12"/>
  <c r="AP8" i="12"/>
  <c r="AP7" i="12"/>
  <c r="AP6" i="12"/>
  <c r="AQ5" i="12"/>
  <c r="AO108" i="12"/>
  <c r="AO83" i="12"/>
  <c r="AN9" i="12"/>
  <c r="AO4" i="12"/>
  <c r="AN2" i="13" s="1"/>
  <c r="AN2" i="14" s="1"/>
  <c r="AO16" i="12"/>
  <c r="AO17" i="12"/>
  <c r="AO23" i="12"/>
  <c r="AO101" i="12"/>
  <c r="AO102" i="12"/>
  <c r="AO29" i="12"/>
  <c r="AN36" i="13" s="1"/>
  <c r="AO75" i="12"/>
  <c r="AO85" i="12"/>
  <c r="AO84" i="12"/>
  <c r="AO80" i="12"/>
  <c r="AO86" i="12"/>
  <c r="AO20" i="12"/>
  <c r="AO31" i="12"/>
  <c r="AO98" i="12"/>
  <c r="AO76" i="12"/>
  <c r="AO77" i="12"/>
  <c r="AO129" i="12"/>
  <c r="AO24" i="12"/>
  <c r="AO30" i="12"/>
  <c r="AO28" i="12"/>
  <c r="AO27" i="12"/>
  <c r="AO33" i="12" s="1"/>
  <c r="AN37" i="13" s="1"/>
  <c r="AO127" i="12"/>
  <c r="AO82" i="12"/>
  <c r="AO78" i="12"/>
  <c r="AO79" i="12"/>
  <c r="AN4" i="13"/>
  <c r="AN10" i="12"/>
  <c r="AN5" i="13"/>
  <c r="AN11" i="12"/>
  <c r="AO145" i="12"/>
  <c r="AO158" i="12"/>
  <c r="AO159" i="12" s="1"/>
  <c r="AL205" i="12"/>
  <c r="AL164" i="12"/>
  <c r="AL137" i="12"/>
  <c r="AL149" i="12"/>
  <c r="AL161" i="12"/>
  <c r="AL162" i="12" s="1"/>
  <c r="AM134" i="12"/>
  <c r="AM21" i="12"/>
  <c r="AL74" i="13"/>
  <c r="AL77" i="13" s="1"/>
  <c r="AM48" i="12"/>
  <c r="AM46" i="12"/>
  <c r="AM148" i="12" s="1"/>
  <c r="AL38" i="13"/>
  <c r="AL40" i="13" s="1"/>
  <c r="AL42" i="13"/>
  <c r="AL41" i="13" s="1"/>
  <c r="AF165" i="12"/>
  <c r="AG156" i="12"/>
  <c r="AG165" i="12" l="1"/>
  <c r="AH156" i="12"/>
  <c r="AM97" i="12"/>
  <c r="AM96" i="12"/>
  <c r="AM103" i="12" s="1"/>
  <c r="AM151" i="12" s="1"/>
  <c r="AL79" i="13"/>
  <c r="AL78" i="13" s="1"/>
  <c r="AO138" i="12"/>
  <c r="AO150" i="12"/>
  <c r="AO87" i="12"/>
  <c r="AO139" i="12" s="1"/>
  <c r="AN39" i="13"/>
  <c r="AN34" i="13"/>
  <c r="AN33" i="13"/>
  <c r="AN32" i="13"/>
  <c r="AO45" i="12"/>
  <c r="AO49" i="12" s="1"/>
  <c r="AN30" i="13"/>
  <c r="AN29" i="13"/>
  <c r="AN28" i="13"/>
  <c r="AO44" i="12"/>
  <c r="AO18" i="12"/>
  <c r="AN123" i="12"/>
  <c r="AN119" i="12"/>
  <c r="AN113" i="12"/>
  <c r="AN118" i="12"/>
  <c r="AN155" i="12" s="1"/>
  <c r="AO135" i="12"/>
  <c r="AO110" i="12"/>
  <c r="AO206" i="12" s="1"/>
  <c r="AO207" i="12" s="1"/>
  <c r="AO208" i="12" s="1"/>
  <c r="AQ92" i="12"/>
  <c r="AQ93" i="12" s="1"/>
  <c r="AQ65" i="12"/>
  <c r="AQ64" i="12"/>
  <c r="AQ63" i="12"/>
  <c r="AQ60" i="12"/>
  <c r="AQ59" i="12"/>
  <c r="AQ58" i="12"/>
  <c r="AQ8" i="12"/>
  <c r="AQ7" i="12"/>
  <c r="AQ6" i="12"/>
  <c r="AR5" i="12"/>
  <c r="AP108" i="12"/>
  <c r="AP83" i="12"/>
  <c r="AO9" i="12"/>
  <c r="AP4" i="12"/>
  <c r="AO2" i="13" s="1"/>
  <c r="AO2" i="14" s="1"/>
  <c r="AP16" i="12"/>
  <c r="AP17" i="12"/>
  <c r="AP23" i="12"/>
  <c r="AP101" i="12"/>
  <c r="AP102" i="12"/>
  <c r="AP29" i="12"/>
  <c r="AO36" i="13" s="1"/>
  <c r="AP75" i="12"/>
  <c r="AP85" i="12"/>
  <c r="AP84" i="12"/>
  <c r="AP80" i="12"/>
  <c r="AP86" i="12"/>
  <c r="AP20" i="12"/>
  <c r="AP31" i="12"/>
  <c r="AP98" i="12"/>
  <c r="AP76" i="12"/>
  <c r="AP77" i="12"/>
  <c r="AP129" i="12"/>
  <c r="AP24" i="12"/>
  <c r="AP30" i="12"/>
  <c r="AP28" i="12"/>
  <c r="AP27" i="12"/>
  <c r="AP33" i="12" s="1"/>
  <c r="AO37" i="13" s="1"/>
  <c r="AP127" i="12"/>
  <c r="AP82" i="12"/>
  <c r="AP78" i="12"/>
  <c r="AP79" i="12"/>
  <c r="AO4" i="13"/>
  <c r="AO10" i="12"/>
  <c r="AO5" i="13"/>
  <c r="AO11" i="12"/>
  <c r="AP145" i="12"/>
  <c r="AP158" i="12"/>
  <c r="AP159" i="12" s="1"/>
  <c r="AN207" i="12"/>
  <c r="AM205" i="12"/>
  <c r="AM164" i="12"/>
  <c r="AM149" i="12"/>
  <c r="AM161" i="12"/>
  <c r="AM162" i="12" s="1"/>
  <c r="AN134" i="12"/>
  <c r="AN21" i="12"/>
  <c r="AM74" i="13"/>
  <c r="AM77" i="13" s="1"/>
  <c r="AN48" i="12"/>
  <c r="AN46" i="12"/>
  <c r="AN148" i="12" s="1"/>
  <c r="AM38" i="13"/>
  <c r="AM40" i="13" s="1"/>
  <c r="AM42" i="13"/>
  <c r="AM41" i="13" s="1"/>
  <c r="AN61" i="13"/>
  <c r="AP25" i="13"/>
  <c r="AP56" i="13" s="1"/>
  <c r="AP24" i="13"/>
  <c r="AP23" i="13"/>
  <c r="AQ21" i="13"/>
  <c r="AP3" i="13"/>
  <c r="AO58" i="13"/>
  <c r="AO60" i="13" s="1"/>
  <c r="AO53" i="13"/>
  <c r="AO61" i="13" l="1"/>
  <c r="AQ25" i="13"/>
  <c r="AQ56" i="13" s="1"/>
  <c r="AQ24" i="13"/>
  <c r="AQ23" i="13"/>
  <c r="AR21" i="13"/>
  <c r="AQ3" i="13"/>
  <c r="AP58" i="13"/>
  <c r="AP60" i="13" s="1"/>
  <c r="AP53" i="13"/>
  <c r="AN97" i="12"/>
  <c r="AN96" i="12"/>
  <c r="AN103" i="12" s="1"/>
  <c r="AN151" i="12" s="1"/>
  <c r="AM79" i="13"/>
  <c r="AM78" i="13" s="1"/>
  <c r="AN208" i="12"/>
  <c r="AP138" i="12"/>
  <c r="AP150" i="12"/>
  <c r="AP87" i="12"/>
  <c r="AP139" i="12" s="1"/>
  <c r="AO39" i="13"/>
  <c r="AO34" i="13"/>
  <c r="AO33" i="13"/>
  <c r="AO32" i="13"/>
  <c r="AP45" i="12"/>
  <c r="AP49" i="12" s="1"/>
  <c r="AO30" i="13"/>
  <c r="AO29" i="13"/>
  <c r="AO28" i="13"/>
  <c r="AP44" i="12"/>
  <c r="AP18" i="12"/>
  <c r="AO123" i="12"/>
  <c r="AO119" i="12"/>
  <c r="AO137" i="12" s="1"/>
  <c r="AO113" i="12"/>
  <c r="AO118" i="12"/>
  <c r="AO155" i="12" s="1"/>
  <c r="AP135" i="12"/>
  <c r="AP110" i="12"/>
  <c r="AP206" i="12" s="1"/>
  <c r="AR92" i="12"/>
  <c r="AR93" i="12" s="1"/>
  <c r="AR65" i="12"/>
  <c r="AR64" i="12"/>
  <c r="AR63" i="12"/>
  <c r="AR60" i="12"/>
  <c r="AR59" i="12"/>
  <c r="AR58" i="12"/>
  <c r="AR8" i="12"/>
  <c r="AR7" i="12"/>
  <c r="AR6" i="12"/>
  <c r="AS5" i="12"/>
  <c r="AQ108" i="12"/>
  <c r="AQ83" i="12"/>
  <c r="AP9" i="12"/>
  <c r="AQ4" i="12"/>
  <c r="AP2" i="13" s="1"/>
  <c r="AP2" i="14" s="1"/>
  <c r="AQ16" i="12"/>
  <c r="AQ17" i="12"/>
  <c r="AQ23" i="12"/>
  <c r="AQ101" i="12"/>
  <c r="AQ102" i="12"/>
  <c r="AQ29" i="12"/>
  <c r="AP36" i="13" s="1"/>
  <c r="AQ75" i="12"/>
  <c r="AQ85" i="12"/>
  <c r="AQ84" i="12"/>
  <c r="AQ80" i="12"/>
  <c r="AQ86" i="12"/>
  <c r="AQ20" i="12"/>
  <c r="AQ31" i="12"/>
  <c r="AQ98" i="12"/>
  <c r="AQ76" i="12"/>
  <c r="AQ77" i="12"/>
  <c r="AQ129" i="12"/>
  <c r="AQ24" i="12"/>
  <c r="AQ30" i="12"/>
  <c r="AQ28" i="12"/>
  <c r="AQ27" i="12"/>
  <c r="AQ33" i="12" s="1"/>
  <c r="AP37" i="13" s="1"/>
  <c r="AQ127" i="12"/>
  <c r="AQ82" i="12"/>
  <c r="AQ78" i="12"/>
  <c r="AQ79" i="12"/>
  <c r="AP4" i="13"/>
  <c r="AP10" i="12"/>
  <c r="AP5" i="13"/>
  <c r="AP11" i="12"/>
  <c r="AQ145" i="12"/>
  <c r="AQ158" i="12"/>
  <c r="AQ159" i="12" s="1"/>
  <c r="AN205" i="12"/>
  <c r="AN164" i="12"/>
  <c r="AN137" i="12"/>
  <c r="AN149" i="12"/>
  <c r="AN161" i="12"/>
  <c r="AN162" i="12" s="1"/>
  <c r="AO134" i="12"/>
  <c r="AO21" i="12"/>
  <c r="AN74" i="13"/>
  <c r="AN77" i="13" s="1"/>
  <c r="AO48" i="12"/>
  <c r="AO46" i="12"/>
  <c r="AO148" i="12" s="1"/>
  <c r="AN38" i="13"/>
  <c r="AN40" i="13" s="1"/>
  <c r="AN42" i="13"/>
  <c r="AN41" i="13" s="1"/>
  <c r="AH165" i="12"/>
  <c r="AI156" i="12"/>
  <c r="AI165" i="12" l="1"/>
  <c r="AJ156" i="12"/>
  <c r="AO97" i="12"/>
  <c r="AO96" i="12"/>
  <c r="AO103" i="12" s="1"/>
  <c r="AO151" i="12" s="1"/>
  <c r="AN79" i="13"/>
  <c r="AN78" i="13" s="1"/>
  <c r="AQ138" i="12"/>
  <c r="AQ150" i="12"/>
  <c r="AQ87" i="12"/>
  <c r="AQ139" i="12" s="1"/>
  <c r="AP39" i="13"/>
  <c r="AP34" i="13"/>
  <c r="AP33" i="13"/>
  <c r="AP32" i="13"/>
  <c r="AQ45" i="12"/>
  <c r="AQ49" i="12" s="1"/>
  <c r="AP30" i="13"/>
  <c r="AP29" i="13"/>
  <c r="AP28" i="13"/>
  <c r="AQ44" i="12"/>
  <c r="AQ18" i="12"/>
  <c r="AP123" i="12"/>
  <c r="AP119" i="12"/>
  <c r="AP113" i="12"/>
  <c r="AP118" i="12"/>
  <c r="AP155" i="12" s="1"/>
  <c r="AQ135" i="12"/>
  <c r="AQ110" i="12"/>
  <c r="AQ206" i="12" s="1"/>
  <c r="AQ207" i="12" s="1"/>
  <c r="AQ208" i="12" s="1"/>
  <c r="AS92" i="12"/>
  <c r="AS93" i="12" s="1"/>
  <c r="AS65" i="12"/>
  <c r="AS64" i="12"/>
  <c r="AS63" i="12"/>
  <c r="AS60" i="12"/>
  <c r="AS59" i="12"/>
  <c r="AS58" i="12"/>
  <c r="AS8" i="12"/>
  <c r="AS7" i="12"/>
  <c r="AS6" i="12"/>
  <c r="AT5" i="12"/>
  <c r="AR108" i="12"/>
  <c r="AR83" i="12"/>
  <c r="AQ9" i="12"/>
  <c r="AR4" i="12"/>
  <c r="AQ2" i="13" s="1"/>
  <c r="AQ2" i="14" s="1"/>
  <c r="AR16" i="12"/>
  <c r="AR17" i="12"/>
  <c r="AR23" i="12"/>
  <c r="AR101" i="12"/>
  <c r="AR102" i="12"/>
  <c r="AR29" i="12"/>
  <c r="AQ36" i="13" s="1"/>
  <c r="AR75" i="12"/>
  <c r="AR85" i="12"/>
  <c r="AR84" i="12"/>
  <c r="AR80" i="12"/>
  <c r="AR86" i="12"/>
  <c r="AR20" i="12"/>
  <c r="AR31" i="12"/>
  <c r="AR98" i="12"/>
  <c r="AR76" i="12"/>
  <c r="AR77" i="12"/>
  <c r="AR129" i="12"/>
  <c r="AR24" i="12"/>
  <c r="AR30" i="12"/>
  <c r="AR28" i="12"/>
  <c r="AR27" i="12"/>
  <c r="AR33" i="12" s="1"/>
  <c r="AQ37" i="13" s="1"/>
  <c r="AR127" i="12"/>
  <c r="AR82" i="12"/>
  <c r="AR78" i="12"/>
  <c r="AR79" i="12"/>
  <c r="AQ4" i="13"/>
  <c r="AQ10" i="12"/>
  <c r="AQ5" i="13"/>
  <c r="AQ11" i="12"/>
  <c r="AR145" i="12"/>
  <c r="AR158" i="12"/>
  <c r="AR159" i="12" s="1"/>
  <c r="G16" i="3"/>
  <c r="AP207" i="12"/>
  <c r="AO205" i="12"/>
  <c r="AO164" i="12"/>
  <c r="AO149" i="12"/>
  <c r="AO161" i="12"/>
  <c r="AO162" i="12" s="1"/>
  <c r="AP134" i="12"/>
  <c r="AP21" i="12"/>
  <c r="AO74" i="13"/>
  <c r="AO77" i="13" s="1"/>
  <c r="AP48" i="12"/>
  <c r="AP46" i="12"/>
  <c r="AP148" i="12" s="1"/>
  <c r="AO38" i="13"/>
  <c r="AO40" i="13" s="1"/>
  <c r="AO42" i="13"/>
  <c r="AO41" i="13" s="1"/>
  <c r="AP61" i="13"/>
  <c r="AR25" i="13"/>
  <c r="AR56" i="13" s="1"/>
  <c r="AR24" i="13"/>
  <c r="AR23" i="13"/>
  <c r="AS21" i="13"/>
  <c r="AR3" i="13"/>
  <c r="AQ58" i="13"/>
  <c r="AQ60" i="13" s="1"/>
  <c r="AQ53" i="13"/>
  <c r="AQ61" i="13" l="1"/>
  <c r="C70" i="13" s="1"/>
  <c r="G21" i="3" s="1"/>
  <c r="C69" i="13"/>
  <c r="G23" i="3" s="1"/>
  <c r="AS25" i="13"/>
  <c r="AS56" i="13" s="1"/>
  <c r="AS24" i="13"/>
  <c r="AS23" i="13"/>
  <c r="AT21" i="13"/>
  <c r="AS3" i="13"/>
  <c r="AR58" i="13"/>
  <c r="AR60" i="13" s="1"/>
  <c r="AR61" i="13" s="1"/>
  <c r="AR53" i="13"/>
  <c r="AP97" i="12"/>
  <c r="AP96" i="12"/>
  <c r="AP103" i="12" s="1"/>
  <c r="AP151" i="12" s="1"/>
  <c r="AO79" i="13"/>
  <c r="AO78" i="13" s="1"/>
  <c r="AP208" i="12"/>
  <c r="AR138" i="12"/>
  <c r="F15" i="3"/>
  <c r="AR150" i="12"/>
  <c r="AR87" i="12"/>
  <c r="AR139" i="12" s="1"/>
  <c r="AQ39" i="13"/>
  <c r="AQ34" i="13"/>
  <c r="AQ33" i="13"/>
  <c r="AQ32" i="13"/>
  <c r="AR45" i="12"/>
  <c r="AR49" i="12" s="1"/>
  <c r="AQ30" i="13"/>
  <c r="AQ29" i="13"/>
  <c r="AQ28" i="13"/>
  <c r="AR44" i="12"/>
  <c r="AR18" i="12"/>
  <c r="AQ123" i="12"/>
  <c r="AQ119" i="12"/>
  <c r="AQ137" i="12" s="1"/>
  <c r="AQ113" i="12"/>
  <c r="AQ118" i="12"/>
  <c r="AQ155" i="12" s="1"/>
  <c r="AR135" i="12"/>
  <c r="AR110" i="12"/>
  <c r="AR206" i="12" s="1"/>
  <c r="AT92" i="12"/>
  <c r="AT93" i="12" s="1"/>
  <c r="AT65" i="12"/>
  <c r="AT64" i="12"/>
  <c r="AT63" i="12"/>
  <c r="AT60" i="12"/>
  <c r="AT59" i="12"/>
  <c r="AT58" i="12"/>
  <c r="AT8" i="12"/>
  <c r="AT7" i="12"/>
  <c r="AT6" i="12"/>
  <c r="AU5" i="12"/>
  <c r="AS108" i="12"/>
  <c r="AS83" i="12"/>
  <c r="AR9" i="12"/>
  <c r="AS4" i="12"/>
  <c r="AR2" i="13" s="1"/>
  <c r="AR2" i="14" s="1"/>
  <c r="AS16" i="12"/>
  <c r="AS17" i="12"/>
  <c r="AS23" i="12"/>
  <c r="AS101" i="12"/>
  <c r="AS102" i="12"/>
  <c r="AS29" i="12"/>
  <c r="AR36" i="13" s="1"/>
  <c r="AS75" i="12"/>
  <c r="AS85" i="12"/>
  <c r="AS84" i="12"/>
  <c r="AS80" i="12"/>
  <c r="AS86" i="12"/>
  <c r="AS20" i="12"/>
  <c r="AS31" i="12"/>
  <c r="AS98" i="12"/>
  <c r="AS76" i="12"/>
  <c r="AS77" i="12"/>
  <c r="AS129" i="12"/>
  <c r="AS24" i="12"/>
  <c r="AS30" i="12"/>
  <c r="AS28" i="12"/>
  <c r="AS27" i="12"/>
  <c r="AS33" i="12" s="1"/>
  <c r="AR37" i="13" s="1"/>
  <c r="AS127" i="12"/>
  <c r="AS82" i="12"/>
  <c r="AS78" i="12"/>
  <c r="AS79" i="12"/>
  <c r="AR4" i="13"/>
  <c r="AR10" i="12"/>
  <c r="AR5" i="13"/>
  <c r="AR11" i="12"/>
  <c r="AS145" i="12"/>
  <c r="AS158" i="12"/>
  <c r="AS159" i="12" s="1"/>
  <c r="C214" i="12"/>
  <c r="AP205" i="12"/>
  <c r="AP164" i="12"/>
  <c r="AP137" i="12"/>
  <c r="AP149" i="12"/>
  <c r="AP161" i="12"/>
  <c r="AP162" i="12" s="1"/>
  <c r="AQ134" i="12"/>
  <c r="AQ21" i="12"/>
  <c r="AP74" i="13"/>
  <c r="AP77" i="13" s="1"/>
  <c r="AQ48" i="12"/>
  <c r="AQ46" i="12"/>
  <c r="AQ148" i="12" s="1"/>
  <c r="AP38" i="13"/>
  <c r="AP40" i="13" s="1"/>
  <c r="AP42" i="13"/>
  <c r="AP41" i="13" s="1"/>
  <c r="C213" i="12"/>
  <c r="F10" i="3" s="1"/>
  <c r="AJ165" i="12"/>
  <c r="AK156" i="12"/>
  <c r="AK165" i="12" l="1"/>
  <c r="AL156" i="12"/>
  <c r="AQ97" i="12"/>
  <c r="AQ96" i="12"/>
  <c r="AQ103" i="12" s="1"/>
  <c r="AQ151" i="12" s="1"/>
  <c r="AP79" i="13"/>
  <c r="AP78" i="13" s="1"/>
  <c r="AS138" i="12"/>
  <c r="AS150" i="12"/>
  <c r="AS87" i="12"/>
  <c r="AS139" i="12" s="1"/>
  <c r="AR39" i="13"/>
  <c r="AR34" i="13"/>
  <c r="AR33" i="13"/>
  <c r="AR32" i="13"/>
  <c r="AS45" i="12"/>
  <c r="AS49" i="12" s="1"/>
  <c r="AR30" i="13"/>
  <c r="AR29" i="13"/>
  <c r="AR28" i="13"/>
  <c r="AS44" i="12"/>
  <c r="AS18" i="12"/>
  <c r="AR123" i="12"/>
  <c r="AR119" i="12"/>
  <c r="AR113" i="12"/>
  <c r="AR118" i="12"/>
  <c r="AR155" i="12" s="1"/>
  <c r="AS135" i="12"/>
  <c r="AS110" i="12"/>
  <c r="AU92" i="12"/>
  <c r="AU93" i="12" s="1"/>
  <c r="AU65" i="12"/>
  <c r="AU64" i="12"/>
  <c r="AU63" i="12"/>
  <c r="AU60" i="12"/>
  <c r="AU59" i="12"/>
  <c r="AU58" i="12"/>
  <c r="AU8" i="12"/>
  <c r="AU7" i="12"/>
  <c r="AU6" i="12"/>
  <c r="AV5" i="12"/>
  <c r="AT108" i="12"/>
  <c r="AT83" i="12"/>
  <c r="AS9" i="12"/>
  <c r="AT4" i="12"/>
  <c r="AS2" i="13" s="1"/>
  <c r="AS2" i="14" s="1"/>
  <c r="AT16" i="12"/>
  <c r="AT17" i="12"/>
  <c r="AT23" i="12"/>
  <c r="AT101" i="12"/>
  <c r="AT102" i="12"/>
  <c r="AT29" i="12"/>
  <c r="AS36" i="13" s="1"/>
  <c r="AT75" i="12"/>
  <c r="AT85" i="12"/>
  <c r="AT84" i="12"/>
  <c r="AT80" i="12"/>
  <c r="AT86" i="12"/>
  <c r="AT20" i="12"/>
  <c r="AT31" i="12"/>
  <c r="AT98" i="12"/>
  <c r="AT76" i="12"/>
  <c r="AT77" i="12"/>
  <c r="AT129" i="12"/>
  <c r="AT24" i="12"/>
  <c r="AT30" i="12"/>
  <c r="AT28" i="12"/>
  <c r="AT27" i="12"/>
  <c r="AT33" i="12" s="1"/>
  <c r="AS37" i="13" s="1"/>
  <c r="AT127" i="12"/>
  <c r="AT82" i="12"/>
  <c r="AT78" i="12"/>
  <c r="AT79" i="12"/>
  <c r="AS4" i="13"/>
  <c r="AS10" i="12"/>
  <c r="AS5" i="13"/>
  <c r="AS11" i="12"/>
  <c r="AT145" i="12"/>
  <c r="AT158" i="12"/>
  <c r="AT159" i="12" s="1"/>
  <c r="AR207" i="12"/>
  <c r="D219" i="12" a="1"/>
  <c r="AQ205" i="12"/>
  <c r="AQ164" i="12"/>
  <c r="AQ149" i="12"/>
  <c r="AQ161" i="12"/>
  <c r="AQ162" i="12" s="1"/>
  <c r="AR134" i="12"/>
  <c r="AR21" i="12"/>
  <c r="AQ74" i="13"/>
  <c r="AQ77" i="13" s="1"/>
  <c r="AR48" i="12"/>
  <c r="AR46" i="12"/>
  <c r="AR148" i="12" s="1"/>
  <c r="AQ38" i="13"/>
  <c r="AQ40" i="13" s="1"/>
  <c r="AQ42" i="13"/>
  <c r="AQ41" i="13" s="1"/>
  <c r="F20" i="3" s="1"/>
  <c r="AT25" i="13"/>
  <c r="AT56" i="13" s="1"/>
  <c r="AT24" i="13"/>
  <c r="AT23" i="13"/>
  <c r="AU21" i="13"/>
  <c r="AT3" i="13"/>
  <c r="AS58" i="13"/>
  <c r="AS60" i="13" s="1"/>
  <c r="AS61" i="13" s="1"/>
  <c r="AS53" i="13"/>
  <c r="AU25" i="13" l="1"/>
  <c r="AU56" i="13" s="1"/>
  <c r="AU24" i="13"/>
  <c r="AU23" i="13"/>
  <c r="AV21" i="13"/>
  <c r="AU3" i="13"/>
  <c r="AT58" i="13"/>
  <c r="AT60" i="13" s="1"/>
  <c r="AT61" i="13" s="1"/>
  <c r="AT53" i="13"/>
  <c r="AR97" i="12"/>
  <c r="AR96" i="12"/>
  <c r="AR103" i="12" s="1"/>
  <c r="AR151" i="12" s="1"/>
  <c r="AQ79" i="13"/>
  <c r="AQ78" i="13" s="1"/>
  <c r="I20" i="3" s="1"/>
  <c r="AR219" i="12"/>
  <c r="AQ219" i="12"/>
  <c r="AP219" i="12"/>
  <c r="AO219" i="12"/>
  <c r="AN219" i="12"/>
  <c r="AM219" i="12"/>
  <c r="AL219" i="12"/>
  <c r="AK219" i="12"/>
  <c r="AJ219" i="12"/>
  <c r="AI219" i="12"/>
  <c r="AH219" i="12"/>
  <c r="AG219" i="12"/>
  <c r="AF219" i="12"/>
  <c r="AE219" i="12"/>
  <c r="AD219" i="12"/>
  <c r="AC219" i="12"/>
  <c r="AB219" i="12"/>
  <c r="AA219" i="12"/>
  <c r="Z219" i="12"/>
  <c r="Y219" i="12"/>
  <c r="X219" i="12"/>
  <c r="W219" i="12"/>
  <c r="V219" i="12"/>
  <c r="U219" i="12"/>
  <c r="T219" i="12"/>
  <c r="S219" i="12"/>
  <c r="R219" i="12"/>
  <c r="Q219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D219" i="12"/>
  <c r="AR208" i="12"/>
  <c r="D220" i="12" a="1"/>
  <c r="AT138" i="12"/>
  <c r="AT150" i="12"/>
  <c r="AT87" i="12"/>
  <c r="AT139" i="12" s="1"/>
  <c r="AS39" i="13"/>
  <c r="AS34" i="13"/>
  <c r="AS33" i="13"/>
  <c r="AS32" i="13"/>
  <c r="AT45" i="12"/>
  <c r="AT49" i="12" s="1"/>
  <c r="AS30" i="13"/>
  <c r="AS29" i="13"/>
  <c r="AS28" i="13"/>
  <c r="AT44" i="12"/>
  <c r="AT18" i="12"/>
  <c r="AS123" i="12"/>
  <c r="AS119" i="12"/>
  <c r="AS137" i="12" s="1"/>
  <c r="AS113" i="12"/>
  <c r="AS118" i="12"/>
  <c r="AS155" i="12" s="1"/>
  <c r="AS164" i="12" s="1"/>
  <c r="AT135" i="12"/>
  <c r="AT110" i="12"/>
  <c r="AV92" i="12"/>
  <c r="AV93" i="12" s="1"/>
  <c r="AV65" i="12"/>
  <c r="AV64" i="12"/>
  <c r="AV63" i="12"/>
  <c r="AV60" i="12"/>
  <c r="AV59" i="12"/>
  <c r="AV58" i="12"/>
  <c r="AV8" i="12"/>
  <c r="AV7" i="12"/>
  <c r="AV6" i="12"/>
  <c r="AW5" i="12"/>
  <c r="AU108" i="12"/>
  <c r="AU83" i="12"/>
  <c r="AT9" i="12"/>
  <c r="AU4" i="12"/>
  <c r="AT2" i="13" s="1"/>
  <c r="AT2" i="14" s="1"/>
  <c r="AU16" i="12"/>
  <c r="AU17" i="12"/>
  <c r="AU23" i="12"/>
  <c r="AU101" i="12"/>
  <c r="AU102" i="12"/>
  <c r="AU29" i="12"/>
  <c r="AT36" i="13" s="1"/>
  <c r="AU75" i="12"/>
  <c r="AU85" i="12"/>
  <c r="AU84" i="12"/>
  <c r="AU80" i="12"/>
  <c r="AU86" i="12"/>
  <c r="AU20" i="12"/>
  <c r="AU31" i="12"/>
  <c r="AU98" i="12"/>
  <c r="AU76" i="12"/>
  <c r="AU77" i="12"/>
  <c r="AU129" i="12"/>
  <c r="AU24" i="12"/>
  <c r="AU30" i="12"/>
  <c r="AU28" i="12"/>
  <c r="AU27" i="12"/>
  <c r="AU33" i="12" s="1"/>
  <c r="AT37" i="13" s="1"/>
  <c r="AU127" i="12"/>
  <c r="AU82" i="12"/>
  <c r="AU78" i="12"/>
  <c r="AU79" i="12"/>
  <c r="AT4" i="13"/>
  <c r="AT10" i="12"/>
  <c r="AT5" i="13"/>
  <c r="AT11" i="12"/>
  <c r="AU145" i="12"/>
  <c r="AU158" i="12"/>
  <c r="AU159" i="12" s="1"/>
  <c r="AR205" i="12"/>
  <c r="D218" i="12" s="1" a="1"/>
  <c r="AR164" i="12"/>
  <c r="AR137" i="12"/>
  <c r="F14" i="3"/>
  <c r="F22" i="3" s="1"/>
  <c r="AR149" i="12"/>
  <c r="AR161" i="12"/>
  <c r="AR162" i="12" s="1"/>
  <c r="AS134" i="12"/>
  <c r="AS21" i="12"/>
  <c r="AR74" i="13"/>
  <c r="AR77" i="13" s="1"/>
  <c r="AS48" i="12"/>
  <c r="AS46" i="12"/>
  <c r="AS148" i="12" s="1"/>
  <c r="AR38" i="13"/>
  <c r="AR40" i="13" s="1"/>
  <c r="AR42" i="13"/>
  <c r="AR41" i="13" s="1"/>
  <c r="AL165" i="12"/>
  <c r="AM156" i="12"/>
  <c r="AM165" i="12" l="1"/>
  <c r="AN156" i="12"/>
  <c r="AS97" i="12"/>
  <c r="AS96" i="12"/>
  <c r="AS103" i="12" s="1"/>
  <c r="AS151" i="12" s="1"/>
  <c r="AR79" i="13"/>
  <c r="AR78" i="13" s="1"/>
  <c r="C176" i="12"/>
  <c r="C170" i="12"/>
  <c r="AR218" i="12"/>
  <c r="AQ218" i="12"/>
  <c r="AP218" i="12"/>
  <c r="AO218" i="12"/>
  <c r="AN218" i="12"/>
  <c r="AM218" i="12"/>
  <c r="AL218" i="12"/>
  <c r="AK218" i="12"/>
  <c r="AJ218" i="12"/>
  <c r="AI218" i="12"/>
  <c r="AH218" i="12"/>
  <c r="AG218" i="12"/>
  <c r="AF218" i="12"/>
  <c r="AE218" i="12"/>
  <c r="AD218" i="12"/>
  <c r="AC218" i="12"/>
  <c r="AB218" i="12"/>
  <c r="AA218" i="12"/>
  <c r="Z218" i="12"/>
  <c r="Y218" i="12"/>
  <c r="X218" i="12"/>
  <c r="W218" i="12"/>
  <c r="V218" i="12"/>
  <c r="U218" i="12"/>
  <c r="T218" i="12"/>
  <c r="S218" i="12"/>
  <c r="R218" i="12"/>
  <c r="Q218" i="12"/>
  <c r="P218" i="12"/>
  <c r="O218" i="12"/>
  <c r="N218" i="12"/>
  <c r="M218" i="12"/>
  <c r="L218" i="12"/>
  <c r="K218" i="12"/>
  <c r="J218" i="12"/>
  <c r="I218" i="12"/>
  <c r="H218" i="12"/>
  <c r="G218" i="12"/>
  <c r="F218" i="12"/>
  <c r="E218" i="12"/>
  <c r="D218" i="12"/>
  <c r="AU138" i="12"/>
  <c r="AU150" i="12"/>
  <c r="AU87" i="12"/>
  <c r="AU139" i="12" s="1"/>
  <c r="AT39" i="13"/>
  <c r="AT34" i="13"/>
  <c r="AT33" i="13"/>
  <c r="AT32" i="13"/>
  <c r="AU45" i="12"/>
  <c r="AU49" i="12" s="1"/>
  <c r="AT30" i="13"/>
  <c r="AT29" i="13"/>
  <c r="AT28" i="13"/>
  <c r="AU44" i="12"/>
  <c r="AU18" i="12"/>
  <c r="AT123" i="12"/>
  <c r="AT119" i="12"/>
  <c r="AT137" i="12" s="1"/>
  <c r="AT113" i="12"/>
  <c r="AT118" i="12"/>
  <c r="AT155" i="12" s="1"/>
  <c r="AT164" i="12" s="1"/>
  <c r="AU135" i="12"/>
  <c r="AU110" i="12"/>
  <c r="AW92" i="12"/>
  <c r="AW93" i="12" s="1"/>
  <c r="AW65" i="12"/>
  <c r="AW64" i="12"/>
  <c r="AW63" i="12"/>
  <c r="AW60" i="12"/>
  <c r="AW59" i="12"/>
  <c r="AW58" i="12"/>
  <c r="AW8" i="12"/>
  <c r="AW7" i="12"/>
  <c r="AW6" i="12"/>
  <c r="AX5" i="12"/>
  <c r="AV108" i="12"/>
  <c r="AV83" i="12"/>
  <c r="AU9" i="12"/>
  <c r="AV4" i="12"/>
  <c r="AU2" i="13" s="1"/>
  <c r="AU2" i="14" s="1"/>
  <c r="AV16" i="12"/>
  <c r="AV17" i="12"/>
  <c r="AV23" i="12"/>
  <c r="AV101" i="12"/>
  <c r="AV102" i="12"/>
  <c r="AV29" i="12"/>
  <c r="AU36" i="13" s="1"/>
  <c r="AV75" i="12"/>
  <c r="AV85" i="12"/>
  <c r="AV84" i="12"/>
  <c r="AV80" i="12"/>
  <c r="AV86" i="12"/>
  <c r="AV20" i="12"/>
  <c r="AV31" i="12"/>
  <c r="AV98" i="12"/>
  <c r="AV76" i="12"/>
  <c r="AV77" i="12"/>
  <c r="AV129" i="12"/>
  <c r="AV24" i="12"/>
  <c r="AV30" i="12"/>
  <c r="AV28" i="12"/>
  <c r="AV27" i="12"/>
  <c r="AV33" i="12" s="1"/>
  <c r="AU37" i="13" s="1"/>
  <c r="AV127" i="12"/>
  <c r="AV82" i="12"/>
  <c r="AV78" i="12"/>
  <c r="AV79" i="12"/>
  <c r="AU4" i="13"/>
  <c r="AU10" i="12"/>
  <c r="AU5" i="13"/>
  <c r="AU11" i="12"/>
  <c r="AV145" i="12"/>
  <c r="AV158" i="12"/>
  <c r="AV159" i="12" s="1"/>
  <c r="AS149" i="12"/>
  <c r="AS161" i="12"/>
  <c r="AS162" i="12" s="1"/>
  <c r="AT134" i="12"/>
  <c r="AT21" i="12"/>
  <c r="AS74" i="13"/>
  <c r="AS77" i="13" s="1"/>
  <c r="AT48" i="12"/>
  <c r="AT46" i="12"/>
  <c r="AT148" i="12" s="1"/>
  <c r="AS38" i="13"/>
  <c r="AS40" i="13" s="1"/>
  <c r="AS42" i="13"/>
  <c r="AS41" i="13" s="1"/>
  <c r="AR220" i="12"/>
  <c r="AQ220" i="12"/>
  <c r="AP220" i="12"/>
  <c r="AO220" i="12"/>
  <c r="AN220" i="12"/>
  <c r="AM220" i="12"/>
  <c r="AL220" i="12"/>
  <c r="AK220" i="12"/>
  <c r="AJ220" i="12"/>
  <c r="AI220" i="12"/>
  <c r="AH220" i="12"/>
  <c r="AG220" i="12"/>
  <c r="AF220" i="12"/>
  <c r="AE220" i="12"/>
  <c r="AD220" i="12"/>
  <c r="AC220" i="12"/>
  <c r="AB220" i="12"/>
  <c r="AA220" i="12"/>
  <c r="Z220" i="12"/>
  <c r="Y220" i="12"/>
  <c r="X220" i="12"/>
  <c r="W220" i="12"/>
  <c r="V220" i="12"/>
  <c r="U220" i="12"/>
  <c r="T220" i="12"/>
  <c r="S220" i="12"/>
  <c r="R220" i="12"/>
  <c r="Q220" i="12"/>
  <c r="P220" i="12"/>
  <c r="O220" i="12"/>
  <c r="N220" i="12"/>
  <c r="M220" i="12"/>
  <c r="L220" i="12"/>
  <c r="K220" i="12"/>
  <c r="J220" i="12"/>
  <c r="I220" i="12"/>
  <c r="H220" i="12"/>
  <c r="G220" i="12"/>
  <c r="F220" i="12"/>
  <c r="E220" i="12"/>
  <c r="D220" i="12"/>
  <c r="AV25" i="13"/>
  <c r="AV56" i="13" s="1"/>
  <c r="AV24" i="13"/>
  <c r="AV23" i="13"/>
  <c r="AW21" i="13"/>
  <c r="AV3" i="13"/>
  <c r="AU58" i="13"/>
  <c r="AU60" i="13" s="1"/>
  <c r="AU61" i="13" s="1"/>
  <c r="AU53" i="13"/>
  <c r="AW25" i="13" l="1"/>
  <c r="AW56" i="13" s="1"/>
  <c r="AW24" i="13"/>
  <c r="AW23" i="13"/>
  <c r="AX21" i="13"/>
  <c r="AW3" i="13"/>
  <c r="AV58" i="13"/>
  <c r="AV60" i="13" s="1"/>
  <c r="AV61" i="13" s="1"/>
  <c r="AV53" i="13"/>
  <c r="AT97" i="12"/>
  <c r="AT96" i="12"/>
  <c r="AT103" i="12" s="1"/>
  <c r="AT151" i="12" s="1"/>
  <c r="AS79" i="13"/>
  <c r="AS78" i="13" s="1"/>
  <c r="AV138" i="12"/>
  <c r="AV150" i="12"/>
  <c r="AV87" i="12"/>
  <c r="AV139" i="12" s="1"/>
  <c r="AU39" i="13"/>
  <c r="AU34" i="13"/>
  <c r="AU33" i="13"/>
  <c r="AU32" i="13"/>
  <c r="AV45" i="12"/>
  <c r="AV49" i="12" s="1"/>
  <c r="AU30" i="13"/>
  <c r="AU29" i="13"/>
  <c r="AU28" i="13"/>
  <c r="AV44" i="12"/>
  <c r="AV18" i="12"/>
  <c r="AU123" i="12"/>
  <c r="AU119" i="12"/>
  <c r="AU137" i="12" s="1"/>
  <c r="AU113" i="12"/>
  <c r="AU118" i="12"/>
  <c r="AU155" i="12" s="1"/>
  <c r="AU164" i="12" s="1"/>
  <c r="AV135" i="12"/>
  <c r="AV110" i="12"/>
  <c r="AX92" i="12"/>
  <c r="AX93" i="12" s="1"/>
  <c r="AX65" i="12"/>
  <c r="AX64" i="12"/>
  <c r="AX63" i="12"/>
  <c r="AX60" i="12"/>
  <c r="AX59" i="12"/>
  <c r="AX58" i="12"/>
  <c r="AX8" i="12"/>
  <c r="AX7" i="12"/>
  <c r="AX6" i="12"/>
  <c r="AY5" i="12"/>
  <c r="AW108" i="12"/>
  <c r="AW83" i="12"/>
  <c r="AV9" i="12"/>
  <c r="AW4" i="12"/>
  <c r="AV2" i="13" s="1"/>
  <c r="AV2" i="14" s="1"/>
  <c r="AW16" i="12"/>
  <c r="AW17" i="12"/>
  <c r="AW23" i="12"/>
  <c r="AW101" i="12"/>
  <c r="AW102" i="12"/>
  <c r="AW29" i="12"/>
  <c r="AV36" i="13" s="1"/>
  <c r="AW75" i="12"/>
  <c r="AW85" i="12"/>
  <c r="AW84" i="12"/>
  <c r="AW80" i="12"/>
  <c r="AW86" i="12"/>
  <c r="AW20" i="12"/>
  <c r="AW31" i="12"/>
  <c r="AW98" i="12"/>
  <c r="AW76" i="12"/>
  <c r="AW77" i="12"/>
  <c r="AW129" i="12"/>
  <c r="AW24" i="12"/>
  <c r="AW30" i="12"/>
  <c r="AW28" i="12"/>
  <c r="AW27" i="12"/>
  <c r="AW33" i="12" s="1"/>
  <c r="AV37" i="13" s="1"/>
  <c r="AW127" i="12"/>
  <c r="AW82" i="12"/>
  <c r="AW78" i="12"/>
  <c r="AW79" i="12"/>
  <c r="AV4" i="13"/>
  <c r="AV10" i="12"/>
  <c r="AV5" i="13"/>
  <c r="AV11" i="12"/>
  <c r="AW145" i="12"/>
  <c r="AW158" i="12"/>
  <c r="AW159" i="12" s="1"/>
  <c r="AT149" i="12"/>
  <c r="AT161" i="12"/>
  <c r="AT162" i="12" s="1"/>
  <c r="AU134" i="12"/>
  <c r="AU21" i="12"/>
  <c r="AT74" i="13"/>
  <c r="AT77" i="13" s="1"/>
  <c r="AU48" i="12"/>
  <c r="AU46" i="12"/>
  <c r="AU148" i="12" s="1"/>
  <c r="AT38" i="13"/>
  <c r="AT40" i="13" s="1"/>
  <c r="AT42" i="13"/>
  <c r="AT41" i="13" s="1"/>
  <c r="AN165" i="12"/>
  <c r="AO156" i="12"/>
  <c r="AO165" i="12" l="1"/>
  <c r="AP156" i="12"/>
  <c r="AU97" i="12"/>
  <c r="AU96" i="12"/>
  <c r="AU103" i="12" s="1"/>
  <c r="AU151" i="12" s="1"/>
  <c r="AT79" i="13"/>
  <c r="AT78" i="13" s="1"/>
  <c r="AW138" i="12"/>
  <c r="AW150" i="12"/>
  <c r="AW87" i="12"/>
  <c r="AW139" i="12" s="1"/>
  <c r="AV39" i="13"/>
  <c r="AV34" i="13"/>
  <c r="AV33" i="13"/>
  <c r="AV32" i="13"/>
  <c r="AW45" i="12"/>
  <c r="AW49" i="12" s="1"/>
  <c r="AV30" i="13"/>
  <c r="AV29" i="13"/>
  <c r="AV28" i="13"/>
  <c r="AW44" i="12"/>
  <c r="AW18" i="12"/>
  <c r="AV123" i="12"/>
  <c r="AV119" i="12"/>
  <c r="AV137" i="12" s="1"/>
  <c r="AV113" i="12"/>
  <c r="AV118" i="12"/>
  <c r="AV155" i="12" s="1"/>
  <c r="AV164" i="12" s="1"/>
  <c r="AW135" i="12"/>
  <c r="AW110" i="12"/>
  <c r="AY92" i="12"/>
  <c r="AY93" i="12" s="1"/>
  <c r="AY65" i="12"/>
  <c r="AY64" i="12"/>
  <c r="AY63" i="12"/>
  <c r="AY60" i="12"/>
  <c r="AY59" i="12"/>
  <c r="AY58" i="12"/>
  <c r="AY8" i="12"/>
  <c r="AY7" i="12"/>
  <c r="AY6" i="12"/>
  <c r="AZ5" i="12"/>
  <c r="AX108" i="12"/>
  <c r="AX83" i="12"/>
  <c r="AW9" i="12"/>
  <c r="AX4" i="12"/>
  <c r="AW2" i="13" s="1"/>
  <c r="AW2" i="14" s="1"/>
  <c r="AX16" i="12"/>
  <c r="AX17" i="12"/>
  <c r="AX23" i="12"/>
  <c r="AX101" i="12"/>
  <c r="AX102" i="12"/>
  <c r="AX29" i="12"/>
  <c r="AW36" i="13" s="1"/>
  <c r="AX75" i="12"/>
  <c r="AX85" i="12"/>
  <c r="AX84" i="12"/>
  <c r="AX80" i="12"/>
  <c r="AX86" i="12"/>
  <c r="AX20" i="12"/>
  <c r="AX31" i="12"/>
  <c r="AX98" i="12"/>
  <c r="AX76" i="12"/>
  <c r="AX77" i="12"/>
  <c r="AX129" i="12"/>
  <c r="AX24" i="12"/>
  <c r="AX30" i="12"/>
  <c r="AX28" i="12"/>
  <c r="AX27" i="12"/>
  <c r="AX33" i="12" s="1"/>
  <c r="AW37" i="13" s="1"/>
  <c r="AX127" i="12"/>
  <c r="AX82" i="12"/>
  <c r="AX78" i="12"/>
  <c r="AX79" i="12"/>
  <c r="AW4" i="13"/>
  <c r="AW10" i="12"/>
  <c r="AW5" i="13"/>
  <c r="AW11" i="12"/>
  <c r="AX145" i="12"/>
  <c r="AX158" i="12"/>
  <c r="AX159" i="12" s="1"/>
  <c r="AU149" i="12"/>
  <c r="AU161" i="12"/>
  <c r="AU162" i="12" s="1"/>
  <c r="AV134" i="12"/>
  <c r="AV21" i="12"/>
  <c r="AU74" i="13"/>
  <c r="AU77" i="13" s="1"/>
  <c r="AV48" i="12"/>
  <c r="AV46" i="12"/>
  <c r="AV148" i="12" s="1"/>
  <c r="AU38" i="13"/>
  <c r="AU40" i="13" s="1"/>
  <c r="AU42" i="13"/>
  <c r="AU41" i="13" s="1"/>
  <c r="AX25" i="13"/>
  <c r="AX56" i="13" s="1"/>
  <c r="AX24" i="13"/>
  <c r="AX23" i="13"/>
  <c r="AY21" i="13"/>
  <c r="AX3" i="13"/>
  <c r="AW58" i="13"/>
  <c r="AW60" i="13" s="1"/>
  <c r="AW61" i="13" s="1"/>
  <c r="AW53" i="13"/>
  <c r="AY25" i="13" l="1"/>
  <c r="AY56" i="13" s="1"/>
  <c r="AY24" i="13"/>
  <c r="AY23" i="13"/>
  <c r="AZ21" i="13"/>
  <c r="AY3" i="13"/>
  <c r="AX58" i="13"/>
  <c r="AX60" i="13" s="1"/>
  <c r="AX61" i="13" s="1"/>
  <c r="AX53" i="13"/>
  <c r="AV97" i="12"/>
  <c r="AV96" i="12"/>
  <c r="AV103" i="12" s="1"/>
  <c r="AV151" i="12" s="1"/>
  <c r="AU79" i="13"/>
  <c r="AU78" i="13" s="1"/>
  <c r="AX138" i="12"/>
  <c r="AX150" i="12"/>
  <c r="AX87" i="12"/>
  <c r="AX139" i="12" s="1"/>
  <c r="AW39" i="13"/>
  <c r="AW34" i="13"/>
  <c r="AW33" i="13"/>
  <c r="AW32" i="13"/>
  <c r="AX45" i="12"/>
  <c r="AX49" i="12" s="1"/>
  <c r="AW30" i="13"/>
  <c r="AW29" i="13"/>
  <c r="AW28" i="13"/>
  <c r="AX44" i="12"/>
  <c r="AX18" i="12"/>
  <c r="AW123" i="12"/>
  <c r="AW119" i="12"/>
  <c r="AW137" i="12" s="1"/>
  <c r="AW113" i="12"/>
  <c r="AW118" i="12"/>
  <c r="AW155" i="12" s="1"/>
  <c r="AW164" i="12" s="1"/>
  <c r="AX135" i="12"/>
  <c r="AX110" i="12"/>
  <c r="AZ92" i="12"/>
  <c r="AZ93" i="12" s="1"/>
  <c r="AZ65" i="12"/>
  <c r="AZ64" i="12"/>
  <c r="AZ63" i="12"/>
  <c r="AZ60" i="12"/>
  <c r="AZ59" i="12"/>
  <c r="AZ58" i="12"/>
  <c r="AZ8" i="12"/>
  <c r="AZ7" i="12"/>
  <c r="AZ6" i="12"/>
  <c r="BA5" i="12"/>
  <c r="AY108" i="12"/>
  <c r="AY83" i="12"/>
  <c r="AX9" i="12"/>
  <c r="AY4" i="12"/>
  <c r="AX2" i="13" s="1"/>
  <c r="AX2" i="14" s="1"/>
  <c r="AY16" i="12"/>
  <c r="AY17" i="12"/>
  <c r="AY23" i="12"/>
  <c r="AY101" i="12"/>
  <c r="AY102" i="12"/>
  <c r="AY29" i="12"/>
  <c r="AX36" i="13" s="1"/>
  <c r="AY75" i="12"/>
  <c r="AY85" i="12"/>
  <c r="AY84" i="12"/>
  <c r="AY80" i="12"/>
  <c r="AY86" i="12"/>
  <c r="AY20" i="12"/>
  <c r="AY31" i="12"/>
  <c r="AY98" i="12"/>
  <c r="AY76" i="12"/>
  <c r="AY77" i="12"/>
  <c r="AY129" i="12"/>
  <c r="AY24" i="12"/>
  <c r="AY30" i="12"/>
  <c r="AY28" i="12"/>
  <c r="AY27" i="12"/>
  <c r="AY33" i="12" s="1"/>
  <c r="AX37" i="13" s="1"/>
  <c r="AY127" i="12"/>
  <c r="AY82" i="12"/>
  <c r="AY78" i="12"/>
  <c r="AY79" i="12"/>
  <c r="AX4" i="13"/>
  <c r="AX10" i="12"/>
  <c r="AX5" i="13"/>
  <c r="AX11" i="12"/>
  <c r="AY145" i="12"/>
  <c r="AY158" i="12"/>
  <c r="AY159" i="12" s="1"/>
  <c r="AV149" i="12"/>
  <c r="AV161" i="12"/>
  <c r="AV162" i="12" s="1"/>
  <c r="AW134" i="12"/>
  <c r="AW21" i="12"/>
  <c r="AV74" i="13"/>
  <c r="AV77" i="13" s="1"/>
  <c r="AW48" i="12"/>
  <c r="AW46" i="12"/>
  <c r="AW148" i="12" s="1"/>
  <c r="AV38" i="13"/>
  <c r="AV40" i="13" s="1"/>
  <c r="AV42" i="13"/>
  <c r="AV41" i="13" s="1"/>
  <c r="AP165" i="12"/>
  <c r="AQ156" i="12"/>
  <c r="AQ165" i="12" l="1"/>
  <c r="AR156" i="12"/>
  <c r="AW97" i="12"/>
  <c r="AW96" i="12"/>
  <c r="AW103" i="12" s="1"/>
  <c r="AW151" i="12" s="1"/>
  <c r="AV79" i="13"/>
  <c r="AV78" i="13" s="1"/>
  <c r="AY138" i="12"/>
  <c r="AY150" i="12"/>
  <c r="AY87" i="12"/>
  <c r="AY139" i="12" s="1"/>
  <c r="AX39" i="13"/>
  <c r="AX34" i="13"/>
  <c r="AX33" i="13"/>
  <c r="AX32" i="13"/>
  <c r="AY45" i="12"/>
  <c r="AY49" i="12" s="1"/>
  <c r="AX30" i="13"/>
  <c r="AX29" i="13"/>
  <c r="AX28" i="13"/>
  <c r="AY44" i="12"/>
  <c r="AY18" i="12"/>
  <c r="AX123" i="12"/>
  <c r="AX119" i="12"/>
  <c r="AX137" i="12" s="1"/>
  <c r="AX113" i="12"/>
  <c r="AX118" i="12"/>
  <c r="AX155" i="12" s="1"/>
  <c r="AX164" i="12" s="1"/>
  <c r="AY135" i="12"/>
  <c r="AY110" i="12"/>
  <c r="BA92" i="12"/>
  <c r="BA93" i="12" s="1"/>
  <c r="BA65" i="12"/>
  <c r="BA64" i="12"/>
  <c r="BA63" i="12"/>
  <c r="BA60" i="12"/>
  <c r="BA59" i="12"/>
  <c r="BA58" i="12"/>
  <c r="BA8" i="12"/>
  <c r="BA7" i="12"/>
  <c r="BA6" i="12"/>
  <c r="BB5" i="12"/>
  <c r="AZ108" i="12"/>
  <c r="AZ83" i="12"/>
  <c r="AY9" i="12"/>
  <c r="AZ4" i="12"/>
  <c r="AY2" i="13" s="1"/>
  <c r="AY2" i="14" s="1"/>
  <c r="AZ16" i="12"/>
  <c r="AZ17" i="12"/>
  <c r="AZ23" i="12"/>
  <c r="AZ101" i="12"/>
  <c r="AZ102" i="12"/>
  <c r="AZ29" i="12"/>
  <c r="AY36" i="13" s="1"/>
  <c r="AZ75" i="12"/>
  <c r="AZ85" i="12"/>
  <c r="AZ84" i="12"/>
  <c r="AZ80" i="12"/>
  <c r="AZ86" i="12"/>
  <c r="AZ20" i="12"/>
  <c r="AZ31" i="12"/>
  <c r="AZ98" i="12"/>
  <c r="AZ76" i="12"/>
  <c r="AZ77" i="12"/>
  <c r="AZ129" i="12"/>
  <c r="AZ24" i="12"/>
  <c r="AZ30" i="12"/>
  <c r="AZ28" i="12"/>
  <c r="AZ27" i="12"/>
  <c r="AZ33" i="12" s="1"/>
  <c r="AY37" i="13" s="1"/>
  <c r="AZ127" i="12"/>
  <c r="AZ82" i="12"/>
  <c r="AZ78" i="12"/>
  <c r="AZ79" i="12"/>
  <c r="AY4" i="13"/>
  <c r="AY10" i="12"/>
  <c r="AY5" i="13"/>
  <c r="AY11" i="12"/>
  <c r="AZ145" i="12"/>
  <c r="AZ158" i="12"/>
  <c r="AZ159" i="12" s="1"/>
  <c r="AW149" i="12"/>
  <c r="AW161" i="12"/>
  <c r="AW162" i="12" s="1"/>
  <c r="AX134" i="12"/>
  <c r="AX21" i="12"/>
  <c r="AW74" i="13"/>
  <c r="AW77" i="13" s="1"/>
  <c r="AX48" i="12"/>
  <c r="AX46" i="12"/>
  <c r="AX148" i="12" s="1"/>
  <c r="AW38" i="13"/>
  <c r="AW40" i="13" s="1"/>
  <c r="AW42" i="13"/>
  <c r="AW41" i="13" s="1"/>
  <c r="AZ25" i="13"/>
  <c r="AZ56" i="13" s="1"/>
  <c r="AZ24" i="13"/>
  <c r="AZ23" i="13"/>
  <c r="BA21" i="13"/>
  <c r="AZ3" i="13"/>
  <c r="AY58" i="13"/>
  <c r="AY60" i="13" s="1"/>
  <c r="AY61" i="13" s="1"/>
  <c r="AY53" i="13"/>
  <c r="BA25" i="13" l="1"/>
  <c r="BA56" i="13" s="1"/>
  <c r="BA24" i="13"/>
  <c r="BA23" i="13"/>
  <c r="BB21" i="13"/>
  <c r="BA3" i="13"/>
  <c r="AZ58" i="13"/>
  <c r="AZ60" i="13" s="1"/>
  <c r="AZ61" i="13" s="1"/>
  <c r="AZ53" i="13"/>
  <c r="AX97" i="12"/>
  <c r="AX96" i="12"/>
  <c r="AX103" i="12" s="1"/>
  <c r="AX151" i="12" s="1"/>
  <c r="AW79" i="13"/>
  <c r="AW78" i="13" s="1"/>
  <c r="AZ138" i="12"/>
  <c r="AZ150" i="12"/>
  <c r="AZ87" i="12"/>
  <c r="AZ139" i="12" s="1"/>
  <c r="AY39" i="13"/>
  <c r="AY34" i="13"/>
  <c r="AY33" i="13"/>
  <c r="AY32" i="13"/>
  <c r="AZ45" i="12"/>
  <c r="AZ49" i="12" s="1"/>
  <c r="AY30" i="13"/>
  <c r="AY29" i="13"/>
  <c r="AY28" i="13"/>
  <c r="AZ44" i="12"/>
  <c r="AZ18" i="12"/>
  <c r="AY123" i="12"/>
  <c r="AY119" i="12"/>
  <c r="AY137" i="12" s="1"/>
  <c r="AY113" i="12"/>
  <c r="AY118" i="12"/>
  <c r="AY155" i="12" s="1"/>
  <c r="AY164" i="12" s="1"/>
  <c r="AZ135" i="12"/>
  <c r="AZ110" i="12"/>
  <c r="BB92" i="12"/>
  <c r="BB93" i="12" s="1"/>
  <c r="BB65" i="12"/>
  <c r="BB64" i="12"/>
  <c r="BB63" i="12"/>
  <c r="BB60" i="12"/>
  <c r="BB59" i="12"/>
  <c r="BB58" i="12"/>
  <c r="BB8" i="12"/>
  <c r="BB7" i="12"/>
  <c r="BB6" i="12"/>
  <c r="BC5" i="12"/>
  <c r="BA108" i="12"/>
  <c r="BA83" i="12"/>
  <c r="AZ9" i="12"/>
  <c r="BA4" i="12"/>
  <c r="AZ2" i="13" s="1"/>
  <c r="AZ2" i="14" s="1"/>
  <c r="BA16" i="12"/>
  <c r="BA17" i="12"/>
  <c r="BA23" i="12"/>
  <c r="BA101" i="12"/>
  <c r="BA102" i="12"/>
  <c r="BA29" i="12"/>
  <c r="AZ36" i="13" s="1"/>
  <c r="BA75" i="12"/>
  <c r="BA85" i="12"/>
  <c r="BA84" i="12"/>
  <c r="BA80" i="12"/>
  <c r="BA86" i="12"/>
  <c r="BA20" i="12"/>
  <c r="BA31" i="12"/>
  <c r="BA98" i="12"/>
  <c r="BA76" i="12"/>
  <c r="BA77" i="12"/>
  <c r="BA129" i="12"/>
  <c r="BA24" i="12"/>
  <c r="BA30" i="12"/>
  <c r="BA28" i="12"/>
  <c r="BA27" i="12"/>
  <c r="BA33" i="12" s="1"/>
  <c r="AZ37" i="13" s="1"/>
  <c r="BA127" i="12"/>
  <c r="BA82" i="12"/>
  <c r="BA78" i="12"/>
  <c r="BA79" i="12"/>
  <c r="AZ4" i="13"/>
  <c r="AZ10" i="12"/>
  <c r="AZ5" i="13"/>
  <c r="AZ11" i="12"/>
  <c r="BA145" i="12"/>
  <c r="BA158" i="12"/>
  <c r="BA159" i="12" s="1"/>
  <c r="AX149" i="12"/>
  <c r="AX161" i="12"/>
  <c r="AX162" i="12" s="1"/>
  <c r="AY134" i="12"/>
  <c r="AY21" i="12"/>
  <c r="AX74" i="13"/>
  <c r="AX77" i="13" s="1"/>
  <c r="AY48" i="12"/>
  <c r="AY46" i="12"/>
  <c r="AY148" i="12" s="1"/>
  <c r="AX38" i="13"/>
  <c r="AX40" i="13" s="1"/>
  <c r="AX42" i="13"/>
  <c r="AX41" i="13" s="1"/>
  <c r="AR165" i="12"/>
  <c r="AS156" i="12"/>
  <c r="AS165" i="12" l="1"/>
  <c r="AT156" i="12"/>
  <c r="AY97" i="12"/>
  <c r="AY96" i="12"/>
  <c r="AY103" i="12" s="1"/>
  <c r="AY151" i="12" s="1"/>
  <c r="AX79" i="13"/>
  <c r="AX78" i="13" s="1"/>
  <c r="BA138" i="12"/>
  <c r="BA150" i="12"/>
  <c r="BA87" i="12"/>
  <c r="BA139" i="12" s="1"/>
  <c r="AZ39" i="13"/>
  <c r="AZ34" i="13"/>
  <c r="AZ33" i="13"/>
  <c r="AZ32" i="13"/>
  <c r="BA45" i="12"/>
  <c r="BA49" i="12" s="1"/>
  <c r="AZ30" i="13"/>
  <c r="AZ29" i="13"/>
  <c r="AZ28" i="13"/>
  <c r="BA44" i="12"/>
  <c r="BA18" i="12"/>
  <c r="AZ123" i="12"/>
  <c r="AZ119" i="12"/>
  <c r="AZ137" i="12" s="1"/>
  <c r="AZ113" i="12"/>
  <c r="AZ118" i="12"/>
  <c r="AZ155" i="12" s="1"/>
  <c r="AZ164" i="12" s="1"/>
  <c r="BA135" i="12"/>
  <c r="BA110" i="12"/>
  <c r="BC92" i="12"/>
  <c r="BC93" i="12" s="1"/>
  <c r="BC65" i="12"/>
  <c r="BC64" i="12"/>
  <c r="BC63" i="12"/>
  <c r="BC60" i="12"/>
  <c r="BC59" i="12"/>
  <c r="BC58" i="12"/>
  <c r="BC8" i="12"/>
  <c r="BC7" i="12"/>
  <c r="BC6" i="12"/>
  <c r="BD5" i="12"/>
  <c r="BB108" i="12"/>
  <c r="BB83" i="12"/>
  <c r="BA9" i="12"/>
  <c r="BB4" i="12"/>
  <c r="BA2" i="13" s="1"/>
  <c r="BA2" i="14" s="1"/>
  <c r="BB16" i="12"/>
  <c r="BB17" i="12"/>
  <c r="BB23" i="12"/>
  <c r="BB101" i="12"/>
  <c r="BB102" i="12"/>
  <c r="BB29" i="12"/>
  <c r="BA36" i="13" s="1"/>
  <c r="BB75" i="12"/>
  <c r="BB85" i="12"/>
  <c r="BB84" i="12"/>
  <c r="BB80" i="12"/>
  <c r="BB86" i="12"/>
  <c r="BB20" i="12"/>
  <c r="BB31" i="12"/>
  <c r="BB98" i="12"/>
  <c r="BB76" i="12"/>
  <c r="BB77" i="12"/>
  <c r="BB129" i="12"/>
  <c r="BB24" i="12"/>
  <c r="BB30" i="12"/>
  <c r="BB28" i="12"/>
  <c r="BB27" i="12"/>
  <c r="BB33" i="12" s="1"/>
  <c r="BA37" i="13" s="1"/>
  <c r="BB127" i="12"/>
  <c r="BB82" i="12"/>
  <c r="BB78" i="12"/>
  <c r="BB79" i="12"/>
  <c r="BA4" i="13"/>
  <c r="BA10" i="12"/>
  <c r="BA5" i="13"/>
  <c r="BA11" i="12"/>
  <c r="BB145" i="12"/>
  <c r="BB158" i="12"/>
  <c r="BB159" i="12" s="1"/>
  <c r="AY149" i="12"/>
  <c r="AY161" i="12"/>
  <c r="AY162" i="12" s="1"/>
  <c r="AZ134" i="12"/>
  <c r="AZ21" i="12"/>
  <c r="AY74" i="13"/>
  <c r="AY77" i="13" s="1"/>
  <c r="AZ48" i="12"/>
  <c r="AZ46" i="12"/>
  <c r="AZ148" i="12" s="1"/>
  <c r="AY38" i="13"/>
  <c r="AY40" i="13" s="1"/>
  <c r="AY42" i="13"/>
  <c r="AY41" i="13" s="1"/>
  <c r="BB25" i="13"/>
  <c r="BB56" i="13" s="1"/>
  <c r="BB24" i="13"/>
  <c r="BB23" i="13"/>
  <c r="BC21" i="13"/>
  <c r="BB3" i="13"/>
  <c r="BA58" i="13"/>
  <c r="BA60" i="13" s="1"/>
  <c r="BA61" i="13" s="1"/>
  <c r="BA53" i="13"/>
  <c r="BC25" i="13" l="1"/>
  <c r="BC56" i="13" s="1"/>
  <c r="BC24" i="13"/>
  <c r="BC23" i="13"/>
  <c r="BD21" i="13"/>
  <c r="BC3" i="13"/>
  <c r="BB58" i="13"/>
  <c r="BB60" i="13" s="1"/>
  <c r="BB61" i="13" s="1"/>
  <c r="BB53" i="13"/>
  <c r="AZ97" i="12"/>
  <c r="AZ96" i="12"/>
  <c r="AZ103" i="12" s="1"/>
  <c r="AZ151" i="12" s="1"/>
  <c r="AY79" i="13"/>
  <c r="AY78" i="13" s="1"/>
  <c r="BB138" i="12"/>
  <c r="BB150" i="12"/>
  <c r="BB87" i="12"/>
  <c r="BB139" i="12" s="1"/>
  <c r="BA39" i="13"/>
  <c r="BA34" i="13"/>
  <c r="BA33" i="13"/>
  <c r="BA32" i="13"/>
  <c r="BB45" i="12"/>
  <c r="BB49" i="12" s="1"/>
  <c r="BA30" i="13"/>
  <c r="BA29" i="13"/>
  <c r="BA28" i="13"/>
  <c r="BB44" i="12"/>
  <c r="BB18" i="12"/>
  <c r="BA123" i="12"/>
  <c r="BA119" i="12"/>
  <c r="BA137" i="12" s="1"/>
  <c r="BA113" i="12"/>
  <c r="BA118" i="12"/>
  <c r="BA155" i="12" s="1"/>
  <c r="BA164" i="12" s="1"/>
  <c r="BB135" i="12"/>
  <c r="BB110" i="12"/>
  <c r="BD92" i="12"/>
  <c r="BD93" i="12" s="1"/>
  <c r="BD65" i="12"/>
  <c r="BD64" i="12"/>
  <c r="BD63" i="12"/>
  <c r="BD60" i="12"/>
  <c r="BD59" i="12"/>
  <c r="BD58" i="12"/>
  <c r="BD8" i="12"/>
  <c r="BD7" i="12"/>
  <c r="BD6" i="12"/>
  <c r="BE5" i="12"/>
  <c r="BC108" i="12"/>
  <c r="BC83" i="12"/>
  <c r="BB9" i="12"/>
  <c r="BC4" i="12"/>
  <c r="BB2" i="13" s="1"/>
  <c r="BB2" i="14" s="1"/>
  <c r="BC16" i="12"/>
  <c r="BC17" i="12"/>
  <c r="BC23" i="12"/>
  <c r="BC101" i="12"/>
  <c r="BC102" i="12"/>
  <c r="BC29" i="12"/>
  <c r="BB36" i="13" s="1"/>
  <c r="BC75" i="12"/>
  <c r="BC85" i="12"/>
  <c r="BC84" i="12"/>
  <c r="BC80" i="12"/>
  <c r="BC86" i="12"/>
  <c r="BC20" i="12"/>
  <c r="BC31" i="12"/>
  <c r="BC98" i="12"/>
  <c r="BC76" i="12"/>
  <c r="BC77" i="12"/>
  <c r="BC129" i="12"/>
  <c r="BC24" i="12"/>
  <c r="BC30" i="12"/>
  <c r="BC28" i="12"/>
  <c r="BC27" i="12"/>
  <c r="BC33" i="12" s="1"/>
  <c r="BB37" i="13" s="1"/>
  <c r="BC127" i="12"/>
  <c r="BC82" i="12"/>
  <c r="BC78" i="12"/>
  <c r="BC79" i="12"/>
  <c r="BB4" i="13"/>
  <c r="BB10" i="12"/>
  <c r="BB5" i="13"/>
  <c r="BB11" i="12"/>
  <c r="BC145" i="12"/>
  <c r="BC158" i="12"/>
  <c r="BC159" i="12" s="1"/>
  <c r="AZ149" i="12"/>
  <c r="AZ161" i="12"/>
  <c r="AZ162" i="12" s="1"/>
  <c r="BA134" i="12"/>
  <c r="BA21" i="12"/>
  <c r="AZ74" i="13"/>
  <c r="AZ77" i="13" s="1"/>
  <c r="BA48" i="12"/>
  <c r="BA46" i="12"/>
  <c r="BA148" i="12" s="1"/>
  <c r="AZ38" i="13"/>
  <c r="AZ40" i="13" s="1"/>
  <c r="AZ42" i="13"/>
  <c r="AZ41" i="13" s="1"/>
  <c r="AT165" i="12"/>
  <c r="AU156" i="12"/>
  <c r="AU165" i="12" l="1"/>
  <c r="AV156" i="12"/>
  <c r="BA97" i="12"/>
  <c r="BA96" i="12"/>
  <c r="BA103" i="12" s="1"/>
  <c r="BA151" i="12" s="1"/>
  <c r="AZ79" i="13"/>
  <c r="AZ78" i="13" s="1"/>
  <c r="BC138" i="12"/>
  <c r="BC150" i="12"/>
  <c r="BC87" i="12"/>
  <c r="BC139" i="12" s="1"/>
  <c r="BB39" i="13"/>
  <c r="BB34" i="13"/>
  <c r="BB33" i="13"/>
  <c r="BB32" i="13"/>
  <c r="BC45" i="12"/>
  <c r="BC49" i="12" s="1"/>
  <c r="BB30" i="13"/>
  <c r="BB29" i="13"/>
  <c r="BB28" i="13"/>
  <c r="BC44" i="12"/>
  <c r="BC18" i="12"/>
  <c r="BB123" i="12"/>
  <c r="BB119" i="12"/>
  <c r="BB137" i="12" s="1"/>
  <c r="BB113" i="12"/>
  <c r="BB118" i="12"/>
  <c r="BB155" i="12" s="1"/>
  <c r="BB164" i="12" s="1"/>
  <c r="BC135" i="12"/>
  <c r="BC110" i="12"/>
  <c r="BE92" i="12"/>
  <c r="BE93" i="12" s="1"/>
  <c r="BE65" i="12"/>
  <c r="BE64" i="12"/>
  <c r="BE63" i="12"/>
  <c r="BE60" i="12"/>
  <c r="BE59" i="12"/>
  <c r="BE58" i="12"/>
  <c r="BE8" i="12"/>
  <c r="BE7" i="12"/>
  <c r="BE6" i="12"/>
  <c r="BF5" i="12"/>
  <c r="BD108" i="12"/>
  <c r="BD83" i="12"/>
  <c r="BC9" i="12"/>
  <c r="BD4" i="12"/>
  <c r="BC2" i="13" s="1"/>
  <c r="BC2" i="14" s="1"/>
  <c r="BD16" i="12"/>
  <c r="BD17" i="12"/>
  <c r="BD23" i="12"/>
  <c r="BD101" i="12"/>
  <c r="BD102" i="12"/>
  <c r="BD29" i="12"/>
  <c r="BC36" i="13" s="1"/>
  <c r="BD75" i="12"/>
  <c r="BD85" i="12"/>
  <c r="BD84" i="12"/>
  <c r="BD80" i="12"/>
  <c r="BD86" i="12"/>
  <c r="BD20" i="12"/>
  <c r="BD31" i="12"/>
  <c r="BD98" i="12"/>
  <c r="BD76" i="12"/>
  <c r="BD77" i="12"/>
  <c r="BD129" i="12"/>
  <c r="BD24" i="12"/>
  <c r="BD30" i="12"/>
  <c r="BD28" i="12"/>
  <c r="BD27" i="12"/>
  <c r="BD33" i="12" s="1"/>
  <c r="BC37" i="13" s="1"/>
  <c r="BD127" i="12"/>
  <c r="BD82" i="12"/>
  <c r="BD78" i="12"/>
  <c r="BD79" i="12"/>
  <c r="BC4" i="13"/>
  <c r="BC10" i="12"/>
  <c r="BC5" i="13"/>
  <c r="BC11" i="12"/>
  <c r="BD145" i="12"/>
  <c r="BD158" i="12"/>
  <c r="BD159" i="12" s="1"/>
  <c r="BA149" i="12"/>
  <c r="BA161" i="12"/>
  <c r="BA162" i="12" s="1"/>
  <c r="BB134" i="12"/>
  <c r="BB21" i="12"/>
  <c r="BA74" i="13"/>
  <c r="BA77" i="13" s="1"/>
  <c r="BB48" i="12"/>
  <c r="BB46" i="12"/>
  <c r="BB148" i="12" s="1"/>
  <c r="BA38" i="13"/>
  <c r="BA40" i="13" s="1"/>
  <c r="BA42" i="13"/>
  <c r="BA41" i="13" s="1"/>
  <c r="BD25" i="13"/>
  <c r="BD56" i="13" s="1"/>
  <c r="BD24" i="13"/>
  <c r="BD23" i="13"/>
  <c r="BE21" i="13"/>
  <c r="BD3" i="13"/>
  <c r="BC58" i="13"/>
  <c r="BC60" i="13" s="1"/>
  <c r="BC61" i="13" s="1"/>
  <c r="BC53" i="13"/>
  <c r="BE25" i="13" l="1"/>
  <c r="BE56" i="13" s="1"/>
  <c r="BE24" i="13"/>
  <c r="BE23" i="13"/>
  <c r="BF21" i="13"/>
  <c r="BE3" i="13"/>
  <c r="BD58" i="13"/>
  <c r="BD60" i="13" s="1"/>
  <c r="BD61" i="13" s="1"/>
  <c r="BD53" i="13"/>
  <c r="BB97" i="12"/>
  <c r="BB96" i="12"/>
  <c r="BB103" i="12" s="1"/>
  <c r="BB151" i="12" s="1"/>
  <c r="BA79" i="13"/>
  <c r="BA78" i="13" s="1"/>
  <c r="BD138" i="12"/>
  <c r="BD150" i="12"/>
  <c r="BD87" i="12"/>
  <c r="BD139" i="12" s="1"/>
  <c r="BC39" i="13"/>
  <c r="BC34" i="13"/>
  <c r="BC33" i="13"/>
  <c r="BC32" i="13"/>
  <c r="BD45" i="12"/>
  <c r="BD49" i="12" s="1"/>
  <c r="BC30" i="13"/>
  <c r="BC29" i="13"/>
  <c r="BC28" i="13"/>
  <c r="BD44" i="12"/>
  <c r="BD18" i="12"/>
  <c r="BC123" i="12"/>
  <c r="BC119" i="12"/>
  <c r="BC137" i="12" s="1"/>
  <c r="BC113" i="12"/>
  <c r="BC118" i="12"/>
  <c r="BC155" i="12" s="1"/>
  <c r="BC164" i="12" s="1"/>
  <c r="BD135" i="12"/>
  <c r="BD110" i="12"/>
  <c r="BF92" i="12"/>
  <c r="BF93" i="12" s="1"/>
  <c r="BF65" i="12"/>
  <c r="BF64" i="12"/>
  <c r="BF63" i="12"/>
  <c r="BF60" i="12"/>
  <c r="BF59" i="12"/>
  <c r="BF58" i="12"/>
  <c r="BF8" i="12"/>
  <c r="BF7" i="12"/>
  <c r="BF6" i="12"/>
  <c r="BG5" i="12"/>
  <c r="BE108" i="12"/>
  <c r="BE83" i="12"/>
  <c r="BD9" i="12"/>
  <c r="BE4" i="12"/>
  <c r="BD2" i="13" s="1"/>
  <c r="BD2" i="14" s="1"/>
  <c r="BE16" i="12"/>
  <c r="BE17" i="12"/>
  <c r="BE23" i="12"/>
  <c r="BE101" i="12"/>
  <c r="BE102" i="12"/>
  <c r="BE29" i="12"/>
  <c r="BD36" i="13" s="1"/>
  <c r="BE75" i="12"/>
  <c r="BE85" i="12"/>
  <c r="BE84" i="12"/>
  <c r="BE80" i="12"/>
  <c r="BE86" i="12"/>
  <c r="BE20" i="12"/>
  <c r="BE31" i="12"/>
  <c r="BE98" i="12"/>
  <c r="BE76" i="12"/>
  <c r="BE77" i="12"/>
  <c r="BE129" i="12"/>
  <c r="BE24" i="12"/>
  <c r="BE30" i="12"/>
  <c r="BE28" i="12"/>
  <c r="BE27" i="12"/>
  <c r="BE33" i="12" s="1"/>
  <c r="BD37" i="13" s="1"/>
  <c r="BE127" i="12"/>
  <c r="BE82" i="12"/>
  <c r="BE78" i="12"/>
  <c r="BE79" i="12"/>
  <c r="BD4" i="13"/>
  <c r="BD10" i="12"/>
  <c r="BD5" i="13"/>
  <c r="BD11" i="12"/>
  <c r="BE145" i="12"/>
  <c r="BE158" i="12"/>
  <c r="BE159" i="12" s="1"/>
  <c r="BB149" i="12"/>
  <c r="BB161" i="12"/>
  <c r="BB162" i="12" s="1"/>
  <c r="BC134" i="12"/>
  <c r="BC21" i="12"/>
  <c r="BB74" i="13"/>
  <c r="BB77" i="13" s="1"/>
  <c r="BC48" i="12"/>
  <c r="BC46" i="12"/>
  <c r="BC148" i="12" s="1"/>
  <c r="BB38" i="13"/>
  <c r="BB40" i="13" s="1"/>
  <c r="BB42" i="13"/>
  <c r="BB41" i="13" s="1"/>
  <c r="AV165" i="12"/>
  <c r="AW156" i="12"/>
  <c r="AW165" i="12" l="1"/>
  <c r="AX156" i="12"/>
  <c r="BC97" i="12"/>
  <c r="BC96" i="12"/>
  <c r="BC103" i="12" s="1"/>
  <c r="BC151" i="12" s="1"/>
  <c r="BB79" i="13"/>
  <c r="BB78" i="13" s="1"/>
  <c r="BE138" i="12"/>
  <c r="BE150" i="12"/>
  <c r="BE87" i="12"/>
  <c r="BE139" i="12" s="1"/>
  <c r="BD39" i="13"/>
  <c r="BD34" i="13"/>
  <c r="BD33" i="13"/>
  <c r="BD32" i="13"/>
  <c r="BE45" i="12"/>
  <c r="BE49" i="12" s="1"/>
  <c r="BD30" i="13"/>
  <c r="BD29" i="13"/>
  <c r="BD28" i="13"/>
  <c r="BE44" i="12"/>
  <c r="BE18" i="12"/>
  <c r="BD123" i="12"/>
  <c r="BD119" i="12"/>
  <c r="BD137" i="12" s="1"/>
  <c r="BD113" i="12"/>
  <c r="BD118" i="12"/>
  <c r="BD155" i="12" s="1"/>
  <c r="BD164" i="12" s="1"/>
  <c r="BE135" i="12"/>
  <c r="BE110" i="12"/>
  <c r="BG92" i="12"/>
  <c r="BG93" i="12" s="1"/>
  <c r="BG65" i="12"/>
  <c r="BG64" i="12"/>
  <c r="BG63" i="12"/>
  <c r="BG60" i="12"/>
  <c r="BG59" i="12"/>
  <c r="BG58" i="12"/>
  <c r="BG8" i="12"/>
  <c r="BG7" i="12"/>
  <c r="BG6" i="12"/>
  <c r="BH5" i="12"/>
  <c r="BF108" i="12"/>
  <c r="BF83" i="12"/>
  <c r="BE9" i="12"/>
  <c r="BF4" i="12"/>
  <c r="BE2" i="13" s="1"/>
  <c r="BE2" i="14" s="1"/>
  <c r="BF16" i="12"/>
  <c r="BF17" i="12"/>
  <c r="BF23" i="12"/>
  <c r="BF101" i="12"/>
  <c r="BF102" i="12"/>
  <c r="BF29" i="12"/>
  <c r="BE36" i="13" s="1"/>
  <c r="BF75" i="12"/>
  <c r="BF85" i="12"/>
  <c r="BF84" i="12"/>
  <c r="BF80" i="12"/>
  <c r="BF86" i="12"/>
  <c r="BF20" i="12"/>
  <c r="BF31" i="12"/>
  <c r="BF98" i="12"/>
  <c r="BF76" i="12"/>
  <c r="BF77" i="12"/>
  <c r="BF129" i="12"/>
  <c r="BF24" i="12"/>
  <c r="BF30" i="12"/>
  <c r="BF28" i="12"/>
  <c r="BF27" i="12"/>
  <c r="BF33" i="12" s="1"/>
  <c r="BE37" i="13" s="1"/>
  <c r="BF127" i="12"/>
  <c r="BF82" i="12"/>
  <c r="BF78" i="12"/>
  <c r="BF79" i="12"/>
  <c r="BE4" i="13"/>
  <c r="BE10" i="12"/>
  <c r="BE5" i="13"/>
  <c r="BE11" i="12"/>
  <c r="BF145" i="12"/>
  <c r="BF158" i="12"/>
  <c r="BF159" i="12" s="1"/>
  <c r="BC149" i="12"/>
  <c r="BC161" i="12"/>
  <c r="BC162" i="12" s="1"/>
  <c r="BD134" i="12"/>
  <c r="BD21" i="12"/>
  <c r="BC74" i="13"/>
  <c r="BC77" i="13" s="1"/>
  <c r="BD48" i="12"/>
  <c r="BD46" i="12"/>
  <c r="BD148" i="12" s="1"/>
  <c r="BC38" i="13"/>
  <c r="BC40" i="13" s="1"/>
  <c r="BC42" i="13"/>
  <c r="BC41" i="13" s="1"/>
  <c r="BF25" i="13"/>
  <c r="BF56" i="13" s="1"/>
  <c r="BF24" i="13"/>
  <c r="BF23" i="13"/>
  <c r="BG21" i="13"/>
  <c r="BF3" i="13"/>
  <c r="BE58" i="13"/>
  <c r="BE60" i="13" s="1"/>
  <c r="BE61" i="13" s="1"/>
  <c r="BE53" i="13"/>
  <c r="BG25" i="13" l="1"/>
  <c r="BG56" i="13" s="1"/>
  <c r="BG24" i="13"/>
  <c r="BG23" i="13"/>
  <c r="BH21" i="13"/>
  <c r="BG3" i="13"/>
  <c r="BF58" i="13"/>
  <c r="BF60" i="13" s="1"/>
  <c r="BF61" i="13" s="1"/>
  <c r="BF53" i="13"/>
  <c r="BD97" i="12"/>
  <c r="BD96" i="12"/>
  <c r="BD103" i="12" s="1"/>
  <c r="BD151" i="12" s="1"/>
  <c r="BC79" i="13"/>
  <c r="BC78" i="13" s="1"/>
  <c r="BF138" i="12"/>
  <c r="BF150" i="12"/>
  <c r="BF87" i="12"/>
  <c r="BF139" i="12" s="1"/>
  <c r="BE39" i="13"/>
  <c r="BE34" i="13"/>
  <c r="BE33" i="13"/>
  <c r="BE32" i="13"/>
  <c r="BF45" i="12"/>
  <c r="BF49" i="12" s="1"/>
  <c r="BE30" i="13"/>
  <c r="BE29" i="13"/>
  <c r="BE28" i="13"/>
  <c r="BF44" i="12"/>
  <c r="BF18" i="12"/>
  <c r="BE123" i="12"/>
  <c r="BE119" i="12"/>
  <c r="BE137" i="12" s="1"/>
  <c r="BE113" i="12"/>
  <c r="BE118" i="12"/>
  <c r="BE155" i="12" s="1"/>
  <c r="BE164" i="12" s="1"/>
  <c r="BF135" i="12"/>
  <c r="BF110" i="12"/>
  <c r="BH92" i="12"/>
  <c r="BH93" i="12" s="1"/>
  <c r="BH65" i="12"/>
  <c r="BH64" i="12"/>
  <c r="BH63" i="12"/>
  <c r="BH60" i="12"/>
  <c r="BH59" i="12"/>
  <c r="BH58" i="12"/>
  <c r="BH8" i="12"/>
  <c r="BH7" i="12"/>
  <c r="BH6" i="12"/>
  <c r="BI5" i="12"/>
  <c r="BG108" i="12"/>
  <c r="BG83" i="12"/>
  <c r="BF9" i="12"/>
  <c r="BG4" i="12"/>
  <c r="BF2" i="13" s="1"/>
  <c r="BF2" i="14" s="1"/>
  <c r="BG16" i="12"/>
  <c r="BG17" i="12"/>
  <c r="BG23" i="12"/>
  <c r="BG101" i="12"/>
  <c r="BG102" i="12"/>
  <c r="BG29" i="12"/>
  <c r="BF36" i="13" s="1"/>
  <c r="BG75" i="12"/>
  <c r="BG85" i="12"/>
  <c r="BG84" i="12"/>
  <c r="BG80" i="12"/>
  <c r="BG86" i="12"/>
  <c r="BG20" i="12"/>
  <c r="BG31" i="12"/>
  <c r="BG98" i="12"/>
  <c r="BG76" i="12"/>
  <c r="BG77" i="12"/>
  <c r="BG129" i="12"/>
  <c r="BG24" i="12"/>
  <c r="BG30" i="12"/>
  <c r="BG28" i="12"/>
  <c r="BG27" i="12"/>
  <c r="BG33" i="12" s="1"/>
  <c r="BF37" i="13" s="1"/>
  <c r="BG127" i="12"/>
  <c r="BG82" i="12"/>
  <c r="BG78" i="12"/>
  <c r="BG79" i="12"/>
  <c r="BF4" i="13"/>
  <c r="BF10" i="12"/>
  <c r="BF5" i="13"/>
  <c r="BF11" i="12"/>
  <c r="BG145" i="12"/>
  <c r="BG158" i="12"/>
  <c r="BG159" i="12" s="1"/>
  <c r="BD149" i="12"/>
  <c r="BD161" i="12"/>
  <c r="BD162" i="12" s="1"/>
  <c r="BE134" i="12"/>
  <c r="BE21" i="12"/>
  <c r="BD74" i="13"/>
  <c r="BD77" i="13" s="1"/>
  <c r="BE48" i="12"/>
  <c r="BE46" i="12"/>
  <c r="BE148" i="12" s="1"/>
  <c r="BD38" i="13"/>
  <c r="BD40" i="13" s="1"/>
  <c r="BD42" i="13"/>
  <c r="BD41" i="13" s="1"/>
  <c r="AX165" i="12"/>
  <c r="AY156" i="12"/>
  <c r="AY165" i="12" l="1"/>
  <c r="AZ156" i="12"/>
  <c r="BE97" i="12"/>
  <c r="BE96" i="12"/>
  <c r="BE103" i="12" s="1"/>
  <c r="BE151" i="12" s="1"/>
  <c r="BD79" i="13"/>
  <c r="BD78" i="13" s="1"/>
  <c r="BG138" i="12"/>
  <c r="BG150" i="12"/>
  <c r="BG87" i="12"/>
  <c r="BG139" i="12" s="1"/>
  <c r="BF39" i="13"/>
  <c r="BF34" i="13"/>
  <c r="BF33" i="13"/>
  <c r="BF32" i="13"/>
  <c r="BG45" i="12"/>
  <c r="BG49" i="12" s="1"/>
  <c r="BF30" i="13"/>
  <c r="BF29" i="13"/>
  <c r="BF28" i="13"/>
  <c r="BG44" i="12"/>
  <c r="BG18" i="12"/>
  <c r="BF123" i="12"/>
  <c r="BF119" i="12"/>
  <c r="BF137" i="12" s="1"/>
  <c r="BF113" i="12"/>
  <c r="BF118" i="12"/>
  <c r="BF155" i="12" s="1"/>
  <c r="BF164" i="12" s="1"/>
  <c r="BG135" i="12"/>
  <c r="BG110" i="12"/>
  <c r="BI92" i="12"/>
  <c r="BI93" i="12" s="1"/>
  <c r="BI65" i="12"/>
  <c r="BI64" i="12"/>
  <c r="BI63" i="12"/>
  <c r="BI60" i="12"/>
  <c r="BI59" i="12"/>
  <c r="BI58" i="12"/>
  <c r="BI8" i="12"/>
  <c r="BI7" i="12"/>
  <c r="BI6" i="12"/>
  <c r="BJ5" i="12"/>
  <c r="BH108" i="12"/>
  <c r="BH83" i="12"/>
  <c r="BG9" i="12"/>
  <c r="BH4" i="12"/>
  <c r="BG2" i="13" s="1"/>
  <c r="BG2" i="14" s="1"/>
  <c r="BH16" i="12"/>
  <c r="BH17" i="12"/>
  <c r="BH23" i="12"/>
  <c r="BH101" i="12"/>
  <c r="BH102" i="12"/>
  <c r="BH29" i="12"/>
  <c r="BG36" i="13" s="1"/>
  <c r="BH75" i="12"/>
  <c r="BH85" i="12"/>
  <c r="BH84" i="12"/>
  <c r="BH80" i="12"/>
  <c r="BH86" i="12"/>
  <c r="BH20" i="12"/>
  <c r="BH31" i="12"/>
  <c r="BH98" i="12"/>
  <c r="BH76" i="12"/>
  <c r="BH77" i="12"/>
  <c r="BH129" i="12"/>
  <c r="BH24" i="12"/>
  <c r="BH30" i="12"/>
  <c r="BH28" i="12"/>
  <c r="BH27" i="12"/>
  <c r="BH33" i="12" s="1"/>
  <c r="BG37" i="13" s="1"/>
  <c r="BH127" i="12"/>
  <c r="BH82" i="12"/>
  <c r="BH78" i="12"/>
  <c r="BH79" i="12"/>
  <c r="BG4" i="13"/>
  <c r="BG10" i="12"/>
  <c r="BG5" i="13"/>
  <c r="BG11" i="12"/>
  <c r="BH145" i="12"/>
  <c r="BH158" i="12"/>
  <c r="BH159" i="12" s="1"/>
  <c r="BE149" i="12"/>
  <c r="BE161" i="12"/>
  <c r="BE162" i="12" s="1"/>
  <c r="BF134" i="12"/>
  <c r="BF21" i="12"/>
  <c r="BE74" i="13"/>
  <c r="BE77" i="13" s="1"/>
  <c r="BF48" i="12"/>
  <c r="BF46" i="12"/>
  <c r="BF148" i="12" s="1"/>
  <c r="BE38" i="13"/>
  <c r="BE40" i="13" s="1"/>
  <c r="BE42" i="13"/>
  <c r="BE41" i="13" s="1"/>
  <c r="BH25" i="13"/>
  <c r="BH56" i="13" s="1"/>
  <c r="BH24" i="13"/>
  <c r="BH23" i="13"/>
  <c r="BI21" i="13"/>
  <c r="BH3" i="13"/>
  <c r="BG58" i="13"/>
  <c r="BG60" i="13" s="1"/>
  <c r="BG61" i="13" s="1"/>
  <c r="BG53" i="13"/>
  <c r="BI25" i="13" l="1"/>
  <c r="BI56" i="13" s="1"/>
  <c r="BI24" i="13"/>
  <c r="BI23" i="13"/>
  <c r="BJ21" i="13"/>
  <c r="BI3" i="13"/>
  <c r="BH58" i="13"/>
  <c r="BH60" i="13" s="1"/>
  <c r="BH61" i="13" s="1"/>
  <c r="BH53" i="13"/>
  <c r="BF97" i="12"/>
  <c r="BF96" i="12"/>
  <c r="BF103" i="12" s="1"/>
  <c r="BF151" i="12" s="1"/>
  <c r="BE79" i="13"/>
  <c r="BE78" i="13" s="1"/>
  <c r="BH138" i="12"/>
  <c r="BH150" i="12"/>
  <c r="BH87" i="12"/>
  <c r="BH139" i="12" s="1"/>
  <c r="BG39" i="13"/>
  <c r="BG34" i="13"/>
  <c r="BG33" i="13"/>
  <c r="BG32" i="13"/>
  <c r="BH45" i="12"/>
  <c r="BH49" i="12" s="1"/>
  <c r="BG30" i="13"/>
  <c r="BG29" i="13"/>
  <c r="BG28" i="13"/>
  <c r="BH44" i="12"/>
  <c r="BH18" i="12"/>
  <c r="BG123" i="12"/>
  <c r="BG119" i="12"/>
  <c r="BG137" i="12" s="1"/>
  <c r="BG113" i="12"/>
  <c r="BG118" i="12"/>
  <c r="BG155" i="12" s="1"/>
  <c r="BG164" i="12" s="1"/>
  <c r="BH135" i="12"/>
  <c r="BH110" i="12"/>
  <c r="BJ92" i="12"/>
  <c r="BJ93" i="12" s="1"/>
  <c r="BJ65" i="12"/>
  <c r="BJ64" i="12"/>
  <c r="BJ63" i="12"/>
  <c r="BJ60" i="12"/>
  <c r="BJ59" i="12"/>
  <c r="BJ58" i="12"/>
  <c r="BJ8" i="12"/>
  <c r="BJ7" i="12"/>
  <c r="BJ6" i="12"/>
  <c r="BK5" i="12"/>
  <c r="BI108" i="12"/>
  <c r="BI83" i="12"/>
  <c r="BH9" i="12"/>
  <c r="BI4" i="12"/>
  <c r="BH2" i="13" s="1"/>
  <c r="BH2" i="14" s="1"/>
  <c r="BI16" i="12"/>
  <c r="BI17" i="12"/>
  <c r="BI23" i="12"/>
  <c r="BI101" i="12"/>
  <c r="BI102" i="12"/>
  <c r="BI29" i="12"/>
  <c r="BH36" i="13" s="1"/>
  <c r="BI75" i="12"/>
  <c r="BI85" i="12"/>
  <c r="BI84" i="12"/>
  <c r="BI80" i="12"/>
  <c r="BI86" i="12"/>
  <c r="BI20" i="12"/>
  <c r="BI31" i="12"/>
  <c r="BI98" i="12"/>
  <c r="BI76" i="12"/>
  <c r="BI77" i="12"/>
  <c r="BI129" i="12"/>
  <c r="BI24" i="12"/>
  <c r="BI30" i="12"/>
  <c r="BI28" i="12"/>
  <c r="BI27" i="12"/>
  <c r="BI33" i="12" s="1"/>
  <c r="BH37" i="13" s="1"/>
  <c r="BI127" i="12"/>
  <c r="BI82" i="12"/>
  <c r="BI78" i="12"/>
  <c r="BI79" i="12"/>
  <c r="BH4" i="13"/>
  <c r="BH10" i="12"/>
  <c r="BH5" i="13"/>
  <c r="BH11" i="12"/>
  <c r="BI145" i="12"/>
  <c r="BI158" i="12"/>
  <c r="BI159" i="12" s="1"/>
  <c r="BF149" i="12"/>
  <c r="BF161" i="12"/>
  <c r="BF162" i="12" s="1"/>
  <c r="BG134" i="12"/>
  <c r="BG21" i="12"/>
  <c r="BF74" i="13"/>
  <c r="BF77" i="13" s="1"/>
  <c r="BG48" i="12"/>
  <c r="BG46" i="12"/>
  <c r="BG148" i="12" s="1"/>
  <c r="BF38" i="13"/>
  <c r="BF40" i="13" s="1"/>
  <c r="BF42" i="13"/>
  <c r="BF41" i="13" s="1"/>
  <c r="AZ165" i="12"/>
  <c r="BA156" i="12"/>
  <c r="BA165" i="12" l="1"/>
  <c r="BB156" i="12"/>
  <c r="BG97" i="12"/>
  <c r="BG96" i="12"/>
  <c r="BG103" i="12" s="1"/>
  <c r="BG151" i="12" s="1"/>
  <c r="BF79" i="13"/>
  <c r="BF78" i="13" s="1"/>
  <c r="BI138" i="12"/>
  <c r="BI150" i="12"/>
  <c r="BI87" i="12"/>
  <c r="BI139" i="12" s="1"/>
  <c r="BH39" i="13"/>
  <c r="BH34" i="13"/>
  <c r="BH33" i="13"/>
  <c r="BH32" i="13"/>
  <c r="BI45" i="12"/>
  <c r="BI49" i="12" s="1"/>
  <c r="BH30" i="13"/>
  <c r="BH29" i="13"/>
  <c r="BH28" i="13"/>
  <c r="BI44" i="12"/>
  <c r="BI18" i="12"/>
  <c r="BH123" i="12"/>
  <c r="BH119" i="12"/>
  <c r="BH137" i="12" s="1"/>
  <c r="BH113" i="12"/>
  <c r="BH118" i="12"/>
  <c r="BH155" i="12" s="1"/>
  <c r="BH164" i="12" s="1"/>
  <c r="BI135" i="12"/>
  <c r="BI110" i="12"/>
  <c r="BK92" i="12"/>
  <c r="BK93" i="12" s="1"/>
  <c r="BK65" i="12"/>
  <c r="BK64" i="12"/>
  <c r="BK63" i="12"/>
  <c r="BK60" i="12"/>
  <c r="BK59" i="12"/>
  <c r="BK58" i="12"/>
  <c r="BK8" i="12"/>
  <c r="BK7" i="12"/>
  <c r="BK6" i="12"/>
  <c r="BL5" i="12"/>
  <c r="BJ108" i="12"/>
  <c r="BJ83" i="12"/>
  <c r="BI9" i="12"/>
  <c r="BJ4" i="12"/>
  <c r="BI2" i="13" s="1"/>
  <c r="BI2" i="14" s="1"/>
  <c r="BJ16" i="12"/>
  <c r="BJ17" i="12"/>
  <c r="BJ23" i="12"/>
  <c r="BJ101" i="12"/>
  <c r="BJ102" i="12"/>
  <c r="BJ29" i="12"/>
  <c r="BI36" i="13" s="1"/>
  <c r="BJ75" i="12"/>
  <c r="BJ85" i="12"/>
  <c r="BJ84" i="12"/>
  <c r="BJ80" i="12"/>
  <c r="BJ86" i="12"/>
  <c r="BJ20" i="12"/>
  <c r="BJ31" i="12"/>
  <c r="BJ98" i="12"/>
  <c r="BJ76" i="12"/>
  <c r="BJ77" i="12"/>
  <c r="BJ129" i="12"/>
  <c r="BJ24" i="12"/>
  <c r="BJ30" i="12"/>
  <c r="BJ28" i="12"/>
  <c r="BJ27" i="12"/>
  <c r="BJ33" i="12" s="1"/>
  <c r="BI37" i="13" s="1"/>
  <c r="BJ127" i="12"/>
  <c r="BJ82" i="12"/>
  <c r="BJ78" i="12"/>
  <c r="BJ79" i="12"/>
  <c r="BI4" i="13"/>
  <c r="BI10" i="12"/>
  <c r="BI5" i="13"/>
  <c r="BI11" i="12"/>
  <c r="BJ145" i="12"/>
  <c r="BJ158" i="12"/>
  <c r="BJ159" i="12" s="1"/>
  <c r="BG149" i="12"/>
  <c r="BG161" i="12"/>
  <c r="BG162" i="12" s="1"/>
  <c r="BH134" i="12"/>
  <c r="BH21" i="12"/>
  <c r="BG74" i="13"/>
  <c r="BG77" i="13" s="1"/>
  <c r="BH48" i="12"/>
  <c r="BH46" i="12"/>
  <c r="BH148" i="12" s="1"/>
  <c r="BG38" i="13"/>
  <c r="BG40" i="13" s="1"/>
  <c r="BG42" i="13"/>
  <c r="BG41" i="13" s="1"/>
  <c r="BJ25" i="13"/>
  <c r="BJ56" i="13" s="1"/>
  <c r="BJ24" i="13"/>
  <c r="BJ23" i="13"/>
  <c r="BK21" i="13"/>
  <c r="BJ3" i="13"/>
  <c r="BI58" i="13"/>
  <c r="BI60" i="13" s="1"/>
  <c r="BI61" i="13" s="1"/>
  <c r="BI53" i="13"/>
  <c r="BK25" i="13" l="1"/>
  <c r="BK56" i="13" s="1"/>
  <c r="BK24" i="13"/>
  <c r="BK23" i="13"/>
  <c r="BK3" i="13"/>
  <c r="BJ58" i="13"/>
  <c r="BJ60" i="13" s="1"/>
  <c r="BJ61" i="13" s="1"/>
  <c r="BJ53" i="13"/>
  <c r="BH97" i="12"/>
  <c r="BH96" i="12"/>
  <c r="BH103" i="12" s="1"/>
  <c r="BH151" i="12" s="1"/>
  <c r="BG79" i="13"/>
  <c r="BG78" i="13" s="1"/>
  <c r="BJ138" i="12"/>
  <c r="BJ150" i="12"/>
  <c r="BJ87" i="12"/>
  <c r="BJ139" i="12" s="1"/>
  <c r="BI39" i="13"/>
  <c r="BI34" i="13"/>
  <c r="BI33" i="13"/>
  <c r="BI32" i="13"/>
  <c r="BJ45" i="12"/>
  <c r="BJ49" i="12" s="1"/>
  <c r="BI30" i="13"/>
  <c r="BI29" i="13"/>
  <c r="BI28" i="13"/>
  <c r="BJ44" i="12"/>
  <c r="BJ18" i="12"/>
  <c r="BI123" i="12"/>
  <c r="BI119" i="12"/>
  <c r="BI137" i="12" s="1"/>
  <c r="BI113" i="12"/>
  <c r="BI118" i="12"/>
  <c r="BI155" i="12" s="1"/>
  <c r="BI164" i="12" s="1"/>
  <c r="BJ135" i="12"/>
  <c r="BJ110" i="12"/>
  <c r="BL92" i="12"/>
  <c r="BL93" i="12" s="1"/>
  <c r="BL65" i="12"/>
  <c r="BL64" i="12"/>
  <c r="BL63" i="12"/>
  <c r="BL60" i="12"/>
  <c r="BL59" i="12"/>
  <c r="BL58" i="12"/>
  <c r="BL8" i="12"/>
  <c r="BL7" i="12"/>
  <c r="BL6" i="12"/>
  <c r="BK108" i="12"/>
  <c r="BK83" i="12"/>
  <c r="BJ9" i="12"/>
  <c r="BK4" i="12"/>
  <c r="BJ2" i="13" s="1"/>
  <c r="BJ2" i="14" s="1"/>
  <c r="BK16" i="12"/>
  <c r="BK17" i="12"/>
  <c r="BK23" i="12"/>
  <c r="BK101" i="12"/>
  <c r="BK102" i="12"/>
  <c r="BK29" i="12"/>
  <c r="BJ36" i="13" s="1"/>
  <c r="BK75" i="12"/>
  <c r="BK85" i="12"/>
  <c r="BK84" i="12"/>
  <c r="BK80" i="12"/>
  <c r="BK86" i="12"/>
  <c r="BK20" i="12"/>
  <c r="BK31" i="12"/>
  <c r="BK98" i="12"/>
  <c r="BK76" i="12"/>
  <c r="BK77" i="12"/>
  <c r="BK129" i="12"/>
  <c r="BK24" i="12"/>
  <c r="BK30" i="12"/>
  <c r="BK28" i="12"/>
  <c r="BK27" i="12"/>
  <c r="BK33" i="12" s="1"/>
  <c r="BJ37" i="13" s="1"/>
  <c r="BK127" i="12"/>
  <c r="BK82" i="12"/>
  <c r="BK78" i="12"/>
  <c r="BK79" i="12"/>
  <c r="BJ4" i="13"/>
  <c r="BJ10" i="12"/>
  <c r="BJ5" i="13"/>
  <c r="BJ11" i="12"/>
  <c r="BK145" i="12"/>
  <c r="BK158" i="12"/>
  <c r="BK159" i="12" s="1"/>
  <c r="BH149" i="12"/>
  <c r="BH161" i="12"/>
  <c r="BH162" i="12" s="1"/>
  <c r="BI134" i="12"/>
  <c r="BI21" i="12"/>
  <c r="BH74" i="13"/>
  <c r="BH77" i="13" s="1"/>
  <c r="BI48" i="12"/>
  <c r="BI46" i="12"/>
  <c r="BI148" i="12" s="1"/>
  <c r="BH38" i="13"/>
  <c r="BH40" i="13" s="1"/>
  <c r="BH42" i="13"/>
  <c r="BH41" i="13" s="1"/>
  <c r="BB165" i="12"/>
  <c r="BC156" i="12"/>
  <c r="BC165" i="12" l="1"/>
  <c r="BD156" i="12"/>
  <c r="BI97" i="12"/>
  <c r="BI96" i="12"/>
  <c r="BI103" i="12" s="1"/>
  <c r="BI151" i="12" s="1"/>
  <c r="BH79" i="13"/>
  <c r="BH78" i="13" s="1"/>
  <c r="BK138" i="12"/>
  <c r="BK150" i="12"/>
  <c r="BK87" i="12"/>
  <c r="BK139" i="12" s="1"/>
  <c r="BJ39" i="13"/>
  <c r="BJ34" i="13"/>
  <c r="BJ33" i="13"/>
  <c r="BJ32" i="13"/>
  <c r="BK45" i="12"/>
  <c r="BK49" i="12" s="1"/>
  <c r="BJ30" i="13"/>
  <c r="BJ29" i="13"/>
  <c r="BJ28" i="13"/>
  <c r="BK44" i="12"/>
  <c r="BK18" i="12"/>
  <c r="BJ123" i="12"/>
  <c r="BJ119" i="12"/>
  <c r="BJ137" i="12" s="1"/>
  <c r="BJ113" i="12"/>
  <c r="BJ118" i="12"/>
  <c r="BJ155" i="12" s="1"/>
  <c r="BJ164" i="12" s="1"/>
  <c r="BK135" i="12"/>
  <c r="BK110" i="12"/>
  <c r="BL108" i="12"/>
  <c r="BL83" i="12"/>
  <c r="BL9" i="12"/>
  <c r="BK9" i="12"/>
  <c r="BL4" i="12"/>
  <c r="BK2" i="13" s="1"/>
  <c r="BK2" i="14" s="1"/>
  <c r="BL16" i="12"/>
  <c r="BL17" i="12"/>
  <c r="BL23" i="12"/>
  <c r="BL101" i="12"/>
  <c r="BL102" i="12"/>
  <c r="BL29" i="12"/>
  <c r="BK36" i="13" s="1"/>
  <c r="BL75" i="12"/>
  <c r="BL85" i="12"/>
  <c r="BL84" i="12"/>
  <c r="BL80" i="12"/>
  <c r="BL86" i="12"/>
  <c r="BL20" i="12"/>
  <c r="BL31" i="12"/>
  <c r="BL98" i="12"/>
  <c r="BL76" i="12"/>
  <c r="BL77" i="12"/>
  <c r="BL129" i="12"/>
  <c r="BL24" i="12"/>
  <c r="BL30" i="12"/>
  <c r="BL28" i="12"/>
  <c r="BL27" i="12"/>
  <c r="BL33" i="12" s="1"/>
  <c r="BK37" i="13" s="1"/>
  <c r="BL127" i="12"/>
  <c r="BL82" i="12"/>
  <c r="BL78" i="12"/>
  <c r="BL79" i="12"/>
  <c r="BK4" i="13"/>
  <c r="BL10" i="12"/>
  <c r="BK10" i="12"/>
  <c r="BK5" i="13"/>
  <c r="BL11" i="12"/>
  <c r="BK11" i="12"/>
  <c r="BL145" i="12"/>
  <c r="BL158" i="12"/>
  <c r="BL159" i="12" s="1"/>
  <c r="BI149" i="12"/>
  <c r="BI161" i="12"/>
  <c r="BI162" i="12" s="1"/>
  <c r="BJ134" i="12"/>
  <c r="BJ21" i="12"/>
  <c r="BI74" i="13"/>
  <c r="BI77" i="13" s="1"/>
  <c r="BJ48" i="12"/>
  <c r="BJ46" i="12"/>
  <c r="BJ148" i="12" s="1"/>
  <c r="BI38" i="13"/>
  <c r="BI40" i="13" s="1"/>
  <c r="BI42" i="13"/>
  <c r="BI41" i="13" s="1"/>
  <c r="BK58" i="13"/>
  <c r="BK60" i="13" s="1"/>
  <c r="BK61" i="13" s="1"/>
  <c r="BK53" i="13"/>
  <c r="BJ97" i="12" l="1"/>
  <c r="BJ96" i="12"/>
  <c r="BJ103" i="12" s="1"/>
  <c r="BJ151" i="12" s="1"/>
  <c r="BI79" i="13"/>
  <c r="BI78" i="13" s="1"/>
  <c r="BL138" i="12"/>
  <c r="BL150" i="12"/>
  <c r="BL87" i="12"/>
  <c r="BL139" i="12" s="1"/>
  <c r="BK39" i="13"/>
  <c r="BK34" i="13"/>
  <c r="BK33" i="13"/>
  <c r="BK32" i="13"/>
  <c r="BL45" i="12"/>
  <c r="BL49" i="12" s="1"/>
  <c r="BK30" i="13"/>
  <c r="BK29" i="13"/>
  <c r="BK28" i="13"/>
  <c r="BL44" i="12"/>
  <c r="BL18" i="12"/>
  <c r="BK123" i="12"/>
  <c r="BK119" i="12"/>
  <c r="BK137" i="12" s="1"/>
  <c r="BK113" i="12"/>
  <c r="BK118" i="12"/>
  <c r="BK155" i="12" s="1"/>
  <c r="BK164" i="12" s="1"/>
  <c r="BL123" i="12"/>
  <c r="BL119" i="12"/>
  <c r="BL137" i="12" s="1"/>
  <c r="BL113" i="12"/>
  <c r="BL118" i="12"/>
  <c r="BL155" i="12" s="1"/>
  <c r="BL164" i="12" s="1"/>
  <c r="BL135" i="12"/>
  <c r="BL110" i="12"/>
  <c r="BJ149" i="12"/>
  <c r="BJ161" i="12"/>
  <c r="BJ162" i="12" s="1"/>
  <c r="BK134" i="12"/>
  <c r="BK21" i="12"/>
  <c r="BJ74" i="13"/>
  <c r="BJ77" i="13" s="1"/>
  <c r="BK48" i="12"/>
  <c r="BK46" i="12"/>
  <c r="BK148" i="12" s="1"/>
  <c r="BJ38" i="13"/>
  <c r="BJ40" i="13" s="1"/>
  <c r="BJ42" i="13"/>
  <c r="BJ41" i="13" s="1"/>
  <c r="BD165" i="12"/>
  <c r="BE156" i="12"/>
  <c r="BE165" i="12" l="1"/>
  <c r="BF156" i="12"/>
  <c r="BK97" i="12"/>
  <c r="BK96" i="12"/>
  <c r="BK103" i="12" s="1"/>
  <c r="BK151" i="12" s="1"/>
  <c r="BJ79" i="13"/>
  <c r="BJ78" i="13" s="1"/>
  <c r="BL149" i="12"/>
  <c r="BK149" i="12"/>
  <c r="BK161" i="12"/>
  <c r="BK162" i="12" s="1"/>
  <c r="BL134" i="12"/>
  <c r="BL21" i="12"/>
  <c r="BK74" i="13"/>
  <c r="BK77" i="13" s="1"/>
  <c r="BL48" i="12"/>
  <c r="BL46" i="12"/>
  <c r="BL148" i="12" s="1"/>
  <c r="BK38" i="13"/>
  <c r="BK40" i="13" s="1"/>
  <c r="BK42" i="13"/>
  <c r="BK41" i="13" s="1"/>
  <c r="BL97" i="12" l="1"/>
  <c r="BL96" i="12"/>
  <c r="BL103" i="12" s="1"/>
  <c r="BK79" i="13"/>
  <c r="BK78" i="13" s="1"/>
  <c r="BF165" i="12"/>
  <c r="BG156" i="12"/>
  <c r="BG165" i="12" l="1"/>
  <c r="BH156" i="12"/>
  <c r="BL151" i="12"/>
  <c r="BL161" i="12"/>
  <c r="BL162" i="12" s="1"/>
  <c r="BH165" i="12" l="1"/>
  <c r="BI156" i="12"/>
  <c r="BI165" i="12" l="1"/>
  <c r="BJ156" i="12"/>
  <c r="BJ165" i="12" l="1"/>
  <c r="BK156" i="12"/>
  <c r="BK165" i="12" l="1"/>
  <c r="BL156" i="12"/>
  <c r="BL165" i="12" s="1"/>
  <c r="D221" i="12" a="1"/>
  <c r="E221" i="12"/>
  <c r="F221" i="12"/>
  <c r="G221" i="12"/>
  <c r="H221" i="12"/>
  <c r="I221" i="12"/>
  <c r="J221" i="12"/>
  <c r="K221" i="12"/>
  <c r="L221" i="12"/>
  <c r="M221" i="12"/>
  <c r="N221" i="12"/>
  <c r="O221" i="12"/>
  <c r="P221" i="12"/>
  <c r="Q221" i="12"/>
  <c r="R221" i="12"/>
  <c r="S221" i="12"/>
  <c r="T221" i="12"/>
  <c r="U221" i="12"/>
  <c r="V221" i="12"/>
  <c r="W221" i="12"/>
  <c r="X221" i="12"/>
  <c r="Y221" i="12"/>
  <c r="Z221" i="12"/>
  <c r="AA221" i="12"/>
  <c r="AB221" i="12"/>
  <c r="AC221" i="12"/>
  <c r="AD221" i="12"/>
  <c r="AE221" i="12"/>
  <c r="AF221" i="12"/>
  <c r="AG221" i="12"/>
  <c r="AH221" i="12"/>
  <c r="AI221" i="12"/>
  <c r="AJ221" i="12"/>
  <c r="AK221" i="12"/>
  <c r="AL221" i="12"/>
  <c r="AM221" i="12"/>
  <c r="AN221" i="12"/>
  <c r="AO221" i="12"/>
  <c r="AP221" i="12"/>
  <c r="AQ221" i="12"/>
  <c r="AR221" i="12"/>
  <c r="D221" i="12"/>
  <c r="C175" i="12"/>
  <c r="C173" i="12"/>
  <c r="C171" i="12"/>
  <c r="C169" i="12"/>
  <c r="I9" i="3"/>
  <c r="G9" i="3"/>
  <c r="F9" i="3"/>
</calcChain>
</file>

<file path=xl/sharedStrings.xml><?xml version="1.0" encoding="utf-8"?>
<sst xmlns="http://schemas.openxmlformats.org/spreadsheetml/2006/main" count="895" uniqueCount="596">
  <si>
    <t>Template number:</t>
  </si>
  <si>
    <t>T0127a</t>
  </si>
  <si>
    <t>Version number:</t>
  </si>
  <si>
    <t>V01</t>
  </si>
  <si>
    <t>Issue date:</t>
  </si>
  <si>
    <t>Document version</t>
  </si>
  <si>
    <t>Issue date</t>
  </si>
  <si>
    <t>Created by</t>
  </si>
  <si>
    <t>Comments</t>
  </si>
  <si>
    <t>AG</t>
  </si>
  <si>
    <t>Project name:</t>
  </si>
  <si>
    <t>Project number:</t>
  </si>
  <si>
    <t>Prepared for:</t>
  </si>
  <si>
    <t>Prepared by:</t>
  </si>
  <si>
    <t>Checked by:</t>
  </si>
  <si>
    <t>Network option:</t>
  </si>
  <si>
    <t>Version:</t>
  </si>
  <si>
    <t>T0127</t>
  </si>
  <si>
    <t>Model number:</t>
  </si>
  <si>
    <t>V02</t>
  </si>
  <si>
    <t>Date of issue:</t>
  </si>
  <si>
    <t>GUIDE</t>
  </si>
  <si>
    <t>This model has been constructed by Sustainable Energy to assess the economic viability of the network with the option to vary key parameters and project timing.</t>
  </si>
  <si>
    <t>If significant changes in key parameters are required, please contact Sustainable Energy to re-run the technical assessment to update technology inputs.</t>
  </si>
  <si>
    <t>Project inputs and results are presented in the 'Dashboard' tab for project lifetimes of 20, 30, 40 years.</t>
  </si>
  <si>
    <t>Disclaimer</t>
  </si>
  <si>
    <t>This ATEM assesses the viability of heat decarbonisation with low carbon technologies. It is not a detailed financial model and third parties should conduct their own due diligence to verify investment options and decisions. Sustainable Energy accepts no liability of any kind.</t>
  </si>
  <si>
    <t>GENERAL OPERATION</t>
  </si>
  <si>
    <t>General</t>
  </si>
  <si>
    <t xml:space="preserve">Inputs that can be varied within the model are denoted by grey cells (for direct inputs), green cells (for inputs from other tools) or yellow cells (for drop downs). </t>
  </si>
  <si>
    <t>All key variables can be varied on the 'Dashboard' tab. Results are automatically calculated and shown in the 'Dashboard' tab.</t>
  </si>
  <si>
    <t>Network phase can be selected in the 'Dashboard' tab cell C9. And first year of each phase can be selected in the 'Dashboard' cells C26:C28.</t>
  </si>
  <si>
    <t>Separated into 10 sections, as follows:</t>
  </si>
  <si>
    <t>Key variables</t>
  </si>
  <si>
    <t>1. Dashboard</t>
  </si>
  <si>
    <t>2. Heat connections</t>
  </si>
  <si>
    <t>3. Technical inputs</t>
  </si>
  <si>
    <t>4. Operating model</t>
  </si>
  <si>
    <t>5. OPEX</t>
  </si>
  <si>
    <t>6. CAPEX</t>
  </si>
  <si>
    <t>7. Revenue</t>
  </si>
  <si>
    <t>8. Financial analysis</t>
  </si>
  <si>
    <t>9. CO2</t>
  </si>
  <si>
    <t>10. Price projections</t>
  </si>
  <si>
    <t>GLOSSARY</t>
  </si>
  <si>
    <t>Discount rate</t>
  </si>
  <si>
    <t>The rate of return used in discounted cash flow analysis to determine the present value of future cash flows.</t>
  </si>
  <si>
    <t>IRR (internal rate of return)</t>
  </si>
  <si>
    <t>The interest rate at which the net present value of all cash flows from the project equal zero.</t>
  </si>
  <si>
    <t>NPC</t>
  </si>
  <si>
    <t>The present value of cash outflows over the project lifetime.</t>
  </si>
  <si>
    <t>NPV (net present value)</t>
  </si>
  <si>
    <t>The difference between the present value of cash inflows and the present value of cash outflows over the project lifetime.</t>
  </si>
  <si>
    <t>Simple payback</t>
  </si>
  <si>
    <t>The length of time required to recover the cost of the initial investment. Simple payback does not take into account additional CAPEX (i.e. for later phases).</t>
  </si>
  <si>
    <t>Techno-economic model</t>
  </si>
  <si>
    <t xml:space="preserve">This is a discounted cash flow model which shows the costs and income for a 25 year, 30 year and 40 year life cycle. This is not a detail financial model. </t>
  </si>
  <si>
    <t>ABBREVIATIONS</t>
  </si>
  <si>
    <t>BAU</t>
  </si>
  <si>
    <t xml:space="preserve">Business as usual </t>
  </si>
  <si>
    <t>BEIS</t>
  </si>
  <si>
    <t>Department for Business, Energy and Industrial Strategy</t>
  </si>
  <si>
    <t>CAPEX</t>
  </si>
  <si>
    <t>Capital costs</t>
  </si>
  <si>
    <t>CCL</t>
  </si>
  <si>
    <t>Climate change levy</t>
  </si>
  <si>
    <t>CO2e</t>
  </si>
  <si>
    <t xml:space="preserve">Carbon dioxide equivalent </t>
  </si>
  <si>
    <t>COP</t>
  </si>
  <si>
    <t>Coefficient of Performance</t>
  </si>
  <si>
    <t>HP</t>
  </si>
  <si>
    <t xml:space="preserve">Heat pump </t>
  </si>
  <si>
    <t>OPEX</t>
  </si>
  <si>
    <t>Operational expenditure</t>
  </si>
  <si>
    <t>TEM</t>
  </si>
  <si>
    <t>THE END OF SHEET</t>
  </si>
  <si>
    <t>Green cells = inputs from SE tools</t>
  </si>
  <si>
    <t>Blue cells = outputs</t>
  </si>
  <si>
    <t>Yellow cells = select from drop down list</t>
  </si>
  <si>
    <t>Grey cells = inputs</t>
  </si>
  <si>
    <t xml:space="preserve">Show results over </t>
  </si>
  <si>
    <t xml:space="preserve">40 years </t>
  </si>
  <si>
    <t>White cells = calculations</t>
  </si>
  <si>
    <t xml:space="preserve"> </t>
  </si>
  <si>
    <t>HEAT NETWORK</t>
  </si>
  <si>
    <t>ALTERNATIVE SOLUTION FOR REMAINING SITES</t>
  </si>
  <si>
    <t xml:space="preserve">COMBINED SOLUTION </t>
  </si>
  <si>
    <t xml:space="preserve">COUNTERFACTUAL </t>
  </si>
  <si>
    <t>KEY PROJECT VARIABLES</t>
  </si>
  <si>
    <t>Economics</t>
  </si>
  <si>
    <t>Network option (select from drop down)</t>
  </si>
  <si>
    <t>Phase 3</t>
  </si>
  <si>
    <t>Net Present Cost</t>
  </si>
  <si>
    <t>Gas tariff (excl. CCL), p/kWh</t>
  </si>
  <si>
    <t>Levelised cost of heat, p/kWh</t>
  </si>
  <si>
    <t>Gas standing charge, £/day</t>
  </si>
  <si>
    <t>Net Present Value</t>
  </si>
  <si>
    <t>CCL - natural gas, p/kWh</t>
  </si>
  <si>
    <t>IRR</t>
  </si>
  <si>
    <t>CCL - electricity, p/kWh</t>
  </si>
  <si>
    <t xml:space="preserve">Simple payback </t>
  </si>
  <si>
    <t>Energy centre electricity tariff, p/kWh</t>
  </si>
  <si>
    <t>Phase 1 energy centre electrical capacity, kVa</t>
  </si>
  <si>
    <t>REPEX</t>
  </si>
  <si>
    <t>Phase 2 energy centre electrical capacity, kVa</t>
  </si>
  <si>
    <t>Phase 3 energy centre electrical capacity, kVa</t>
  </si>
  <si>
    <t>Energy centre electricity fixed charge (£/day)</t>
  </si>
  <si>
    <t xml:space="preserve">Carbon </t>
  </si>
  <si>
    <t>Agreed Availability Capacity Charge (£/kVA/day)</t>
  </si>
  <si>
    <t xml:space="preserve">Carbon intensity of heat delivered in year 1, gCO2e/kWh </t>
  </si>
  <si>
    <t>Peak and reserve boilers</t>
  </si>
  <si>
    <t>Electric</t>
  </si>
  <si>
    <t xml:space="preserve">Carbon intensity of heat delivered in final year, gCO2e/kWh </t>
  </si>
  <si>
    <t>Include contingency on capital costs</t>
  </si>
  <si>
    <t>Yes</t>
  </si>
  <si>
    <t>tCO2e savings against gas boilers</t>
  </si>
  <si>
    <t>Include connection charges from network connections</t>
  </si>
  <si>
    <t>No</t>
  </si>
  <si>
    <t>£ capital employed per tCO2e saved *</t>
  </si>
  <si>
    <t>Connection charges from network connections, £/kW</t>
  </si>
  <si>
    <t>Total carbon emitted, tCO2e</t>
  </si>
  <si>
    <t>Discount rate, %</t>
  </si>
  <si>
    <t>Grant funding phase 1</t>
  </si>
  <si>
    <t>Grant funding phase 2</t>
  </si>
  <si>
    <t>Grant funding phase 3</t>
  </si>
  <si>
    <t xml:space="preserve">Phase 1 start year </t>
  </si>
  <si>
    <t xml:space="preserve">Phase 2 start year </t>
  </si>
  <si>
    <t>KEY PARAMETERS</t>
  </si>
  <si>
    <t xml:space="preserve">Phase 3 start year </t>
  </si>
  <si>
    <t>Phase 1 (additonal)</t>
  </si>
  <si>
    <t>Phase 2 (additonal)</t>
  </si>
  <si>
    <t>Phase 3 (additonal)</t>
  </si>
  <si>
    <t>Total</t>
  </si>
  <si>
    <t>BEIS price projections scenario</t>
  </si>
  <si>
    <t>Central scenario</t>
  </si>
  <si>
    <t>Phase flag</t>
  </si>
  <si>
    <t>Indexing for fossil fuel prices</t>
  </si>
  <si>
    <t>BEIS price projections</t>
  </si>
  <si>
    <t>Capital costs (additional)</t>
  </si>
  <si>
    <t xml:space="preserve">Fixed rate value </t>
  </si>
  <si>
    <t>Grant funding</t>
  </si>
  <si>
    <t>Include solar thermal</t>
  </si>
  <si>
    <t>Connection charges</t>
  </si>
  <si>
    <t xml:space="preserve">Alternative solution for remaining sites start year </t>
  </si>
  <si>
    <t>Remaining capital costs</t>
  </si>
  <si>
    <t>Include alternative solution in combined solution</t>
  </si>
  <si>
    <t>Total network heat demand, kWh</t>
  </si>
  <si>
    <t>Commercial electricity tariff, p/kWh</t>
  </si>
  <si>
    <t>Network losses, kWh</t>
  </si>
  <si>
    <t>Residential electricity tariff, p/kWh</t>
  </si>
  <si>
    <t>Total heat supplied to network, kWh</t>
  </si>
  <si>
    <t xml:space="preserve">Counterfactual solution </t>
  </si>
  <si>
    <t>ASHP</t>
  </si>
  <si>
    <t>Heat pump capacity, kW</t>
  </si>
  <si>
    <t>Residential gas tariff, p/kWh</t>
  </si>
  <si>
    <t>Heat supplied by heat pump, kWh</t>
  </si>
  <si>
    <t xml:space="preserve">Include heat sales in the assessment </t>
  </si>
  <si>
    <t>Heat supplied by peak and reserve gas boilers, kWh</t>
  </si>
  <si>
    <t>Heat supplied by peak and reserve electric boilers, kWh</t>
  </si>
  <si>
    <t>% heat demand met by heat pump</t>
  </si>
  <si>
    <t>Network spine trench length, m</t>
  </si>
  <si>
    <t>KEY CAPEX VARIABLES</t>
  </si>
  <si>
    <t>Contingency</t>
  </si>
  <si>
    <t>Energy Centre / civils and builders works</t>
  </si>
  <si>
    <t>Heat Pump technology</t>
  </si>
  <si>
    <t>Gas boilers backup</t>
  </si>
  <si>
    <t>Electric boilers backup</t>
  </si>
  <si>
    <t>Thermal stores</t>
  </si>
  <si>
    <t>Main district heat network pumps</t>
  </si>
  <si>
    <t>Balance of plant (pressurisation, water treatment)</t>
  </si>
  <si>
    <t>Controls</t>
  </si>
  <si>
    <t>Energy Centre Mechanical and Electrical works</t>
  </si>
  <si>
    <t>PM, Design &amp; professional fees</t>
  </si>
  <si>
    <t>Heat exchange (air heat exchanger)</t>
  </si>
  <si>
    <t>Heat exchange (boreholes)</t>
  </si>
  <si>
    <t xml:space="preserve">Solar thermal </t>
  </si>
  <si>
    <t>Foul water heat exchanger unit</t>
  </si>
  <si>
    <t>Substations for building connections - (undiversified peak)</t>
  </si>
  <si>
    <t>Secondary side plant room integration</t>
  </si>
  <si>
    <t xml:space="preserve">Network spine </t>
  </si>
  <si>
    <t>Network within parcels</t>
  </si>
  <si>
    <t>Heat connections</t>
  </si>
  <si>
    <t>Might be 1 as default?</t>
  </si>
  <si>
    <t>Is this something that can be pulled easily? Affects costs of retrofit etc.</t>
  </si>
  <si>
    <t>Assumptions made outside the model</t>
  </si>
  <si>
    <t>ID</t>
  </si>
  <si>
    <t>TOID</t>
  </si>
  <si>
    <t>Category (ABP)</t>
  </si>
  <si>
    <t>Annual demand</t>
  </si>
  <si>
    <t>Peak heat demand, kW</t>
  </si>
  <si>
    <t>No. of individual residential connections</t>
  </si>
  <si>
    <t>No. commercial connections</t>
  </si>
  <si>
    <t>Existing/planned development</t>
  </si>
  <si>
    <t>Phase</t>
  </si>
  <si>
    <t>Connected to heat network</t>
  </si>
  <si>
    <t>Connection year</t>
  </si>
  <si>
    <t>Cost of heat overwrite</t>
  </si>
  <si>
    <t>OSGB0000000000000000</t>
  </si>
  <si>
    <t>Domestic</t>
  </si>
  <si>
    <t>Pipe data</t>
  </si>
  <si>
    <t>Only really needed for pipes with only 1 building downstream, but would be a nice-to-have other pipes to know what is downstream. Might get quite messy to fit into one cell though?</t>
  </si>
  <si>
    <t>Length</t>
  </si>
  <si>
    <t>Surface</t>
  </si>
  <si>
    <t>Nominal Diameter</t>
  </si>
  <si>
    <t>Losses (kWh/y)</t>
  </si>
  <si>
    <t>Delivered Power, kW</t>
  </si>
  <si>
    <t>Delivered demand, kWh/y</t>
  </si>
  <si>
    <t>Number of buildings downstream</t>
  </si>
  <si>
    <t>Number of connected users downstream</t>
  </si>
  <si>
    <t>Connected buildings ID</t>
  </si>
  <si>
    <t>Assumed diversity from model</t>
  </si>
  <si>
    <t>Heat supplies</t>
  </si>
  <si>
    <t>If it is one of our heat supplies, can we pull this back through?</t>
  </si>
  <si>
    <t>Feel free to combine these or not, easy enough to do in out TEM</t>
  </si>
  <si>
    <t>Description</t>
  </si>
  <si>
    <t>kWh/yr output, incl losses</t>
  </si>
  <si>
    <t>capacity, kWp</t>
  </si>
  <si>
    <t>Capex, fixed</t>
  </si>
  <si>
    <t>Capex, per kWp</t>
  </si>
  <si>
    <t>Opex, fixed</t>
  </si>
  <si>
    <t>Opex, per kWp</t>
  </si>
  <si>
    <t>Opex, per kWh</t>
  </si>
  <si>
    <t>Diversity</t>
  </si>
  <si>
    <t>Energy Generation</t>
  </si>
  <si>
    <t xml:space="preserve">Heat network </t>
  </si>
  <si>
    <t>Phase 1 (cumulative)</t>
  </si>
  <si>
    <t>Phase 2 (cumulative)</t>
  </si>
  <si>
    <t>Phase 3 (cumulative)</t>
  </si>
  <si>
    <t>Commercial annual heat demand, kWh</t>
  </si>
  <si>
    <t>Residential annual heat demand, kWh</t>
  </si>
  <si>
    <t>Network heat losses, %</t>
  </si>
  <si>
    <t>Diversified Peak demand, kW</t>
  </si>
  <si>
    <t>ASHP capacity - % of peak demand</t>
  </si>
  <si>
    <t xml:space="preserve">Centralised ASHP COP </t>
  </si>
  <si>
    <t>Borehole utilisation, %</t>
  </si>
  <si>
    <t>Centralised GSHP COP</t>
  </si>
  <si>
    <t>Heat pump maintenance and services, £/MWh</t>
  </si>
  <si>
    <t>Peak and reserve gas boiler capacity, % of peak demand</t>
  </si>
  <si>
    <t>Peak and reserve gas boiler efficiency, %</t>
  </si>
  <si>
    <t xml:space="preserve">% demand delivered by gas peak and reserve boilers </t>
  </si>
  <si>
    <t>Peak and reserve gas boiler O&amp;M, £/MWh</t>
  </si>
  <si>
    <t xml:space="preserve">Peak and reserve electric boiler capacity, % of peak </t>
  </si>
  <si>
    <t xml:space="preserve">% demand delivered by electric peak and reserve boilers </t>
  </si>
  <si>
    <t>Peak and reserve electric boiler efficiency</t>
  </si>
  <si>
    <t>Peak and reserve electric boiler O&amp;M, £/MWh</t>
  </si>
  <si>
    <t>Peak and reserve electric boiler O&amp;M annual fixed cost</t>
  </si>
  <si>
    <t>Energy centre parasitic load, % of heat demand</t>
  </si>
  <si>
    <t>Heat network maintenance costs, £/m</t>
  </si>
  <si>
    <t>HIU maintenance costs, £/dwelling</t>
  </si>
  <si>
    <t>Commercial connection maintenance cost, £/connection</t>
  </si>
  <si>
    <t xml:space="preserve">Metering and billing costs, £/dwelling </t>
  </si>
  <si>
    <t xml:space="preserve">Metering and billing costs, £/commercial connection </t>
  </si>
  <si>
    <t>Alternative solution for remaining sites</t>
  </si>
  <si>
    <t>Commercial heat pump COP</t>
  </si>
  <si>
    <t>Residential heat pump COP</t>
  </si>
  <si>
    <t>Heat pump maintenance and service costs, % CAPEX</t>
  </si>
  <si>
    <t xml:space="preserve">Counterfactual </t>
  </si>
  <si>
    <t>Commercial ASHP COP</t>
  </si>
  <si>
    <t>Residential ASHP COP</t>
  </si>
  <si>
    <t xml:space="preserve">Electric heating efficiency, % </t>
  </si>
  <si>
    <t>Gas boiler efficiency, %</t>
  </si>
  <si>
    <t>Gas boiler maintenance cost, £/MWh</t>
  </si>
  <si>
    <t>Electric boiler maintenance costs, £/MWh</t>
  </si>
  <si>
    <t xml:space="preserve">Technology assumptions </t>
  </si>
  <si>
    <t xml:space="preserve">Heat network - Heat sources </t>
  </si>
  <si>
    <t>Closed loop boreholes</t>
  </si>
  <si>
    <t>Borehole parasitic load, % of demand</t>
  </si>
  <si>
    <t>Energy available from borehole, W/m</t>
  </si>
  <si>
    <t xml:space="preserve">Borehole depth, m </t>
  </si>
  <si>
    <r>
      <rPr>
        <sz val="10"/>
        <color rgb="FF000000"/>
        <rFont val="Calibri"/>
        <family val="2"/>
        <charset val="1"/>
      </rPr>
      <t>Land available for borefield, m</t>
    </r>
    <r>
      <rPr>
        <vertAlign val="superscript"/>
        <sz val="10"/>
        <color rgb="FF000000"/>
        <rFont val="Calibri"/>
        <family val="2"/>
        <charset val="1"/>
      </rPr>
      <t>2</t>
    </r>
  </si>
  <si>
    <t>Spacing between boreholes, m</t>
  </si>
  <si>
    <t xml:space="preserve">add yesno to include gshp so if all celss are empty operational model doesn’t break </t>
  </si>
  <si>
    <t xml:space="preserve">Number of boreholes possible </t>
  </si>
  <si>
    <t>Energy available from boreholes</t>
  </si>
  <si>
    <t>Annual energy available from closed loop boreholes, kWh</t>
  </si>
  <si>
    <t>Solar thermal</t>
  </si>
  <si>
    <r>
      <rPr>
        <sz val="10"/>
        <color rgb="FF000000"/>
        <rFont val="Calibri"/>
        <family val="2"/>
        <charset val="1"/>
      </rPr>
      <t>Solar thermal yield, kWh/annum/m</t>
    </r>
    <r>
      <rPr>
        <vertAlign val="superscript"/>
        <sz val="10"/>
        <color rgb="FF000000"/>
        <rFont val="Calibri"/>
        <family val="2"/>
        <charset val="1"/>
      </rPr>
      <t>2</t>
    </r>
    <r>
      <rPr>
        <sz val="10"/>
        <color rgb="FF000000"/>
        <rFont val="Calibri"/>
        <family val="2"/>
        <charset val="1"/>
      </rPr>
      <t xml:space="preserve"> of land</t>
    </r>
  </si>
  <si>
    <t>the solar field supplies an average of 450 kwh of usable heat per square metre</t>
  </si>
  <si>
    <r>
      <rPr>
        <sz val="10"/>
        <color rgb="FF000000"/>
        <rFont val="Calibri"/>
        <family val="2"/>
        <charset val="1"/>
      </rPr>
      <t>Land available for solar PV, m</t>
    </r>
    <r>
      <rPr>
        <vertAlign val="superscript"/>
        <sz val="10"/>
        <color rgb="FF000000"/>
        <rFont val="Calibri"/>
        <family val="2"/>
        <charset val="1"/>
      </rPr>
      <t>2</t>
    </r>
  </si>
  <si>
    <t xml:space="preserve">An area of 2.5 m2 is needed for 1 m2 of collector to avoid shading the following row </t>
  </si>
  <si>
    <r>
      <rPr>
        <sz val="10"/>
        <color rgb="FF000000"/>
        <rFont val="Calibri"/>
        <family val="2"/>
        <charset val="1"/>
      </rPr>
      <t>Collectors area, m</t>
    </r>
    <r>
      <rPr>
        <vertAlign val="superscript"/>
        <sz val="10"/>
        <color rgb="FF000000"/>
        <rFont val="Calibri"/>
        <family val="2"/>
        <charset val="1"/>
      </rPr>
      <t>2</t>
    </r>
  </si>
  <si>
    <t xml:space="preserve">Open loop boreholes calculations </t>
  </si>
  <si>
    <t xml:space="preserve">Phase 1 </t>
  </si>
  <si>
    <t xml:space="preserve">Phase 2 (additional) </t>
  </si>
  <si>
    <t xml:space="preserve">Phase 3 (additional) </t>
  </si>
  <si>
    <t>Number of abstraction boreholes required</t>
  </si>
  <si>
    <t>Plant replacement period, years</t>
  </si>
  <si>
    <t>Counterfactual</t>
  </si>
  <si>
    <t>Gas boilers, £/dwelling</t>
  </si>
  <si>
    <t>Individual ASHPs, £/dwelling</t>
  </si>
  <si>
    <t>Electric heating, £/dwelling</t>
  </si>
  <si>
    <t>Commercial gas boiler, £/kW</t>
  </si>
  <si>
    <t>Commercial ASHP, £/kW</t>
  </si>
  <si>
    <t>Commercial electric heating, £/kW</t>
  </si>
  <si>
    <t xml:space="preserve">Network </t>
  </si>
  <si>
    <t>Network spine lengths, m</t>
  </si>
  <si>
    <t>Network parcel lengths, m</t>
  </si>
  <si>
    <t xml:space="preserve">Total </t>
  </si>
  <si>
    <t>Scheme details</t>
  </si>
  <si>
    <t>Number of domestic connections</t>
  </si>
  <si>
    <t>Number of non-domestic connections</t>
  </si>
  <si>
    <t>Total capacity size of domestic connections, kW (undiversified)</t>
  </si>
  <si>
    <t>Total capacity size of non-domestic connections, kW (undiversified)</t>
  </si>
  <si>
    <t>Total number of domestic connections</t>
  </si>
  <si>
    <t>Total number of non-domestic connections</t>
  </si>
  <si>
    <t>Total capacity size of domestic connections, kW</t>
  </si>
  <si>
    <t>Total capacity size of non-domestic connections, kW</t>
  </si>
  <si>
    <t>Operating model</t>
  </si>
  <si>
    <t>Total heat supplied by network, kWh</t>
  </si>
  <si>
    <t>ASHP capacity, kW</t>
  </si>
  <si>
    <t>GSHP capacity, kW</t>
  </si>
  <si>
    <t>Total heat pump capacity, kW</t>
  </si>
  <si>
    <t>Gas boiler capacity, kW</t>
  </si>
  <si>
    <t>Electric boiler capacity, kW</t>
  </si>
  <si>
    <t>Heat generated by ASHP, kWh</t>
  </si>
  <si>
    <t>Heat generated by GSHP, kWh</t>
  </si>
  <si>
    <t>Heat generated by solar thermal, kWh</t>
  </si>
  <si>
    <t>Electricity requirements for ASHP, kWh</t>
  </si>
  <si>
    <t>Electricity requirements for GSHP, kWh</t>
  </si>
  <si>
    <t>Gas requirments for gas peak and reserve boiler, kWh</t>
  </si>
  <si>
    <t>Electricity requirments for electric peak and reserve boilers, kWh</t>
  </si>
  <si>
    <t>Energy centre parasitic load, kWh</t>
  </si>
  <si>
    <t>Energy centre electricity demand, kWh</t>
  </si>
  <si>
    <t xml:space="preserve">Alternative solution for remaining sites </t>
  </si>
  <si>
    <t xml:space="preserve">Electricity demand for heat pumps, kWh </t>
  </si>
  <si>
    <t>Commercial electricity demand for heat pumps, kWh</t>
  </si>
  <si>
    <t xml:space="preserve">Residential electricity demand for heat pumps, kWh </t>
  </si>
  <si>
    <t>Operational Expenditure</t>
  </si>
  <si>
    <t>Input fuel costs for gas peak and reserve boilers</t>
  </si>
  <si>
    <t>CCL costs for gas for peak and reserve boilers</t>
  </si>
  <si>
    <t>Gas standing charge</t>
  </si>
  <si>
    <t>Import electricity costs for heat pump, electric boilers, energy centre and network pumps</t>
  </si>
  <si>
    <t>CCL costs for electricity for energy centre</t>
  </si>
  <si>
    <t>Electricity standing charge</t>
  </si>
  <si>
    <t>Heat pump maintenance and service costs</t>
  </si>
  <si>
    <t>O&amp;M for solar thermal</t>
  </si>
  <si>
    <t>Gas peak and reserve boilers maintenance and service costs</t>
  </si>
  <si>
    <t>Electric peak and reserve boilers maintenance and service costs</t>
  </si>
  <si>
    <t>Pipework system monitoring and maintenance</t>
  </si>
  <si>
    <t>Import electricity costs for commercial heat pumps</t>
  </si>
  <si>
    <t>Import electricity costs for residential heat pumps</t>
  </si>
  <si>
    <t xml:space="preserve">CCL costs for electricity import </t>
  </si>
  <si>
    <t>Gas boilers maintenance and service costs</t>
  </si>
  <si>
    <t>Electric boiler maintenance and service costs</t>
  </si>
  <si>
    <t>Capital Expenditure</t>
  </si>
  <si>
    <t xml:space="preserve">Heat Network </t>
  </si>
  <si>
    <t>Assumptions</t>
  </si>
  <si>
    <t>Input / size</t>
  </si>
  <si>
    <t>Rate</t>
  </si>
  <si>
    <t>Units</t>
  </si>
  <si>
    <t>Risk contingency</t>
  </si>
  <si>
    <t>Phase 1 (including contingency)</t>
  </si>
  <si>
    <t>Phase 2 (including contingency)</t>
  </si>
  <si>
    <t>Phase 3 (including contingency)</t>
  </si>
  <si>
    <t>General costs</t>
  </si>
  <si>
    <r>
      <rPr>
        <sz val="10"/>
        <color rgb="FF000000"/>
        <rFont val="Calibri"/>
        <family val="2"/>
        <charset val="1"/>
      </rPr>
      <t>£/m</t>
    </r>
    <r>
      <rPr>
        <vertAlign val="superscript"/>
        <sz val="10"/>
        <color rgb="FF000000"/>
        <rFont val="Calibri"/>
        <family val="2"/>
        <charset val="1"/>
      </rPr>
      <t>2</t>
    </r>
  </si>
  <si>
    <t>£/kW</t>
  </si>
  <si>
    <t xml:space="preserve">Gas boilers backup </t>
  </si>
  <si>
    <t xml:space="preserve">Electric boilers backup </t>
  </si>
  <si>
    <t xml:space="preserve">Thermal stores </t>
  </si>
  <si>
    <t>£/litre</t>
  </si>
  <si>
    <t>Heat source specific costs</t>
  </si>
  <si>
    <t>Include?</t>
  </si>
  <si>
    <t>Heat exchange (closed loop boreholes)</t>
  </si>
  <si>
    <t>£/m</t>
  </si>
  <si>
    <t xml:space="preserve">Heat exchange (open loop ground source) </t>
  </si>
  <si>
    <t>£/borehole</t>
  </si>
  <si>
    <t>Energy centre total</t>
  </si>
  <si>
    <t>Heat network costs</t>
  </si>
  <si>
    <t>Network spine costs</t>
  </si>
  <si>
    <t>Network parcel costs</t>
  </si>
  <si>
    <t xml:space="preserve">Grant funding </t>
  </si>
  <si>
    <t xml:space="preserve">Connection charges </t>
  </si>
  <si>
    <t>Total CAPEX including connection charges</t>
  </si>
  <si>
    <t>EC sizing</t>
  </si>
  <si>
    <t>Equipment</t>
  </si>
  <si>
    <t>Input/size MW</t>
  </si>
  <si>
    <r>
      <rPr>
        <sz val="10"/>
        <color rgb="FF000000"/>
        <rFont val="Calibri"/>
        <family val="2"/>
        <charset val="1"/>
      </rPr>
      <t>m</t>
    </r>
    <r>
      <rPr>
        <vertAlign val="superscript"/>
        <sz val="10"/>
        <color rgb="FF000000"/>
        <rFont val="Calibri"/>
        <family val="2"/>
        <charset val="1"/>
      </rPr>
      <t>2</t>
    </r>
    <r>
      <rPr>
        <sz val="10"/>
        <color rgb="FF000000"/>
        <rFont val="Calibri"/>
        <family val="2"/>
        <charset val="1"/>
      </rPr>
      <t>/MW</t>
    </r>
  </si>
  <si>
    <t>Additional land</t>
  </si>
  <si>
    <r>
      <rPr>
        <sz val="10"/>
        <color rgb="FF000000"/>
        <rFont val="Calibri"/>
        <family val="2"/>
        <charset val="1"/>
      </rPr>
      <t>Total m</t>
    </r>
    <r>
      <rPr>
        <vertAlign val="superscript"/>
        <sz val="10"/>
        <color rgb="FF000000"/>
        <rFont val="Calibri"/>
        <family val="2"/>
        <charset val="1"/>
      </rPr>
      <t>2</t>
    </r>
  </si>
  <si>
    <t>Peak and reserve back up boilers</t>
  </si>
  <si>
    <t>Heat pump</t>
  </si>
  <si>
    <t>Heat exchangers and pumping</t>
  </si>
  <si>
    <r>
      <rPr>
        <sz val="10"/>
        <color rgb="FF000000"/>
        <rFont val="Calibri"/>
        <family val="2"/>
        <charset val="1"/>
      </rPr>
      <t>m</t>
    </r>
    <r>
      <rPr>
        <vertAlign val="superscript"/>
        <sz val="10"/>
        <color rgb="FF000000"/>
        <rFont val="Calibri"/>
        <family val="2"/>
        <charset val="1"/>
      </rPr>
      <t>2</t>
    </r>
  </si>
  <si>
    <t>Individual ASHPs</t>
  </si>
  <si>
    <t xml:space="preserve">Commercial </t>
  </si>
  <si>
    <t xml:space="preserve">Evaporators </t>
  </si>
  <si>
    <t xml:space="preserve">Residential </t>
  </si>
  <si>
    <t>£/dwelling</t>
  </si>
  <si>
    <t>Phase 1</t>
  </si>
  <si>
    <t>Phase 2</t>
  </si>
  <si>
    <t>ASHPs and balance of plant</t>
  </si>
  <si>
    <t>electrical connection upgrade costs?</t>
  </si>
  <si>
    <t>Gas boilers and balance of plant</t>
  </si>
  <si>
    <t>Electric heater cost</t>
  </si>
  <si>
    <t>Replacement costs</t>
  </si>
  <si>
    <t>Annualised replacement cost</t>
  </si>
  <si>
    <t>END OF SHEET</t>
  </si>
  <si>
    <t>Revenue</t>
  </si>
  <si>
    <t>Fixed heat tariff revenue</t>
  </si>
  <si>
    <t>Variable heat tariff revenue - industrial</t>
  </si>
  <si>
    <t xml:space="preserve">Potentially make it look up heat connection </t>
  </si>
  <si>
    <t>Variable heat tariff revenue - residential</t>
  </si>
  <si>
    <t>Variable heat tariff revenue - commercial / services</t>
  </si>
  <si>
    <t>Avoided costs</t>
  </si>
  <si>
    <t xml:space="preserve">Financial Analysis </t>
  </si>
  <si>
    <t>Network year</t>
  </si>
  <si>
    <t>Date</t>
  </si>
  <si>
    <t>Phase 1 flag</t>
  </si>
  <si>
    <t>Phase 2 flag</t>
  </si>
  <si>
    <t>Phase 3 flag</t>
  </si>
  <si>
    <t>Phase 1 capital costs flag</t>
  </si>
  <si>
    <t>Phase 2 capital costs flag</t>
  </si>
  <si>
    <t>Phase 3 capital costs flag</t>
  </si>
  <si>
    <t>ENERGY DEMANDS AND GENERATION</t>
  </si>
  <si>
    <t>Heat network</t>
  </si>
  <si>
    <t>Commercial demand, kWh</t>
  </si>
  <si>
    <t>Residential demand, kWh</t>
  </si>
  <si>
    <t>Heat demand from network connections, kWh</t>
  </si>
  <si>
    <t>Heat generated by peak and reserve gas boilers, kWh</t>
  </si>
  <si>
    <t>Heat generated by peak and reserve electric boilers, kWh</t>
  </si>
  <si>
    <t>Electricity requirement for DHN ASHP, kWh</t>
  </si>
  <si>
    <t>Electricity requirement for DHN GSHP, kWh</t>
  </si>
  <si>
    <t>Gas requirements for gas peak and reserve boiler, kWh</t>
  </si>
  <si>
    <t>Electricity requirements for electric peak and reserve boilers, kWh</t>
  </si>
  <si>
    <t>Parasitic load electricity demand, kWh</t>
  </si>
  <si>
    <t>Energy centre electricity demand (parasitic load + HP + electric boilers), kWh</t>
  </si>
  <si>
    <t>Total heat demand, kWh</t>
  </si>
  <si>
    <t>Electricity requirement for commercial (individual ASHPs), kWh</t>
  </si>
  <si>
    <t>Electricity requirement for residential (individual ASHPs), kWh</t>
  </si>
  <si>
    <t>Electricity requirement for commercial, kWh</t>
  </si>
  <si>
    <t>Electricity requirement for residential, kWh</t>
  </si>
  <si>
    <t>Gas requirement for commercial, kWh</t>
  </si>
  <si>
    <t>Gas requirement for residential, kWh</t>
  </si>
  <si>
    <t>TARIFF INDEXATION</t>
  </si>
  <si>
    <t>BEIS price projections flag</t>
  </si>
  <si>
    <t>Fixed indexation flag</t>
  </si>
  <si>
    <t>Indexing for natural gas</t>
  </si>
  <si>
    <t>Industrial</t>
  </si>
  <si>
    <t>Residential</t>
  </si>
  <si>
    <t>Commercial/services</t>
  </si>
  <si>
    <t>Indexing for grid electricity</t>
  </si>
  <si>
    <t>DISCOUNT RATES</t>
  </si>
  <si>
    <t>Real discount rate</t>
  </si>
  <si>
    <t>OPERATIONAL EXPENDITURE</t>
  </si>
  <si>
    <t>Import electricity costs for heat pump, electric boilers, energy centre and pumps</t>
  </si>
  <si>
    <t>CCL costs for electricity import for energy centre</t>
  </si>
  <si>
    <t>O&amp;M for solar PV</t>
  </si>
  <si>
    <t xml:space="preserve">Total OPEX </t>
  </si>
  <si>
    <t>Import electricity costs for heat pumps</t>
  </si>
  <si>
    <t xml:space="preserve">Import electricity costs </t>
  </si>
  <si>
    <t>Import gas costs for BAU boilers</t>
  </si>
  <si>
    <t>CCL costs for gas  boilers</t>
  </si>
  <si>
    <t>REVENUE</t>
  </si>
  <si>
    <t>Variable heat tariff revenue</t>
  </si>
  <si>
    <t xml:space="preserve">like BAU replacement, could add later </t>
  </si>
  <si>
    <t>Total revenue</t>
  </si>
  <si>
    <t>GRANT FUNDING</t>
  </si>
  <si>
    <t>CAPITAL COSTS</t>
  </si>
  <si>
    <t>Including connection charges</t>
  </si>
  <si>
    <t>Not including connection charges</t>
  </si>
  <si>
    <t>REPLACEMENT COSTS</t>
  </si>
  <si>
    <t>DISCOUNTED HEAT DEMAND AND COSTS</t>
  </si>
  <si>
    <t>Discounted heat demand, kWh</t>
  </si>
  <si>
    <t xml:space="preserve">Discounted revenue </t>
  </si>
  <si>
    <t>Discounted connection charges</t>
  </si>
  <si>
    <t>Discounted capital costs</t>
  </si>
  <si>
    <t>Discounted replacement costs</t>
  </si>
  <si>
    <t>Discounted operating costs</t>
  </si>
  <si>
    <t>TOTAL COSTS</t>
  </si>
  <si>
    <t>Cumulative</t>
  </si>
  <si>
    <t xml:space="preserve">Combined solution </t>
  </si>
  <si>
    <t xml:space="preserve">NET PRESENT COSTS AND LEVELISED COST OF HEAT </t>
  </si>
  <si>
    <t>HEAT NETWORK ECONOMIC ANALYSIS</t>
  </si>
  <si>
    <t>20 YEARS</t>
  </si>
  <si>
    <t>Total capital costs</t>
  </si>
  <si>
    <t>Cashflow</t>
  </si>
  <si>
    <t>Cumulative cashflow</t>
  </si>
  <si>
    <t>Internal rate of return (IRR)</t>
  </si>
  <si>
    <t>Net present value (NPV)</t>
  </si>
  <si>
    <t>Simple payback (years)</t>
  </si>
  <si>
    <t>20 year total income</t>
  </si>
  <si>
    <t>Levelised tariff, p/kWh</t>
  </si>
  <si>
    <t>30 YEARS</t>
  </si>
  <si>
    <t>30 year total income</t>
  </si>
  <si>
    <t>40 YEARS</t>
  </si>
  <si>
    <t>40 year total income</t>
  </si>
  <si>
    <t>Data for cashflow graph</t>
  </si>
  <si>
    <t xml:space="preserve">Network year </t>
  </si>
  <si>
    <t xml:space="preserve">Cashflow </t>
  </si>
  <si>
    <t xml:space="preserve">Cumulative cashflow </t>
  </si>
  <si>
    <t xml:space="preserve">REPEX </t>
  </si>
  <si>
    <r>
      <rPr>
        <sz val="10"/>
        <color rgb="FF000000"/>
        <rFont val="Calibri"/>
        <family val="2"/>
        <charset val="1"/>
      </rPr>
      <t>CO</t>
    </r>
    <r>
      <rPr>
        <vertAlign val="subscript"/>
        <sz val="10"/>
        <color rgb="FF000000"/>
        <rFont val="Calibri"/>
        <family val="2"/>
        <charset val="1"/>
      </rPr>
      <t>2</t>
    </r>
    <r>
      <rPr>
        <sz val="10"/>
        <color rgb="FF000000"/>
        <rFont val="Calibri"/>
        <family val="2"/>
        <charset val="1"/>
      </rPr>
      <t>e Emissions</t>
    </r>
  </si>
  <si>
    <t>Natural gas CO2e emissions factor, kgCO2e/kWh</t>
  </si>
  <si>
    <t>Average efficiency for gas boilers</t>
  </si>
  <si>
    <t>Commercial ASHP CoP</t>
  </si>
  <si>
    <t>Residential ASHP CoP</t>
  </si>
  <si>
    <t xml:space="preserve">Average efficiency for electric heating </t>
  </si>
  <si>
    <t>Reference year for emissions</t>
  </si>
  <si>
    <t>Electricity grid emissions intensity - LCP marginal figures, gCO2e/kWh</t>
  </si>
  <si>
    <t>Electricity grid emissions intensity - long run marginal figures (commercial), gCO2e/kWh</t>
  </si>
  <si>
    <t>Electricity grid emissions intensity - long run marginal figures (domestic), gCO2e/kWh</t>
  </si>
  <si>
    <t>Year</t>
  </si>
  <si>
    <t>Electricity grid emissions intensity for generated electricity, kgCO2e/kWh</t>
  </si>
  <si>
    <t>Electricity grid emissions intensity for imported electricity (commercial), kgCO2e/kWh</t>
  </si>
  <si>
    <t>Electricity grid emissions intensity for imported electricity (residential), kgCO2e/kWh</t>
  </si>
  <si>
    <t>Displaced emissions from BAU gas boilers - commercial and industrial, tCO2e</t>
  </si>
  <si>
    <t>Displaced emissions from BAU individual ASHPs - commercial and industrial, tCO2e</t>
  </si>
  <si>
    <t>Displaced emissions from BAU electric heating - commercial and industrial, tCO2e</t>
  </si>
  <si>
    <t>Displaced emissions from BAU gas boilers - residential, tCO2e</t>
  </si>
  <si>
    <t>Displaced emissions from BAU individual ASHPs - residential, tCO2e</t>
  </si>
  <si>
    <t>Displaced emissions from BAU electric heating - residential, tCO2e</t>
  </si>
  <si>
    <t>Emissions from peak and reserve gas boilers, tCO2e</t>
  </si>
  <si>
    <t>Emissions from electricity for heat pump, parasitic load and electric boilers, tCO2e</t>
  </si>
  <si>
    <t>Annual gas boiler CO2e emissions, tCO2e</t>
  </si>
  <si>
    <t>Annual network CO2e emissions, tCO2e</t>
  </si>
  <si>
    <t>Annual CO2e savings against gas boilers, tCO2e</t>
  </si>
  <si>
    <t>CO2e intensity of heat delivered, g/kWh</t>
  </si>
  <si>
    <t>CO2e intensity of heat delivered, kg/kWh</t>
  </si>
  <si>
    <t>Total CO2e emissions - 20 years, tCO2e</t>
  </si>
  <si>
    <t>Total CO2e savings - 20 years, tCO2e</t>
  </si>
  <si>
    <t>Total CO2e emissions - 30 years, tCO2e</t>
  </si>
  <si>
    <t>Total CO2e savings - 30 years, tCO2e</t>
  </si>
  <si>
    <t>Total CO2e emissions - 40 years, tCO2e</t>
  </si>
  <si>
    <t>Total CO2e savings - 40 years, tCO2e</t>
  </si>
  <si>
    <t>Emissions from electricity for heat pump and parasitic load, tCO2e</t>
  </si>
  <si>
    <t>Annual CO2e emissions, tCO2e</t>
  </si>
  <si>
    <t>Emissions from electricity for electric heating, tCO2e</t>
  </si>
  <si>
    <t>Emissions from electricity for heat pumps and parasitic load, tCO2e</t>
  </si>
  <si>
    <t>Emissions from gas boilers, tCO2e</t>
  </si>
  <si>
    <t>Low scenario</t>
  </si>
  <si>
    <t>High scenario</t>
  </si>
  <si>
    <t>Social IRR and NPV</t>
  </si>
  <si>
    <t>Reference year for carbon price projection</t>
  </si>
  <si>
    <t>Central scenario non-traded carbon price projections, £/tCO2e</t>
  </si>
  <si>
    <t>Low scenario non-traded carbon price projections, £/tCO2e</t>
  </si>
  <si>
    <t>High scenario non-traded carbon price projections, £/tCO2e</t>
  </si>
  <si>
    <t>Marginal air quality damage costs - gas, p/kWh</t>
  </si>
  <si>
    <t>Marginal air quality damage costs - electricity, p/kWh</t>
  </si>
  <si>
    <t>Annual CO₂e emissions - gas boilers, tCO₂e</t>
  </si>
  <si>
    <t>Annual CO2e savings compared to gas boilers, tCO2e</t>
  </si>
  <si>
    <t>Annual CO2e emissions savings, £</t>
  </si>
  <si>
    <t>Displaced air quality damage costs from gas counterfactual, £</t>
  </si>
  <si>
    <t>Annual air quality damage costs from gas into gas boilers, £</t>
  </si>
  <si>
    <t>Annual air quality damage costs from electricity import, £</t>
  </si>
  <si>
    <t>Annual network air quality damage costs, £</t>
  </si>
  <si>
    <t>Annual air quality damage savings, £</t>
  </si>
  <si>
    <t>Annual CO2e emissions and air quality damage savings, £</t>
  </si>
  <si>
    <t>Social internal rate of return (IRR)</t>
  </si>
  <si>
    <t>Social net present value (NPV)</t>
  </si>
  <si>
    <t>Social simple payback (years)</t>
  </si>
  <si>
    <t>Social 20 year total income</t>
  </si>
  <si>
    <t>Social 30 year total income</t>
  </si>
  <si>
    <t>Social 40 year total income</t>
  </si>
  <si>
    <t>BEIS Price Projections</t>
  </si>
  <si>
    <t>Reference year for tariffs</t>
  </si>
  <si>
    <t>Central Scenario</t>
  </si>
  <si>
    <t>Natural gas</t>
  </si>
  <si>
    <t>Reference year tariff</t>
  </si>
  <si>
    <t>Commercial / services</t>
  </si>
  <si>
    <t>Grid electricity</t>
  </si>
  <si>
    <t>Low Scenario</t>
  </si>
  <si>
    <t>High Scenario</t>
  </si>
  <si>
    <t>Selected Scenario:</t>
  </si>
  <si>
    <t>Central scenario flag</t>
  </si>
  <si>
    <t>Low scenario flag</t>
  </si>
  <si>
    <t>High scenario flag</t>
  </si>
  <si>
    <t>Annex M:</t>
  </si>
  <si>
    <t>https://www.gov.uk/government/publications/valuation-of-energy-use-and-greenhouse-gas-emissions-for-appraisal</t>
  </si>
  <si>
    <t>Last updated:</t>
  </si>
  <si>
    <t>YesNo</t>
  </si>
  <si>
    <t xml:space="preserve">Phases </t>
  </si>
  <si>
    <t>20 years</t>
  </si>
  <si>
    <t xml:space="preserve">30 years </t>
  </si>
  <si>
    <t>Gas boiler</t>
  </si>
  <si>
    <t>Electric heating</t>
  </si>
  <si>
    <t>Auxillary boilers</t>
  </si>
  <si>
    <t>Gas</t>
  </si>
  <si>
    <t>Gas and Electric</t>
  </si>
  <si>
    <t>BEISpriceprojections</t>
  </si>
  <si>
    <t>Energytariffindexing</t>
  </si>
  <si>
    <t>Fixed rate</t>
  </si>
  <si>
    <t>Catering</t>
  </si>
  <si>
    <t>Education (further and higher)</t>
  </si>
  <si>
    <t>Education (Higher)</t>
  </si>
  <si>
    <t>Education (schools)</t>
  </si>
  <si>
    <t>Entertainment</t>
  </si>
  <si>
    <t>Hospitals</t>
  </si>
  <si>
    <t>Hotels</t>
  </si>
  <si>
    <t>Industrial buildings</t>
  </si>
  <si>
    <t>Local authority buildings</t>
  </si>
  <si>
    <t>Ministry of Defence (MoD) buildings</t>
  </si>
  <si>
    <t>Offices</t>
  </si>
  <si>
    <t>Public buildings</t>
  </si>
  <si>
    <t>Retail</t>
  </si>
  <si>
    <t>Sports and recreation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</si>
</sst>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164" formatCode="_(* #,##0.00_);_(* \(#,##0.00\);_(* \-??_);_(@_)"/>
    <numFmt numFmtId="165" formatCode="dd/mm/yyyy"/>
    <numFmt numFmtId="166" formatCode="_-\£* #,##0.00_-;&quot;-£&quot;* #,##0.00_-;_-\£* \-??_-;_-@_-"/>
    <numFmt numFmtId="167" formatCode="_-\£* #,##0_-;&quot;-£&quot;* #,##0_-;_-\£* \-??_-;_-@_-"/>
    <numFmt numFmtId="168" formatCode="_-* #,##0.00_-;\-* #,##0.00_-;_-* \-??_-;_-@_-"/>
    <numFmt numFmtId="169" formatCode="0.000"/>
    <numFmt numFmtId="170" formatCode="_-* #,##0_-;\-* #,##0_-;_-* \-??_-;_-@_-"/>
    <numFmt numFmtId="171" formatCode="_-[$£-809]* #,##0_-;\-[$£-809]* #,##0_-;_-[$£-809]* \-??_-;_-@_-"/>
    <numFmt numFmtId="172" formatCode="0.0%"/>
    <numFmt numFmtId="173" formatCode="_-[$£-809]* #,##0.00_-;\-[$£-809]* #,##0.00_-;_-[$£-809]* \-??_-;_-@_-"/>
    <numFmt numFmtId="174" formatCode="_-* #,##0_-;\-* #,##0_-;_-* \-?_-;_-@_-"/>
    <numFmt numFmtId="175" formatCode="_-* #,##0.0_-;\-* #,##0.0_-;_-* \-??_-;_-@_-"/>
    <numFmt numFmtId="176" formatCode="\£#,##0;[Red]&quot;-£&quot;#,##0"/>
    <numFmt numFmtId="177" formatCode="0.0"/>
    <numFmt numFmtId="178" formatCode="#,##0.0"/>
  </numFmts>
  <fonts count="23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i/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sz val="10"/>
      <color rgb="FFFF0000"/>
      <name val="Calibri"/>
      <family val="2"/>
      <charset val="1"/>
    </font>
    <font>
      <sz val="10"/>
      <color rgb="FFFFFFFF"/>
      <name val="Calibri"/>
      <family val="2"/>
      <charset val="1"/>
    </font>
    <font>
      <sz val="11"/>
      <color rgb="FF000000"/>
      <name val="Lato"/>
      <family val="2"/>
      <charset val="1"/>
    </font>
    <font>
      <sz val="10"/>
      <color rgb="FFED7D31"/>
      <name val="Calibri"/>
      <family val="2"/>
      <charset val="1"/>
    </font>
    <font>
      <i/>
      <sz val="10"/>
      <color rgb="FF000000"/>
      <name val="Calibri"/>
      <family val="2"/>
      <charset val="1"/>
    </font>
    <font>
      <vertAlign val="superscript"/>
      <sz val="10"/>
      <color rgb="FF000000"/>
      <name val="Calibri"/>
      <family val="2"/>
      <charset val="1"/>
    </font>
    <font>
      <b/>
      <i/>
      <sz val="10"/>
      <name val="Calibri"/>
      <family val="2"/>
      <charset val="1"/>
    </font>
    <font>
      <i/>
      <u/>
      <sz val="10"/>
      <color rgb="FF000000"/>
      <name val="Calibri"/>
      <family val="2"/>
      <charset val="1"/>
    </font>
    <font>
      <sz val="10"/>
      <color rgb="FF5B9BD5"/>
      <name val="Calibri"/>
      <family val="2"/>
      <charset val="1"/>
    </font>
    <font>
      <i/>
      <sz val="10"/>
      <name val="Calibri"/>
      <family val="2"/>
      <charset val="1"/>
    </font>
    <font>
      <vertAlign val="subscript"/>
      <sz val="10"/>
      <color rgb="FF000000"/>
      <name val="Calibri"/>
      <family val="2"/>
      <charset val="1"/>
    </font>
    <font>
      <i/>
      <sz val="8"/>
      <color rgb="FF000000"/>
      <name val="Calibri"/>
      <family val="2"/>
      <charset val="1"/>
    </font>
    <font>
      <u/>
      <sz val="10"/>
      <color rgb="FF0563C1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0000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D9D9D9"/>
        <bgColor rgb="FFD0CECE"/>
      </patternFill>
    </fill>
    <fill>
      <patternFill patternType="solid">
        <fgColor rgb="FFF57E20"/>
        <bgColor rgb="FFED7D31"/>
      </patternFill>
    </fill>
    <fill>
      <patternFill patternType="solid">
        <fgColor rgb="FFFFFFFF"/>
        <bgColor rgb="FFF2F2F2"/>
      </patternFill>
    </fill>
    <fill>
      <patternFill patternType="solid">
        <fgColor rgb="FF000000"/>
        <bgColor rgb="FF003300"/>
      </patternFill>
    </fill>
    <fill>
      <patternFill patternType="solid">
        <fgColor rgb="FFE2F0D9"/>
        <bgColor rgb="FFDAF0F6"/>
      </patternFill>
    </fill>
    <fill>
      <patternFill patternType="solid">
        <fgColor rgb="FFDAF0F6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FBE5D6"/>
        <bgColor rgb="FFFFF2CC"/>
      </patternFill>
    </fill>
    <fill>
      <patternFill patternType="solid">
        <fgColor rgb="FFD0CECE"/>
        <bgColor rgb="FFD9D9D9"/>
      </patternFill>
    </fill>
    <fill>
      <patternFill patternType="solid">
        <fgColor rgb="FFF2F2F2"/>
        <bgColor rgb="FFE2F0D9"/>
      </patternFill>
    </fill>
    <fill>
      <patternFill patternType="solid">
        <fgColor rgb="FFFFFF00"/>
        <bgColor rgb="FFFFFF00"/>
      </patternFill>
    </fill>
  </fills>
  <borders count="51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 style="thin">
        <color rgb="FFBFBFBF"/>
      </top>
      <bottom/>
      <diagonal/>
    </border>
    <border>
      <left/>
      <right/>
      <top/>
      <bottom style="thin">
        <color rgb="FFBFBFBF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/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thin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thin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/>
      <diagonal/>
    </border>
    <border>
      <left style="thin">
        <color auto="1"/>
      </left>
      <right style="hair">
        <color rgb="FF767171"/>
      </right>
      <top style="thin">
        <color auto="1"/>
      </top>
      <bottom style="hair">
        <color rgb="FF767171"/>
      </bottom>
      <diagonal/>
    </border>
    <border>
      <left style="hair">
        <color rgb="FF767171"/>
      </left>
      <right style="hair">
        <color rgb="FF767171"/>
      </right>
      <top style="thin">
        <color auto="1"/>
      </top>
      <bottom style="hair">
        <color rgb="FF767171"/>
      </bottom>
      <diagonal/>
    </border>
    <border>
      <left style="hair">
        <color rgb="FF767171"/>
      </left>
      <right style="thin">
        <color auto="1"/>
      </right>
      <top style="thin">
        <color auto="1"/>
      </top>
      <bottom style="hair">
        <color rgb="FF767171"/>
      </bottom>
      <diagonal/>
    </border>
    <border>
      <left style="thin">
        <color auto="1"/>
      </left>
      <right style="hair">
        <color rgb="FF767171"/>
      </right>
      <top style="hair">
        <color rgb="FF767171"/>
      </top>
      <bottom style="hair">
        <color rgb="FF767171"/>
      </bottom>
      <diagonal/>
    </border>
    <border>
      <left style="hair">
        <color rgb="FF767171"/>
      </left>
      <right style="hair">
        <color rgb="FF767171"/>
      </right>
      <top style="hair">
        <color rgb="FF767171"/>
      </top>
      <bottom style="hair">
        <color rgb="FF767171"/>
      </bottom>
      <diagonal/>
    </border>
    <border>
      <left style="hair">
        <color rgb="FF767171"/>
      </left>
      <right style="thin">
        <color auto="1"/>
      </right>
      <top style="hair">
        <color rgb="FF767171"/>
      </top>
      <bottom style="hair">
        <color rgb="FF767171"/>
      </bottom>
      <diagonal/>
    </border>
    <border>
      <left style="thin">
        <color auto="1"/>
      </left>
      <right style="hair">
        <color rgb="FF767171"/>
      </right>
      <top style="hair">
        <color rgb="FF767171"/>
      </top>
      <bottom style="thin">
        <color auto="1"/>
      </bottom>
      <diagonal/>
    </border>
    <border>
      <left style="hair">
        <color rgb="FF767171"/>
      </left>
      <right style="hair">
        <color rgb="FF767171"/>
      </right>
      <top style="hair">
        <color rgb="FF767171"/>
      </top>
      <bottom style="thin">
        <color auto="1"/>
      </bottom>
      <diagonal/>
    </border>
    <border>
      <left style="hair">
        <color rgb="FF767171"/>
      </left>
      <right style="thin">
        <color auto="1"/>
      </right>
      <top style="hair">
        <color rgb="FF767171"/>
      </top>
      <bottom style="thin">
        <color auto="1"/>
      </bottom>
      <diagonal/>
    </border>
  </borders>
  <cellStyleXfs count="7">
    <xf numFmtId="0" fontId="0" fillId="0" borderId="0"/>
    <xf numFmtId="168" fontId="22" fillId="0" borderId="0" applyBorder="0" applyProtection="0"/>
    <xf numFmtId="166" fontId="22" fillId="0" borderId="0" applyBorder="0" applyProtection="0"/>
    <xf numFmtId="9" fontId="22" fillId="0" borderId="0" applyBorder="0" applyProtection="0"/>
    <xf numFmtId="0" fontId="21" fillId="0" borderId="0" applyBorder="0" applyProtection="0"/>
    <xf numFmtId="164" fontId="22" fillId="0" borderId="0" applyBorder="0" applyProtection="0"/>
    <xf numFmtId="0" fontId="22" fillId="0" borderId="0"/>
  </cellStyleXfs>
  <cellXfs count="269">
    <xf numFmtId="0" fontId="0" fillId="0" borderId="0" xfId="0"/>
    <xf numFmtId="0" fontId="0" fillId="0" borderId="38" xfId="0" applyBorder="1" applyAlignment="1">
      <alignment horizontal="center" wrapText="1"/>
    </xf>
    <xf numFmtId="0" fontId="1" fillId="0" borderId="22" xfId="0" applyFont="1" applyBorder="1" applyAlignment="1">
      <alignment horizontal="center" vertical="center"/>
    </xf>
    <xf numFmtId="0" fontId="1" fillId="0" borderId="0" xfId="0" applyFont="1" applyAlignment="1">
      <alignment horizontal="left"/>
    </xf>
    <xf numFmtId="0" fontId="1" fillId="4" borderId="0" xfId="0" applyFont="1" applyFill="1" applyAlignment="1">
      <alignment horizontal="left" wrapText="1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1" fillId="4" borderId="0" xfId="0" applyFont="1" applyFill="1" applyAlignment="1">
      <alignment horizontal="left"/>
    </xf>
    <xf numFmtId="165" fontId="1" fillId="4" borderId="8" xfId="0" applyNumberFormat="1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7" xfId="0" applyFont="1" applyFill="1" applyBorder="1" applyAlignment="1">
      <alignment horizontal="center"/>
    </xf>
    <xf numFmtId="0" fontId="1" fillId="0" borderId="0" xfId="0" applyFont="1"/>
    <xf numFmtId="0" fontId="2" fillId="2" borderId="1" xfId="0" applyFont="1" applyFill="1" applyBorder="1"/>
    <xf numFmtId="0" fontId="3" fillId="2" borderId="2" xfId="0" applyFont="1" applyFill="1" applyBorder="1" applyAlignment="1">
      <alignment horizontal="right"/>
    </xf>
    <xf numFmtId="0" fontId="2" fillId="2" borderId="3" xfId="0" applyFont="1" applyFill="1" applyBorder="1"/>
    <xf numFmtId="0" fontId="3" fillId="2" borderId="4" xfId="0" applyFont="1" applyFill="1" applyBorder="1" applyAlignment="1">
      <alignment horizontal="right"/>
    </xf>
    <xf numFmtId="0" fontId="2" fillId="2" borderId="5" xfId="0" applyFont="1" applyFill="1" applyBorder="1"/>
    <xf numFmtId="165" fontId="3" fillId="2" borderId="6" xfId="0" applyNumberFormat="1" applyFont="1" applyFill="1" applyBorder="1" applyAlignment="1">
      <alignment horizontal="right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/>
    <xf numFmtId="0" fontId="1" fillId="0" borderId="0" xfId="0" applyFont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" fillId="4" borderId="0" xfId="0" applyFont="1" applyFill="1"/>
    <xf numFmtId="0" fontId="1" fillId="4" borderId="7" xfId="0" applyFont="1" applyFill="1" applyBorder="1"/>
    <xf numFmtId="0" fontId="1" fillId="4" borderId="8" xfId="0" applyFont="1" applyFill="1" applyBorder="1"/>
    <xf numFmtId="0" fontId="1" fillId="2" borderId="0" xfId="0" applyFont="1" applyFill="1"/>
    <xf numFmtId="0" fontId="1" fillId="4" borderId="0" xfId="0" applyFont="1" applyFill="1" applyAlignment="1">
      <alignment horizontal="left"/>
    </xf>
    <xf numFmtId="0" fontId="1" fillId="4" borderId="0" xfId="0" applyFont="1" applyFill="1" applyAlignment="1">
      <alignment horizontal="left" wrapText="1"/>
    </xf>
    <xf numFmtId="0" fontId="5" fillId="4" borderId="0" xfId="0" applyFont="1" applyFill="1"/>
    <xf numFmtId="0" fontId="1" fillId="4" borderId="0" xfId="0" applyFont="1" applyFill="1" applyAlignment="1">
      <alignment horizontal="left" vertical="center"/>
    </xf>
    <xf numFmtId="0" fontId="1" fillId="4" borderId="0" xfId="0" applyFont="1" applyFill="1" applyAlignment="1">
      <alignment wrapText="1"/>
    </xf>
    <xf numFmtId="0" fontId="6" fillId="2" borderId="0" xfId="0" applyFont="1" applyFill="1"/>
    <xf numFmtId="0" fontId="6" fillId="4" borderId="0" xfId="0" applyFont="1" applyFill="1"/>
    <xf numFmtId="0" fontId="1" fillId="0" borderId="0" xfId="0" applyFont="1" applyAlignment="1">
      <alignment horizontal="left"/>
    </xf>
    <xf numFmtId="0" fontId="0" fillId="5" borderId="0" xfId="0" applyFill="1"/>
    <xf numFmtId="0" fontId="7" fillId="5" borderId="0" xfId="0" applyFont="1" applyFill="1"/>
    <xf numFmtId="0" fontId="1" fillId="6" borderId="0" xfId="0" applyFont="1" applyFill="1"/>
    <xf numFmtId="0" fontId="1" fillId="7" borderId="0" xfId="0" applyFont="1" applyFill="1"/>
    <xf numFmtId="0" fontId="1" fillId="8" borderId="0" xfId="0" applyFont="1" applyFill="1"/>
    <xf numFmtId="0" fontId="1" fillId="0" borderId="9" xfId="0" applyFont="1" applyBorder="1"/>
    <xf numFmtId="0" fontId="1" fillId="8" borderId="10" xfId="0" applyFont="1" applyFill="1" applyBorder="1" applyAlignment="1">
      <alignment horizontal="center"/>
    </xf>
    <xf numFmtId="0" fontId="6" fillId="9" borderId="9" xfId="0" applyFont="1" applyFill="1" applyBorder="1" applyAlignment="1">
      <alignment vertical="center"/>
    </xf>
    <xf numFmtId="0" fontId="6" fillId="9" borderId="11" xfId="0" applyFont="1" applyFill="1" applyBorder="1" applyAlignment="1">
      <alignment horizontal="center" vertical="center" wrapText="1"/>
    </xf>
    <xf numFmtId="0" fontId="6" fillId="9" borderId="10" xfId="0" applyFont="1" applyFill="1" applyBorder="1" applyAlignment="1">
      <alignment horizontal="center" vertical="center" wrapText="1"/>
    </xf>
    <xf numFmtId="0" fontId="6" fillId="9" borderId="9" xfId="0" applyFont="1" applyFill="1" applyBorder="1" applyAlignment="1">
      <alignment horizontal="right" vertical="center"/>
    </xf>
    <xf numFmtId="0" fontId="1" fillId="9" borderId="10" xfId="0" applyFont="1" applyFill="1" applyBorder="1" applyAlignment="1">
      <alignment horizontal="center" vertical="center"/>
    </xf>
    <xf numFmtId="0" fontId="6" fillId="0" borderId="12" xfId="0" applyFont="1" applyBorder="1"/>
    <xf numFmtId="0" fontId="1" fillId="0" borderId="13" xfId="0" applyFont="1" applyBorder="1"/>
    <xf numFmtId="0" fontId="1" fillId="0" borderId="14" xfId="0" applyFont="1" applyBorder="1"/>
    <xf numFmtId="0" fontId="1" fillId="0" borderId="15" xfId="0" applyFont="1" applyBorder="1" applyAlignment="1">
      <alignment vertical="center"/>
    </xf>
    <xf numFmtId="0" fontId="1" fillId="8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left" indent="1"/>
    </xf>
    <xf numFmtId="167" fontId="1" fillId="0" borderId="0" xfId="2" applyNumberFormat="1" applyFont="1" applyBorder="1" applyProtection="1"/>
    <xf numFmtId="167" fontId="1" fillId="0" borderId="18" xfId="2" applyNumberFormat="1" applyFont="1" applyBorder="1" applyProtection="1"/>
    <xf numFmtId="0" fontId="1" fillId="0" borderId="19" xfId="6" applyFont="1" applyBorder="1" applyAlignment="1" applyProtection="1">
      <alignment horizontal="left" vertical="center"/>
      <protection locked="0"/>
    </xf>
    <xf numFmtId="2" fontId="3" fillId="10" borderId="20" xfId="6" applyNumberFormat="1" applyFont="1" applyFill="1" applyBorder="1" applyAlignment="1" applyProtection="1">
      <alignment horizontal="right" vertical="center"/>
      <protection locked="0"/>
    </xf>
    <xf numFmtId="168" fontId="1" fillId="0" borderId="0" xfId="1" applyFont="1" applyBorder="1" applyProtection="1"/>
    <xf numFmtId="168" fontId="3" fillId="0" borderId="0" xfId="0" applyNumberFormat="1" applyFont="1" applyAlignment="1">
      <alignment horizontal="center"/>
    </xf>
    <xf numFmtId="168" fontId="1" fillId="0" borderId="18" xfId="0" applyNumberFormat="1" applyFont="1" applyBorder="1"/>
    <xf numFmtId="0" fontId="1" fillId="0" borderId="19" xfId="0" applyFont="1" applyBorder="1" applyAlignment="1" applyProtection="1">
      <alignment horizontal="left" vertical="center"/>
      <protection locked="0"/>
    </xf>
    <xf numFmtId="2" fontId="1" fillId="10" borderId="20" xfId="0" applyNumberFormat="1" applyFont="1" applyFill="1" applyBorder="1" applyAlignment="1">
      <alignment vertical="center"/>
    </xf>
    <xf numFmtId="0" fontId="1" fillId="11" borderId="0" xfId="0" applyFont="1" applyFill="1"/>
    <xf numFmtId="0" fontId="1" fillId="11" borderId="18" xfId="0" applyFont="1" applyFill="1" applyBorder="1"/>
    <xf numFmtId="169" fontId="1" fillId="10" borderId="20" xfId="6" applyNumberFormat="1" applyFont="1" applyFill="1" applyBorder="1" applyAlignment="1" applyProtection="1">
      <alignment horizontal="right" vertical="center"/>
      <protection locked="0"/>
    </xf>
    <xf numFmtId="10" fontId="1" fillId="0" borderId="0" xfId="3" applyNumberFormat="1" applyFont="1" applyBorder="1" applyProtection="1"/>
    <xf numFmtId="0" fontId="1" fillId="10" borderId="20" xfId="0" applyFont="1" applyFill="1" applyBorder="1" applyAlignment="1">
      <alignment vertical="center"/>
    </xf>
    <xf numFmtId="2" fontId="1" fillId="10" borderId="20" xfId="6" applyNumberFormat="1" applyFont="1" applyFill="1" applyBorder="1" applyAlignment="1" applyProtection="1">
      <alignment horizontal="right" vertical="center"/>
      <protection locked="0"/>
    </xf>
    <xf numFmtId="170" fontId="1" fillId="0" borderId="20" xfId="1" applyNumberFormat="1" applyFont="1" applyBorder="1" applyAlignment="1" applyProtection="1">
      <alignment horizontal="right" vertical="center"/>
    </xf>
    <xf numFmtId="171" fontId="1" fillId="0" borderId="0" xfId="0" applyNumberFormat="1" applyFont="1"/>
    <xf numFmtId="0" fontId="1" fillId="0" borderId="18" xfId="0" applyFont="1" applyBorder="1"/>
    <xf numFmtId="0" fontId="6" fillId="0" borderId="17" xfId="0" applyFont="1" applyBorder="1"/>
    <xf numFmtId="168" fontId="1" fillId="0" borderId="0" xfId="0" applyNumberFormat="1" applyFont="1"/>
    <xf numFmtId="0" fontId="1" fillId="8" borderId="20" xfId="0" applyFont="1" applyFill="1" applyBorder="1" applyAlignment="1">
      <alignment horizontal="center" vertical="center"/>
    </xf>
    <xf numFmtId="168" fontId="1" fillId="0" borderId="18" xfId="1" applyFont="1" applyBorder="1" applyProtection="1"/>
    <xf numFmtId="0" fontId="1" fillId="0" borderId="19" xfId="0" applyFont="1" applyBorder="1" applyAlignment="1">
      <alignment horizontal="left" vertical="center"/>
    </xf>
    <xf numFmtId="170" fontId="1" fillId="0" borderId="0" xfId="1" applyNumberFormat="1" applyFont="1" applyBorder="1" applyProtection="1"/>
    <xf numFmtId="0" fontId="3" fillId="0" borderId="19" xfId="0" applyFont="1" applyBorder="1" applyAlignment="1">
      <alignment horizontal="left" vertical="center" wrapText="1"/>
    </xf>
    <xf numFmtId="0" fontId="3" fillId="8" borderId="20" xfId="0" applyFont="1" applyFill="1" applyBorder="1" applyAlignment="1">
      <alignment horizontal="center" vertical="center"/>
    </xf>
    <xf numFmtId="0" fontId="8" fillId="0" borderId="19" xfId="0" applyFont="1" applyBorder="1" applyAlignment="1">
      <alignment horizontal="left" vertical="center"/>
    </xf>
    <xf numFmtId="171" fontId="1" fillId="10" borderId="20" xfId="0" applyNumberFormat="1" applyFont="1" applyFill="1" applyBorder="1" applyAlignment="1">
      <alignment horizontal="center" vertical="center"/>
    </xf>
    <xf numFmtId="0" fontId="1" fillId="0" borderId="21" xfId="0" applyFont="1" applyBorder="1" applyAlignment="1">
      <alignment horizontal="left" indent="1"/>
    </xf>
    <xf numFmtId="170" fontId="1" fillId="0" borderId="22" xfId="1" applyNumberFormat="1" applyFont="1" applyBorder="1" applyProtection="1"/>
    <xf numFmtId="170" fontId="1" fillId="0" borderId="23" xfId="1" applyNumberFormat="1" applyFont="1" applyBorder="1" applyProtection="1"/>
    <xf numFmtId="10" fontId="1" fillId="10" borderId="20" xfId="6" applyNumberFormat="1" applyFont="1" applyFill="1" applyBorder="1" applyAlignment="1" applyProtection="1">
      <alignment horizontal="right" vertical="center"/>
      <protection locked="0"/>
    </xf>
    <xf numFmtId="0" fontId="3" fillId="0" borderId="19" xfId="0" applyFont="1" applyBorder="1" applyAlignment="1">
      <alignment horizontal="left" vertical="center"/>
    </xf>
    <xf numFmtId="9" fontId="1" fillId="10" borderId="20" xfId="3" applyFont="1" applyFill="1" applyBorder="1" applyAlignment="1" applyProtection="1">
      <alignment horizontal="right" vertical="center"/>
      <protection locked="0"/>
    </xf>
    <xf numFmtId="0" fontId="1" fillId="10" borderId="24" xfId="0" applyFont="1" applyFill="1" applyBorder="1" applyAlignment="1">
      <alignment vertical="center"/>
    </xf>
    <xf numFmtId="0" fontId="6" fillId="9" borderId="11" xfId="0" applyFont="1" applyFill="1" applyBorder="1" applyAlignment="1">
      <alignment vertical="center"/>
    </xf>
    <xf numFmtId="0" fontId="6" fillId="9" borderId="10" xfId="0" applyFont="1" applyFill="1" applyBorder="1" applyAlignment="1">
      <alignment vertical="center"/>
    </xf>
    <xf numFmtId="0" fontId="1" fillId="0" borderId="12" xfId="0" applyFont="1" applyBorder="1"/>
    <xf numFmtId="0" fontId="1" fillId="0" borderId="17" xfId="0" applyFont="1" applyBorder="1"/>
    <xf numFmtId="0" fontId="1" fillId="8" borderId="20" xfId="0" applyFont="1" applyFill="1" applyBorder="1" applyAlignment="1">
      <alignment horizontal="center" vertical="center" wrapText="1"/>
    </xf>
    <xf numFmtId="167" fontId="1" fillId="0" borderId="18" xfId="0" applyNumberFormat="1" applyFont="1" applyBorder="1"/>
    <xf numFmtId="172" fontId="1" fillId="10" borderId="24" xfId="3" applyNumberFormat="1" applyFont="1" applyFill="1" applyBorder="1" applyAlignment="1" applyProtection="1">
      <alignment vertical="center"/>
    </xf>
    <xf numFmtId="9" fontId="1" fillId="0" borderId="0" xfId="3" applyFont="1" applyBorder="1" applyAlignment="1" applyProtection="1">
      <alignment vertical="center"/>
    </xf>
    <xf numFmtId="0" fontId="8" fillId="0" borderId="17" xfId="0" applyFont="1" applyBorder="1"/>
    <xf numFmtId="167" fontId="1" fillId="0" borderId="0" xfId="0" applyNumberFormat="1" applyFont="1"/>
    <xf numFmtId="170" fontId="1" fillId="0" borderId="18" xfId="1" applyNumberFormat="1" applyFont="1" applyBorder="1" applyProtection="1"/>
    <xf numFmtId="2" fontId="1" fillId="10" borderId="24" xfId="0" applyNumberFormat="1" applyFont="1" applyFill="1" applyBorder="1" applyAlignment="1">
      <alignment vertical="center"/>
    </xf>
    <xf numFmtId="170" fontId="1" fillId="0" borderId="0" xfId="0" applyNumberFormat="1" applyFont="1"/>
    <xf numFmtId="0" fontId="1" fillId="0" borderId="25" xfId="0" applyFont="1" applyBorder="1" applyAlignment="1" applyProtection="1">
      <alignment horizontal="left" vertical="center"/>
      <protection locked="0"/>
    </xf>
    <xf numFmtId="0" fontId="1" fillId="8" borderId="26" xfId="0" applyFont="1" applyFill="1" applyBorder="1" applyAlignment="1">
      <alignment horizontal="center" vertical="center" wrapText="1"/>
    </xf>
    <xf numFmtId="0" fontId="3" fillId="0" borderId="17" xfId="0" applyFont="1" applyBorder="1"/>
    <xf numFmtId="9" fontId="1" fillId="0" borderId="0" xfId="3" applyFont="1" applyBorder="1" applyProtection="1"/>
    <xf numFmtId="0" fontId="1" fillId="0" borderId="21" xfId="0" applyFont="1" applyBorder="1"/>
    <xf numFmtId="0" fontId="6" fillId="9" borderId="10" xfId="0" applyFont="1" applyFill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3" fillId="0" borderId="19" xfId="0" applyFont="1" applyBorder="1" applyAlignment="1">
      <alignment vertical="center" wrapText="1"/>
    </xf>
    <xf numFmtId="9" fontId="1" fillId="10" borderId="20" xfId="3" applyFont="1" applyFill="1" applyBorder="1" applyAlignment="1" applyProtection="1">
      <alignment horizontal="center" vertical="center"/>
    </xf>
    <xf numFmtId="0" fontId="3" fillId="0" borderId="19" xfId="0" applyFont="1" applyBorder="1" applyAlignment="1">
      <alignment wrapText="1"/>
    </xf>
    <xf numFmtId="0" fontId="1" fillId="0" borderId="19" xfId="0" applyFont="1" applyBorder="1" applyAlignment="1">
      <alignment vertical="center" wrapText="1"/>
    </xf>
    <xf numFmtId="0" fontId="1" fillId="0" borderId="27" xfId="0" applyFont="1" applyBorder="1" applyAlignment="1">
      <alignment vertical="center" wrapText="1"/>
    </xf>
    <xf numFmtId="9" fontId="1" fillId="10" borderId="24" xfId="3" applyFont="1" applyFill="1" applyBorder="1" applyAlignment="1" applyProtection="1">
      <alignment horizontal="center" vertical="center"/>
    </xf>
    <xf numFmtId="0" fontId="1" fillId="0" borderId="25" xfId="0" applyFont="1" applyBorder="1" applyAlignment="1">
      <alignment vertical="center" wrapText="1"/>
    </xf>
    <xf numFmtId="9" fontId="1" fillId="10" borderId="26" xfId="3" applyFont="1" applyFill="1" applyBorder="1" applyAlignment="1" applyProtection="1">
      <alignment horizontal="center" vertical="center"/>
    </xf>
    <xf numFmtId="0" fontId="1" fillId="5" borderId="0" xfId="0" applyFont="1" applyFill="1"/>
    <xf numFmtId="0" fontId="9" fillId="5" borderId="0" xfId="0" applyFont="1" applyFill="1"/>
    <xf numFmtId="0" fontId="1" fillId="9" borderId="0" xfId="0" applyFont="1" applyFill="1"/>
    <xf numFmtId="0" fontId="3" fillId="9" borderId="0" xfId="0" applyFont="1" applyFill="1"/>
    <xf numFmtId="0" fontId="1" fillId="0" borderId="0" xfId="0" applyFont="1" applyAlignment="1">
      <alignment horizontal="center" vertical="center" wrapText="1"/>
    </xf>
    <xf numFmtId="0" fontId="2" fillId="9" borderId="9" xfId="0" applyFont="1" applyFill="1" applyBorder="1" applyAlignment="1">
      <alignment vertical="center" wrapText="1"/>
    </xf>
    <xf numFmtId="0" fontId="2" fillId="9" borderId="11" xfId="0" applyFont="1" applyFill="1" applyBorder="1" applyAlignment="1">
      <alignment vertical="center" wrapText="1"/>
    </xf>
    <xf numFmtId="0" fontId="2" fillId="9" borderId="10" xfId="0" applyFont="1" applyFill="1" applyBorder="1" applyAlignment="1">
      <alignment vertical="center" wrapText="1"/>
    </xf>
    <xf numFmtId="0" fontId="1" fillId="6" borderId="28" xfId="0" applyFont="1" applyFill="1" applyBorder="1" applyAlignment="1">
      <alignment horizontal="center" vertical="center"/>
    </xf>
    <xf numFmtId="3" fontId="1" fillId="6" borderId="29" xfId="0" applyNumberFormat="1" applyFont="1" applyFill="1" applyBorder="1" applyAlignment="1" applyProtection="1">
      <alignment horizontal="left"/>
      <protection locked="0"/>
    </xf>
    <xf numFmtId="0" fontId="1" fillId="8" borderId="29" xfId="0" applyFont="1" applyFill="1" applyBorder="1" applyAlignment="1">
      <alignment horizontal="center" vertical="center"/>
    </xf>
    <xf numFmtId="170" fontId="1" fillId="6" borderId="29" xfId="1" applyNumberFormat="1" applyFont="1" applyFill="1" applyBorder="1" applyProtection="1"/>
    <xf numFmtId="1" fontId="1" fillId="6" borderId="29" xfId="0" applyNumberFormat="1" applyFont="1" applyFill="1" applyBorder="1" applyAlignment="1">
      <alignment horizontal="center" vertical="center"/>
    </xf>
    <xf numFmtId="3" fontId="1" fillId="6" borderId="30" xfId="0" applyNumberFormat="1" applyFont="1" applyFill="1" applyBorder="1" applyAlignment="1" applyProtection="1">
      <alignment horizontal="center" vertical="center"/>
      <protection locked="0"/>
    </xf>
    <xf numFmtId="3" fontId="1" fillId="8" borderId="29" xfId="0" applyNumberFormat="1" applyFont="1" applyFill="1" applyBorder="1" applyAlignment="1" applyProtection="1">
      <alignment horizontal="center" vertical="center"/>
      <protection locked="0"/>
    </xf>
    <xf numFmtId="1" fontId="1" fillId="0" borderId="29" xfId="0" applyNumberFormat="1" applyFont="1" applyBorder="1" applyAlignment="1">
      <alignment horizontal="center" vertical="center"/>
    </xf>
    <xf numFmtId="0" fontId="1" fillId="6" borderId="31" xfId="0" applyFont="1" applyFill="1" applyBorder="1"/>
    <xf numFmtId="0" fontId="0" fillId="0" borderId="0" xfId="0" applyAlignment="1">
      <alignment wrapText="1"/>
    </xf>
    <xf numFmtId="0" fontId="1" fillId="6" borderId="36" xfId="0" applyFont="1" applyFill="1" applyBorder="1" applyAlignment="1">
      <alignment horizontal="center" vertical="center"/>
    </xf>
    <xf numFmtId="0" fontId="1" fillId="6" borderId="37" xfId="0" applyFont="1" applyFill="1" applyBorder="1" applyAlignment="1">
      <alignment horizontal="center" vertical="center"/>
    </xf>
    <xf numFmtId="0" fontId="10" fillId="6" borderId="28" xfId="0" applyFont="1" applyFill="1" applyBorder="1" applyAlignment="1">
      <alignment horizontal="left" vertical="center" wrapText="1"/>
    </xf>
    <xf numFmtId="0" fontId="10" fillId="6" borderId="29" xfId="0" applyFont="1" applyFill="1" applyBorder="1" applyAlignment="1">
      <alignment horizontal="left" vertical="center" wrapText="1"/>
    </xf>
    <xf numFmtId="0" fontId="10" fillId="6" borderId="39" xfId="0" applyFont="1" applyFill="1" applyBorder="1" applyAlignment="1">
      <alignment horizontal="left" vertical="center" wrapText="1"/>
    </xf>
    <xf numFmtId="0" fontId="0" fillId="6" borderId="32" xfId="0" applyFill="1" applyBorder="1"/>
    <xf numFmtId="0" fontId="0" fillId="6" borderId="33" xfId="0" applyFill="1" applyBorder="1"/>
    <xf numFmtId="0" fontId="0" fillId="6" borderId="40" xfId="0" applyFill="1" applyBorder="1"/>
    <xf numFmtId="0" fontId="0" fillId="6" borderId="34" xfId="0" applyFill="1" applyBorder="1"/>
    <xf numFmtId="0" fontId="0" fillId="6" borderId="35" xfId="0" applyFill="1" applyBorder="1"/>
    <xf numFmtId="0" fontId="0" fillId="6" borderId="41" xfId="0" applyFill="1" applyBorder="1"/>
    <xf numFmtId="0" fontId="6" fillId="0" borderId="0" xfId="0" applyFont="1"/>
    <xf numFmtId="0" fontId="1" fillId="0" borderId="0" xfId="0" applyFont="1" applyAlignment="1">
      <alignment horizontal="left" indent="1"/>
    </xf>
    <xf numFmtId="3" fontId="1" fillId="0" borderId="0" xfId="0" applyNumberFormat="1" applyFont="1"/>
    <xf numFmtId="0" fontId="8" fillId="0" borderId="0" xfId="0" applyFont="1"/>
    <xf numFmtId="0" fontId="1" fillId="12" borderId="0" xfId="0" applyFont="1" applyFill="1" applyAlignment="1">
      <alignment horizontal="left" indent="1"/>
    </xf>
    <xf numFmtId="9" fontId="1" fillId="6" borderId="0" xfId="3" applyFont="1" applyFill="1" applyBorder="1" applyProtection="1"/>
    <xf numFmtId="170" fontId="3" fillId="2" borderId="0" xfId="1" applyNumberFormat="1" applyFont="1" applyFill="1" applyBorder="1" applyProtection="1"/>
    <xf numFmtId="9" fontId="1" fillId="2" borderId="0" xfId="3" applyFont="1" applyFill="1" applyBorder="1" applyProtection="1"/>
    <xf numFmtId="1" fontId="1" fillId="0" borderId="0" xfId="0" applyNumberFormat="1" applyFont="1"/>
    <xf numFmtId="173" fontId="1" fillId="6" borderId="0" xfId="1" applyNumberFormat="1" applyFont="1" applyFill="1" applyBorder="1" applyProtection="1"/>
    <xf numFmtId="1" fontId="1" fillId="0" borderId="0" xfId="0" applyNumberFormat="1" applyFont="1" applyAlignment="1">
      <alignment horizontal="right" vertical="center"/>
    </xf>
    <xf numFmtId="173" fontId="1" fillId="6" borderId="0" xfId="0" applyNumberFormat="1" applyFont="1" applyFill="1"/>
    <xf numFmtId="172" fontId="1" fillId="2" borderId="0" xfId="3" applyNumberFormat="1" applyFont="1" applyFill="1" applyBorder="1" applyProtection="1"/>
    <xf numFmtId="173" fontId="1" fillId="6" borderId="0" xfId="3" applyNumberFormat="1" applyFont="1" applyFill="1" applyBorder="1" applyProtection="1"/>
    <xf numFmtId="171" fontId="1" fillId="6" borderId="0" xfId="3" applyNumberFormat="1" applyFont="1" applyFill="1" applyBorder="1" applyProtection="1"/>
    <xf numFmtId="173" fontId="1" fillId="2" borderId="0" xfId="0" applyNumberFormat="1" applyFont="1" applyFill="1"/>
    <xf numFmtId="0" fontId="1" fillId="2" borderId="0" xfId="0" applyFont="1" applyFill="1" applyAlignment="1">
      <alignment horizontal="right" vertical="center"/>
    </xf>
    <xf numFmtId="0" fontId="11" fillId="0" borderId="0" xfId="0" applyFont="1"/>
    <xf numFmtId="9" fontId="1" fillId="2" borderId="0" xfId="3" applyFont="1" applyFill="1" applyBorder="1" applyAlignment="1" applyProtection="1">
      <alignment horizontal="right" wrapText="1"/>
    </xf>
    <xf numFmtId="0" fontId="12" fillId="0" borderId="0" xfId="0" applyFont="1" applyAlignment="1">
      <alignment horizontal="left" indent="1"/>
    </xf>
    <xf numFmtId="0" fontId="1" fillId="0" borderId="0" xfId="0" applyFont="1" applyAlignment="1">
      <alignment horizontal="left" vertical="center" indent="1"/>
    </xf>
    <xf numFmtId="170" fontId="1" fillId="2" borderId="0" xfId="1" applyNumberFormat="1" applyFont="1" applyFill="1" applyBorder="1" applyProtection="1"/>
    <xf numFmtId="174" fontId="1" fillId="0" borderId="0" xfId="0" applyNumberFormat="1" applyFont="1"/>
    <xf numFmtId="174" fontId="1" fillId="2" borderId="0" xfId="0" applyNumberFormat="1" applyFont="1" applyFill="1"/>
    <xf numFmtId="170" fontId="1" fillId="2" borderId="0" xfId="0" applyNumberFormat="1" applyFont="1" applyFill="1"/>
    <xf numFmtId="0" fontId="1" fillId="2" borderId="0" xfId="3" applyNumberFormat="1" applyFont="1" applyFill="1" applyBorder="1" applyAlignment="1" applyProtection="1">
      <alignment horizontal="right"/>
    </xf>
    <xf numFmtId="171" fontId="1" fillId="2" borderId="0" xfId="1" applyNumberFormat="1" applyFont="1" applyFill="1" applyBorder="1" applyProtection="1"/>
    <xf numFmtId="171" fontId="1" fillId="0" borderId="0" xfId="1" applyNumberFormat="1" applyFont="1" applyBorder="1" applyProtection="1"/>
    <xf numFmtId="0" fontId="5" fillId="0" borderId="0" xfId="0" applyFont="1"/>
    <xf numFmtId="170" fontId="14" fillId="0" borderId="0" xfId="1" applyNumberFormat="1" applyFont="1" applyBorder="1" applyProtection="1"/>
    <xf numFmtId="0" fontId="3" fillId="0" borderId="0" xfId="0" applyFont="1"/>
    <xf numFmtId="170" fontId="3" fillId="0" borderId="0" xfId="1" applyNumberFormat="1" applyFont="1" applyBorder="1" applyProtection="1"/>
    <xf numFmtId="173" fontId="1" fillId="0" borderId="0" xfId="0" applyNumberFormat="1" applyFont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5" fillId="0" borderId="17" xfId="0" applyFont="1" applyBorder="1"/>
    <xf numFmtId="170" fontId="1" fillId="6" borderId="0" xfId="1" applyNumberFormat="1" applyFont="1" applyFill="1" applyBorder="1" applyProtection="1"/>
    <xf numFmtId="9" fontId="1" fillId="0" borderId="0" xfId="3" applyFont="1" applyBorder="1" applyAlignment="1" applyProtection="1">
      <alignment horizontal="center"/>
    </xf>
    <xf numFmtId="170" fontId="3" fillId="6" borderId="0" xfId="1" applyNumberFormat="1" applyFont="1" applyFill="1" applyBorder="1" applyProtection="1"/>
    <xf numFmtId="0" fontId="12" fillId="0" borderId="0" xfId="0" applyFont="1"/>
    <xf numFmtId="0" fontId="1" fillId="8" borderId="0" xfId="0" applyFont="1" applyFill="1" applyAlignment="1">
      <alignment horizontal="center"/>
    </xf>
    <xf numFmtId="171" fontId="1" fillId="6" borderId="0" xfId="1" applyNumberFormat="1" applyFont="1" applyFill="1" applyBorder="1" applyProtection="1"/>
    <xf numFmtId="0" fontId="6" fillId="0" borderId="17" xfId="0" applyFont="1" applyBorder="1" applyAlignment="1">
      <alignment horizontal="right"/>
    </xf>
    <xf numFmtId="171" fontId="6" fillId="0" borderId="0" xfId="1" applyNumberFormat="1" applyFont="1" applyBorder="1" applyProtection="1"/>
    <xf numFmtId="9" fontId="6" fillId="0" borderId="0" xfId="3" applyFont="1" applyBorder="1" applyAlignment="1" applyProtection="1">
      <alignment horizontal="center"/>
    </xf>
    <xf numFmtId="167" fontId="6" fillId="0" borderId="0" xfId="2" applyNumberFormat="1" applyFont="1" applyBorder="1" applyProtection="1"/>
    <xf numFmtId="167" fontId="6" fillId="0" borderId="18" xfId="2" applyNumberFormat="1" applyFont="1" applyBorder="1" applyProtection="1"/>
    <xf numFmtId="0" fontId="15" fillId="0" borderId="17" xfId="0" applyFont="1" applyBorder="1" applyAlignment="1">
      <alignment horizontal="left" indent="3"/>
    </xf>
    <xf numFmtId="0" fontId="1" fillId="0" borderId="17" xfId="0" applyFont="1" applyBorder="1" applyAlignment="1">
      <alignment horizontal="center"/>
    </xf>
    <xf numFmtId="0" fontId="1" fillId="0" borderId="17" xfId="0" applyFont="1" applyBorder="1" applyAlignment="1">
      <alignment horizontal="left" indent="3"/>
    </xf>
    <xf numFmtId="175" fontId="1" fillId="0" borderId="0" xfId="1" applyNumberFormat="1" applyFont="1" applyBorder="1" applyProtection="1"/>
    <xf numFmtId="0" fontId="1" fillId="0" borderId="22" xfId="0" applyFont="1" applyBorder="1"/>
    <xf numFmtId="170" fontId="1" fillId="0" borderId="22" xfId="0" applyNumberFormat="1" applyFont="1" applyBorder="1"/>
    <xf numFmtId="0" fontId="1" fillId="0" borderId="23" xfId="0" applyFont="1" applyBorder="1"/>
    <xf numFmtId="0" fontId="1" fillId="0" borderId="0" xfId="0" applyFont="1" applyAlignment="1">
      <alignment horizontal="left" indent="2"/>
    </xf>
    <xf numFmtId="0" fontId="6" fillId="0" borderId="0" xfId="0" applyFont="1" applyAlignment="1">
      <alignment horizontal="right"/>
    </xf>
    <xf numFmtId="167" fontId="3" fillId="0" borderId="0" xfId="2" applyNumberFormat="1" applyFont="1" applyBorder="1" applyProtection="1"/>
    <xf numFmtId="0" fontId="1" fillId="0" borderId="0" xfId="0" applyFont="1" applyAlignment="1">
      <alignment horizontal="right"/>
    </xf>
    <xf numFmtId="0" fontId="1" fillId="0" borderId="0" xfId="2" applyNumberFormat="1" applyFont="1" applyBorder="1" applyProtection="1"/>
    <xf numFmtId="171" fontId="3" fillId="0" borderId="0" xfId="0" applyNumberFormat="1" applyFont="1"/>
    <xf numFmtId="0" fontId="6" fillId="0" borderId="0" xfId="0" applyFont="1" applyAlignment="1">
      <alignment horizontal="left"/>
    </xf>
    <xf numFmtId="166" fontId="1" fillId="0" borderId="0" xfId="2" applyFont="1" applyBorder="1" applyProtection="1"/>
    <xf numFmtId="171" fontId="1" fillId="2" borderId="0" xfId="0" applyNumberFormat="1" applyFont="1" applyFill="1"/>
    <xf numFmtId="0" fontId="16" fillId="0" borderId="0" xfId="0" applyFont="1"/>
    <xf numFmtId="165" fontId="6" fillId="0" borderId="0" xfId="0" applyNumberFormat="1" applyFont="1"/>
    <xf numFmtId="0" fontId="6" fillId="0" borderId="0" xfId="0" applyFont="1" applyAlignment="1">
      <alignment horizontal="left" indent="1"/>
    </xf>
    <xf numFmtId="0" fontId="8" fillId="0" borderId="0" xfId="0" applyFont="1" applyAlignment="1">
      <alignment horizontal="left" indent="1"/>
    </xf>
    <xf numFmtId="172" fontId="1" fillId="0" borderId="0" xfId="3" applyNumberFormat="1" applyFont="1" applyBorder="1" applyProtection="1"/>
    <xf numFmtId="171" fontId="12" fillId="0" borderId="0" xfId="0" applyNumberFormat="1" applyFont="1"/>
    <xf numFmtId="0" fontId="3" fillId="0" borderId="0" xfId="0" applyFont="1" applyAlignment="1">
      <alignment horizontal="left" indent="1"/>
    </xf>
    <xf numFmtId="0" fontId="6" fillId="0" borderId="0" xfId="0" applyFont="1" applyProtection="1">
      <protection locked="0"/>
    </xf>
    <xf numFmtId="0" fontId="1" fillId="0" borderId="0" xfId="0" applyFont="1" applyAlignment="1" applyProtection="1">
      <alignment horizontal="left" indent="1"/>
      <protection locked="0"/>
    </xf>
    <xf numFmtId="0" fontId="16" fillId="0" borderId="0" xfId="0" applyFont="1" applyAlignment="1">
      <alignment horizontal="left" indent="1"/>
    </xf>
    <xf numFmtId="0" fontId="17" fillId="0" borderId="0" xfId="0" applyFont="1" applyAlignment="1">
      <alignment horizontal="left" indent="1"/>
    </xf>
    <xf numFmtId="168" fontId="3" fillId="0" borderId="0" xfId="1" applyFont="1" applyBorder="1" applyProtection="1"/>
    <xf numFmtId="9" fontId="1" fillId="0" borderId="0" xfId="0" applyNumberFormat="1" applyFont="1"/>
    <xf numFmtId="176" fontId="3" fillId="0" borderId="0" xfId="0" applyNumberFormat="1" applyFont="1"/>
    <xf numFmtId="171" fontId="1" fillId="0" borderId="0" xfId="2" applyNumberFormat="1" applyFont="1" applyBorder="1" applyProtection="1"/>
    <xf numFmtId="0" fontId="19" fillId="0" borderId="0" xfId="0" applyFont="1" applyAlignment="1">
      <alignment horizontal="right"/>
    </xf>
    <xf numFmtId="0" fontId="19" fillId="0" borderId="0" xfId="0" applyFont="1"/>
    <xf numFmtId="175" fontId="12" fillId="6" borderId="0" xfId="1" applyNumberFormat="1" applyFont="1" applyFill="1" applyBorder="1" applyProtection="1"/>
    <xf numFmtId="169" fontId="1" fillId="0" borderId="0" xfId="0" applyNumberFormat="1" applyFont="1"/>
    <xf numFmtId="168" fontId="1" fillId="6" borderId="0" xfId="1" applyFont="1" applyFill="1" applyBorder="1" applyProtection="1"/>
    <xf numFmtId="0" fontId="3" fillId="0" borderId="9" xfId="0" applyFont="1" applyBorder="1"/>
    <xf numFmtId="0" fontId="3" fillId="0" borderId="11" xfId="0" applyFont="1" applyBorder="1"/>
    <xf numFmtId="0" fontId="1" fillId="6" borderId="10" xfId="0" applyFont="1" applyFill="1" applyBorder="1"/>
    <xf numFmtId="0" fontId="6" fillId="0" borderId="42" xfId="0" applyFont="1" applyBorder="1"/>
    <xf numFmtId="0" fontId="6" fillId="0" borderId="43" xfId="0" applyFont="1" applyBorder="1"/>
    <xf numFmtId="0" fontId="3" fillId="0" borderId="43" xfId="0" applyFont="1" applyBorder="1"/>
    <xf numFmtId="0" fontId="3" fillId="0" borderId="44" xfId="0" applyFont="1" applyBorder="1"/>
    <xf numFmtId="0" fontId="2" fillId="0" borderId="45" xfId="0" applyFont="1" applyBorder="1"/>
    <xf numFmtId="0" fontId="2" fillId="0" borderId="46" xfId="0" applyFont="1" applyBorder="1"/>
    <xf numFmtId="0" fontId="1" fillId="0" borderId="46" xfId="0" applyFont="1" applyBorder="1"/>
    <xf numFmtId="0" fontId="1" fillId="0" borderId="47" xfId="0" applyFont="1" applyBorder="1"/>
    <xf numFmtId="0" fontId="6" fillId="0" borderId="45" xfId="0" applyFont="1" applyBorder="1"/>
    <xf numFmtId="0" fontId="6" fillId="0" borderId="46" xfId="0" applyFont="1" applyBorder="1"/>
    <xf numFmtId="0" fontId="3" fillId="0" borderId="46" xfId="0" applyFont="1" applyBorder="1"/>
    <xf numFmtId="0" fontId="17" fillId="0" borderId="45" xfId="0" applyFont="1" applyBorder="1"/>
    <xf numFmtId="0" fontId="17" fillId="0" borderId="46" xfId="0" applyFont="1" applyBorder="1"/>
    <xf numFmtId="0" fontId="12" fillId="0" borderId="46" xfId="0" applyFont="1" applyBorder="1"/>
    <xf numFmtId="0" fontId="12" fillId="0" borderId="47" xfId="0" applyFont="1" applyBorder="1"/>
    <xf numFmtId="0" fontId="3" fillId="0" borderId="45" xfId="0" applyFont="1" applyBorder="1"/>
    <xf numFmtId="0" fontId="5" fillId="0" borderId="45" xfId="0" applyFont="1" applyBorder="1" applyProtection="1">
      <protection locked="0"/>
    </xf>
    <xf numFmtId="0" fontId="12" fillId="0" borderId="46" xfId="0" applyFont="1" applyBorder="1" applyProtection="1">
      <protection locked="0"/>
    </xf>
    <xf numFmtId="0" fontId="1" fillId="0" borderId="45" xfId="0" applyFont="1" applyBorder="1" applyProtection="1">
      <protection locked="0"/>
    </xf>
    <xf numFmtId="177" fontId="1" fillId="0" borderId="46" xfId="0" applyNumberFormat="1" applyFont="1" applyBorder="1"/>
    <xf numFmtId="178" fontId="1" fillId="6" borderId="46" xfId="0" applyNumberFormat="1" applyFont="1" applyFill="1" applyBorder="1"/>
    <xf numFmtId="178" fontId="1" fillId="6" borderId="47" xfId="0" applyNumberFormat="1" applyFont="1" applyFill="1" applyBorder="1"/>
    <xf numFmtId="178" fontId="1" fillId="0" borderId="46" xfId="0" applyNumberFormat="1" applyFont="1" applyBorder="1"/>
    <xf numFmtId="178" fontId="1" fillId="0" borderId="47" xfId="0" applyNumberFormat="1" applyFont="1" applyBorder="1"/>
    <xf numFmtId="177" fontId="1" fillId="6" borderId="46" xfId="0" applyNumberFormat="1" applyFont="1" applyFill="1" applyBorder="1"/>
    <xf numFmtId="0" fontId="1" fillId="0" borderId="46" xfId="0" applyFont="1" applyBorder="1" applyProtection="1">
      <protection locked="0"/>
    </xf>
    <xf numFmtId="0" fontId="5" fillId="0" borderId="46" xfId="0" applyFont="1" applyBorder="1" applyProtection="1">
      <protection locked="0"/>
    </xf>
    <xf numFmtId="9" fontId="1" fillId="0" borderId="46" xfId="3" applyFont="1" applyBorder="1" applyProtection="1"/>
    <xf numFmtId="9" fontId="1" fillId="0" borderId="47" xfId="3" applyFont="1" applyBorder="1" applyProtection="1"/>
    <xf numFmtId="0" fontId="1" fillId="0" borderId="48" xfId="0" applyFont="1" applyBorder="1" applyProtection="1">
      <protection locked="0"/>
    </xf>
    <xf numFmtId="0" fontId="1" fillId="0" borderId="49" xfId="0" applyFont="1" applyBorder="1"/>
    <xf numFmtId="9" fontId="1" fillId="0" borderId="49" xfId="3" applyFont="1" applyBorder="1" applyProtection="1"/>
    <xf numFmtId="9" fontId="1" fillId="0" borderId="50" xfId="3" applyFont="1" applyBorder="1" applyProtection="1"/>
    <xf numFmtId="0" fontId="20" fillId="0" borderId="0" xfId="4" applyFont="1" applyBorder="1" applyProtection="1"/>
    <xf numFmtId="165" fontId="1" fillId="0" borderId="0" xfId="0" applyNumberFormat="1" applyFont="1"/>
    <xf numFmtId="0" fontId="1" fillId="4" borderId="0" xfId="0" applyFont="1" applyFill="1" applyAlignment="1"/>
  </cellXfs>
  <cellStyles count="7">
    <cellStyle name="Comma" xfId="1" builtinId="3"/>
    <cellStyle name="Comma 16" xfId="5" xr:uid="{00000000-0005-0000-0000-000006000000}"/>
    <cellStyle name="Currency" xfId="2" builtinId="4"/>
    <cellStyle name="Hyperlink" xfId="4" builtinId="8"/>
    <cellStyle name="Normal" xfId="0" builtinId="0"/>
    <cellStyle name="Normal 2" xfId="6" xr:uid="{00000000-0005-0000-0000-000007000000}"/>
    <cellStyle name="Percent" xfId="3" builtinId="5"/>
  </cellStyles>
  <dxfs count="2">
    <dxf>
      <fill>
        <patternFill>
          <bgColor rgb="FFAFABAB"/>
        </patternFill>
      </fill>
    </dxf>
    <dxf>
      <font>
        <color rgb="FFFFFFFF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DD752D"/>
      <rgbColor rgb="FF800080"/>
      <rgbColor rgb="FF008080"/>
      <rgbColor rgb="FFBFBFBF"/>
      <rgbColor rgb="FF767171"/>
      <rgbColor rgb="FFAFABAB"/>
      <rgbColor rgb="FF993366"/>
      <rgbColor rgb="FFFFF2CC"/>
      <rgbColor rgb="FFDAF0F6"/>
      <rgbColor rgb="FF660066"/>
      <rgbColor rgb="FFEF9872"/>
      <rgbColor rgb="FF0563C1"/>
      <rgbColor rgb="FFD0CEC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E2F0D9"/>
      <rgbColor rgb="FFFBE5D6"/>
      <rgbColor rgb="FFD9D9D9"/>
      <rgbColor rgb="FFFF99CC"/>
      <rgbColor rgb="FFCC99FF"/>
      <rgbColor rgb="FFF4C1B1"/>
      <rgbColor rgb="FF4472C4"/>
      <rgbColor rgb="FF33CCCC"/>
      <rgbColor rgb="FF99CC00"/>
      <rgbColor rgb="FFFFCC00"/>
      <rgbColor rgb="FFED7D31"/>
      <rgbColor rgb="FFF57E20"/>
      <rgbColor rgb="FF595959"/>
      <rgbColor rgb="FFA5A5A5"/>
      <rgbColor rgb="FF003366"/>
      <rgbColor rgb="FF5B9BD5"/>
      <rgbColor rgb="FF003300"/>
      <rgbColor rgb="FF333300"/>
      <rgbColor rgb="FF993300"/>
      <rgbColor rgb="FF993366"/>
      <rgbColor rgb="FF333399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53849990025933"/>
          <c:y val="3.8809707241910602E-2"/>
          <c:w val="0.80400957510472804"/>
          <c:h val="0.8195300462249609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Dashboard!$F$7</c:f>
              <c:strCache>
                <c:ptCount val="1"/>
                <c:pt idx="0">
                  <c:v>HEAT NETWORK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0DFA-4A45-88EC-15C5162DA472}"/>
              </c:ext>
            </c:extLst>
          </c:dPt>
          <c:dLbls>
            <c:dLbl>
              <c:idx val="0"/>
              <c:layout>
                <c:manualLayout>
                  <c:x val="-0.130453197797543"/>
                  <c:y val="-8.2051282051282107E-2"/>
                </c:manualLayout>
              </c:layout>
              <c:tx>
                <c:rich>
                  <a:bodyPr/>
                  <a:lstStyle/>
                  <a:p>
                    <a:fld id="{B1F01278-770B-402A-B212-D65DB14DA191}" type="SERIESNAM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[]</a:t>
                    </a:fld>
                    <a:endParaRPr/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0-0DFA-4A45-88EC-15C5162DA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percentage"/>
            <c:noEndCap val="0"/>
            <c:val val="2.5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Dashboard!$F$23</c:f>
              <c:numCache>
                <c:formatCode>_-* #,##0_-;\-* #,##0_-;_-* \-??_-;_-@_-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Dashboard!$F$9</c:f>
              <c:numCache>
                <c:formatCode>_-\£* #,##0_-;"-£"* #,##0_-;_-\£* \-??_-;_-@_-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FA-4A45-88EC-15C5162DA472}"/>
            </c:ext>
          </c:extLst>
        </c:ser>
        <c:ser>
          <c:idx val="1"/>
          <c:order val="1"/>
          <c:tx>
            <c:strRef>
              <c:f>Dashboard!$I$7</c:f>
              <c:strCache>
                <c:ptCount val="1"/>
                <c:pt idx="0">
                  <c:v>COUNTERFACTUAL 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DD752D"/>
              </a:solidFill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2-0DFA-4A45-88EC-15C5162DA472}"/>
              </c:ext>
            </c:extLst>
          </c:dPt>
          <c:dLbls>
            <c:dLbl>
              <c:idx val="0"/>
              <c:layout>
                <c:manualLayout>
                  <c:x val="-0.14570097416349001"/>
                  <c:y val="-6.1538461538461597E-2"/>
                </c:manualLayout>
              </c:layout>
              <c:tx>
                <c:rich>
                  <a:bodyPr/>
                  <a:lstStyle/>
                  <a:p>
                    <a:fld id="{D65B38A7-C68D-4E57-A29D-80B2A5E2D60C}" type="SERIESNAM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[]</a:t>
                    </a:fld>
                    <a:endParaRPr/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DFA-4A45-88EC-15C5162DA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errBars>
            <c:errDir val="y"/>
            <c:errBarType val="both"/>
            <c:errValType val="percentage"/>
            <c:noEndCap val="0"/>
            <c:val val="5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percentage"/>
            <c:noEndCap val="0"/>
            <c:val val="2.5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Dashboard!$I$23</c:f>
              <c:numCache>
                <c:formatCode>_-* #,##0_-;\-* #,##0_-;_-* \-??_-;_-@_-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Dashboard!$I$9</c:f>
              <c:numCache>
                <c:formatCode>_-\£* #,##0_-;"-£"* #,##0_-;_-\£* \-??_-;_-@_-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FA-4A45-88EC-15C5162DA472}"/>
            </c:ext>
          </c:extLst>
        </c:ser>
        <c:ser>
          <c:idx val="2"/>
          <c:order val="2"/>
          <c:tx>
            <c:strRef>
              <c:f>Dashboard!$G$7</c:f>
              <c:strCache>
                <c:ptCount val="1"/>
                <c:pt idx="0">
                  <c:v>ALTERNATIVE SOLUTION FOR REMAINING SITES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EF9872"/>
              </a:solidFill>
            </c:spPr>
          </c:marke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4-0DFA-4A45-88EC-15C5162DA472}"/>
              </c:ext>
            </c:extLst>
          </c:dPt>
          <c:dLbls>
            <c:dLbl>
              <c:idx val="0"/>
              <c:layout>
                <c:manualLayout>
                  <c:x val="5.7602710715798401E-2"/>
                  <c:y val="-5.8119658119658101E-2"/>
                </c:manualLayout>
              </c:layout>
              <c:tx>
                <c:rich>
                  <a:bodyPr/>
                  <a:lstStyle/>
                  <a:p>
                    <a:fld id="{ABF34232-1B56-4D64-8885-04B00B2AEDAC}" type="SERIESNAME">
                      <a:rPr lang="en-US" sz="900" b="0" strike="noStrike" spc="-1">
                        <a:solidFill>
                          <a:srgbClr val="404040"/>
                        </a:solidFill>
                        <a:latin typeface="Calibri"/>
                      </a:rPr>
                      <a:pPr/>
                      <a:t>[]</a:t>
                    </a:fld>
                    <a:endParaRPr/>
                  </a:p>
                </c:rich>
              </c:tx>
              <c:spPr/>
              <c:dLblPos val="r"/>
              <c:showLegendKey val="0"/>
              <c:showVal val="1"/>
              <c:showCatName val="0"/>
              <c:showSerName val="0"/>
              <c:showPercent val="0"/>
              <c:showBubbleSize val="1"/>
              <c:separator>; </c:separator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0DFA-4A45-88EC-15C5162DA47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900" b="0" strike="noStrike" spc="-1">
                    <a:solidFill>
                      <a:srgbClr val="40404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Dashboard!$G$23</c:f>
              <c:numCache>
                <c:formatCode>_-* #,##0_-;\-* #,##0_-;_-* \-??_-;_-@_-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Dashboard!$G$9</c:f>
              <c:numCache>
                <c:formatCode>_-\£* #,##0_-;"-£"* #,##0_-;_-\£* \-??_-;_-@_-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DFA-4A45-88EC-15C5162DA472}"/>
            </c:ext>
          </c:extLst>
        </c:ser>
        <c:ser>
          <c:idx val="3"/>
          <c:order val="3"/>
          <c:tx>
            <c:strRef>
              <c:f>Dashboard!$H$7</c:f>
              <c:strCache>
                <c:ptCount val="1"/>
                <c:pt idx="0">
                  <c:v>COMBINED SOLUTION </c:v>
                </c:pt>
              </c:strCache>
            </c:strRef>
          </c:tx>
          <c:spPr>
            <a:ln w="25560">
              <a:noFill/>
            </a:ln>
          </c:spPr>
          <c:marker>
            <c:symbol val="circle"/>
            <c:size val="5"/>
            <c:spPr>
              <a:solidFill>
                <a:srgbClr val="F4C1B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Dashboard!$H$23</c:f>
              <c:numCache>
                <c:formatCode>_-* #,##0_-;\-* #,##0_-;_-* \-??_-;_-@_-</c:formatCode>
                <c:ptCount val="1"/>
                <c:pt idx="0">
                  <c:v>0</c:v>
                </c:pt>
              </c:numCache>
            </c:numRef>
          </c:xVal>
          <c:yVal>
            <c:numRef>
              <c:f>Dashboard!$H$9</c:f>
              <c:numCache>
                <c:formatCode>_-\£* #,##0_-;"-£"* #,##0_-;_-\£* \-??_-;_-@_-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DFA-4A45-88EC-15C5162DA4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538992"/>
        <c:axId val="98654639"/>
      </c:scatterChart>
      <c:valAx>
        <c:axId val="78538992"/>
        <c:scaling>
          <c:orientation val="minMax"/>
          <c:min val="50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lang="en-GB" sz="105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50" b="0" strike="noStrike" spc="-1">
                    <a:solidFill>
                      <a:srgbClr val="595959"/>
                    </a:solidFill>
                    <a:latin typeface="Calibri"/>
                  </a:rPr>
                  <a:t>Carbon emitted, tCO2e</a:t>
                </a:r>
              </a:p>
            </c:rich>
          </c:tx>
          <c:layout>
            <c:manualLayout>
              <c:xMode val="edge"/>
              <c:yMode val="edge"/>
              <c:x val="0.45137642130460798"/>
              <c:y val="0.93441833590138701"/>
            </c:manualLayout>
          </c:layout>
          <c:overlay val="0"/>
          <c:spPr>
            <a:noFill/>
            <a:ln w="0">
              <a:noFill/>
            </a:ln>
          </c:spPr>
        </c:title>
        <c:numFmt formatCode="_-* #,##0_-;\-* #,##0_-;_-* \-??_-;_-@_-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8654639"/>
        <c:crosses val="autoZero"/>
        <c:crossBetween val="midCat"/>
      </c:valAx>
      <c:valAx>
        <c:axId val="98654639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5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50" b="0" strike="noStrike" spc="-1">
                    <a:solidFill>
                      <a:srgbClr val="595959"/>
                    </a:solidFill>
                    <a:latin typeface="Calibri"/>
                  </a:rPr>
                  <a:t>Net present cost</a:t>
                </a:r>
              </a:p>
            </c:rich>
          </c:tx>
          <c:layout>
            <c:manualLayout>
              <c:xMode val="edge"/>
              <c:yMode val="edge"/>
              <c:x val="5.9844404548174701E-4"/>
              <c:y val="0.29940292758089398"/>
            </c:manualLayout>
          </c:layout>
          <c:overlay val="0"/>
          <c:spPr>
            <a:noFill/>
            <a:ln w="0">
              <a:noFill/>
            </a:ln>
          </c:spPr>
        </c:title>
        <c:numFmt formatCode="_-\£* #,##0_-;&quot;-£&quot;* #,##0_-;_-\£* \-??_-;_-@_-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8538992"/>
        <c:crosses val="autoZero"/>
        <c:crossBetween val="midCat"/>
      </c:valAx>
      <c:spPr>
        <a:noFill/>
        <a:ln w="0">
          <a:noFill/>
        </a:ln>
      </c:spPr>
    </c:plotArea>
    <c:plotVisOnly val="1"/>
    <c:dispBlanksAs val="gap"/>
    <c:showDLblsOverMax val="1"/>
  </c:chart>
  <c:spPr>
    <a:solidFill>
      <a:srgbClr val="FFFFFF"/>
    </a:solidFill>
    <a:ln w="9360">
      <a:solidFill>
        <a:srgbClr val="FFFFF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44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40" b="0" strike="noStrike" spc="-1">
                <a:solidFill>
                  <a:srgbClr val="595959"/>
                </a:solidFill>
                <a:latin typeface="Calibri"/>
              </a:rPr>
              <a:t>NPC - Net Present Cost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381847584394599"/>
          <c:y val="0.118156180103083"/>
          <c:w val="0.84470386092581395"/>
          <c:h val="0.71992609160750798"/>
        </c:manualLayout>
      </c:layout>
      <c:lineChart>
        <c:grouping val="standard"/>
        <c:varyColors val="0"/>
        <c:ser>
          <c:idx val="0"/>
          <c:order val="0"/>
          <c:tx>
            <c:strRef>
              <c:f>'Financial Analysis'!$B$155</c:f>
              <c:strCache>
                <c:ptCount val="1"/>
                <c:pt idx="0">
                  <c:v>Heat network</c:v>
                </c:pt>
              </c:strCache>
            </c:strRef>
          </c:tx>
          <c:spPr>
            <a:ln w="28440" cap="rnd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CO2e!$C$21:$AQ$21</c:f>
              <c:numCache>
                <c:formatCode>General</c:formatCode>
                <c:ptCount val="41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  <c:pt idx="20">
                  <c:v>2046</c:v>
                </c:pt>
                <c:pt idx="21">
                  <c:v>2047</c:v>
                </c:pt>
                <c:pt idx="22">
                  <c:v>2048</c:v>
                </c:pt>
                <c:pt idx="23">
                  <c:v>2049</c:v>
                </c:pt>
                <c:pt idx="24">
                  <c:v>2050</c:v>
                </c:pt>
                <c:pt idx="25">
                  <c:v>2051</c:v>
                </c:pt>
                <c:pt idx="26">
                  <c:v>2052</c:v>
                </c:pt>
                <c:pt idx="27">
                  <c:v>2053</c:v>
                </c:pt>
                <c:pt idx="28">
                  <c:v>2054</c:v>
                </c:pt>
                <c:pt idx="29">
                  <c:v>2055</c:v>
                </c:pt>
                <c:pt idx="30">
                  <c:v>2056</c:v>
                </c:pt>
                <c:pt idx="31">
                  <c:v>2057</c:v>
                </c:pt>
                <c:pt idx="32">
                  <c:v>2058</c:v>
                </c:pt>
                <c:pt idx="33">
                  <c:v>2059</c:v>
                </c:pt>
                <c:pt idx="34">
                  <c:v>2060</c:v>
                </c:pt>
                <c:pt idx="35">
                  <c:v>2061</c:v>
                </c:pt>
                <c:pt idx="36">
                  <c:v>2062</c:v>
                </c:pt>
                <c:pt idx="37">
                  <c:v>2063</c:v>
                </c:pt>
                <c:pt idx="38">
                  <c:v>2064</c:v>
                </c:pt>
                <c:pt idx="39">
                  <c:v>2065</c:v>
                </c:pt>
                <c:pt idx="40">
                  <c:v>2066</c:v>
                </c:pt>
              </c:numCache>
            </c:numRef>
          </c:cat>
          <c:val>
            <c:numRef>
              <c:f>'Financial Analysis'!$D$156:$AR$156</c:f>
              <c:numCache>
                <c:formatCode>_-\£* #,##0_-;"-£"* #,##0_-;_-\£* \-??_-;_-@_-</c:formatCode>
                <c:ptCount val="41"/>
                <c:pt idx="0" formatCode="_-[$£-809]* #,##0_-;\-[$£-809]* #,##0_-;_-[$£-809]* \-??_-;_-@_-">
                  <c:v>9267897.107294064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75-432A-819B-42214299501C}"/>
            </c:ext>
          </c:extLst>
        </c:ser>
        <c:ser>
          <c:idx val="1"/>
          <c:order val="1"/>
          <c:tx>
            <c:strRef>
              <c:f>'Financial Analysis'!$B$158</c:f>
              <c:strCache>
                <c:ptCount val="1"/>
                <c:pt idx="0">
                  <c:v>Alternative solution for remaining sites 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CO2e!$C$21:$AQ$21</c:f>
              <c:numCache>
                <c:formatCode>General</c:formatCode>
                <c:ptCount val="41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  <c:pt idx="20">
                  <c:v>2046</c:v>
                </c:pt>
                <c:pt idx="21">
                  <c:v>2047</c:v>
                </c:pt>
                <c:pt idx="22">
                  <c:v>2048</c:v>
                </c:pt>
                <c:pt idx="23">
                  <c:v>2049</c:v>
                </c:pt>
                <c:pt idx="24">
                  <c:v>2050</c:v>
                </c:pt>
                <c:pt idx="25">
                  <c:v>2051</c:v>
                </c:pt>
                <c:pt idx="26">
                  <c:v>2052</c:v>
                </c:pt>
                <c:pt idx="27">
                  <c:v>2053</c:v>
                </c:pt>
                <c:pt idx="28">
                  <c:v>2054</c:v>
                </c:pt>
                <c:pt idx="29">
                  <c:v>2055</c:v>
                </c:pt>
                <c:pt idx="30">
                  <c:v>2056</c:v>
                </c:pt>
                <c:pt idx="31">
                  <c:v>2057</c:v>
                </c:pt>
                <c:pt idx="32">
                  <c:v>2058</c:v>
                </c:pt>
                <c:pt idx="33">
                  <c:v>2059</c:v>
                </c:pt>
                <c:pt idx="34">
                  <c:v>2060</c:v>
                </c:pt>
                <c:pt idx="35">
                  <c:v>2061</c:v>
                </c:pt>
                <c:pt idx="36">
                  <c:v>2062</c:v>
                </c:pt>
                <c:pt idx="37">
                  <c:v>2063</c:v>
                </c:pt>
                <c:pt idx="38">
                  <c:v>2064</c:v>
                </c:pt>
                <c:pt idx="39">
                  <c:v>2065</c:v>
                </c:pt>
                <c:pt idx="40">
                  <c:v>2066</c:v>
                </c:pt>
              </c:numCache>
            </c:numRef>
          </c:cat>
          <c:val>
            <c:numRef>
              <c:f>'Financial Analysis'!$D$159:$AR$159</c:f>
              <c:numCache>
                <c:formatCode>_-\£* #,##0_-;"-£"* #,##0_-;_-\£* \-??_-;_-@_-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75-432A-819B-42214299501C}"/>
            </c:ext>
          </c:extLst>
        </c:ser>
        <c:ser>
          <c:idx val="2"/>
          <c:order val="2"/>
          <c:tx>
            <c:strRef>
              <c:f>'Financial Analysis'!$B$161</c:f>
              <c:strCache>
                <c:ptCount val="1"/>
                <c:pt idx="0">
                  <c:v>Counterfactual 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CO2e!$C$21:$AQ$21</c:f>
              <c:numCache>
                <c:formatCode>General</c:formatCode>
                <c:ptCount val="41"/>
                <c:pt idx="0">
                  <c:v>2026</c:v>
                </c:pt>
                <c:pt idx="1">
                  <c:v>2027</c:v>
                </c:pt>
                <c:pt idx="2">
                  <c:v>2028</c:v>
                </c:pt>
                <c:pt idx="3">
                  <c:v>2029</c:v>
                </c:pt>
                <c:pt idx="4">
                  <c:v>2030</c:v>
                </c:pt>
                <c:pt idx="5">
                  <c:v>2031</c:v>
                </c:pt>
                <c:pt idx="6">
                  <c:v>2032</c:v>
                </c:pt>
                <c:pt idx="7">
                  <c:v>2033</c:v>
                </c:pt>
                <c:pt idx="8">
                  <c:v>2034</c:v>
                </c:pt>
                <c:pt idx="9">
                  <c:v>2035</c:v>
                </c:pt>
                <c:pt idx="10">
                  <c:v>2036</c:v>
                </c:pt>
                <c:pt idx="11">
                  <c:v>2037</c:v>
                </c:pt>
                <c:pt idx="12">
                  <c:v>2038</c:v>
                </c:pt>
                <c:pt idx="13">
                  <c:v>2039</c:v>
                </c:pt>
                <c:pt idx="14">
                  <c:v>2040</c:v>
                </c:pt>
                <c:pt idx="15">
                  <c:v>2041</c:v>
                </c:pt>
                <c:pt idx="16">
                  <c:v>2042</c:v>
                </c:pt>
                <c:pt idx="17">
                  <c:v>2043</c:v>
                </c:pt>
                <c:pt idx="18">
                  <c:v>2044</c:v>
                </c:pt>
                <c:pt idx="19">
                  <c:v>2045</c:v>
                </c:pt>
                <c:pt idx="20">
                  <c:v>2046</c:v>
                </c:pt>
                <c:pt idx="21">
                  <c:v>2047</c:v>
                </c:pt>
                <c:pt idx="22">
                  <c:v>2048</c:v>
                </c:pt>
                <c:pt idx="23">
                  <c:v>2049</c:v>
                </c:pt>
                <c:pt idx="24">
                  <c:v>2050</c:v>
                </c:pt>
                <c:pt idx="25">
                  <c:v>2051</c:v>
                </c:pt>
                <c:pt idx="26">
                  <c:v>2052</c:v>
                </c:pt>
                <c:pt idx="27">
                  <c:v>2053</c:v>
                </c:pt>
                <c:pt idx="28">
                  <c:v>2054</c:v>
                </c:pt>
                <c:pt idx="29">
                  <c:v>2055</c:v>
                </c:pt>
                <c:pt idx="30">
                  <c:v>2056</c:v>
                </c:pt>
                <c:pt idx="31">
                  <c:v>2057</c:v>
                </c:pt>
                <c:pt idx="32">
                  <c:v>2058</c:v>
                </c:pt>
                <c:pt idx="33">
                  <c:v>2059</c:v>
                </c:pt>
                <c:pt idx="34">
                  <c:v>2060</c:v>
                </c:pt>
                <c:pt idx="35">
                  <c:v>2061</c:v>
                </c:pt>
                <c:pt idx="36">
                  <c:v>2062</c:v>
                </c:pt>
                <c:pt idx="37">
                  <c:v>2063</c:v>
                </c:pt>
                <c:pt idx="38">
                  <c:v>2064</c:v>
                </c:pt>
                <c:pt idx="39">
                  <c:v>2065</c:v>
                </c:pt>
                <c:pt idx="40">
                  <c:v>2066</c:v>
                </c:pt>
              </c:numCache>
            </c:numRef>
          </c:cat>
          <c:val>
            <c:numRef>
              <c:f>'Financial Analysis'!$D$162:$AR$162</c:f>
              <c:numCache>
                <c:formatCode>_-\£* #,##0_-;"-£"* #,##0_-;_-\£* \-??_-;_-@_-</c:formatCode>
                <c:ptCount val="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F75-432A-819B-422142995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67585078"/>
        <c:axId val="67807254"/>
      </c:lineChart>
      <c:catAx>
        <c:axId val="6758507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 rot="-5400000"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807254"/>
        <c:crosses val="autoZero"/>
        <c:auto val="1"/>
        <c:lblAlgn val="ctr"/>
        <c:lblOffset val="100"/>
        <c:noMultiLvlLbl val="0"/>
      </c:catAx>
      <c:valAx>
        <c:axId val="6780725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-[$£-809]* #,##0_-;\-[$£-809]* #,##0_-;_-[$£-809]* \-??_-;_-@_-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67585078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6.8926916016588499E-2"/>
          <c:y val="0.92192737899615995"/>
          <c:w val="0.93107308398341104"/>
          <c:h val="5.4850392820651503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FFFFF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GB" sz="144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GB" sz="1440" b="0" strike="noStrike" spc="-1">
                <a:solidFill>
                  <a:srgbClr val="595959"/>
                </a:solidFill>
                <a:latin typeface="Calibri"/>
              </a:rPr>
              <a:t>Tonnes of carbon emissions</a:t>
            </a:r>
          </a:p>
        </c:rich>
      </c:tx>
      <c:layout>
        <c:manualLayout>
          <c:xMode val="edge"/>
          <c:yMode val="edge"/>
          <c:x val="0.35778017452691402"/>
          <c:y val="2.2498888394842199E-2"/>
        </c:manualLayout>
      </c:layout>
      <c:overlay val="0"/>
      <c:spPr>
        <a:noFill/>
        <a:ln w="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3195411314834803E-2"/>
          <c:y val="9.7465540240106702E-2"/>
          <c:w val="0.88091969800960901"/>
          <c:h val="0.73134726545131201"/>
        </c:manualLayout>
      </c:layout>
      <c:lineChart>
        <c:grouping val="standard"/>
        <c:varyColors val="0"/>
        <c:ser>
          <c:idx val="0"/>
          <c:order val="0"/>
          <c:tx>
            <c:strRef>
              <c:f>"Total heat network emissions, tCO2"</c:f>
              <c:strCache>
                <c:ptCount val="1"/>
                <c:pt idx="0">
                  <c:v>Total heat network emissions, tCO2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CO2e!$D$21:$AQ$21</c:f>
              <c:numCache>
                <c:formatCode>General</c:formatCode>
                <c:ptCount val="40"/>
                <c:pt idx="0">
                  <c:v>2027</c:v>
                </c:pt>
                <c:pt idx="1">
                  <c:v>2028</c:v>
                </c:pt>
                <c:pt idx="2">
                  <c:v>2029</c:v>
                </c:pt>
                <c:pt idx="3">
                  <c:v>2030</c:v>
                </c:pt>
                <c:pt idx="4">
                  <c:v>2031</c:v>
                </c:pt>
                <c:pt idx="5">
                  <c:v>2032</c:v>
                </c:pt>
                <c:pt idx="6">
                  <c:v>2033</c:v>
                </c:pt>
                <c:pt idx="7">
                  <c:v>2034</c:v>
                </c:pt>
                <c:pt idx="8">
                  <c:v>2035</c:v>
                </c:pt>
                <c:pt idx="9">
                  <c:v>2036</c:v>
                </c:pt>
                <c:pt idx="10">
                  <c:v>2037</c:v>
                </c:pt>
                <c:pt idx="11">
                  <c:v>2038</c:v>
                </c:pt>
                <c:pt idx="12">
                  <c:v>2039</c:v>
                </c:pt>
                <c:pt idx="13">
                  <c:v>2040</c:v>
                </c:pt>
                <c:pt idx="14">
                  <c:v>2041</c:v>
                </c:pt>
                <c:pt idx="15">
                  <c:v>2042</c:v>
                </c:pt>
                <c:pt idx="16">
                  <c:v>2043</c:v>
                </c:pt>
                <c:pt idx="17">
                  <c:v>2044</c:v>
                </c:pt>
                <c:pt idx="18">
                  <c:v>2045</c:v>
                </c:pt>
                <c:pt idx="19">
                  <c:v>2046</c:v>
                </c:pt>
                <c:pt idx="20">
                  <c:v>2047</c:v>
                </c:pt>
                <c:pt idx="21">
                  <c:v>2048</c:v>
                </c:pt>
                <c:pt idx="22">
                  <c:v>2049</c:v>
                </c:pt>
                <c:pt idx="23">
                  <c:v>2050</c:v>
                </c:pt>
                <c:pt idx="24">
                  <c:v>2051</c:v>
                </c:pt>
                <c:pt idx="25">
                  <c:v>2052</c:v>
                </c:pt>
                <c:pt idx="26">
                  <c:v>2053</c:v>
                </c:pt>
                <c:pt idx="27">
                  <c:v>2054</c:v>
                </c:pt>
                <c:pt idx="28">
                  <c:v>2055</c:v>
                </c:pt>
                <c:pt idx="29">
                  <c:v>2056</c:v>
                </c:pt>
                <c:pt idx="30">
                  <c:v>2057</c:v>
                </c:pt>
                <c:pt idx="31">
                  <c:v>2058</c:v>
                </c:pt>
                <c:pt idx="32">
                  <c:v>2059</c:v>
                </c:pt>
                <c:pt idx="33">
                  <c:v>2060</c:v>
                </c:pt>
                <c:pt idx="34">
                  <c:v>2061</c:v>
                </c:pt>
                <c:pt idx="35">
                  <c:v>2062</c:v>
                </c:pt>
                <c:pt idx="36">
                  <c:v>2063</c:v>
                </c:pt>
                <c:pt idx="37">
                  <c:v>2064</c:v>
                </c:pt>
                <c:pt idx="38">
                  <c:v>2065</c:v>
                </c:pt>
                <c:pt idx="39">
                  <c:v>2066</c:v>
                </c:pt>
              </c:numCache>
            </c:numRef>
          </c:cat>
          <c:val>
            <c:numRef>
              <c:f>CO2e!$D$39:$AQ$39</c:f>
              <c:numCache>
                <c:formatCode>_-* #,##0_-;\-* #,##0_-;_-* \-??_-;_-@_-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6F-4A25-8F71-BE5C735C9E15}"/>
            </c:ext>
          </c:extLst>
        </c:ser>
        <c:ser>
          <c:idx val="1"/>
          <c:order val="1"/>
          <c:tx>
            <c:strRef>
              <c:f>"Counterfactual emissions, tCO2"</c:f>
              <c:strCache>
                <c:ptCount val="1"/>
                <c:pt idx="0">
                  <c:v>Counterfactual emissions, tCO2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2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numRef>
              <c:f>CO2e!$D$21:$AQ$21</c:f>
              <c:numCache>
                <c:formatCode>General</c:formatCode>
                <c:ptCount val="40"/>
                <c:pt idx="0">
                  <c:v>2027</c:v>
                </c:pt>
                <c:pt idx="1">
                  <c:v>2028</c:v>
                </c:pt>
                <c:pt idx="2">
                  <c:v>2029</c:v>
                </c:pt>
                <c:pt idx="3">
                  <c:v>2030</c:v>
                </c:pt>
                <c:pt idx="4">
                  <c:v>2031</c:v>
                </c:pt>
                <c:pt idx="5">
                  <c:v>2032</c:v>
                </c:pt>
                <c:pt idx="6">
                  <c:v>2033</c:v>
                </c:pt>
                <c:pt idx="7">
                  <c:v>2034</c:v>
                </c:pt>
                <c:pt idx="8">
                  <c:v>2035</c:v>
                </c:pt>
                <c:pt idx="9">
                  <c:v>2036</c:v>
                </c:pt>
                <c:pt idx="10">
                  <c:v>2037</c:v>
                </c:pt>
                <c:pt idx="11">
                  <c:v>2038</c:v>
                </c:pt>
                <c:pt idx="12">
                  <c:v>2039</c:v>
                </c:pt>
                <c:pt idx="13">
                  <c:v>2040</c:v>
                </c:pt>
                <c:pt idx="14">
                  <c:v>2041</c:v>
                </c:pt>
                <c:pt idx="15">
                  <c:v>2042</c:v>
                </c:pt>
                <c:pt idx="16">
                  <c:v>2043</c:v>
                </c:pt>
                <c:pt idx="17">
                  <c:v>2044</c:v>
                </c:pt>
                <c:pt idx="18">
                  <c:v>2045</c:v>
                </c:pt>
                <c:pt idx="19">
                  <c:v>2046</c:v>
                </c:pt>
                <c:pt idx="20">
                  <c:v>2047</c:v>
                </c:pt>
                <c:pt idx="21">
                  <c:v>2048</c:v>
                </c:pt>
                <c:pt idx="22">
                  <c:v>2049</c:v>
                </c:pt>
                <c:pt idx="23">
                  <c:v>2050</c:v>
                </c:pt>
                <c:pt idx="24">
                  <c:v>2051</c:v>
                </c:pt>
                <c:pt idx="25">
                  <c:v>2052</c:v>
                </c:pt>
                <c:pt idx="26">
                  <c:v>2053</c:v>
                </c:pt>
                <c:pt idx="27">
                  <c:v>2054</c:v>
                </c:pt>
                <c:pt idx="28">
                  <c:v>2055</c:v>
                </c:pt>
                <c:pt idx="29">
                  <c:v>2056</c:v>
                </c:pt>
                <c:pt idx="30">
                  <c:v>2057</c:v>
                </c:pt>
                <c:pt idx="31">
                  <c:v>2058</c:v>
                </c:pt>
                <c:pt idx="32">
                  <c:v>2059</c:v>
                </c:pt>
                <c:pt idx="33">
                  <c:v>2060</c:v>
                </c:pt>
                <c:pt idx="34">
                  <c:v>2061</c:v>
                </c:pt>
                <c:pt idx="35">
                  <c:v>2062</c:v>
                </c:pt>
                <c:pt idx="36">
                  <c:v>2063</c:v>
                </c:pt>
                <c:pt idx="37">
                  <c:v>2064</c:v>
                </c:pt>
                <c:pt idx="38">
                  <c:v>2065</c:v>
                </c:pt>
                <c:pt idx="39">
                  <c:v>2066</c:v>
                </c:pt>
              </c:numCache>
            </c:numRef>
          </c:cat>
          <c:val>
            <c:numRef>
              <c:f>CO2e!$D$77:$AQ$77</c:f>
              <c:numCache>
                <c:formatCode>_-* #,##0_-;\-* #,##0_-;_-* \-??_-;_-@_-</c:formatCode>
                <c:ptCount val="4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6F-4A25-8F71-BE5C735C9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71024993"/>
        <c:axId val="91516023"/>
      </c:lineChart>
      <c:catAx>
        <c:axId val="71024993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91516023"/>
        <c:crosses val="autoZero"/>
        <c:auto val="1"/>
        <c:lblAlgn val="ctr"/>
        <c:lblOffset val="100"/>
        <c:noMultiLvlLbl val="0"/>
      </c:catAx>
      <c:valAx>
        <c:axId val="9151602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lang="en-GB" sz="1000" b="0" strike="noStrike" spc="-1">
                    <a:solidFill>
                      <a:srgbClr val="595959"/>
                    </a:solidFill>
                    <a:latin typeface="Calibri"/>
                  </a:defRPr>
                </a:pPr>
                <a:r>
                  <a:rPr lang="en-GB" sz="1000" b="0" strike="noStrike" spc="-1">
                    <a:solidFill>
                      <a:srgbClr val="595959"/>
                    </a:solidFill>
                    <a:latin typeface="Calibri"/>
                  </a:rPr>
                  <a:t>Tonnes carbon, tCO2e</a:t>
                </a:r>
              </a:p>
            </c:rich>
          </c:tx>
          <c:layout>
            <c:manualLayout>
              <c:xMode val="edge"/>
              <c:yMode val="edge"/>
              <c:x val="1.1177566428081201E-2"/>
              <c:y val="0.27692307692307699"/>
            </c:manualLayout>
          </c:layout>
          <c:overlay val="0"/>
          <c:spPr>
            <a:noFill/>
            <a:ln w="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71024993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.159266855564381"/>
          <c:y val="0.91836710960143497"/>
          <c:w val="0.68146628887123695"/>
          <c:h val="5.4505232339016503E-2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spPr>
    <a:solidFill>
      <a:srgbClr val="FFFFFF"/>
    </a:solidFill>
    <a:ln w="9360">
      <a:solidFill>
        <a:srgbClr val="FFFFFF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c:style val="2"/>
  <c:chart>
    <c:title>
      <c:tx>
        <c:rich>
          <a:bodyPr rot="0"/>
          <a:lstStyle/>
          <a:p>
            <a:pPr>
              <a:defRPr lang="en-US" sz="1679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679" b="0" strike="noStrike" spc="-1">
                <a:solidFill>
                  <a:srgbClr val="595959"/>
                </a:solidFill>
                <a:latin typeface="Calibri"/>
              </a:rPr>
              <a:t>Price projections 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"BEIS price projections - Gas"</c:f>
              <c:strCache>
                <c:ptCount val="1"/>
                <c:pt idx="0">
                  <c:v>BEIS price projections - Gas</c:v>
                </c:pt>
              </c:strCache>
            </c:strRef>
          </c:tx>
          <c:spPr>
            <a:ln w="28440" cap="rnd">
              <a:solidFill>
                <a:srgbClr val="ED7D31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4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'Price projections'!$F$54:$X$54</c:f>
              <c:numCache>
                <c:formatCode>0%</c:formatCode>
                <c:ptCount val="19"/>
                <c:pt idx="0">
                  <c:v>1</c:v>
                </c:pt>
                <c:pt idx="1">
                  <c:v>1.0413093966683578</c:v>
                </c:pt>
                <c:pt idx="2">
                  <c:v>1.0565647594296901</c:v>
                </c:pt>
                <c:pt idx="3">
                  <c:v>1.0831260205070705</c:v>
                </c:pt>
                <c:pt idx="4">
                  <c:v>1.0971834702417418</c:v>
                </c:pt>
                <c:pt idx="5">
                  <c:v>1.11158956124825</c:v>
                </c:pt>
                <c:pt idx="6">
                  <c:v>1.1251085580662108</c:v>
                </c:pt>
                <c:pt idx="7">
                  <c:v>1.1386715844602942</c:v>
                </c:pt>
                <c:pt idx="8">
                  <c:v>1.1522530977998215</c:v>
                </c:pt>
                <c:pt idx="9">
                  <c:v>1.1658366880403557</c:v>
                </c:pt>
                <c:pt idx="10">
                  <c:v>1.1794292116834744</c:v>
                </c:pt>
                <c:pt idx="11">
                  <c:v>1.1930307923445107</c:v>
                </c:pt>
                <c:pt idx="12">
                  <c:v>1.192782703989431</c:v>
                </c:pt>
                <c:pt idx="13">
                  <c:v>1.1925302379454259</c:v>
                </c:pt>
                <c:pt idx="14">
                  <c:v>1.1922841891640918</c:v>
                </c:pt>
                <c:pt idx="15">
                  <c:v>1.1920506121917998</c:v>
                </c:pt>
                <c:pt idx="16">
                  <c:v>1.1918217082824747</c:v>
                </c:pt>
                <c:pt idx="17">
                  <c:v>1.1918217082824747</c:v>
                </c:pt>
                <c:pt idx="18">
                  <c:v>1.1918217082824747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9A-4E2A-AAF4-CAE1B1D06678}"/>
            </c:ext>
          </c:extLst>
        </c:ser>
        <c:ser>
          <c:idx val="1"/>
          <c:order val="1"/>
          <c:tx>
            <c:strRef>
              <c:f>"BEIS price projections - Electricity"</c:f>
              <c:strCache>
                <c:ptCount val="1"/>
                <c:pt idx="0">
                  <c:v>BEIS price projections - Electricity</c:v>
                </c:pt>
              </c:strCache>
            </c:strRef>
          </c:tx>
          <c:spPr>
            <a:ln w="28440" cap="rnd">
              <a:solidFill>
                <a:srgbClr val="A5A5A5"/>
              </a:solidFill>
              <a:round/>
            </a:ln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wrap="square"/>
              <a:lstStyle/>
              <a:p>
                <a:pPr>
                  <a:defRPr sz="14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'Price projections'!$F$59:$X$59</c:f>
              <c:numCache>
                <c:formatCode>0%</c:formatCode>
                <c:ptCount val="19"/>
                <c:pt idx="0">
                  <c:v>1</c:v>
                </c:pt>
                <c:pt idx="1">
                  <c:v>1.0075865310969148</c:v>
                </c:pt>
                <c:pt idx="2">
                  <c:v>1.0115682376063482</c:v>
                </c:pt>
                <c:pt idx="3">
                  <c:v>1.001646025301185</c:v>
                </c:pt>
                <c:pt idx="4">
                  <c:v>0.97825340616518364</c:v>
                </c:pt>
                <c:pt idx="5">
                  <c:v>0.96964720704013363</c:v>
                </c:pt>
                <c:pt idx="6">
                  <c:v>0.98215539337602242</c:v>
                </c:pt>
                <c:pt idx="7">
                  <c:v>0.98771250152416956</c:v>
                </c:pt>
                <c:pt idx="8">
                  <c:v>0.97356428501398595</c:v>
                </c:pt>
                <c:pt idx="9">
                  <c:v>0.95141163182544131</c:v>
                </c:pt>
                <c:pt idx="10">
                  <c:v>0.93106072525573325</c:v>
                </c:pt>
                <c:pt idx="11">
                  <c:v>0.92188436127049844</c:v>
                </c:pt>
                <c:pt idx="12">
                  <c:v>0.91564220566455767</c:v>
                </c:pt>
                <c:pt idx="13">
                  <c:v>0.902598551885197</c:v>
                </c:pt>
                <c:pt idx="14">
                  <c:v>0.90979839543802188</c:v>
                </c:pt>
                <c:pt idx="15">
                  <c:v>0.90577087012549284</c:v>
                </c:pt>
                <c:pt idx="16">
                  <c:v>0.89716178579190076</c:v>
                </c:pt>
                <c:pt idx="17">
                  <c:v>0.89716178579190076</c:v>
                </c:pt>
                <c:pt idx="18">
                  <c:v>0.89716178579190076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9A-4E2A-AAF4-CAE1B1D06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0">
              <a:noFill/>
            </a:ln>
          </c:spPr>
        </c:hiLowLines>
        <c:smooth val="0"/>
        <c:axId val="34184730"/>
        <c:axId val="34280552"/>
      </c:lineChart>
      <c:catAx>
        <c:axId val="3418473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280552"/>
        <c:crosses val="autoZero"/>
        <c:auto val="1"/>
        <c:lblAlgn val="ctr"/>
        <c:lblOffset val="100"/>
        <c:noMultiLvlLbl val="0"/>
      </c:catAx>
      <c:valAx>
        <c:axId val="342805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12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34184730"/>
        <c:crosses val="autoZero"/>
        <c:crossBetween val="between"/>
      </c:valAx>
      <c:spPr>
        <a:noFill/>
        <a:ln w="0">
          <a:noFill/>
        </a:ln>
      </c:spPr>
    </c:plotArea>
    <c:legend>
      <c:legendPos val="b"/>
      <c:layout>
        <c:manualLayout>
          <c:xMode val="edge"/>
          <c:yMode val="edge"/>
          <c:x val="0"/>
          <c:y val="0.86402228697401595"/>
          <c:w val="0.98928925776169896"/>
          <c:h val="0.115915013139489"/>
        </c:manualLayout>
      </c:layout>
      <c:overlay val="0"/>
      <c:spPr>
        <a:noFill/>
        <a:ln w="0">
          <a:noFill/>
        </a:ln>
      </c:spPr>
      <c:txPr>
        <a:bodyPr/>
        <a:lstStyle/>
        <a:p>
          <a:pPr>
            <a:defRPr sz="10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2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399960</xdr:colOff>
      <xdr:row>0</xdr:row>
      <xdr:rowOff>38160</xdr:rowOff>
    </xdr:from>
    <xdr:to>
      <xdr:col>11</xdr:col>
      <xdr:colOff>132840</xdr:colOff>
      <xdr:row>7</xdr:row>
      <xdr:rowOff>28440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5836680" y="38160"/>
          <a:ext cx="2790720" cy="125712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390600</xdr:colOff>
      <xdr:row>0</xdr:row>
      <xdr:rowOff>95400</xdr:rowOff>
    </xdr:from>
    <xdr:to>
      <xdr:col>4</xdr:col>
      <xdr:colOff>37800</xdr:colOff>
      <xdr:row>5</xdr:row>
      <xdr:rowOff>104400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rcRect t="17284" b="11976"/>
        <a:stretch/>
      </xdr:blipFill>
      <xdr:spPr>
        <a:xfrm>
          <a:off x="4206960" y="95400"/>
          <a:ext cx="2719800" cy="81864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9</xdr:col>
      <xdr:colOff>1294920</xdr:colOff>
      <xdr:row>2</xdr:row>
      <xdr:rowOff>45000</xdr:rowOff>
    </xdr:from>
    <xdr:to>
      <xdr:col>14</xdr:col>
      <xdr:colOff>1703160</xdr:colOff>
      <xdr:row>24</xdr:row>
      <xdr:rowOff>11160</xdr:rowOff>
    </xdr:to>
    <xdr:graphicFrame macro="">
      <xdr:nvGraphicFramePr>
        <xdr:cNvPr id="3" name="Chart 3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10</xdr:col>
      <xdr:colOff>0</xdr:colOff>
      <xdr:row>24</xdr:row>
      <xdr:rowOff>56160</xdr:rowOff>
    </xdr:from>
    <xdr:to>
      <xdr:col>14</xdr:col>
      <xdr:colOff>1691640</xdr:colOff>
      <xdr:row>47</xdr:row>
      <xdr:rowOff>33480</xdr:rowOff>
    </xdr:to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1299960</xdr:colOff>
      <xdr:row>47</xdr:row>
      <xdr:rowOff>78480</xdr:rowOff>
    </xdr:from>
    <xdr:to>
      <xdr:col>15</xdr:col>
      <xdr:colOff>10800</xdr:colOff>
      <xdr:row>72</xdr:row>
      <xdr:rowOff>78120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25</xdr:col>
      <xdr:colOff>23760</xdr:colOff>
      <xdr:row>6</xdr:row>
      <xdr:rowOff>0</xdr:rowOff>
    </xdr:from>
    <xdr:to>
      <xdr:col>33</xdr:col>
      <xdr:colOff>454320</xdr:colOff>
      <xdr:row>25</xdr:row>
      <xdr:rowOff>80640</xdr:rowOff>
    </xdr:to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00000000-0008-0000-0E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demands" displayName="demands" ref="B4:I5" totalsRowShown="0">
  <autoFilter ref="B4:I5" xr:uid="{00000000-0009-0000-0100-000001000000}"/>
  <tableColumns count="8">
    <tableColumn id="1" xr3:uid="{00000000-0010-0000-0000-000001000000}" name="ID"/>
    <tableColumn id="2" xr3:uid="{00000000-0010-0000-0000-000002000000}" name="TOID"/>
    <tableColumn id="3" xr3:uid="{00000000-0010-0000-0000-000003000000}" name="Category (ABP)"/>
    <tableColumn id="4" xr3:uid="{00000000-0010-0000-0000-000004000000}" name="Annual demand"/>
    <tableColumn id="5" xr3:uid="{00000000-0010-0000-0000-000005000000}" name="Peak heat demand, kW"/>
    <tableColumn id="6" xr3:uid="{00000000-0010-0000-0000-000006000000}" name="No. of individual residential connections"/>
    <tableColumn id="7" xr3:uid="{00000000-0010-0000-0000-000007000000}" name="No. commercial connections"/>
    <tableColumn id="8" xr3:uid="{00000000-0010-0000-0000-000008000000}" name="Existing/planned developmen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ipes" displayName="pipes" ref="B4:L164" totalsRowShown="0">
  <autoFilter ref="B4:L164" xr:uid="{00000000-0009-0000-0100-000002000000}"/>
  <tableColumns count="11">
    <tableColumn id="1" xr3:uid="{00000000-0010-0000-0100-000001000000}" name="ID"/>
    <tableColumn id="2" xr3:uid="{00000000-0010-0000-0100-000002000000}" name="Length"/>
    <tableColumn id="3" xr3:uid="{00000000-0010-0000-0100-000003000000}" name="Surface"/>
    <tableColumn id="4" xr3:uid="{00000000-0010-0000-0100-000004000000}" name="Nominal Diameter"/>
    <tableColumn id="5" xr3:uid="{00000000-0010-0000-0100-000005000000}" name="Losses (kWh/y)"/>
    <tableColumn id="6" xr3:uid="{00000000-0010-0000-0100-000006000000}" name="Delivered Power, kW"/>
    <tableColumn id="7" xr3:uid="{00000000-0010-0000-0100-000007000000}" name="Delivered demand, kWh/y"/>
    <tableColumn id="8" xr3:uid="{00000000-0010-0000-0100-000008000000}" name="Number of buildings downstream"/>
    <tableColumn id="9" xr3:uid="{00000000-0010-0000-0100-000009000000}" name="Number of connected users downstream"/>
    <tableColumn id="10" xr3:uid="{00000000-0010-0000-0100-00000A000000}" name="Connected buildings ID"/>
    <tableColumn id="11" xr3:uid="{00000000-0010-0000-0100-00000B000000}" name="Assumed diversity from model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upplies" displayName="supplies" ref="B5:K29" totalsRowShown="0">
  <autoFilter ref="B5:K29" xr:uid="{00000000-0009-0000-0100-000003000000}"/>
  <tableColumns count="10">
    <tableColumn id="1" xr3:uid="{00000000-0010-0000-0200-000001000000}" name="ID"/>
    <tableColumn id="2" xr3:uid="{00000000-0010-0000-0200-000002000000}" name="Description"/>
    <tableColumn id="3" xr3:uid="{00000000-0010-0000-0200-000003000000}" name="kWh/yr output, incl losses"/>
    <tableColumn id="4" xr3:uid="{00000000-0010-0000-0200-000004000000}" name="capacity, kWp"/>
    <tableColumn id="5" xr3:uid="{00000000-0010-0000-0200-000005000000}" name="Capex, fixed"/>
    <tableColumn id="6" xr3:uid="{00000000-0010-0000-0200-000006000000}" name="Capex, per kWp"/>
    <tableColumn id="7" xr3:uid="{00000000-0010-0000-0200-000007000000}" name="Opex, fixed"/>
    <tableColumn id="8" xr3:uid="{00000000-0010-0000-0200-000008000000}" name="Opex, per kWp"/>
    <tableColumn id="9" xr3:uid="{00000000-0010-0000-0200-000009000000}" name="Opex, per kWh"/>
    <tableColumn id="10" xr3:uid="{00000000-0010-0000-0200-00000A000000}" name="Diversity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gov.uk/government/collections/energy-and-emissions-projection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MJ12"/>
  <sheetViews>
    <sheetView zoomScaleNormal="100" workbookViewId="0">
      <selection activeCell="B45" sqref="B45"/>
    </sheetView>
  </sheetViews>
  <sheetFormatPr defaultColWidth="9.140625" defaultRowHeight="12.75"/>
  <cols>
    <col min="1" max="1" width="4.140625" style="11" customWidth="1"/>
    <col min="2" max="2" width="29.7109375" style="11" customWidth="1"/>
    <col min="3" max="4" width="19.140625" style="11" customWidth="1"/>
    <col min="5" max="5" width="38.7109375" style="11" customWidth="1"/>
    <col min="6" max="6" width="19.140625" style="11" customWidth="1"/>
    <col min="7" max="1024" width="9.140625" style="11"/>
  </cols>
  <sheetData>
    <row r="2" spans="2:5" ht="13.5"/>
    <row r="3" spans="2:5">
      <c r="B3" s="12" t="s">
        <v>0</v>
      </c>
      <c r="C3" s="13" t="s">
        <v>1</v>
      </c>
    </row>
    <row r="4" spans="2:5">
      <c r="B4" s="14" t="s">
        <v>2</v>
      </c>
      <c r="C4" s="15" t="s">
        <v>3</v>
      </c>
    </row>
    <row r="5" spans="2:5" ht="13.5">
      <c r="B5" s="16" t="s">
        <v>4</v>
      </c>
      <c r="C5" s="17">
        <v>45065</v>
      </c>
    </row>
    <row r="8" spans="2:5">
      <c r="B8" s="18" t="s">
        <v>5</v>
      </c>
      <c r="C8" s="18" t="s">
        <v>6</v>
      </c>
      <c r="D8" s="18" t="s">
        <v>7</v>
      </c>
      <c r="E8" s="19" t="s">
        <v>8</v>
      </c>
    </row>
    <row r="9" spans="2:5">
      <c r="B9" s="20" t="s">
        <v>3</v>
      </c>
      <c r="C9" s="21">
        <v>45065</v>
      </c>
      <c r="D9" s="22" t="s">
        <v>9</v>
      </c>
    </row>
    <row r="10" spans="2:5">
      <c r="B10" s="20"/>
      <c r="C10" s="21"/>
      <c r="D10" s="22"/>
    </row>
    <row r="11" spans="2:5">
      <c r="B11" s="20"/>
      <c r="C11" s="21"/>
      <c r="D11" s="22"/>
    </row>
    <row r="12" spans="2:5">
      <c r="B12" s="20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AMJ94"/>
  <sheetViews>
    <sheetView topLeftCell="A5" zoomScaleNormal="100" workbookViewId="0">
      <selection activeCell="G23" sqref="G23"/>
    </sheetView>
  </sheetViews>
  <sheetFormatPr defaultColWidth="9.140625" defaultRowHeight="12.75"/>
  <cols>
    <col min="1" max="1" width="3.85546875" style="11" customWidth="1"/>
    <col min="2" max="2" width="60.85546875" style="11" customWidth="1"/>
    <col min="3" max="6" width="14.140625" style="11" customWidth="1"/>
    <col min="7" max="11" width="16.85546875" style="11" customWidth="1"/>
    <col min="12" max="14" width="16.7109375" style="11" customWidth="1"/>
    <col min="15" max="16" width="16.85546875" style="11" customWidth="1"/>
    <col min="17" max="17" width="14.140625" style="11" customWidth="1"/>
    <col min="18" max="1024" width="9.140625" style="11"/>
  </cols>
  <sheetData>
    <row r="2" spans="1:17">
      <c r="A2" s="118">
        <v>1</v>
      </c>
      <c r="B2" s="118" t="s">
        <v>344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</row>
    <row r="4" spans="1:17">
      <c r="B4" s="145" t="s">
        <v>345</v>
      </c>
    </row>
    <row r="6" spans="1:17" ht="36" customHeight="1">
      <c r="B6" s="178"/>
      <c r="C6" s="179" t="s">
        <v>346</v>
      </c>
      <c r="D6" s="179" t="s">
        <v>347</v>
      </c>
      <c r="E6" s="179" t="s">
        <v>348</v>
      </c>
      <c r="F6" s="179" t="s">
        <v>349</v>
      </c>
      <c r="G6" s="179" t="s">
        <v>225</v>
      </c>
      <c r="H6" s="179" t="s">
        <v>226</v>
      </c>
      <c r="I6" s="179" t="s">
        <v>227</v>
      </c>
      <c r="J6" s="48"/>
      <c r="K6" s="179" t="s">
        <v>350</v>
      </c>
      <c r="L6" s="179" t="s">
        <v>351</v>
      </c>
      <c r="M6" s="179" t="s">
        <v>352</v>
      </c>
      <c r="N6" s="180" t="s">
        <v>353</v>
      </c>
      <c r="O6" s="181"/>
    </row>
    <row r="7" spans="1:17">
      <c r="B7" s="182" t="s">
        <v>354</v>
      </c>
      <c r="K7" s="104"/>
      <c r="N7" s="70"/>
    </row>
    <row r="8" spans="1:17" ht="14.25">
      <c r="B8" s="91" t="s">
        <v>163</v>
      </c>
      <c r="D8" s="100">
        <f>F51</f>
        <v>516.99830567450022</v>
      </c>
      <c r="E8" s="183">
        <v>4000</v>
      </c>
      <c r="F8" s="11" t="s">
        <v>355</v>
      </c>
      <c r="G8" s="172">
        <f>$E$8*$D$8</f>
        <v>2067993.222698001</v>
      </c>
      <c r="H8" s="172">
        <f>$E$8*$D$8</f>
        <v>2067993.222698001</v>
      </c>
      <c r="I8" s="172">
        <f>$E$8*$D$8</f>
        <v>2067993.222698001</v>
      </c>
      <c r="K8" s="184">
        <f>Dashboard!C48</f>
        <v>0.15</v>
      </c>
      <c r="L8" s="53">
        <f>G8*(1+K8)</f>
        <v>2378192.2061027009</v>
      </c>
      <c r="M8" s="53">
        <f>H8*(1+K8)</f>
        <v>2378192.2061027009</v>
      </c>
      <c r="N8" s="54">
        <f>I8*(1+K8)</f>
        <v>2378192.2061027009</v>
      </c>
    </row>
    <row r="9" spans="1:17">
      <c r="B9" s="91" t="s">
        <v>164</v>
      </c>
      <c r="C9" s="184"/>
      <c r="E9" s="183">
        <v>550</v>
      </c>
      <c r="F9" s="11" t="s">
        <v>356</v>
      </c>
      <c r="G9" s="172">
        <f>'Operating model'!C13*$E$9</f>
        <v>1500829.4713101937</v>
      </c>
      <c r="H9" s="172">
        <f>('Operating model'!D13*$E$9)</f>
        <v>1795354.0459490984</v>
      </c>
      <c r="I9" s="172">
        <f>('Operating model'!E13*$E$9)</f>
        <v>1895660.4541398343</v>
      </c>
      <c r="K9" s="184">
        <f>Dashboard!C49</f>
        <v>0.2</v>
      </c>
      <c r="L9" s="53">
        <f>G9*(1+K9)</f>
        <v>1800995.3655722323</v>
      </c>
      <c r="M9" s="53">
        <f>H9*(1+K9)</f>
        <v>2154424.8551389179</v>
      </c>
      <c r="N9" s="54">
        <f>I9*(1+K9)</f>
        <v>2274792.5449678008</v>
      </c>
    </row>
    <row r="10" spans="1:17">
      <c r="B10" s="91"/>
      <c r="G10" s="172"/>
      <c r="H10" s="172"/>
      <c r="I10" s="172"/>
      <c r="K10" s="184"/>
      <c r="L10" s="53"/>
      <c r="M10" s="53"/>
      <c r="N10" s="54"/>
    </row>
    <row r="11" spans="1:17">
      <c r="B11" s="91" t="s">
        <v>357</v>
      </c>
      <c r="E11" s="183">
        <v>75</v>
      </c>
      <c r="F11" s="11" t="s">
        <v>356</v>
      </c>
      <c r="G11" s="172">
        <f>'Operating model'!C15*CAPEX!$E$11</f>
        <v>0</v>
      </c>
      <c r="H11" s="172">
        <f>('Operating model'!D15*CAPEX!$E$11)</f>
        <v>0</v>
      </c>
      <c r="I11" s="172">
        <f>('Operating model'!E15*CAPEX!$E$11)</f>
        <v>0</v>
      </c>
      <c r="K11" s="184">
        <f>Dashboard!C51</f>
        <v>0.1</v>
      </c>
      <c r="L11" s="53">
        <f>G11*(1+K11)</f>
        <v>0</v>
      </c>
      <c r="M11" s="53">
        <f>H11*(1+K11)</f>
        <v>0</v>
      </c>
      <c r="N11" s="54">
        <f>I11*(1+K11)</f>
        <v>0</v>
      </c>
    </row>
    <row r="12" spans="1:17">
      <c r="B12" s="91" t="s">
        <v>358</v>
      </c>
      <c r="E12" s="185">
        <v>50</v>
      </c>
      <c r="F12" s="11" t="s">
        <v>356</v>
      </c>
      <c r="G12" s="172">
        <f>'Operating model'!C16*CAPEX!$E$12</f>
        <v>272878.08569276251</v>
      </c>
      <c r="H12" s="172">
        <f>('Operating model'!D16*CAPEX!$E$12)</f>
        <v>326428.00835438154</v>
      </c>
      <c r="I12" s="172">
        <f>('Operating model'!E16*CAPEX!$E$12)</f>
        <v>344665.53711633349</v>
      </c>
      <c r="K12" s="184">
        <f>Dashboard!C52</f>
        <v>0.1</v>
      </c>
      <c r="L12" s="53">
        <f>G12*(1+K12)</f>
        <v>300165.89426203881</v>
      </c>
      <c r="M12" s="53">
        <f>H12*(1+K12)</f>
        <v>359070.80918981973</v>
      </c>
      <c r="N12" s="54">
        <f>I12*(1+K12)</f>
        <v>379132.09082796687</v>
      </c>
    </row>
    <row r="13" spans="1:17">
      <c r="B13" s="91"/>
      <c r="G13" s="172"/>
      <c r="H13" s="172"/>
      <c r="I13" s="172"/>
      <c r="K13" s="184"/>
      <c r="L13" s="53"/>
      <c r="M13" s="53"/>
      <c r="N13" s="54"/>
    </row>
    <row r="14" spans="1:17">
      <c r="B14" s="91" t="s">
        <v>359</v>
      </c>
      <c r="D14" s="151">
        <v>100000</v>
      </c>
      <c r="E14" s="183">
        <v>2</v>
      </c>
      <c r="F14" s="11" t="s">
        <v>360</v>
      </c>
      <c r="G14" s="172">
        <f>D14*E14</f>
        <v>200000</v>
      </c>
      <c r="H14" s="172">
        <f>G14</f>
        <v>200000</v>
      </c>
      <c r="I14" s="172">
        <f>H14</f>
        <v>200000</v>
      </c>
      <c r="K14" s="184">
        <f>Dashboard!C54</f>
        <v>0.1</v>
      </c>
      <c r="L14" s="53">
        <f>G14*(1+K14)</f>
        <v>220000.00000000003</v>
      </c>
      <c r="M14" s="53">
        <f>H14*(1+K14)</f>
        <v>220000.00000000003</v>
      </c>
      <c r="N14" s="54">
        <f>I14*(1+K14)</f>
        <v>220000.00000000003</v>
      </c>
    </row>
    <row r="15" spans="1:17">
      <c r="B15" s="91" t="s">
        <v>168</v>
      </c>
      <c r="D15" s="76"/>
      <c r="E15" s="183">
        <v>15</v>
      </c>
      <c r="F15" s="11" t="s">
        <v>356</v>
      </c>
      <c r="G15" s="172">
        <f>'Operating model'!C13*CAPEX!$E$15</f>
        <v>40931.712853914374</v>
      </c>
      <c r="H15" s="172">
        <f>'Operating model'!D13*CAPEX!$E$15</f>
        <v>48964.201253157225</v>
      </c>
      <c r="I15" s="172">
        <f>'Operating model'!E13*CAPEX!$E$15</f>
        <v>51699.83056745003</v>
      </c>
      <c r="K15" s="184">
        <f>Dashboard!C55</f>
        <v>0.2</v>
      </c>
      <c r="L15" s="53">
        <f>G15*(1+K15)</f>
        <v>49118.055424697246</v>
      </c>
      <c r="M15" s="53">
        <f>H15*(1+K15)</f>
        <v>58757.041503788671</v>
      </c>
      <c r="N15" s="54">
        <f>I15*(1+K15)</f>
        <v>62039.796680940031</v>
      </c>
    </row>
    <row r="16" spans="1:17">
      <c r="B16" s="91" t="s">
        <v>169</v>
      </c>
      <c r="D16" s="76"/>
      <c r="E16" s="183">
        <v>20</v>
      </c>
      <c r="F16" s="11" t="s">
        <v>356</v>
      </c>
      <c r="G16" s="172">
        <f>'Operating model'!C13*E16</f>
        <v>54575.617138552494</v>
      </c>
      <c r="H16" s="172">
        <f>'Operating model'!D13*E16</f>
        <v>65285.601670876305</v>
      </c>
      <c r="I16" s="172">
        <f>'Operating model'!E13*E16</f>
        <v>68933.107423266702</v>
      </c>
      <c r="K16" s="184">
        <f>Dashboard!C56</f>
        <v>0.1</v>
      </c>
      <c r="L16" s="53">
        <f>G16*(1+K16)</f>
        <v>60033.178852407749</v>
      </c>
      <c r="M16" s="53">
        <f>H16*(1+K16)</f>
        <v>71814.16183796394</v>
      </c>
      <c r="N16" s="54">
        <f>I16*(1+K16)</f>
        <v>75826.418165593379</v>
      </c>
    </row>
    <row r="17" spans="2:14">
      <c r="B17" s="103" t="s">
        <v>170</v>
      </c>
      <c r="D17" s="76"/>
      <c r="E17" s="183">
        <v>34.42</v>
      </c>
      <c r="F17" s="11" t="s">
        <v>356</v>
      </c>
      <c r="G17" s="172">
        <f>'Operating model'!C13*E17</f>
        <v>93924.637095448852</v>
      </c>
      <c r="H17" s="172">
        <f>'Operating model'!D13*E17</f>
        <v>112356.52047557813</v>
      </c>
      <c r="I17" s="172">
        <f>'Operating model'!E13*E17</f>
        <v>118633.87787544201</v>
      </c>
      <c r="K17" s="184">
        <f>Dashboard!C57</f>
        <v>0.2</v>
      </c>
      <c r="L17" s="53">
        <f>G17*(1+K17)</f>
        <v>112709.56451453862</v>
      </c>
      <c r="M17" s="53">
        <f>H17*(1+K17)</f>
        <v>134827.82457069375</v>
      </c>
      <c r="N17" s="54">
        <f>I17*(1+K17)</f>
        <v>142360.6534505304</v>
      </c>
    </row>
    <row r="18" spans="2:14">
      <c r="B18" s="103" t="s">
        <v>171</v>
      </c>
      <c r="D18" s="76"/>
      <c r="G18" s="172">
        <f>0.25*SUM(G8:G17)</f>
        <v>1057783.1866972183</v>
      </c>
      <c r="H18" s="172">
        <f>0.25*SUM(H8:H17)</f>
        <v>1154095.4001002733</v>
      </c>
      <c r="I18" s="172">
        <f>0.25*SUM(I8:I17)</f>
        <v>1186896.5074550819</v>
      </c>
      <c r="K18" s="184">
        <f>Dashboard!C58</f>
        <v>0.1</v>
      </c>
      <c r="L18" s="53">
        <f>G18*(1+K18)</f>
        <v>1163561.5053669403</v>
      </c>
      <c r="M18" s="53">
        <f>H18*(1+K18)</f>
        <v>1269504.9401103007</v>
      </c>
      <c r="N18" s="54">
        <f>I18*(1+K18)</f>
        <v>1305586.1582005902</v>
      </c>
    </row>
    <row r="19" spans="2:14">
      <c r="B19" s="103" t="s">
        <v>172</v>
      </c>
      <c r="D19" s="76"/>
      <c r="G19" s="172">
        <f>0.1*SUM(G8:G18,G22:G25)</f>
        <v>727467.21048716176</v>
      </c>
      <c r="H19" s="172">
        <f>0.1*SUM(H8:H18,H22:H25)</f>
        <v>954333.30172101303</v>
      </c>
      <c r="I19" s="172">
        <f>0.1*SUM(I8:I18,I22:I25)</f>
        <v>1166381.3611508075</v>
      </c>
      <c r="K19" s="184">
        <f>Dashboard!C59</f>
        <v>0.1</v>
      </c>
      <c r="L19" s="53">
        <f>G19*(1+K19)</f>
        <v>800213.93153587799</v>
      </c>
      <c r="M19" s="53">
        <f>H19*(1+K19)</f>
        <v>1049766.6318931144</v>
      </c>
      <c r="N19" s="54">
        <f>I19*(1+K19)</f>
        <v>1283019.4972658884</v>
      </c>
    </row>
    <row r="20" spans="2:14">
      <c r="B20" s="91"/>
      <c r="D20" s="76"/>
      <c r="G20" s="172"/>
      <c r="H20" s="172"/>
      <c r="I20" s="172"/>
      <c r="K20" s="184"/>
      <c r="L20" s="53"/>
      <c r="M20" s="53"/>
      <c r="N20" s="54"/>
    </row>
    <row r="21" spans="2:14">
      <c r="B21" s="182" t="s">
        <v>361</v>
      </c>
      <c r="C21" s="186" t="s">
        <v>362</v>
      </c>
      <c r="D21" s="76"/>
      <c r="G21" s="172"/>
      <c r="H21" s="172"/>
      <c r="I21" s="172"/>
      <c r="K21" s="184"/>
      <c r="L21" s="53"/>
      <c r="M21" s="53"/>
      <c r="N21" s="54"/>
    </row>
    <row r="22" spans="2:14">
      <c r="B22" s="91" t="s">
        <v>173</v>
      </c>
      <c r="C22" s="187" t="s">
        <v>114</v>
      </c>
      <c r="D22" s="76"/>
      <c r="E22" s="183">
        <v>200</v>
      </c>
      <c r="F22" s="11" t="s">
        <v>356</v>
      </c>
      <c r="G22" s="172">
        <f>IF($C$22=Lists!$B$4,'Operating model'!C11*CAPEX!$E$22,0)</f>
        <v>545756.17138552503</v>
      </c>
      <c r="H22" s="172">
        <f>IF($C$22=Lists!$B$4,('Operating model'!D11*CAPEX!$E$22),0)</f>
        <v>652856.01670876308</v>
      </c>
      <c r="I22" s="172">
        <f>IF($C$22=Lists!$B$4,('Operating model'!E11*CAPEX!$E$22),0)</f>
        <v>689331.07423266699</v>
      </c>
      <c r="K22" s="184">
        <f>Dashboard!C62</f>
        <v>0.2</v>
      </c>
      <c r="L22" s="53">
        <f>G22*(1+K22)</f>
        <v>654907.40566262999</v>
      </c>
      <c r="M22" s="53">
        <f>H22*(1+K22)</f>
        <v>783427.22005051572</v>
      </c>
      <c r="N22" s="54">
        <f>I22*(1+K22)</f>
        <v>827197.28907920036</v>
      </c>
    </row>
    <row r="23" spans="2:14">
      <c r="B23" s="91" t="s">
        <v>363</v>
      </c>
      <c r="C23" s="187" t="s">
        <v>117</v>
      </c>
      <c r="D23" s="76"/>
      <c r="E23" s="183">
        <v>50</v>
      </c>
      <c r="F23" s="11" t="s">
        <v>364</v>
      </c>
      <c r="G23" s="172">
        <f>IF($C$23=Lists!$B$4,'Technical inputs'!$C$61*'Technical inputs'!$C$58*CAPEX!$E$23,0)</f>
        <v>0</v>
      </c>
      <c r="H23" s="172">
        <f>IF($C$23=Lists!$B$4,'Technical inputs'!$C$61*'Technical inputs'!$C$58*CAPEX!$E$23,0)</f>
        <v>0</v>
      </c>
      <c r="I23" s="172">
        <f>IF($C$23=Lists!$B$4,'Technical inputs'!$C$61*'Technical inputs'!$C$58*CAPEX!$E$23,0)</f>
        <v>0</v>
      </c>
      <c r="K23" s="184">
        <f>Dashboard!C63</f>
        <v>0.2</v>
      </c>
      <c r="L23" s="53">
        <f>G23*(1+K23)</f>
        <v>0</v>
      </c>
      <c r="M23" s="53">
        <f>H23*(1+K23)</f>
        <v>0</v>
      </c>
      <c r="N23" s="54">
        <f>I23*(1+K23)</f>
        <v>0</v>
      </c>
    </row>
    <row r="24" spans="2:14">
      <c r="B24" s="91" t="s">
        <v>365</v>
      </c>
      <c r="C24" s="187" t="s">
        <v>114</v>
      </c>
      <c r="D24" s="76"/>
      <c r="E24" s="183">
        <v>120000</v>
      </c>
      <c r="F24" s="11" t="s">
        <v>366</v>
      </c>
      <c r="G24" s="172">
        <f>IF($C$24=Lists!$B$4,$E$24*'Technical inputs'!C71,0)</f>
        <v>1440000</v>
      </c>
      <c r="H24" s="172">
        <f>IF($C$24=Lists!$B$4,$E$24*'Technical inputs'!D71+G24,0)</f>
        <v>3120000</v>
      </c>
      <c r="I24" s="172">
        <f>IF($C$24=Lists!$B$4,$E$24*'Technical inputs'!E71+H24,0)</f>
        <v>5040000</v>
      </c>
      <c r="K24" s="184">
        <f>Dashboard!C64</f>
        <v>0.2</v>
      </c>
      <c r="L24" s="53">
        <f>G24*(1+K24)</f>
        <v>1728000</v>
      </c>
      <c r="M24" s="53">
        <f>H24*(1+K24)</f>
        <v>3744000</v>
      </c>
      <c r="N24" s="54">
        <f>I24*(1+K24)</f>
        <v>6048000</v>
      </c>
    </row>
    <row r="25" spans="2:14" ht="14.25">
      <c r="B25" s="103" t="s">
        <v>175</v>
      </c>
      <c r="C25" s="187" t="str">
        <f>Dashboard!C34</f>
        <v>No</v>
      </c>
      <c r="D25" s="76"/>
      <c r="E25" s="185">
        <v>215</v>
      </c>
      <c r="F25" s="11" t="s">
        <v>355</v>
      </c>
      <c r="G25" s="172">
        <f>IF($C$25=Lists!$B$4,'Technical inputs'!$C$68*CAPEX!$E$25,0)</f>
        <v>0</v>
      </c>
      <c r="H25" s="172">
        <f>IF($C$25=Lists!$B$4,'Technical inputs'!$C$68*CAPEX!$E$25,0)</f>
        <v>0</v>
      </c>
      <c r="I25" s="172">
        <f>IF($C$25=Lists!$B$4,'Technical inputs'!$C$68*CAPEX!$E$25,0)</f>
        <v>0</v>
      </c>
      <c r="K25" s="184">
        <f>Dashboard!C64</f>
        <v>0.2</v>
      </c>
      <c r="L25" s="53">
        <f>G25*(1+K25)</f>
        <v>0</v>
      </c>
      <c r="M25" s="53">
        <f>H25*(1+K25)</f>
        <v>0</v>
      </c>
      <c r="N25" s="54">
        <f>I25*(1+K25)</f>
        <v>0</v>
      </c>
    </row>
    <row r="26" spans="2:14">
      <c r="B26" s="91"/>
      <c r="G26" s="172"/>
      <c r="H26" s="172"/>
      <c r="I26" s="172"/>
      <c r="K26" s="184"/>
      <c r="L26" s="53"/>
      <c r="M26" s="53"/>
      <c r="N26" s="54"/>
    </row>
    <row r="27" spans="2:14">
      <c r="B27" s="91" t="s">
        <v>176</v>
      </c>
      <c r="G27" s="188"/>
      <c r="H27" s="188"/>
      <c r="I27" s="188"/>
      <c r="K27" s="184">
        <f>Dashboard!C66</f>
        <v>0</v>
      </c>
      <c r="L27" s="53">
        <f>G27*(1+K27)</f>
        <v>0</v>
      </c>
      <c r="M27" s="53">
        <f>H27*(1+K27)</f>
        <v>0</v>
      </c>
      <c r="N27" s="54">
        <f>I27*(1+K27)</f>
        <v>0</v>
      </c>
    </row>
    <row r="28" spans="2:14">
      <c r="B28" s="91" t="s">
        <v>177</v>
      </c>
      <c r="G28" s="188"/>
      <c r="H28" s="188"/>
      <c r="I28" s="188"/>
      <c r="K28" s="184">
        <f>Dashboard!C67</f>
        <v>0.1</v>
      </c>
      <c r="L28" s="53">
        <f>G28*(1+K28)</f>
        <v>0</v>
      </c>
      <c r="M28" s="53">
        <f>H28*(1+K28)</f>
        <v>0</v>
      </c>
      <c r="N28" s="54">
        <f>I28*(1+K28)</f>
        <v>0</v>
      </c>
    </row>
    <row r="29" spans="2:14">
      <c r="B29" s="91" t="s">
        <v>178</v>
      </c>
      <c r="G29" s="188"/>
      <c r="H29" s="188"/>
      <c r="I29" s="188"/>
      <c r="K29" s="184">
        <f>Dashboard!C68</f>
        <v>0.1</v>
      </c>
      <c r="L29" s="53">
        <f>G29*(1+K29)</f>
        <v>0</v>
      </c>
      <c r="M29" s="53">
        <f>H29*(1+K29)</f>
        <v>0</v>
      </c>
      <c r="N29" s="54">
        <f>I29*(1+K29)</f>
        <v>0</v>
      </c>
    </row>
    <row r="30" spans="2:14">
      <c r="B30" s="91"/>
      <c r="G30" s="172"/>
      <c r="H30" s="172"/>
      <c r="I30" s="172"/>
      <c r="K30" s="184">
        <f>Dashboard!C69</f>
        <v>0</v>
      </c>
      <c r="L30" s="53"/>
      <c r="M30" s="53"/>
      <c r="N30" s="54"/>
    </row>
    <row r="31" spans="2:14">
      <c r="B31" s="189" t="s">
        <v>367</v>
      </c>
      <c r="G31" s="190">
        <f>SUM(G8:G30)</f>
        <v>8002139.3153587785</v>
      </c>
      <c r="H31" s="190">
        <f>SUM(H8:H30)</f>
        <v>10497666.318931144</v>
      </c>
      <c r="I31" s="190">
        <f>SUM(I8:I30)</f>
        <v>12830194.972658884</v>
      </c>
      <c r="J31" s="145"/>
      <c r="K31" s="191"/>
      <c r="L31" s="192">
        <f>SUM(L8:L30)</f>
        <v>9267897.107294064</v>
      </c>
      <c r="M31" s="192">
        <f>SUM(M8:M30)</f>
        <v>12223785.690397818</v>
      </c>
      <c r="N31" s="193">
        <f>SUM(N8:N30)</f>
        <v>14996146.654741211</v>
      </c>
    </row>
    <row r="32" spans="2:14">
      <c r="B32" s="91"/>
      <c r="G32" s="172"/>
      <c r="H32" s="172"/>
      <c r="I32" s="172"/>
      <c r="K32" s="184"/>
      <c r="L32" s="53"/>
      <c r="M32" s="53"/>
      <c r="N32" s="54"/>
    </row>
    <row r="33" spans="2:14">
      <c r="B33" s="182" t="s">
        <v>368</v>
      </c>
      <c r="G33" s="172"/>
      <c r="H33" s="172"/>
      <c r="I33" s="172"/>
      <c r="K33" s="184"/>
      <c r="L33" s="53"/>
      <c r="M33" s="53"/>
      <c r="N33" s="54"/>
    </row>
    <row r="34" spans="2:14">
      <c r="B34" s="91" t="s">
        <v>369</v>
      </c>
      <c r="E34" s="183">
        <v>0</v>
      </c>
      <c r="F34" s="11" t="s">
        <v>364</v>
      </c>
      <c r="G34" s="188"/>
      <c r="H34" s="188"/>
      <c r="I34" s="188"/>
      <c r="K34" s="184">
        <f>Dashboard!C70</f>
        <v>0.2</v>
      </c>
      <c r="L34" s="53">
        <f>G34*(1+K34)</f>
        <v>0</v>
      </c>
      <c r="M34" s="53">
        <f>H34*(1+K34)</f>
        <v>0</v>
      </c>
      <c r="N34" s="54">
        <f>I34*(1+K34)</f>
        <v>0</v>
      </c>
    </row>
    <row r="35" spans="2:14">
      <c r="B35" s="91" t="s">
        <v>370</v>
      </c>
      <c r="E35" s="183">
        <v>0</v>
      </c>
      <c r="F35" s="11" t="s">
        <v>364</v>
      </c>
      <c r="G35" s="188"/>
      <c r="H35" s="188"/>
      <c r="I35" s="188"/>
      <c r="K35" s="184">
        <f>Dashboard!C71</f>
        <v>0.2</v>
      </c>
      <c r="L35" s="53">
        <f>G35*(1+K35)</f>
        <v>0</v>
      </c>
      <c r="M35" s="53">
        <f>H35*(1+K35)</f>
        <v>0</v>
      </c>
      <c r="N35" s="54">
        <f>I35*(1+K35)</f>
        <v>0</v>
      </c>
    </row>
    <row r="36" spans="2:14">
      <c r="B36" s="91"/>
      <c r="G36" s="172"/>
      <c r="H36" s="172"/>
      <c r="I36" s="172"/>
      <c r="K36" s="104"/>
      <c r="L36" s="53"/>
      <c r="M36" s="53"/>
      <c r="N36" s="54"/>
    </row>
    <row r="37" spans="2:14">
      <c r="B37" s="91"/>
      <c r="G37" s="172"/>
      <c r="H37" s="172"/>
      <c r="I37" s="172"/>
      <c r="K37" s="104"/>
      <c r="L37" s="53"/>
      <c r="M37" s="53"/>
      <c r="N37" s="54"/>
    </row>
    <row r="38" spans="2:14">
      <c r="B38" s="189" t="s">
        <v>132</v>
      </c>
      <c r="C38" s="145"/>
      <c r="D38" s="145"/>
      <c r="E38" s="145"/>
      <c r="F38" s="145"/>
      <c r="G38" s="190">
        <f>G31+G34+G35</f>
        <v>8002139.3153587785</v>
      </c>
      <c r="H38" s="190">
        <f>H31+H34+H35</f>
        <v>10497666.318931144</v>
      </c>
      <c r="I38" s="190">
        <f>I31+I34+I35</f>
        <v>12830194.972658884</v>
      </c>
      <c r="J38" s="145"/>
      <c r="K38" s="145"/>
      <c r="L38" s="192">
        <f>L31+L34+L35</f>
        <v>9267897.107294064</v>
      </c>
      <c r="M38" s="192">
        <f>M31+M34+M35</f>
        <v>12223785.690397818</v>
      </c>
      <c r="N38" s="193">
        <f>N31+N34+N35</f>
        <v>14996146.654741211</v>
      </c>
    </row>
    <row r="39" spans="2:14">
      <c r="B39" s="189" t="s">
        <v>371</v>
      </c>
      <c r="G39" s="172">
        <f>Dashboard!$C$25*CAPEX!G38</f>
        <v>0</v>
      </c>
      <c r="H39" s="172">
        <f>(H38-G38)*Dashboard!$C$26</f>
        <v>0</v>
      </c>
      <c r="I39" s="172">
        <f>(I38-H38)*Dashboard!$C$26</f>
        <v>0</v>
      </c>
      <c r="K39" s="104"/>
      <c r="L39" s="53">
        <f>G39</f>
        <v>0</v>
      </c>
      <c r="M39" s="53">
        <f>H39</f>
        <v>0</v>
      </c>
      <c r="N39" s="54">
        <f>I39</f>
        <v>0</v>
      </c>
    </row>
    <row r="40" spans="2:14">
      <c r="B40" s="189" t="s">
        <v>372</v>
      </c>
      <c r="N40" s="70"/>
    </row>
    <row r="41" spans="2:14">
      <c r="B41" s="189" t="s">
        <v>373</v>
      </c>
      <c r="G41" s="69">
        <f>G38-G40</f>
        <v>8002139.3153587785</v>
      </c>
      <c r="H41" s="69">
        <f>H38-H40</f>
        <v>10497666.318931144</v>
      </c>
      <c r="I41" s="69">
        <f>I38-I40</f>
        <v>12830194.972658884</v>
      </c>
      <c r="L41" s="97">
        <f>L38-L40</f>
        <v>9267897.107294064</v>
      </c>
      <c r="M41" s="97">
        <f>M38-M40</f>
        <v>12223785.690397818</v>
      </c>
      <c r="N41" s="93">
        <f>N38-N40</f>
        <v>14996146.654741211</v>
      </c>
    </row>
    <row r="42" spans="2:14">
      <c r="B42" s="91"/>
      <c r="N42" s="70"/>
    </row>
    <row r="43" spans="2:14">
      <c r="B43" s="91"/>
      <c r="N43" s="70"/>
    </row>
    <row r="44" spans="2:14">
      <c r="B44" s="91"/>
      <c r="N44" s="70"/>
    </row>
    <row r="45" spans="2:14">
      <c r="B45" s="194" t="s">
        <v>374</v>
      </c>
      <c r="N45" s="70"/>
    </row>
    <row r="46" spans="2:14" ht="14.25">
      <c r="B46" s="195" t="s">
        <v>375</v>
      </c>
      <c r="C46" s="22" t="s">
        <v>376</v>
      </c>
      <c r="D46" s="22" t="s">
        <v>377</v>
      </c>
      <c r="E46" s="22" t="s">
        <v>378</v>
      </c>
      <c r="F46" s="22" t="s">
        <v>379</v>
      </c>
      <c r="N46" s="70"/>
    </row>
    <row r="47" spans="2:14">
      <c r="B47" s="196" t="s">
        <v>380</v>
      </c>
      <c r="C47" s="197">
        <f>SUM('Operating model'!E15:E16)/1000</f>
        <v>6.89331074232667</v>
      </c>
      <c r="D47" s="183">
        <v>25</v>
      </c>
      <c r="E47" s="152">
        <v>0.2</v>
      </c>
      <c r="F47" s="100">
        <f>C47*D47*(1+E47)</f>
        <v>206.79932226980009</v>
      </c>
      <c r="N47" s="70"/>
    </row>
    <row r="48" spans="2:14">
      <c r="B48" s="196" t="s">
        <v>381</v>
      </c>
      <c r="C48" s="197">
        <f>'Operating model'!E13/1000</f>
        <v>3.446655371163335</v>
      </c>
      <c r="D48" s="183">
        <v>25</v>
      </c>
      <c r="E48" s="152">
        <v>0.2</v>
      </c>
      <c r="F48" s="100">
        <f>C48*D48*(1+E48)</f>
        <v>103.39966113490004</v>
      </c>
      <c r="N48" s="70"/>
    </row>
    <row r="49" spans="2:14">
      <c r="B49" s="196" t="s">
        <v>382</v>
      </c>
      <c r="C49" s="197">
        <f>'Operating model'!E13/1000</f>
        <v>3.446655371163335</v>
      </c>
      <c r="D49" s="183">
        <v>50</v>
      </c>
      <c r="E49" s="152">
        <v>0.2</v>
      </c>
      <c r="F49" s="100">
        <f>C49*D49*(1+E49)</f>
        <v>206.79932226980009</v>
      </c>
      <c r="N49" s="70"/>
    </row>
    <row r="50" spans="2:14">
      <c r="B50" s="91"/>
      <c r="N50" s="70"/>
    </row>
    <row r="51" spans="2:14" ht="14.25">
      <c r="B51" s="105"/>
      <c r="C51" s="198"/>
      <c r="D51" s="198"/>
      <c r="E51" s="198" t="s">
        <v>132</v>
      </c>
      <c r="F51" s="199">
        <f>SUM(F47:F49)</f>
        <v>516.99830567450022</v>
      </c>
      <c r="G51" s="198" t="s">
        <v>383</v>
      </c>
      <c r="H51" s="198"/>
      <c r="I51" s="198"/>
      <c r="J51" s="198"/>
      <c r="K51" s="198"/>
      <c r="L51" s="198"/>
      <c r="M51" s="198"/>
      <c r="N51" s="200"/>
    </row>
    <row r="54" spans="2:14">
      <c r="B54" s="145" t="s">
        <v>323</v>
      </c>
    </row>
    <row r="55" spans="2:14">
      <c r="C55" s="11" t="s">
        <v>346</v>
      </c>
      <c r="D55" s="11" t="s">
        <v>347</v>
      </c>
      <c r="E55" s="11" t="s">
        <v>348</v>
      </c>
      <c r="F55" s="11" t="s">
        <v>349</v>
      </c>
    </row>
    <row r="56" spans="2:14">
      <c r="B56" s="34" t="s">
        <v>384</v>
      </c>
    </row>
    <row r="57" spans="2:14">
      <c r="B57" s="146" t="s">
        <v>385</v>
      </c>
    </row>
    <row r="58" spans="2:14">
      <c r="B58" s="201" t="s">
        <v>71</v>
      </c>
      <c r="D58" s="11" t="e">
        <f>'Technical inputs'!C110</f>
        <v>#REF!</v>
      </c>
      <c r="E58" s="37">
        <v>650</v>
      </c>
      <c r="F58" s="11" t="s">
        <v>356</v>
      </c>
      <c r="G58" s="53" t="e">
        <f>D58*E58</f>
        <v>#REF!</v>
      </c>
    </row>
    <row r="59" spans="2:14">
      <c r="B59" s="201" t="s">
        <v>386</v>
      </c>
      <c r="D59" s="11" t="e">
        <f>'Technical inputs'!C110</f>
        <v>#REF!</v>
      </c>
      <c r="E59" s="37">
        <v>350</v>
      </c>
      <c r="F59" s="11" t="s">
        <v>356</v>
      </c>
      <c r="G59" s="53" t="e">
        <f>D59*E59</f>
        <v>#REF!</v>
      </c>
    </row>
    <row r="60" spans="2:14">
      <c r="B60" s="146" t="s">
        <v>387</v>
      </c>
      <c r="G60" s="53"/>
    </row>
    <row r="61" spans="2:14">
      <c r="B61" s="201" t="s">
        <v>381</v>
      </c>
      <c r="D61" s="11" t="e">
        <f>'Technical inputs'!C109</f>
        <v>#REF!</v>
      </c>
      <c r="E61" s="37">
        <v>8650</v>
      </c>
      <c r="F61" s="11" t="s">
        <v>388</v>
      </c>
      <c r="G61" s="53" t="e">
        <f>D61*E61</f>
        <v>#REF!</v>
      </c>
    </row>
    <row r="62" spans="2:14">
      <c r="B62" s="201"/>
    </row>
    <row r="63" spans="2:14">
      <c r="F63" s="202" t="s">
        <v>297</v>
      </c>
      <c r="G63" s="203" t="e">
        <f>SUM(G58:G59,G61:G61)</f>
        <v>#REF!</v>
      </c>
    </row>
    <row r="66" spans="1:17">
      <c r="B66" s="145" t="s">
        <v>256</v>
      </c>
    </row>
    <row r="67" spans="1:17">
      <c r="E67" s="11" t="s">
        <v>389</v>
      </c>
      <c r="F67" s="11" t="s">
        <v>390</v>
      </c>
      <c r="G67" s="11" t="s">
        <v>91</v>
      </c>
    </row>
    <row r="68" spans="1:17">
      <c r="C68" s="11" t="s">
        <v>348</v>
      </c>
      <c r="D68" s="11" t="s">
        <v>349</v>
      </c>
    </row>
    <row r="69" spans="1:17">
      <c r="B69" s="204" t="s">
        <v>391</v>
      </c>
      <c r="C69" s="11">
        <v>8650</v>
      </c>
      <c r="D69" s="11" t="s">
        <v>388</v>
      </c>
      <c r="E69" s="172">
        <f>'Technical inputs'!C101*$C$69</f>
        <v>0</v>
      </c>
      <c r="F69" s="172">
        <f>'Technical inputs'!D101*$C$69+E69</f>
        <v>0</v>
      </c>
      <c r="G69" s="172">
        <f>'Technical inputs'!E101*$C$69+F69</f>
        <v>0</v>
      </c>
      <c r="H69" s="148" t="s">
        <v>392</v>
      </c>
    </row>
    <row r="70" spans="1:17">
      <c r="B70" s="204"/>
      <c r="C70" s="205">
        <v>1000</v>
      </c>
      <c r="D70" s="11" t="s">
        <v>356</v>
      </c>
      <c r="E70" s="172" t="e">
        <f>'Technical inputs'!C104*CAPEX!$C$70</f>
        <v>#REF!</v>
      </c>
      <c r="F70" s="172" t="e">
        <f>'Technical inputs'!D104*CAPEX!$C$70+E70</f>
        <v>#REF!</v>
      </c>
      <c r="G70" s="172" t="e">
        <f>'Technical inputs'!E104*CAPEX!$C$70+F70</f>
        <v>#REF!</v>
      </c>
    </row>
    <row r="71" spans="1:17">
      <c r="B71" s="204"/>
      <c r="C71" s="205"/>
      <c r="E71" s="172"/>
      <c r="F71" s="172"/>
      <c r="G71" s="172"/>
    </row>
    <row r="72" spans="1:17">
      <c r="B72" s="204" t="s">
        <v>393</v>
      </c>
      <c r="C72" s="11">
        <f>'Technical inputs'!C83</f>
        <v>800</v>
      </c>
      <c r="D72" s="11" t="s">
        <v>388</v>
      </c>
      <c r="E72" s="172">
        <f>'Technical inputs'!C101*CAPEX!$C$72</f>
        <v>0</v>
      </c>
      <c r="F72" s="172">
        <f>'Technical inputs'!D101*CAPEX!$C$72+E72</f>
        <v>0</v>
      </c>
      <c r="G72" s="172">
        <f>'Technical inputs'!E101*CAPEX!$C$72+F72</f>
        <v>0</v>
      </c>
    </row>
    <row r="73" spans="1:17">
      <c r="B73" s="204"/>
      <c r="C73" s="11">
        <f>'Technical inputs'!C86</f>
        <v>80</v>
      </c>
      <c r="D73" s="11" t="s">
        <v>356</v>
      </c>
      <c r="E73" s="172" t="e">
        <f>'Technical inputs'!C104*CAPEX!$C$73</f>
        <v>#REF!</v>
      </c>
      <c r="F73" s="172" t="e">
        <f>'Technical inputs'!D104*CAPEX!$C$73+E73</f>
        <v>#REF!</v>
      </c>
      <c r="G73" s="172" t="e">
        <f>'Technical inputs'!E104*CAPEX!$C$73+F73</f>
        <v>#REF!</v>
      </c>
    </row>
    <row r="74" spans="1:17">
      <c r="B74" s="204" t="s">
        <v>394</v>
      </c>
      <c r="C74" s="11">
        <f>'Technical inputs'!C85</f>
        <v>2000</v>
      </c>
      <c r="D74" s="11" t="s">
        <v>388</v>
      </c>
      <c r="E74" s="69">
        <f>'Technical inputs'!C101*CAPEX!$C$74</f>
        <v>0</v>
      </c>
      <c r="F74" s="69">
        <f>'Technical inputs'!D101*CAPEX!$C$74+E74</f>
        <v>0</v>
      </c>
      <c r="G74" s="69">
        <f>'Technical inputs'!E101*CAPEX!$C$74+F74</f>
        <v>0</v>
      </c>
    </row>
    <row r="75" spans="1:17">
      <c r="C75" s="11">
        <f>'Technical inputs'!C88</f>
        <v>245</v>
      </c>
      <c r="D75" s="11" t="s">
        <v>356</v>
      </c>
      <c r="E75" s="53" t="e">
        <f>'Technical inputs'!C104*CAPEX!$C$75</f>
        <v>#REF!</v>
      </c>
      <c r="F75" s="53" t="e">
        <f>'Technical inputs'!D104*CAPEX!$C$75+E75</f>
        <v>#REF!</v>
      </c>
      <c r="G75" s="53" t="e">
        <f>'Technical inputs'!E104*CAPEX!$C$75+F75</f>
        <v>#REF!</v>
      </c>
    </row>
    <row r="78" spans="1:17">
      <c r="D78" s="202" t="s">
        <v>132</v>
      </c>
      <c r="E78" s="206" t="e">
        <f>IF(Dashboard!$C$39=Lists!$B$17,SUM(CAPEX!E72:E73),IF(Dashboard!$C$39=Lists!$B$18,SUM(CAPEX!E69:E70),SUM(CAPEX!E74:E75)))</f>
        <v>#REF!</v>
      </c>
      <c r="F78" s="206" t="e">
        <f>IF(Dashboard!$C$39=Lists!$B$17,SUM(CAPEX!F72:F73),IF(Dashboard!$C$39=Lists!$B$18,SUM(CAPEX!F69:F70),SUM(CAPEX!F74:F75)))</f>
        <v>#REF!</v>
      </c>
      <c r="G78" s="206" t="e">
        <f>IF(Dashboard!$C$39=Lists!$B$17,SUM(CAPEX!G72:G73),IF(Dashboard!$C$39=Lists!$B$18,SUM(CAPEX!G69:G70),SUM(CAPEX!G74:G75)))</f>
        <v>#REF!</v>
      </c>
      <c r="H78" s="148"/>
    </row>
    <row r="80" spans="1:17">
      <c r="A80" s="118">
        <v>2</v>
      </c>
      <c r="B80" s="118" t="s">
        <v>395</v>
      </c>
      <c r="C80" s="118"/>
      <c r="D80" s="118"/>
      <c r="E80" s="118"/>
      <c r="F80" s="118"/>
      <c r="G80" s="118"/>
      <c r="H80" s="118"/>
      <c r="I80" s="118"/>
      <c r="J80" s="118"/>
      <c r="K80" s="118"/>
      <c r="L80" s="118"/>
      <c r="M80" s="118"/>
      <c r="N80" s="118"/>
      <c r="O80" s="118"/>
      <c r="P80" s="118"/>
      <c r="Q80" s="118"/>
    </row>
    <row r="83" spans="1:17">
      <c r="B83" s="207" t="s">
        <v>224</v>
      </c>
      <c r="C83" s="11" t="s">
        <v>389</v>
      </c>
      <c r="D83" s="11" t="s">
        <v>390</v>
      </c>
      <c r="E83" s="11" t="s">
        <v>91</v>
      </c>
    </row>
    <row r="84" spans="1:17">
      <c r="B84" s="146" t="s">
        <v>396</v>
      </c>
      <c r="C84" s="53">
        <f>IF(Dashboard!$C$21=Lists!$B$4,CAPEX!L38/'Technical inputs'!$C$74,CAPEX!G38/'Technical inputs'!$C$74)</f>
        <v>463394.85536470322</v>
      </c>
      <c r="D84" s="53">
        <f>IF(Dashboard!$C$21=Lists!$B$4,CAPEX!M38/'Technical inputs'!$C$74,CAPEX!H38/'Technical inputs'!$C$74)</f>
        <v>611189.28451989091</v>
      </c>
      <c r="E84" s="53">
        <f>IF(Dashboard!$C$21=Lists!$B$4,CAPEX!N38/'Technical inputs'!$C$74,CAPEX!I38/'Technical inputs'!$C$74)</f>
        <v>749807.3327370605</v>
      </c>
    </row>
    <row r="85" spans="1:17">
      <c r="C85" s="208"/>
    </row>
    <row r="86" spans="1:17">
      <c r="B86" s="145" t="s">
        <v>323</v>
      </c>
      <c r="C86" s="145"/>
    </row>
    <row r="87" spans="1:17">
      <c r="B87" s="146" t="s">
        <v>396</v>
      </c>
      <c r="C87" s="53" t="e">
        <f>G63/'Technical inputs'!C78</f>
        <v>#REF!</v>
      </c>
    </row>
    <row r="89" spans="1:17">
      <c r="B89" s="145" t="s">
        <v>256</v>
      </c>
    </row>
    <row r="90" spans="1:17">
      <c r="B90" s="146" t="s">
        <v>396</v>
      </c>
      <c r="C90" s="53" t="e">
        <f>E78/'Technical inputs'!$C$82</f>
        <v>#REF!</v>
      </c>
      <c r="D90" s="53" t="e">
        <f>F78/'Technical inputs'!$C$82</f>
        <v>#REF!</v>
      </c>
      <c r="E90" s="53" t="e">
        <f>G78/'Technical inputs'!$C$82</f>
        <v>#REF!</v>
      </c>
    </row>
    <row r="94" spans="1:17">
      <c r="A94" s="116"/>
      <c r="B94" s="117" t="s">
        <v>397</v>
      </c>
      <c r="C94" s="116"/>
      <c r="D94" s="116"/>
      <c r="E94" s="116"/>
      <c r="F94" s="116"/>
      <c r="G94" s="116"/>
      <c r="H94" s="116"/>
      <c r="I94" s="116"/>
      <c r="J94" s="116"/>
      <c r="K94" s="116"/>
      <c r="L94" s="116"/>
      <c r="M94" s="116"/>
      <c r="N94" s="116"/>
      <c r="O94" s="116"/>
      <c r="P94" s="116"/>
      <c r="Q94" s="116"/>
    </row>
  </sheetData>
  <dataValidations count="1">
    <dataValidation type="list" allowBlank="1" showInputMessage="1" showErrorMessage="1" sqref="C22:C25" xr:uid="{00000000-0002-0000-0900-000000000000}">
      <formula1>YesNo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AMJ14"/>
  <sheetViews>
    <sheetView zoomScaleNormal="100" workbookViewId="0">
      <selection activeCell="F28" sqref="F28"/>
    </sheetView>
  </sheetViews>
  <sheetFormatPr defaultColWidth="9.140625" defaultRowHeight="12.75"/>
  <cols>
    <col min="1" max="1" width="4.42578125" style="11" customWidth="1"/>
    <col min="2" max="2" width="56.140625" style="11" customWidth="1"/>
    <col min="3" max="9" width="18.28515625" style="11" customWidth="1"/>
    <col min="10" max="10" width="10.42578125" style="11" customWidth="1"/>
    <col min="11" max="1024" width="9.140625" style="11"/>
  </cols>
  <sheetData>
    <row r="2" spans="1:9">
      <c r="A2" s="118">
        <v>1</v>
      </c>
      <c r="B2" s="119" t="s">
        <v>398</v>
      </c>
      <c r="C2" s="118"/>
      <c r="D2" s="118"/>
      <c r="E2" s="118"/>
      <c r="F2" s="118"/>
      <c r="G2" s="118"/>
      <c r="H2" s="118"/>
      <c r="I2" s="118"/>
    </row>
    <row r="4" spans="1:9">
      <c r="C4" s="11" t="s">
        <v>225</v>
      </c>
      <c r="D4" s="11" t="s">
        <v>226</v>
      </c>
      <c r="E4" s="11" t="s">
        <v>227</v>
      </c>
    </row>
    <row r="5" spans="1:9">
      <c r="B5" s="11" t="s">
        <v>135</v>
      </c>
      <c r="C5" s="11">
        <f>Dashboard!F31</f>
        <v>0</v>
      </c>
      <c r="D5" s="11">
        <f>Dashboard!G31</f>
        <v>0</v>
      </c>
      <c r="E5" s="11">
        <f>Dashboard!H31</f>
        <v>1</v>
      </c>
    </row>
    <row r="7" spans="1:9">
      <c r="B7" s="11" t="s">
        <v>399</v>
      </c>
      <c r="C7" s="209">
        <v>0</v>
      </c>
      <c r="D7" s="209">
        <v>0</v>
      </c>
      <c r="E7" s="209">
        <v>0</v>
      </c>
    </row>
    <row r="8" spans="1:9">
      <c r="B8" s="11" t="s">
        <v>400</v>
      </c>
      <c r="C8" s="209">
        <v>0</v>
      </c>
      <c r="D8" s="209">
        <v>0</v>
      </c>
      <c r="E8" s="209">
        <v>0</v>
      </c>
      <c r="F8" s="210" t="s">
        <v>401</v>
      </c>
    </row>
    <row r="9" spans="1:9">
      <c r="B9" s="11" t="s">
        <v>402</v>
      </c>
      <c r="C9" s="209">
        <v>0</v>
      </c>
      <c r="D9" s="209">
        <v>0</v>
      </c>
      <c r="E9" s="209">
        <v>0</v>
      </c>
    </row>
    <row r="10" spans="1:9">
      <c r="B10" s="11" t="s">
        <v>403</v>
      </c>
      <c r="C10" s="209">
        <v>0</v>
      </c>
      <c r="D10" s="209">
        <v>0</v>
      </c>
      <c r="E10" s="209">
        <v>0</v>
      </c>
    </row>
    <row r="11" spans="1:9">
      <c r="B11" s="11" t="s">
        <v>404</v>
      </c>
      <c r="C11" s="209">
        <v>0</v>
      </c>
      <c r="D11" s="209">
        <v>0</v>
      </c>
      <c r="E11" s="209">
        <v>0</v>
      </c>
    </row>
    <row r="14" spans="1:9">
      <c r="A14" s="116"/>
      <c r="B14" s="117" t="s">
        <v>75</v>
      </c>
      <c r="C14" s="117"/>
      <c r="D14" s="116"/>
      <c r="E14" s="116"/>
      <c r="F14" s="116"/>
      <c r="G14" s="116"/>
      <c r="H14" s="116"/>
      <c r="I14" s="11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AMJ226"/>
  <sheetViews>
    <sheetView zoomScale="85" zoomScaleNormal="85" workbookViewId="0">
      <selection activeCell="E16" sqref="E16"/>
    </sheetView>
  </sheetViews>
  <sheetFormatPr defaultColWidth="9.140625" defaultRowHeight="12.75"/>
  <cols>
    <col min="1" max="1" width="3.28515625" style="11" customWidth="1"/>
    <col min="2" max="2" width="66.28515625" style="11" customWidth="1"/>
    <col min="3" max="3" width="18" style="11" customWidth="1"/>
    <col min="4" max="4" width="15" style="11" customWidth="1"/>
    <col min="5" max="5" width="14.7109375" style="11" customWidth="1"/>
    <col min="6" max="64" width="15" style="11" customWidth="1"/>
    <col min="65" max="1024" width="9.140625" style="11"/>
  </cols>
  <sheetData>
    <row r="2" spans="1:64" s="118" customFormat="1">
      <c r="A2" s="118">
        <v>1</v>
      </c>
      <c r="B2" s="118" t="s">
        <v>405</v>
      </c>
    </row>
    <row r="3" spans="1:64">
      <c r="C3" s="145" t="s">
        <v>406</v>
      </c>
      <c r="D3" s="145">
        <v>0</v>
      </c>
      <c r="E3" s="145">
        <v>1</v>
      </c>
      <c r="F3" s="145">
        <v>2</v>
      </c>
      <c r="G3" s="145">
        <v>3</v>
      </c>
      <c r="H3" s="145">
        <v>4</v>
      </c>
      <c r="I3" s="145">
        <v>5</v>
      </c>
      <c r="J3" s="145">
        <v>6</v>
      </c>
      <c r="K3" s="145">
        <v>7</v>
      </c>
      <c r="L3" s="145">
        <v>8</v>
      </c>
      <c r="M3" s="145">
        <v>9</v>
      </c>
      <c r="N3" s="145">
        <v>10</v>
      </c>
      <c r="O3" s="145">
        <v>11</v>
      </c>
      <c r="P3" s="145">
        <v>12</v>
      </c>
      <c r="Q3" s="145">
        <v>13</v>
      </c>
      <c r="R3" s="145">
        <v>14</v>
      </c>
      <c r="S3" s="145">
        <v>15</v>
      </c>
      <c r="T3" s="145">
        <v>16</v>
      </c>
      <c r="U3" s="145">
        <v>17</v>
      </c>
      <c r="V3" s="145">
        <v>18</v>
      </c>
      <c r="W3" s="145">
        <v>19</v>
      </c>
      <c r="X3" s="145">
        <v>20</v>
      </c>
      <c r="Y3" s="145">
        <v>21</v>
      </c>
      <c r="Z3" s="145">
        <v>22</v>
      </c>
      <c r="AA3" s="145">
        <v>23</v>
      </c>
      <c r="AB3" s="145">
        <v>24</v>
      </c>
      <c r="AC3" s="145">
        <v>25</v>
      </c>
      <c r="AD3" s="145">
        <v>26</v>
      </c>
      <c r="AE3" s="145">
        <v>27</v>
      </c>
      <c r="AF3" s="145">
        <v>28</v>
      </c>
      <c r="AG3" s="145">
        <v>29</v>
      </c>
      <c r="AH3" s="145">
        <v>30</v>
      </c>
      <c r="AI3" s="145">
        <v>31</v>
      </c>
      <c r="AJ3" s="145">
        <v>32</v>
      </c>
      <c r="AK3" s="145">
        <v>33</v>
      </c>
      <c r="AL3" s="145">
        <v>34</v>
      </c>
      <c r="AM3" s="145">
        <v>35</v>
      </c>
      <c r="AN3" s="145">
        <v>36</v>
      </c>
      <c r="AO3" s="145">
        <v>37</v>
      </c>
      <c r="AP3" s="145">
        <v>38</v>
      </c>
      <c r="AQ3" s="145">
        <v>39</v>
      </c>
      <c r="AR3" s="145">
        <v>40</v>
      </c>
      <c r="AS3" s="145">
        <v>41</v>
      </c>
      <c r="AT3" s="145">
        <v>42</v>
      </c>
      <c r="AU3" s="145">
        <v>43</v>
      </c>
      <c r="AV3" s="145">
        <v>44</v>
      </c>
      <c r="AW3" s="145">
        <v>45</v>
      </c>
      <c r="AX3" s="145">
        <v>46</v>
      </c>
      <c r="AY3" s="145">
        <v>47</v>
      </c>
      <c r="AZ3" s="145">
        <v>48</v>
      </c>
      <c r="BA3" s="145">
        <v>49</v>
      </c>
      <c r="BB3" s="145">
        <v>50</v>
      </c>
      <c r="BC3" s="145">
        <v>51</v>
      </c>
      <c r="BD3" s="145">
        <v>52</v>
      </c>
      <c r="BE3" s="145">
        <v>53</v>
      </c>
      <c r="BF3" s="145">
        <v>54</v>
      </c>
      <c r="BG3" s="145">
        <v>55</v>
      </c>
      <c r="BH3" s="145">
        <v>56</v>
      </c>
      <c r="BI3" s="145">
        <v>57</v>
      </c>
      <c r="BJ3" s="145">
        <v>58</v>
      </c>
      <c r="BK3" s="145">
        <v>59</v>
      </c>
      <c r="BL3" s="145">
        <v>60</v>
      </c>
    </row>
    <row r="4" spans="1:64">
      <c r="C4" s="145" t="s">
        <v>193</v>
      </c>
      <c r="D4" s="145"/>
      <c r="E4" s="145">
        <f>SUM(E6:E8)</f>
        <v>1</v>
      </c>
      <c r="F4" s="145">
        <f>SUM(F6:F8)</f>
        <v>1</v>
      </c>
      <c r="G4" s="145">
        <f>SUM(G6:G8)</f>
        <v>1</v>
      </c>
      <c r="H4" s="145">
        <f>SUM(H6:H8)</f>
        <v>1</v>
      </c>
      <c r="I4" s="145">
        <f>SUM(I6:I8)</f>
        <v>1</v>
      </c>
      <c r="J4" s="145">
        <f>SUM(J6:J8)</f>
        <v>2</v>
      </c>
      <c r="K4" s="145">
        <f>SUM(K6:K8)</f>
        <v>2</v>
      </c>
      <c r="L4" s="145">
        <f>SUM(L6:L8)</f>
        <v>2</v>
      </c>
      <c r="M4" s="145">
        <f>SUM(M6:M8)</f>
        <v>2</v>
      </c>
      <c r="N4" s="145">
        <f>SUM(N6:N8)</f>
        <v>2</v>
      </c>
      <c r="O4" s="145">
        <f>SUM(O6:O8)</f>
        <v>3</v>
      </c>
      <c r="P4" s="145">
        <f>SUM(P6:P8)</f>
        <v>3</v>
      </c>
      <c r="Q4" s="145">
        <f>SUM(Q6:Q8)</f>
        <v>3</v>
      </c>
      <c r="R4" s="145">
        <f>SUM(R6:R8)</f>
        <v>3</v>
      </c>
      <c r="S4" s="145">
        <f>SUM(S6:S8)</f>
        <v>3</v>
      </c>
      <c r="T4" s="145">
        <f>SUM(T6:T8)</f>
        <v>3</v>
      </c>
      <c r="U4" s="145">
        <f>SUM(U6:U8)</f>
        <v>3</v>
      </c>
      <c r="V4" s="145">
        <f>SUM(V6:V8)</f>
        <v>3</v>
      </c>
      <c r="W4" s="145">
        <f>SUM(W6:W8)</f>
        <v>3</v>
      </c>
      <c r="X4" s="145">
        <f>SUM(X6:X8)</f>
        <v>3</v>
      </c>
      <c r="Y4" s="145">
        <f>SUM(Y6:Y8)</f>
        <v>3</v>
      </c>
      <c r="Z4" s="145">
        <f>SUM(Z6:Z8)</f>
        <v>3</v>
      </c>
      <c r="AA4" s="145">
        <f>SUM(AA6:AA8)</f>
        <v>3</v>
      </c>
      <c r="AB4" s="145">
        <f>SUM(AB6:AB8)</f>
        <v>3</v>
      </c>
      <c r="AC4" s="145">
        <f>SUM(AC6:AC8)</f>
        <v>3</v>
      </c>
      <c r="AD4" s="145">
        <f>SUM(AD6:AD8)</f>
        <v>3</v>
      </c>
      <c r="AE4" s="145">
        <f>SUM(AE6:AE8)</f>
        <v>3</v>
      </c>
      <c r="AF4" s="145">
        <f>SUM(AF6:AF8)</f>
        <v>3</v>
      </c>
      <c r="AG4" s="145">
        <f>SUM(AG6:AG8)</f>
        <v>3</v>
      </c>
      <c r="AH4" s="145">
        <f>SUM(AH6:AH8)</f>
        <v>3</v>
      </c>
      <c r="AI4" s="145">
        <f>SUM(AI6:AI8)</f>
        <v>3</v>
      </c>
      <c r="AJ4" s="145">
        <f>SUM(AJ6:AJ8)</f>
        <v>3</v>
      </c>
      <c r="AK4" s="145">
        <f>SUM(AK6:AK8)</f>
        <v>3</v>
      </c>
      <c r="AL4" s="145">
        <f>SUM(AL6:AL8)</f>
        <v>3</v>
      </c>
      <c r="AM4" s="145">
        <f>SUM(AM6:AM8)</f>
        <v>3</v>
      </c>
      <c r="AN4" s="145">
        <f>SUM(AN6:AN8)</f>
        <v>3</v>
      </c>
      <c r="AO4" s="145">
        <f>SUM(AO6:AO8)</f>
        <v>3</v>
      </c>
      <c r="AP4" s="145">
        <f>SUM(AP6:AP8)</f>
        <v>3</v>
      </c>
      <c r="AQ4" s="145">
        <f>SUM(AQ6:AQ8)</f>
        <v>3</v>
      </c>
      <c r="AR4" s="145">
        <f>SUM(AR6:AR8)</f>
        <v>3</v>
      </c>
      <c r="AS4" s="145">
        <f>SUM(AS6:AS8)</f>
        <v>3</v>
      </c>
      <c r="AT4" s="145">
        <f>SUM(AT6:AT8)</f>
        <v>3</v>
      </c>
      <c r="AU4" s="145">
        <f>SUM(AU6:AU8)</f>
        <v>3</v>
      </c>
      <c r="AV4" s="145">
        <f>SUM(AV6:AV8)</f>
        <v>3</v>
      </c>
      <c r="AW4" s="145">
        <f>SUM(AW6:AW8)</f>
        <v>3</v>
      </c>
      <c r="AX4" s="145">
        <f>SUM(AX6:AX8)</f>
        <v>3</v>
      </c>
      <c r="AY4" s="145">
        <f>SUM(AY6:AY8)</f>
        <v>3</v>
      </c>
      <c r="AZ4" s="145">
        <f>SUM(AZ6:AZ8)</f>
        <v>3</v>
      </c>
      <c r="BA4" s="145">
        <f>SUM(BA6:BA8)</f>
        <v>3</v>
      </c>
      <c r="BB4" s="145">
        <f>SUM(BB6:BB8)</f>
        <v>3</v>
      </c>
      <c r="BC4" s="145">
        <f>SUM(BC6:BC8)</f>
        <v>3</v>
      </c>
      <c r="BD4" s="145">
        <f>SUM(BD6:BD8)</f>
        <v>3</v>
      </c>
      <c r="BE4" s="145">
        <f>SUM(BE6:BE8)</f>
        <v>3</v>
      </c>
      <c r="BF4" s="145">
        <f>SUM(BF6:BF8)</f>
        <v>3</v>
      </c>
      <c r="BG4" s="145">
        <f>SUM(BG6:BG8)</f>
        <v>3</v>
      </c>
      <c r="BH4" s="145">
        <f>SUM(BH6:BH8)</f>
        <v>3</v>
      </c>
      <c r="BI4" s="145">
        <f>SUM(BI6:BI8)</f>
        <v>3</v>
      </c>
      <c r="BJ4" s="145">
        <f>SUM(BJ6:BJ8)</f>
        <v>3</v>
      </c>
      <c r="BK4" s="145">
        <f>SUM(BK6:BK8)</f>
        <v>3</v>
      </c>
      <c r="BL4" s="145">
        <f>SUM(BL6:BL8)</f>
        <v>3</v>
      </c>
    </row>
    <row r="5" spans="1:64">
      <c r="C5" s="145" t="s">
        <v>407</v>
      </c>
      <c r="D5" s="211">
        <f>DATE(YEAR(E5)-1,12,31)</f>
        <v>46387</v>
      </c>
      <c r="E5" s="211">
        <f>DATE(Dashboard!$C$28,12,31)</f>
        <v>46752</v>
      </c>
      <c r="F5" s="211">
        <f>DATE(YEAR(E5)+1,12,31)</f>
        <v>47118</v>
      </c>
      <c r="G5" s="211">
        <f>DATE(YEAR(F5)+1,12,31)</f>
        <v>47483</v>
      </c>
      <c r="H5" s="211">
        <f>DATE(YEAR(G5)+1,12,31)</f>
        <v>47848</v>
      </c>
      <c r="I5" s="211">
        <f>DATE(YEAR(H5)+1,12,31)</f>
        <v>48213</v>
      </c>
      <c r="J5" s="211">
        <f>DATE(YEAR(I5)+1,12,31)</f>
        <v>48579</v>
      </c>
      <c r="K5" s="211">
        <f>DATE(YEAR(J5)+1,12,31)</f>
        <v>48944</v>
      </c>
      <c r="L5" s="211">
        <f>DATE(YEAR(K5)+1,12,31)</f>
        <v>49309</v>
      </c>
      <c r="M5" s="211">
        <f>DATE(YEAR(L5)+1,12,31)</f>
        <v>49674</v>
      </c>
      <c r="N5" s="211">
        <f>DATE(YEAR(M5)+1,12,31)</f>
        <v>50040</v>
      </c>
      <c r="O5" s="211">
        <f>DATE(YEAR(N5)+1,12,31)</f>
        <v>50405</v>
      </c>
      <c r="P5" s="211">
        <f>DATE(YEAR(O5)+1,12,31)</f>
        <v>50770</v>
      </c>
      <c r="Q5" s="211">
        <f>DATE(YEAR(P5)+1,12,31)</f>
        <v>51135</v>
      </c>
      <c r="R5" s="211">
        <f>DATE(YEAR(Q5)+1,12,31)</f>
        <v>51501</v>
      </c>
      <c r="S5" s="211">
        <f>DATE(YEAR(R5)+1,12,31)</f>
        <v>51866</v>
      </c>
      <c r="T5" s="211">
        <f>DATE(YEAR(S5)+1,12,31)</f>
        <v>52231</v>
      </c>
      <c r="U5" s="211">
        <f>DATE(YEAR(T5)+1,12,31)</f>
        <v>52596</v>
      </c>
      <c r="V5" s="211">
        <f>DATE(YEAR(U5)+1,12,31)</f>
        <v>52962</v>
      </c>
      <c r="W5" s="211">
        <f>DATE(YEAR(V5)+1,12,31)</f>
        <v>53327</v>
      </c>
      <c r="X5" s="211">
        <f>DATE(YEAR(W5)+1,12,31)</f>
        <v>53692</v>
      </c>
      <c r="Y5" s="211">
        <f>DATE(YEAR(X5)+1,12,31)</f>
        <v>54057</v>
      </c>
      <c r="Z5" s="211">
        <f>DATE(YEAR(Y5)+1,12,31)</f>
        <v>54423</v>
      </c>
      <c r="AA5" s="211">
        <f>DATE(YEAR(Z5)+1,12,31)</f>
        <v>54788</v>
      </c>
      <c r="AB5" s="211">
        <f>DATE(YEAR(AA5)+1,12,31)</f>
        <v>55153</v>
      </c>
      <c r="AC5" s="211">
        <f>DATE(YEAR(AB5)+1,12,31)</f>
        <v>55518</v>
      </c>
      <c r="AD5" s="211">
        <f>DATE(YEAR(AC5)+1,12,31)</f>
        <v>55884</v>
      </c>
      <c r="AE5" s="211">
        <f>DATE(YEAR(AD5)+1,12,31)</f>
        <v>56249</v>
      </c>
      <c r="AF5" s="211">
        <f>DATE(YEAR(AE5)+1,12,31)</f>
        <v>56614</v>
      </c>
      <c r="AG5" s="211">
        <f>DATE(YEAR(AF5)+1,12,31)</f>
        <v>56979</v>
      </c>
      <c r="AH5" s="211">
        <f>DATE(YEAR(AG5)+1,12,31)</f>
        <v>57345</v>
      </c>
      <c r="AI5" s="211">
        <f>DATE(YEAR(AH5)+1,12,31)</f>
        <v>57710</v>
      </c>
      <c r="AJ5" s="211">
        <f>DATE(YEAR(AI5)+1,12,31)</f>
        <v>58075</v>
      </c>
      <c r="AK5" s="211">
        <f>DATE(YEAR(AJ5)+1,12,31)</f>
        <v>58440</v>
      </c>
      <c r="AL5" s="211">
        <f>DATE(YEAR(AK5)+1,12,31)</f>
        <v>58806</v>
      </c>
      <c r="AM5" s="211">
        <f>DATE(YEAR(AL5)+1,12,31)</f>
        <v>59171</v>
      </c>
      <c r="AN5" s="211">
        <f>DATE(YEAR(AM5)+1,12,31)</f>
        <v>59536</v>
      </c>
      <c r="AO5" s="211">
        <f>DATE(YEAR(AN5)+1,12,31)</f>
        <v>59901</v>
      </c>
      <c r="AP5" s="211">
        <f>DATE(YEAR(AO5)+1,12,31)</f>
        <v>60267</v>
      </c>
      <c r="AQ5" s="211">
        <f>DATE(YEAR(AP5)+1,12,31)</f>
        <v>60632</v>
      </c>
      <c r="AR5" s="211">
        <f>DATE(YEAR(AQ5)+1,12,31)</f>
        <v>60997</v>
      </c>
      <c r="AS5" s="211">
        <f>DATE(YEAR(AR5)+1,12,31)</f>
        <v>61362</v>
      </c>
      <c r="AT5" s="211">
        <f>DATE(YEAR(AS5)+1,12,31)</f>
        <v>61728</v>
      </c>
      <c r="AU5" s="211">
        <f>DATE(YEAR(AT5)+1,12,31)</f>
        <v>62093</v>
      </c>
      <c r="AV5" s="211">
        <f>DATE(YEAR(AU5)+1,12,31)</f>
        <v>62458</v>
      </c>
      <c r="AW5" s="211">
        <f>DATE(YEAR(AV5)+1,12,31)</f>
        <v>62823</v>
      </c>
      <c r="AX5" s="211">
        <f>DATE(YEAR(AW5)+1,12,31)</f>
        <v>63189</v>
      </c>
      <c r="AY5" s="211">
        <f>DATE(YEAR(AX5)+1,12,31)</f>
        <v>63554</v>
      </c>
      <c r="AZ5" s="211">
        <f>DATE(YEAR(AY5)+1,12,31)</f>
        <v>63919</v>
      </c>
      <c r="BA5" s="211">
        <f>DATE(YEAR(AZ5)+1,12,31)</f>
        <v>64284</v>
      </c>
      <c r="BB5" s="211">
        <f>DATE(YEAR(BA5)+1,12,31)</f>
        <v>64650</v>
      </c>
      <c r="BC5" s="211">
        <f>DATE(YEAR(BB5)+1,12,31)</f>
        <v>65015</v>
      </c>
      <c r="BD5" s="211">
        <f>DATE(YEAR(BC5)+1,12,31)</f>
        <v>65380</v>
      </c>
      <c r="BE5" s="211">
        <f>DATE(YEAR(BD5)+1,12,31)</f>
        <v>65745</v>
      </c>
      <c r="BF5" s="211">
        <f>DATE(YEAR(BE5)+1,12,31)</f>
        <v>66111</v>
      </c>
      <c r="BG5" s="211">
        <f>DATE(YEAR(BF5)+1,12,31)</f>
        <v>66476</v>
      </c>
      <c r="BH5" s="211">
        <f>DATE(YEAR(BG5)+1,12,31)</f>
        <v>66841</v>
      </c>
      <c r="BI5" s="211">
        <f>DATE(YEAR(BH5)+1,12,31)</f>
        <v>67206</v>
      </c>
      <c r="BJ5" s="211">
        <f>DATE(YEAR(BI5)+1,12,31)</f>
        <v>67572</v>
      </c>
      <c r="BK5" s="211">
        <f>DATE(YEAR(BJ5)+1,12,31)</f>
        <v>67937</v>
      </c>
      <c r="BL5" s="211">
        <f>DATE(YEAR(BK5)+1,12,31)</f>
        <v>68302</v>
      </c>
    </row>
    <row r="6" spans="1:64">
      <c r="B6" s="11" t="s">
        <v>408</v>
      </c>
      <c r="C6" s="145"/>
      <c r="D6" s="145"/>
      <c r="E6" s="145">
        <f>IF(Dashboard!$C$28&lt;=YEAR(E$5),1,0)</f>
        <v>1</v>
      </c>
      <c r="F6" s="145">
        <f>IF(Dashboard!$C$28&lt;=YEAR(F$5),1,0)</f>
        <v>1</v>
      </c>
      <c r="G6" s="145">
        <f>IF(Dashboard!$C$28&lt;=YEAR(G$5),1,0)</f>
        <v>1</v>
      </c>
      <c r="H6" s="145">
        <f>IF(Dashboard!$C$28&lt;=YEAR(H$5),1,0)</f>
        <v>1</v>
      </c>
      <c r="I6" s="145">
        <f>IF(Dashboard!$C$28&lt;=YEAR(I$5),1,0)</f>
        <v>1</v>
      </c>
      <c r="J6" s="145">
        <f>IF(Dashboard!$C$28&lt;=YEAR(J$5),1,0)</f>
        <v>1</v>
      </c>
      <c r="K6" s="145">
        <f>IF(Dashboard!$C$28&lt;=YEAR(K$5),1,0)</f>
        <v>1</v>
      </c>
      <c r="L6" s="145">
        <f>IF(Dashboard!$C$28&lt;=YEAR(L$5),1,0)</f>
        <v>1</v>
      </c>
      <c r="M6" s="145">
        <f>IF(Dashboard!$C$28&lt;=YEAR(M$5),1,0)</f>
        <v>1</v>
      </c>
      <c r="N6" s="145">
        <f>IF(Dashboard!$C$28&lt;=YEAR(N$5),1,0)</f>
        <v>1</v>
      </c>
      <c r="O6" s="145">
        <f>IF(Dashboard!$C$28&lt;=YEAR(O$5),1,0)</f>
        <v>1</v>
      </c>
      <c r="P6" s="145">
        <f>IF(Dashboard!$C$28&lt;=YEAR(P$5),1,0)</f>
        <v>1</v>
      </c>
      <c r="Q6" s="145">
        <f>IF(Dashboard!$C$28&lt;=YEAR(Q$5),1,0)</f>
        <v>1</v>
      </c>
      <c r="R6" s="145">
        <f>IF(Dashboard!$C$28&lt;=YEAR(R$5),1,0)</f>
        <v>1</v>
      </c>
      <c r="S6" s="145">
        <f>IF(Dashboard!$C$28&lt;=YEAR(S$5),1,0)</f>
        <v>1</v>
      </c>
      <c r="T6" s="145">
        <f>IF(Dashboard!$C$28&lt;=YEAR(T$5),1,0)</f>
        <v>1</v>
      </c>
      <c r="U6" s="145">
        <f>IF(Dashboard!$C$28&lt;=YEAR(U$5),1,0)</f>
        <v>1</v>
      </c>
      <c r="V6" s="145">
        <f>IF(Dashboard!$C$28&lt;=YEAR(V$5),1,0)</f>
        <v>1</v>
      </c>
      <c r="W6" s="145">
        <f>IF(Dashboard!$C$28&lt;=YEAR(W$5),1,0)</f>
        <v>1</v>
      </c>
      <c r="X6" s="145">
        <f>IF(Dashboard!$C$28&lt;=YEAR(X$5),1,0)</f>
        <v>1</v>
      </c>
      <c r="Y6" s="145">
        <f>IF(Dashboard!$C$28&lt;=YEAR(Y$5),1,0)</f>
        <v>1</v>
      </c>
      <c r="Z6" s="145">
        <f>IF(Dashboard!$C$28&lt;=YEAR(Z$5),1,0)</f>
        <v>1</v>
      </c>
      <c r="AA6" s="145">
        <f>IF(Dashboard!$C$28&lt;=YEAR(AA$5),1,0)</f>
        <v>1</v>
      </c>
      <c r="AB6" s="145">
        <f>IF(Dashboard!$C$28&lt;=YEAR(AB$5),1,0)</f>
        <v>1</v>
      </c>
      <c r="AC6" s="145">
        <f>IF(Dashboard!$C$28&lt;=YEAR(AC$5),1,0)</f>
        <v>1</v>
      </c>
      <c r="AD6" s="145">
        <f>IF(Dashboard!$C$28&lt;=YEAR(AD$5),1,0)</f>
        <v>1</v>
      </c>
      <c r="AE6" s="145">
        <f>IF(Dashboard!$C$28&lt;=YEAR(AE$5),1,0)</f>
        <v>1</v>
      </c>
      <c r="AF6" s="145">
        <f>IF(Dashboard!$C$28&lt;=YEAR(AF$5),1,0)</f>
        <v>1</v>
      </c>
      <c r="AG6" s="145">
        <f>IF(Dashboard!$C$28&lt;=YEAR(AG$5),1,0)</f>
        <v>1</v>
      </c>
      <c r="AH6" s="145">
        <f>IF(Dashboard!$C$28&lt;=YEAR(AH$5),1,0)</f>
        <v>1</v>
      </c>
      <c r="AI6" s="145">
        <f>IF(Dashboard!$C$28&lt;=YEAR(AI$5),1,0)</f>
        <v>1</v>
      </c>
      <c r="AJ6" s="145">
        <f>IF(Dashboard!$C$28&lt;=YEAR(AJ$5),1,0)</f>
        <v>1</v>
      </c>
      <c r="AK6" s="145">
        <f>IF(Dashboard!$C$28&lt;=YEAR(AK$5),1,0)</f>
        <v>1</v>
      </c>
      <c r="AL6" s="145">
        <f>IF(Dashboard!$C$28&lt;=YEAR(AL$5),1,0)</f>
        <v>1</v>
      </c>
      <c r="AM6" s="145">
        <f>IF(Dashboard!$C$28&lt;=YEAR(AM$5),1,0)</f>
        <v>1</v>
      </c>
      <c r="AN6" s="145">
        <f>IF(Dashboard!$C$28&lt;=YEAR(AN$5),1,0)</f>
        <v>1</v>
      </c>
      <c r="AO6" s="145">
        <f>IF(Dashboard!$C$28&lt;=YEAR(AO$5),1,0)</f>
        <v>1</v>
      </c>
      <c r="AP6" s="145">
        <f>IF(Dashboard!$C$28&lt;=YEAR(AP$5),1,0)</f>
        <v>1</v>
      </c>
      <c r="AQ6" s="145">
        <f>IF(Dashboard!$C$28&lt;=YEAR(AQ$5),1,0)</f>
        <v>1</v>
      </c>
      <c r="AR6" s="145">
        <f>IF(Dashboard!$C$28&lt;=YEAR(AR$5),1,0)</f>
        <v>1</v>
      </c>
      <c r="AS6" s="145">
        <f>IF(Dashboard!$C$28&lt;=YEAR(AS$5),1,0)</f>
        <v>1</v>
      </c>
      <c r="AT6" s="145">
        <f>IF(Dashboard!$C$28&lt;=YEAR(AT$5),1,0)</f>
        <v>1</v>
      </c>
      <c r="AU6" s="145">
        <f>IF(Dashboard!$C$28&lt;=YEAR(AU$5),1,0)</f>
        <v>1</v>
      </c>
      <c r="AV6" s="145">
        <f>IF(Dashboard!$C$28&lt;=YEAR(AV$5),1,0)</f>
        <v>1</v>
      </c>
      <c r="AW6" s="145">
        <f>IF(Dashboard!$C$28&lt;=YEAR(AW$5),1,0)</f>
        <v>1</v>
      </c>
      <c r="AX6" s="145">
        <f>IF(Dashboard!$C$28&lt;=YEAR(AX$5),1,0)</f>
        <v>1</v>
      </c>
      <c r="AY6" s="145">
        <f>IF(Dashboard!$C$28&lt;=YEAR(AY$5),1,0)</f>
        <v>1</v>
      </c>
      <c r="AZ6" s="145">
        <f>IF(Dashboard!$C$28&lt;=YEAR(AZ$5),1,0)</f>
        <v>1</v>
      </c>
      <c r="BA6" s="145">
        <f>IF(Dashboard!$C$28&lt;=YEAR(BA$5),1,0)</f>
        <v>1</v>
      </c>
      <c r="BB6" s="145">
        <f>IF(Dashboard!$C$28&lt;=YEAR(BB$5),1,0)</f>
        <v>1</v>
      </c>
      <c r="BC6" s="145">
        <f>IF(Dashboard!$C$28&lt;=YEAR(BC$5),1,0)</f>
        <v>1</v>
      </c>
      <c r="BD6" s="145">
        <f>IF(Dashboard!$C$28&lt;=YEAR(BD$5),1,0)</f>
        <v>1</v>
      </c>
      <c r="BE6" s="145">
        <f>IF(Dashboard!$C$28&lt;=YEAR(BE$5),1,0)</f>
        <v>1</v>
      </c>
      <c r="BF6" s="145">
        <f>IF(Dashboard!$C$28&lt;=YEAR(BF$5),1,0)</f>
        <v>1</v>
      </c>
      <c r="BG6" s="145">
        <f>IF(Dashboard!$C$28&lt;=YEAR(BG$5),1,0)</f>
        <v>1</v>
      </c>
      <c r="BH6" s="145">
        <f>IF(Dashboard!$C$28&lt;=YEAR(BH$5),1,0)</f>
        <v>1</v>
      </c>
      <c r="BI6" s="145">
        <f>IF(Dashboard!$C$28&lt;=YEAR(BI$5),1,0)</f>
        <v>1</v>
      </c>
      <c r="BJ6" s="145">
        <f>IF(Dashboard!$C$28&lt;=YEAR(BJ$5),1,0)</f>
        <v>1</v>
      </c>
      <c r="BK6" s="145">
        <f>IF(Dashboard!$C$28&lt;=YEAR(BK$5),1,0)</f>
        <v>1</v>
      </c>
      <c r="BL6" s="145">
        <f>IF(Dashboard!$C$28&lt;=YEAR(BL$5),1,0)</f>
        <v>1</v>
      </c>
    </row>
    <row r="7" spans="1:64">
      <c r="B7" s="11" t="s">
        <v>409</v>
      </c>
      <c r="C7" s="145"/>
      <c r="D7" s="145"/>
      <c r="E7" s="145">
        <f>IF(Dashboard!$C$29&lt;=YEAR(E$5),1*(Dashboard!$G$31+Dashboard!$H$31),0)</f>
        <v>0</v>
      </c>
      <c r="F7" s="145">
        <f>IF(Dashboard!$C$29&lt;=YEAR(F$5),1*(Dashboard!$G$31+Dashboard!$H$31),0)</f>
        <v>0</v>
      </c>
      <c r="G7" s="145">
        <f>IF(Dashboard!$C$29&lt;=YEAR(G$5),1*(Dashboard!$G$31+Dashboard!$H$31),0)</f>
        <v>0</v>
      </c>
      <c r="H7" s="145">
        <f>IF(Dashboard!$C$29&lt;=YEAR(H$5),1*(Dashboard!$G$31+Dashboard!$H$31),0)</f>
        <v>0</v>
      </c>
      <c r="I7" s="145">
        <f>IF(Dashboard!$C$29&lt;=YEAR(I$5),1*(Dashboard!$G$31+Dashboard!$H$31),0)</f>
        <v>0</v>
      </c>
      <c r="J7" s="145">
        <f>IF(Dashboard!$C$29&lt;=YEAR(J$5),1*(Dashboard!$G$31+Dashboard!$H$31),0)</f>
        <v>1</v>
      </c>
      <c r="K7" s="145">
        <f>IF(Dashboard!$C$29&lt;=YEAR(K$5),1*(Dashboard!$G$31+Dashboard!$H$31),0)</f>
        <v>1</v>
      </c>
      <c r="L7" s="145">
        <f>IF(Dashboard!$C$29&lt;=YEAR(L$5),1*(Dashboard!$G$31+Dashboard!$H$31),0)</f>
        <v>1</v>
      </c>
      <c r="M7" s="145">
        <f>IF(Dashboard!$C$29&lt;=YEAR(M$5),1*(Dashboard!$G$31+Dashboard!$H$31),0)</f>
        <v>1</v>
      </c>
      <c r="N7" s="145">
        <f>IF(Dashboard!$C$29&lt;=YEAR(N$5),1*(Dashboard!$G$31+Dashboard!$H$31),0)</f>
        <v>1</v>
      </c>
      <c r="O7" s="145">
        <f>IF(Dashboard!$C$29&lt;=YEAR(O$5),1*(Dashboard!$G$31+Dashboard!$H$31),0)</f>
        <v>1</v>
      </c>
      <c r="P7" s="145">
        <f>IF(Dashboard!$C$29&lt;=YEAR(P$5),1*(Dashboard!$G$31+Dashboard!$H$31),0)</f>
        <v>1</v>
      </c>
      <c r="Q7" s="145">
        <f>IF(Dashboard!$C$29&lt;=YEAR(Q$5),1*(Dashboard!$G$31+Dashboard!$H$31),0)</f>
        <v>1</v>
      </c>
      <c r="R7" s="145">
        <f>IF(Dashboard!$C$29&lt;=YEAR(R$5),1*(Dashboard!$G$31+Dashboard!$H$31),0)</f>
        <v>1</v>
      </c>
      <c r="S7" s="145">
        <f>IF(Dashboard!$C$29&lt;=YEAR(S$5),1*(Dashboard!$G$31+Dashboard!$H$31),0)</f>
        <v>1</v>
      </c>
      <c r="T7" s="145">
        <f>IF(Dashboard!$C$29&lt;=YEAR(T$5),1*(Dashboard!$G$31+Dashboard!$H$31),0)</f>
        <v>1</v>
      </c>
      <c r="U7" s="145">
        <f>IF(Dashboard!$C$29&lt;=YEAR(U$5),1*(Dashboard!$G$31+Dashboard!$H$31),0)</f>
        <v>1</v>
      </c>
      <c r="V7" s="145">
        <f>IF(Dashboard!$C$29&lt;=YEAR(V$5),1*(Dashboard!$G$31+Dashboard!$H$31),0)</f>
        <v>1</v>
      </c>
      <c r="W7" s="145">
        <f>IF(Dashboard!$C$29&lt;=YEAR(W$5),1*(Dashboard!$G$31+Dashboard!$H$31),0)</f>
        <v>1</v>
      </c>
      <c r="X7" s="145">
        <f>IF(Dashboard!$C$29&lt;=YEAR(X$5),1*(Dashboard!$G$31+Dashboard!$H$31),0)</f>
        <v>1</v>
      </c>
      <c r="Y7" s="145">
        <f>IF(Dashboard!$C$29&lt;=YEAR(Y$5),1*(Dashboard!$G$31+Dashboard!$H$31),0)</f>
        <v>1</v>
      </c>
      <c r="Z7" s="145">
        <f>IF(Dashboard!$C$29&lt;=YEAR(Z$5),1*(Dashboard!$G$31+Dashboard!$H$31),0)</f>
        <v>1</v>
      </c>
      <c r="AA7" s="145">
        <f>IF(Dashboard!$C$29&lt;=YEAR(AA$5),1*(Dashboard!$G$31+Dashboard!$H$31),0)</f>
        <v>1</v>
      </c>
      <c r="AB7" s="145">
        <f>IF(Dashboard!$C$29&lt;=YEAR(AB$5),1*(Dashboard!$G$31+Dashboard!$H$31),0)</f>
        <v>1</v>
      </c>
      <c r="AC7" s="145">
        <f>IF(Dashboard!$C$29&lt;=YEAR(AC$5),1*(Dashboard!$G$31+Dashboard!$H$31),0)</f>
        <v>1</v>
      </c>
      <c r="AD7" s="145">
        <f>IF(Dashboard!$C$29&lt;=YEAR(AD$5),1*(Dashboard!$G$31+Dashboard!$H$31),0)</f>
        <v>1</v>
      </c>
      <c r="AE7" s="145">
        <f>IF(Dashboard!$C$29&lt;=YEAR(AE$5),1*(Dashboard!$G$31+Dashboard!$H$31),0)</f>
        <v>1</v>
      </c>
      <c r="AF7" s="145">
        <f>IF(Dashboard!$C$29&lt;=YEAR(AF$5),1*(Dashboard!$G$31+Dashboard!$H$31),0)</f>
        <v>1</v>
      </c>
      <c r="AG7" s="145">
        <f>IF(Dashboard!$C$29&lt;=YEAR(AG$5),1*(Dashboard!$G$31+Dashboard!$H$31),0)</f>
        <v>1</v>
      </c>
      <c r="AH7" s="145">
        <f>IF(Dashboard!$C$29&lt;=YEAR(AH$5),1*(Dashboard!$G$31+Dashboard!$H$31),0)</f>
        <v>1</v>
      </c>
      <c r="AI7" s="145">
        <f>IF(Dashboard!$C$29&lt;=YEAR(AI$5),1*(Dashboard!$G$31+Dashboard!$H$31),0)</f>
        <v>1</v>
      </c>
      <c r="AJ7" s="145">
        <f>IF(Dashboard!$C$29&lt;=YEAR(AJ$5),1*(Dashboard!$G$31+Dashboard!$H$31),0)</f>
        <v>1</v>
      </c>
      <c r="AK7" s="145">
        <f>IF(Dashboard!$C$29&lt;=YEAR(AK$5),1*(Dashboard!$G$31+Dashboard!$H$31),0)</f>
        <v>1</v>
      </c>
      <c r="AL7" s="145">
        <f>IF(Dashboard!$C$29&lt;=YEAR(AL$5),1*(Dashboard!$G$31+Dashboard!$H$31),0)</f>
        <v>1</v>
      </c>
      <c r="AM7" s="145">
        <f>IF(Dashboard!$C$29&lt;=YEAR(AM$5),1*(Dashboard!$G$31+Dashboard!$H$31),0)</f>
        <v>1</v>
      </c>
      <c r="AN7" s="145">
        <f>IF(Dashboard!$C$29&lt;=YEAR(AN$5),1*(Dashboard!$G$31+Dashboard!$H$31),0)</f>
        <v>1</v>
      </c>
      <c r="AO7" s="145">
        <f>IF(Dashboard!$C$29&lt;=YEAR(AO$5),1*(Dashboard!$G$31+Dashboard!$H$31),0)</f>
        <v>1</v>
      </c>
      <c r="AP7" s="145">
        <f>IF(Dashboard!$C$29&lt;=YEAR(AP$5),1*(Dashboard!$G$31+Dashboard!$H$31),0)</f>
        <v>1</v>
      </c>
      <c r="AQ7" s="145">
        <f>IF(Dashboard!$C$29&lt;=YEAR(AQ$5),1*(Dashboard!$G$31+Dashboard!$H$31),0)</f>
        <v>1</v>
      </c>
      <c r="AR7" s="145">
        <f>IF(Dashboard!$C$29&lt;=YEAR(AR$5),1*(Dashboard!$G$31+Dashboard!$H$31),0)</f>
        <v>1</v>
      </c>
      <c r="AS7" s="145">
        <f>IF(Dashboard!$C$29&lt;=YEAR(AS$5),1*(Dashboard!$G$31+Dashboard!$H$31),0)</f>
        <v>1</v>
      </c>
      <c r="AT7" s="145">
        <f>IF(Dashboard!$C$29&lt;=YEAR(AT$5),1*(Dashboard!$G$31+Dashboard!$H$31),0)</f>
        <v>1</v>
      </c>
      <c r="AU7" s="145">
        <f>IF(Dashboard!$C$29&lt;=YEAR(AU$5),1*(Dashboard!$G$31+Dashboard!$H$31),0)</f>
        <v>1</v>
      </c>
      <c r="AV7" s="145">
        <f>IF(Dashboard!$C$29&lt;=YEAR(AV$5),1*(Dashboard!$G$31+Dashboard!$H$31),0)</f>
        <v>1</v>
      </c>
      <c r="AW7" s="145">
        <f>IF(Dashboard!$C$29&lt;=YEAR(AW$5),1*(Dashboard!$G$31+Dashboard!$H$31),0)</f>
        <v>1</v>
      </c>
      <c r="AX7" s="145">
        <f>IF(Dashboard!$C$29&lt;=YEAR(AX$5),1*(Dashboard!$G$31+Dashboard!$H$31),0)</f>
        <v>1</v>
      </c>
      <c r="AY7" s="145">
        <f>IF(Dashboard!$C$29&lt;=YEAR(AY$5),1*(Dashboard!$G$31+Dashboard!$H$31),0)</f>
        <v>1</v>
      </c>
      <c r="AZ7" s="145">
        <f>IF(Dashboard!$C$29&lt;=YEAR(AZ$5),1*(Dashboard!$G$31+Dashboard!$H$31),0)</f>
        <v>1</v>
      </c>
      <c r="BA7" s="145">
        <f>IF(Dashboard!$C$29&lt;=YEAR(BA$5),1*(Dashboard!$G$31+Dashboard!$H$31),0)</f>
        <v>1</v>
      </c>
      <c r="BB7" s="145">
        <f>IF(Dashboard!$C$29&lt;=YEAR(BB$5),1*(Dashboard!$G$31+Dashboard!$H$31),0)</f>
        <v>1</v>
      </c>
      <c r="BC7" s="145">
        <f>IF(Dashboard!$C$29&lt;=YEAR(BC$5),1*(Dashboard!$G$31+Dashboard!$H$31),0)</f>
        <v>1</v>
      </c>
      <c r="BD7" s="145">
        <f>IF(Dashboard!$C$29&lt;=YEAR(BD$5),1*(Dashboard!$G$31+Dashboard!$H$31),0)</f>
        <v>1</v>
      </c>
      <c r="BE7" s="145">
        <f>IF(Dashboard!$C$29&lt;=YEAR(BE$5),1*(Dashboard!$G$31+Dashboard!$H$31),0)</f>
        <v>1</v>
      </c>
      <c r="BF7" s="145">
        <f>IF(Dashboard!$C$29&lt;=YEAR(BF$5),1*(Dashboard!$G$31+Dashboard!$H$31),0)</f>
        <v>1</v>
      </c>
      <c r="BG7" s="145">
        <f>IF(Dashboard!$C$29&lt;=YEAR(BG$5),1*(Dashboard!$G$31+Dashboard!$H$31),0)</f>
        <v>1</v>
      </c>
      <c r="BH7" s="145">
        <f>IF(Dashboard!$C$29&lt;=YEAR(BH$5),1*(Dashboard!$G$31+Dashboard!$H$31),0)</f>
        <v>1</v>
      </c>
      <c r="BI7" s="145">
        <f>IF(Dashboard!$C$29&lt;=YEAR(BI$5),1*(Dashboard!$G$31+Dashboard!$H$31),0)</f>
        <v>1</v>
      </c>
      <c r="BJ7" s="145">
        <f>IF(Dashboard!$C$29&lt;=YEAR(BJ$5),1*(Dashboard!$G$31+Dashboard!$H$31),0)</f>
        <v>1</v>
      </c>
      <c r="BK7" s="145">
        <f>IF(Dashboard!$C$29&lt;=YEAR(BK$5),1*(Dashboard!$G$31+Dashboard!$H$31),0)</f>
        <v>1</v>
      </c>
      <c r="BL7" s="145">
        <f>IF(Dashboard!$C$29&lt;=YEAR(BL$5),1*(Dashboard!$G$31+Dashboard!$H$31),0)</f>
        <v>1</v>
      </c>
    </row>
    <row r="8" spans="1:64">
      <c r="B8" s="11" t="s">
        <v>410</v>
      </c>
      <c r="C8" s="145"/>
      <c r="D8" s="145"/>
      <c r="E8" s="145">
        <f>IF(Dashboard!$C$30&lt;=YEAR(E$5),1*(Dashboard!$H$31),0)</f>
        <v>0</v>
      </c>
      <c r="F8" s="145">
        <f>IF(Dashboard!$C$30&lt;=YEAR(F$5),1*(Dashboard!$H$31),0)</f>
        <v>0</v>
      </c>
      <c r="G8" s="145">
        <f>IF(Dashboard!$C$30&lt;=YEAR(G$5),1*(Dashboard!$H$31),0)</f>
        <v>0</v>
      </c>
      <c r="H8" s="145">
        <f>IF(Dashboard!$C$30&lt;=YEAR(H$5),1*(Dashboard!$H$31),0)</f>
        <v>0</v>
      </c>
      <c r="I8" s="145">
        <f>IF(Dashboard!$C$30&lt;=YEAR(I$5),1*(Dashboard!$H$31),0)</f>
        <v>0</v>
      </c>
      <c r="J8" s="145">
        <f>IF(Dashboard!$C$30&lt;=YEAR(J$5),1*(Dashboard!$H$31),0)</f>
        <v>0</v>
      </c>
      <c r="K8" s="145">
        <f>IF(Dashboard!$C$30&lt;=YEAR(K$5),1*(Dashboard!$H$31),0)</f>
        <v>0</v>
      </c>
      <c r="L8" s="145">
        <f>IF(Dashboard!$C$30&lt;=YEAR(L$5),1*(Dashboard!$H$31),0)</f>
        <v>0</v>
      </c>
      <c r="M8" s="145">
        <f>IF(Dashboard!$C$30&lt;=YEAR(M$5),1*(Dashboard!$H$31),0)</f>
        <v>0</v>
      </c>
      <c r="N8" s="145">
        <f>IF(Dashboard!$C$30&lt;=YEAR(N$5),1*(Dashboard!$H$31),0)</f>
        <v>0</v>
      </c>
      <c r="O8" s="145">
        <f>IF(Dashboard!$C$30&lt;=YEAR(O$5),1*(Dashboard!$H$31),0)</f>
        <v>1</v>
      </c>
      <c r="P8" s="145">
        <f>IF(Dashboard!$C$30&lt;=YEAR(P$5),1*(Dashboard!$H$31),0)</f>
        <v>1</v>
      </c>
      <c r="Q8" s="145">
        <f>IF(Dashboard!$C$30&lt;=YEAR(Q$5),1*(Dashboard!$H$31),0)</f>
        <v>1</v>
      </c>
      <c r="R8" s="145">
        <f>IF(Dashboard!$C$30&lt;=YEAR(R$5),1*(Dashboard!$H$31),0)</f>
        <v>1</v>
      </c>
      <c r="S8" s="145">
        <f>IF(Dashboard!$C$30&lt;=YEAR(S$5),1*(Dashboard!$H$31),0)</f>
        <v>1</v>
      </c>
      <c r="T8" s="145">
        <f>IF(Dashboard!$C$30&lt;=YEAR(T$5),1*(Dashboard!$H$31),0)</f>
        <v>1</v>
      </c>
      <c r="U8" s="145">
        <f>IF(Dashboard!$C$30&lt;=YEAR(U$5),1*(Dashboard!$H$31),0)</f>
        <v>1</v>
      </c>
      <c r="V8" s="145">
        <f>IF(Dashboard!$C$30&lt;=YEAR(V$5),1*(Dashboard!$H$31),0)</f>
        <v>1</v>
      </c>
      <c r="W8" s="145">
        <f>IF(Dashboard!$C$30&lt;=YEAR(W$5),1*(Dashboard!$H$31),0)</f>
        <v>1</v>
      </c>
      <c r="X8" s="145">
        <f>IF(Dashboard!$C$30&lt;=YEAR(X$5),1*(Dashboard!$H$31),0)</f>
        <v>1</v>
      </c>
      <c r="Y8" s="145">
        <f>IF(Dashboard!$C$30&lt;=YEAR(Y$5),1*(Dashboard!$H$31),0)</f>
        <v>1</v>
      </c>
      <c r="Z8" s="145">
        <f>IF(Dashboard!$C$30&lt;=YEAR(Z$5),1*(Dashboard!$H$31),0)</f>
        <v>1</v>
      </c>
      <c r="AA8" s="145">
        <f>IF(Dashboard!$C$30&lt;=YEAR(AA$5),1*(Dashboard!$H$31),0)</f>
        <v>1</v>
      </c>
      <c r="AB8" s="145">
        <f>IF(Dashboard!$C$30&lt;=YEAR(AB$5),1*(Dashboard!$H$31),0)</f>
        <v>1</v>
      </c>
      <c r="AC8" s="145">
        <f>IF(Dashboard!$C$30&lt;=YEAR(AC$5),1*(Dashboard!$H$31),0)</f>
        <v>1</v>
      </c>
      <c r="AD8" s="145">
        <f>IF(Dashboard!$C$30&lt;=YEAR(AD$5),1*(Dashboard!$H$31),0)</f>
        <v>1</v>
      </c>
      <c r="AE8" s="145">
        <f>IF(Dashboard!$C$30&lt;=YEAR(AE$5),1*(Dashboard!$H$31),0)</f>
        <v>1</v>
      </c>
      <c r="AF8" s="145">
        <f>IF(Dashboard!$C$30&lt;=YEAR(AF$5),1*(Dashboard!$H$31),0)</f>
        <v>1</v>
      </c>
      <c r="AG8" s="145">
        <f>IF(Dashboard!$C$30&lt;=YEAR(AG$5),1*(Dashboard!$H$31),0)</f>
        <v>1</v>
      </c>
      <c r="AH8" s="145">
        <f>IF(Dashboard!$C$30&lt;=YEAR(AH$5),1*(Dashboard!$H$31),0)</f>
        <v>1</v>
      </c>
      <c r="AI8" s="145">
        <f>IF(Dashboard!$C$30&lt;=YEAR(AI$5),1*(Dashboard!$H$31),0)</f>
        <v>1</v>
      </c>
      <c r="AJ8" s="145">
        <f>IF(Dashboard!$C$30&lt;=YEAR(AJ$5),1*(Dashboard!$H$31),0)</f>
        <v>1</v>
      </c>
      <c r="AK8" s="145">
        <f>IF(Dashboard!$C$30&lt;=YEAR(AK$5),1*(Dashboard!$H$31),0)</f>
        <v>1</v>
      </c>
      <c r="AL8" s="145">
        <f>IF(Dashboard!$C$30&lt;=YEAR(AL$5),1*(Dashboard!$H$31),0)</f>
        <v>1</v>
      </c>
      <c r="AM8" s="145">
        <f>IF(Dashboard!$C$30&lt;=YEAR(AM$5),1*(Dashboard!$H$31),0)</f>
        <v>1</v>
      </c>
      <c r="AN8" s="145">
        <f>IF(Dashboard!$C$30&lt;=YEAR(AN$5),1*(Dashboard!$H$31),0)</f>
        <v>1</v>
      </c>
      <c r="AO8" s="145">
        <f>IF(Dashboard!$C$30&lt;=YEAR(AO$5),1*(Dashboard!$H$31),0)</f>
        <v>1</v>
      </c>
      <c r="AP8" s="145">
        <f>IF(Dashboard!$C$30&lt;=YEAR(AP$5),1*(Dashboard!$H$31),0)</f>
        <v>1</v>
      </c>
      <c r="AQ8" s="145">
        <f>IF(Dashboard!$C$30&lt;=YEAR(AQ$5),1*(Dashboard!$H$31),0)</f>
        <v>1</v>
      </c>
      <c r="AR8" s="145">
        <f>IF(Dashboard!$C$30&lt;=YEAR(AR$5),1*(Dashboard!$H$31),0)</f>
        <v>1</v>
      </c>
      <c r="AS8" s="145">
        <f>IF(Dashboard!$C$30&lt;=YEAR(AS$5),1*(Dashboard!$H$31),0)</f>
        <v>1</v>
      </c>
      <c r="AT8" s="145">
        <f>IF(Dashboard!$C$30&lt;=YEAR(AT$5),1*(Dashboard!$H$31),0)</f>
        <v>1</v>
      </c>
      <c r="AU8" s="145">
        <f>IF(Dashboard!$C$30&lt;=YEAR(AU$5),1*(Dashboard!$H$31),0)</f>
        <v>1</v>
      </c>
      <c r="AV8" s="145">
        <f>IF(Dashboard!$C$30&lt;=YEAR(AV$5),1*(Dashboard!$H$31),0)</f>
        <v>1</v>
      </c>
      <c r="AW8" s="145">
        <f>IF(Dashboard!$C$30&lt;=YEAR(AW$5),1*(Dashboard!$H$31),0)</f>
        <v>1</v>
      </c>
      <c r="AX8" s="145">
        <f>IF(Dashboard!$C$30&lt;=YEAR(AX$5),1*(Dashboard!$H$31),0)</f>
        <v>1</v>
      </c>
      <c r="AY8" s="145">
        <f>IF(Dashboard!$C$30&lt;=YEAR(AY$5),1*(Dashboard!$H$31),0)</f>
        <v>1</v>
      </c>
      <c r="AZ8" s="145">
        <f>IF(Dashboard!$C$30&lt;=YEAR(AZ$5),1*(Dashboard!$H$31),0)</f>
        <v>1</v>
      </c>
      <c r="BA8" s="145">
        <f>IF(Dashboard!$C$30&lt;=YEAR(BA$5),1*(Dashboard!$H$31),0)</f>
        <v>1</v>
      </c>
      <c r="BB8" s="145">
        <f>IF(Dashboard!$C$30&lt;=YEAR(BB$5),1*(Dashboard!$H$31),0)</f>
        <v>1</v>
      </c>
      <c r="BC8" s="145">
        <f>IF(Dashboard!$C$30&lt;=YEAR(BC$5),1*(Dashboard!$H$31),0)</f>
        <v>1</v>
      </c>
      <c r="BD8" s="145">
        <f>IF(Dashboard!$C$30&lt;=YEAR(BD$5),1*(Dashboard!$H$31),0)</f>
        <v>1</v>
      </c>
      <c r="BE8" s="145">
        <f>IF(Dashboard!$C$30&lt;=YEAR(BE$5),1*(Dashboard!$H$31),0)</f>
        <v>1</v>
      </c>
      <c r="BF8" s="145">
        <f>IF(Dashboard!$C$30&lt;=YEAR(BF$5),1*(Dashboard!$H$31),0)</f>
        <v>1</v>
      </c>
      <c r="BG8" s="145">
        <f>IF(Dashboard!$C$30&lt;=YEAR(BG$5),1*(Dashboard!$H$31),0)</f>
        <v>1</v>
      </c>
      <c r="BH8" s="145">
        <f>IF(Dashboard!$C$30&lt;=YEAR(BH$5),1*(Dashboard!$H$31),0)</f>
        <v>1</v>
      </c>
      <c r="BI8" s="145">
        <f>IF(Dashboard!$C$30&lt;=YEAR(BI$5),1*(Dashboard!$H$31),0)</f>
        <v>1</v>
      </c>
      <c r="BJ8" s="145">
        <f>IF(Dashboard!$C$30&lt;=YEAR(BJ$5),1*(Dashboard!$H$31),0)</f>
        <v>1</v>
      </c>
      <c r="BK8" s="145">
        <f>IF(Dashboard!$C$30&lt;=YEAR(BK$5),1*(Dashboard!$H$31),0)</f>
        <v>1</v>
      </c>
      <c r="BL8" s="145">
        <f>IF(Dashboard!$C$30&lt;=YEAR(BL$5),1*(Dashboard!$H$31),0)</f>
        <v>1</v>
      </c>
    </row>
    <row r="9" spans="1:64">
      <c r="B9" s="11" t="s">
        <v>411</v>
      </c>
      <c r="C9" s="145"/>
      <c r="D9" s="145">
        <f>IF(AND(E6=1,D6=0),1,0)</f>
        <v>1</v>
      </c>
      <c r="E9" s="145">
        <f>IF(AND(F6=1,E6=0),1,0)</f>
        <v>0</v>
      </c>
      <c r="F9" s="145">
        <f>IF(AND(G6=1,F6=0),1,0)</f>
        <v>0</v>
      </c>
      <c r="G9" s="145">
        <f>IF(AND(H6=1,G6=0),1,0)</f>
        <v>0</v>
      </c>
      <c r="H9" s="145">
        <f>IF(AND(I6=1,H6=0),1,0)</f>
        <v>0</v>
      </c>
      <c r="I9" s="145">
        <f>IF(AND(J6=1,I6=0),1,0)</f>
        <v>0</v>
      </c>
      <c r="J9" s="145">
        <f>IF(AND(K6=1,J6=0),1,0)</f>
        <v>0</v>
      </c>
      <c r="K9" s="145">
        <f>IF(AND(L6=1,K6=0),1,0)</f>
        <v>0</v>
      </c>
      <c r="L9" s="145">
        <f>IF(AND(M6=1,L6=0),1,0)</f>
        <v>0</v>
      </c>
      <c r="M9" s="145">
        <f>IF(AND(N6=1,M6=0),1,0)</f>
        <v>0</v>
      </c>
      <c r="N9" s="145">
        <f>IF(AND(O6=1,N6=0),1,0)</f>
        <v>0</v>
      </c>
      <c r="O9" s="145">
        <f>IF(AND(P6=1,O6=0),1,0)</f>
        <v>0</v>
      </c>
      <c r="P9" s="145">
        <f>IF(AND(Q6=1,P6=0),1,0)</f>
        <v>0</v>
      </c>
      <c r="Q9" s="145">
        <f>IF(AND(R6=1,Q6=0),1,0)</f>
        <v>0</v>
      </c>
      <c r="R9" s="145">
        <f>IF(AND(S6=1,R6=0),1,0)</f>
        <v>0</v>
      </c>
      <c r="S9" s="145">
        <f>IF(AND(T6=1,S6=0),1,0)</f>
        <v>0</v>
      </c>
      <c r="T9" s="145">
        <f>IF(AND(U6=1,T6=0),1,0)</f>
        <v>0</v>
      </c>
      <c r="U9" s="145">
        <f>IF(AND(V6=1,U6=0),1,0)</f>
        <v>0</v>
      </c>
      <c r="V9" s="145">
        <f>IF(AND(W6=1,V6=0),1,0)</f>
        <v>0</v>
      </c>
      <c r="W9" s="145">
        <f>IF(AND(X6=1,W6=0),1,0)</f>
        <v>0</v>
      </c>
      <c r="X9" s="145">
        <f>IF(AND(Y6=1,X6=0),1,0)</f>
        <v>0</v>
      </c>
      <c r="Y9" s="145">
        <f>IF(AND(Z6=1,Y6=0),1,0)</f>
        <v>0</v>
      </c>
      <c r="Z9" s="145">
        <f>IF(AND(AA6=1,Z6=0),1,0)</f>
        <v>0</v>
      </c>
      <c r="AA9" s="145">
        <f>IF(AND(AB6=1,AA6=0),1,0)</f>
        <v>0</v>
      </c>
      <c r="AB9" s="145">
        <f>IF(AND(AC6=1,AB6=0),1,0)</f>
        <v>0</v>
      </c>
      <c r="AC9" s="145">
        <f>IF(AND(AD6=1,AC6=0),1,0)</f>
        <v>0</v>
      </c>
      <c r="AD9" s="145">
        <f>IF(AND(AE6=1,AD6=0),1,0)</f>
        <v>0</v>
      </c>
      <c r="AE9" s="145">
        <f>IF(AND(AF6=1,AE6=0),1,0)</f>
        <v>0</v>
      </c>
      <c r="AF9" s="145">
        <f>IF(AND(AG6=1,AF6=0),1,0)</f>
        <v>0</v>
      </c>
      <c r="AG9" s="145">
        <f>IF(AND(AH6=1,AG6=0),1,0)</f>
        <v>0</v>
      </c>
      <c r="AH9" s="145">
        <f>IF(AND(AI6=1,AH6=0),1,0)</f>
        <v>0</v>
      </c>
      <c r="AI9" s="145">
        <f>IF(AND(AJ6=1,AI6=0),1,0)</f>
        <v>0</v>
      </c>
      <c r="AJ9" s="145">
        <f>IF(AND(AK6=1,AJ6=0),1,0)</f>
        <v>0</v>
      </c>
      <c r="AK9" s="145">
        <f>IF(AND(AL6=1,AK6=0),1,0)</f>
        <v>0</v>
      </c>
      <c r="AL9" s="145">
        <f>IF(AND(AM6=1,AL6=0),1,0)</f>
        <v>0</v>
      </c>
      <c r="AM9" s="145">
        <f>IF(AND(AN6=1,AM6=0),1,0)</f>
        <v>0</v>
      </c>
      <c r="AN9" s="145">
        <f>IF(AND(AO6=1,AN6=0),1,0)</f>
        <v>0</v>
      </c>
      <c r="AO9" s="145">
        <f>IF(AND(AP6=1,AO6=0),1,0)</f>
        <v>0</v>
      </c>
      <c r="AP9" s="145">
        <f>IF(AND(AQ6=1,AP6=0),1,0)</f>
        <v>0</v>
      </c>
      <c r="AQ9" s="145">
        <f>IF(AND(AR6=1,AQ6=0),1,0)</f>
        <v>0</v>
      </c>
      <c r="AR9" s="145">
        <f>IF(AND(AS6=1,AR6=0),1,0)</f>
        <v>0</v>
      </c>
      <c r="AS9" s="145">
        <f>IF(AND(AT6=1,AS6=0),1,0)</f>
        <v>0</v>
      </c>
      <c r="AT9" s="145">
        <f>IF(AND(AU6=1,AT6=0),1,0)</f>
        <v>0</v>
      </c>
      <c r="AU9" s="145">
        <f>IF(AND(AV6=1,AU6=0),1,0)</f>
        <v>0</v>
      </c>
      <c r="AV9" s="145">
        <f>IF(AND(AW6=1,AV6=0),1,0)</f>
        <v>0</v>
      </c>
      <c r="AW9" s="145">
        <f>IF(AND(AX6=1,AW6=0),1,0)</f>
        <v>0</v>
      </c>
      <c r="AX9" s="145">
        <f>IF(AND(AY6=1,AX6=0),1,0)</f>
        <v>0</v>
      </c>
      <c r="AY9" s="145">
        <f>IF(AND(AZ6=1,AY6=0),1,0)</f>
        <v>0</v>
      </c>
      <c r="AZ9" s="145">
        <f>IF(AND(BA6=1,AZ6=0),1,0)</f>
        <v>0</v>
      </c>
      <c r="BA9" s="145">
        <f>IF(AND(BB6=1,BA6=0),1,0)</f>
        <v>0</v>
      </c>
      <c r="BB9" s="145">
        <f>IF(AND(BC6=1,BB6=0),1,0)</f>
        <v>0</v>
      </c>
      <c r="BC9" s="145">
        <f>IF(AND(BD6=1,BC6=0),1,0)</f>
        <v>0</v>
      </c>
      <c r="BD9" s="145">
        <f>IF(AND(BE6=1,BD6=0),1,0)</f>
        <v>0</v>
      </c>
      <c r="BE9" s="145">
        <f>IF(AND(BF6=1,BE6=0),1,0)</f>
        <v>0</v>
      </c>
      <c r="BF9" s="145">
        <f>IF(AND(BG6=1,BF6=0),1,0)</f>
        <v>0</v>
      </c>
      <c r="BG9" s="145">
        <f>IF(AND(BH6=1,BG6=0),1,0)</f>
        <v>0</v>
      </c>
      <c r="BH9" s="145">
        <f>IF(AND(BI6=1,BH6=0),1,0)</f>
        <v>0</v>
      </c>
      <c r="BI9" s="145">
        <f>IF(AND(BJ6=1,BI6=0),1,0)</f>
        <v>0</v>
      </c>
      <c r="BJ9" s="145">
        <f>IF(AND(BK6=1,BJ6=0),1,0)</f>
        <v>0</v>
      </c>
      <c r="BK9" s="145">
        <f>IF(AND(BL6=1,BK6=0),1,0)</f>
        <v>0</v>
      </c>
      <c r="BL9" s="145">
        <f>IF(AND(BM6=1,BL6=0),1,0)</f>
        <v>0</v>
      </c>
    </row>
    <row r="10" spans="1:64">
      <c r="B10" s="11" t="s">
        <v>412</v>
      </c>
      <c r="D10" s="145">
        <f>IF(AND(E7=1,D7=0),1,0)</f>
        <v>0</v>
      </c>
      <c r="E10" s="145">
        <f>IF(AND(F7=1,E7=0),1,0)</f>
        <v>0</v>
      </c>
      <c r="F10" s="145">
        <f>IF(AND(G7=1,F7=0),1,0)</f>
        <v>0</v>
      </c>
      <c r="G10" s="145">
        <f>IF(AND(H7=1,G7=0),1,0)</f>
        <v>0</v>
      </c>
      <c r="H10" s="145">
        <f>IF(AND(I7=1,H7=0),1,0)</f>
        <v>0</v>
      </c>
      <c r="I10" s="145">
        <f>IF(AND(J7=1,I7=0),1,0)</f>
        <v>1</v>
      </c>
      <c r="J10" s="145">
        <f>IF(AND(K7=1,J7=0),1,0)</f>
        <v>0</v>
      </c>
      <c r="K10" s="145">
        <f>IF(AND(L7=1,K7=0),1,0)</f>
        <v>0</v>
      </c>
      <c r="L10" s="145">
        <f>IF(AND(M7=1,L7=0),1,0)</f>
        <v>0</v>
      </c>
      <c r="M10" s="145">
        <f>IF(AND(N7=1,M7=0),1,0)</f>
        <v>0</v>
      </c>
      <c r="N10" s="145">
        <f>IF(AND(O7=1,N7=0),1,0)</f>
        <v>0</v>
      </c>
      <c r="O10" s="145">
        <f>IF(AND(P7=1,O7=0),1,0)</f>
        <v>0</v>
      </c>
      <c r="P10" s="145">
        <f>IF(AND(Q7=1,P7=0),1,0)</f>
        <v>0</v>
      </c>
      <c r="Q10" s="145">
        <f>IF(AND(R7=1,Q7=0),1,0)</f>
        <v>0</v>
      </c>
      <c r="R10" s="145">
        <f>IF(AND(S7=1,R7=0),1,0)</f>
        <v>0</v>
      </c>
      <c r="S10" s="145">
        <f>IF(AND(T7=1,S7=0),1,0)</f>
        <v>0</v>
      </c>
      <c r="T10" s="145">
        <f>IF(AND(U7=1,T7=0),1,0)</f>
        <v>0</v>
      </c>
      <c r="U10" s="145">
        <f>IF(AND(V7=1,U7=0),1,0)</f>
        <v>0</v>
      </c>
      <c r="V10" s="145">
        <f>IF(AND(W7=1,V7=0),1,0)</f>
        <v>0</v>
      </c>
      <c r="W10" s="145">
        <f>IF(AND(X7=1,W7=0),1,0)</f>
        <v>0</v>
      </c>
      <c r="X10" s="145">
        <f>IF(AND(Y7=1,X7=0),1,0)</f>
        <v>0</v>
      </c>
      <c r="Y10" s="145">
        <f>IF(AND(Z7=1,Y7=0),1,0)</f>
        <v>0</v>
      </c>
      <c r="Z10" s="145">
        <f>IF(AND(AA7=1,Z7=0),1,0)</f>
        <v>0</v>
      </c>
      <c r="AA10" s="145">
        <f>IF(AND(AB7=1,AA7=0),1,0)</f>
        <v>0</v>
      </c>
      <c r="AB10" s="145">
        <f>IF(AND(AC7=1,AB7=0),1,0)</f>
        <v>0</v>
      </c>
      <c r="AC10" s="145">
        <f>IF(AND(AD7=1,AC7=0),1,0)</f>
        <v>0</v>
      </c>
      <c r="AD10" s="145">
        <f>IF(AND(AE7=1,AD7=0),1,0)</f>
        <v>0</v>
      </c>
      <c r="AE10" s="145">
        <f>IF(AND(AF7=1,AE7=0),1,0)</f>
        <v>0</v>
      </c>
      <c r="AF10" s="145">
        <f>IF(AND(AG7=1,AF7=0),1,0)</f>
        <v>0</v>
      </c>
      <c r="AG10" s="145">
        <f>IF(AND(AH7=1,AG7=0),1,0)</f>
        <v>0</v>
      </c>
      <c r="AH10" s="145">
        <f>IF(AND(AI7=1,AH7=0),1,0)</f>
        <v>0</v>
      </c>
      <c r="AI10" s="145">
        <f>IF(AND(AJ7=1,AI7=0),1,0)</f>
        <v>0</v>
      </c>
      <c r="AJ10" s="145">
        <f>IF(AND(AK7=1,AJ7=0),1,0)</f>
        <v>0</v>
      </c>
      <c r="AK10" s="145">
        <f>IF(AND(AL7=1,AK7=0),1,0)</f>
        <v>0</v>
      </c>
      <c r="AL10" s="145">
        <f>IF(AND(AM7=1,AL7=0),1,0)</f>
        <v>0</v>
      </c>
      <c r="AM10" s="145">
        <f>IF(AND(AN7=1,AM7=0),1,0)</f>
        <v>0</v>
      </c>
      <c r="AN10" s="145">
        <f>IF(AND(AO7=1,AN7=0),1,0)</f>
        <v>0</v>
      </c>
      <c r="AO10" s="145">
        <f>IF(AND(AP7=1,AO7=0),1,0)</f>
        <v>0</v>
      </c>
      <c r="AP10" s="145">
        <f>IF(AND(AQ7=1,AP7=0),1,0)</f>
        <v>0</v>
      </c>
      <c r="AQ10" s="145">
        <f>IF(AND(AR7=1,AQ7=0),1,0)</f>
        <v>0</v>
      </c>
      <c r="AR10" s="145">
        <f>IF(AND(AS7=1,AR7=0),1,0)</f>
        <v>0</v>
      </c>
      <c r="AS10" s="145">
        <f>IF(AND(AT7=1,AS7=0),1,0)</f>
        <v>0</v>
      </c>
      <c r="AT10" s="145">
        <f>IF(AND(AU7=1,AT7=0),1,0)</f>
        <v>0</v>
      </c>
      <c r="AU10" s="145">
        <f>IF(AND(AV7=1,AU7=0),1,0)</f>
        <v>0</v>
      </c>
      <c r="AV10" s="145">
        <f>IF(AND(AW7=1,AV7=0),1,0)</f>
        <v>0</v>
      </c>
      <c r="AW10" s="145">
        <f>IF(AND(AX7=1,AW7=0),1,0)</f>
        <v>0</v>
      </c>
      <c r="AX10" s="145">
        <f>IF(AND(AY7=1,AX7=0),1,0)</f>
        <v>0</v>
      </c>
      <c r="AY10" s="145">
        <f>IF(AND(AZ7=1,AY7=0),1,0)</f>
        <v>0</v>
      </c>
      <c r="AZ10" s="145">
        <f>IF(AND(BA7=1,AZ7=0),1,0)</f>
        <v>0</v>
      </c>
      <c r="BA10" s="145">
        <f>IF(AND(BB7=1,BA7=0),1,0)</f>
        <v>0</v>
      </c>
      <c r="BB10" s="145">
        <f>IF(AND(BC7=1,BB7=0),1,0)</f>
        <v>0</v>
      </c>
      <c r="BC10" s="145">
        <f>IF(AND(BD7=1,BC7=0),1,0)</f>
        <v>0</v>
      </c>
      <c r="BD10" s="145">
        <f>IF(AND(BE7=1,BD7=0),1,0)</f>
        <v>0</v>
      </c>
      <c r="BE10" s="145">
        <f>IF(AND(BF7=1,BE7=0),1,0)</f>
        <v>0</v>
      </c>
      <c r="BF10" s="145">
        <f>IF(AND(BG7=1,BF7=0),1,0)</f>
        <v>0</v>
      </c>
      <c r="BG10" s="145">
        <f>IF(AND(BH7=1,BG7=0),1,0)</f>
        <v>0</v>
      </c>
      <c r="BH10" s="145">
        <f>IF(AND(BI7=1,BH7=0),1,0)</f>
        <v>0</v>
      </c>
      <c r="BI10" s="145">
        <f>IF(AND(BJ7=1,BI7=0),1,0)</f>
        <v>0</v>
      </c>
      <c r="BJ10" s="145">
        <f>IF(AND(BK7=1,BJ7=0),1,0)</f>
        <v>0</v>
      </c>
      <c r="BK10" s="145">
        <f>IF(AND(BL7=1,BK7=0),1,0)</f>
        <v>0</v>
      </c>
      <c r="BL10" s="145">
        <f>IF(AND(BM7=1,BL7=0),1,0)</f>
        <v>0</v>
      </c>
    </row>
    <row r="11" spans="1:64">
      <c r="B11" s="11" t="s">
        <v>413</v>
      </c>
      <c r="D11" s="145">
        <f>IF(AND(E8=1,D8=0),1,0)</f>
        <v>0</v>
      </c>
      <c r="E11" s="145">
        <f>IF(AND(F8=1,E8=0),1,0)</f>
        <v>0</v>
      </c>
      <c r="F11" s="145">
        <f>IF(AND(G8=1,F8=0),1,0)</f>
        <v>0</v>
      </c>
      <c r="G11" s="145">
        <f>IF(AND(H8=1,G8=0),1,0)</f>
        <v>0</v>
      </c>
      <c r="H11" s="145">
        <f>IF(AND(I8=1,H8=0),1,0)</f>
        <v>0</v>
      </c>
      <c r="I11" s="145">
        <f>IF(AND(J8=1,I8=0),1,0)</f>
        <v>0</v>
      </c>
      <c r="J11" s="145">
        <f>IF(AND(K8=1,J8=0),1,0)</f>
        <v>0</v>
      </c>
      <c r="K11" s="145">
        <f>IF(AND(L8=1,K8=0),1,0)</f>
        <v>0</v>
      </c>
      <c r="L11" s="145">
        <f>IF(AND(M8=1,L8=0),1,0)</f>
        <v>0</v>
      </c>
      <c r="M11" s="145">
        <f>IF(AND(N8=1,M8=0),1,0)</f>
        <v>0</v>
      </c>
      <c r="N11" s="145">
        <f>IF(AND(O8=1,N8=0),1,0)</f>
        <v>1</v>
      </c>
      <c r="O11" s="145">
        <f>IF(AND(P8=1,O8=0),1,0)</f>
        <v>0</v>
      </c>
      <c r="P11" s="145">
        <f>IF(AND(Q8=1,P8=0),1,0)</f>
        <v>0</v>
      </c>
      <c r="Q11" s="145">
        <f>IF(AND(R8=1,Q8=0),1,0)</f>
        <v>0</v>
      </c>
      <c r="R11" s="145">
        <f>IF(AND(S8=1,R8=0),1,0)</f>
        <v>0</v>
      </c>
      <c r="S11" s="145">
        <f>IF(AND(T8=1,S8=0),1,0)</f>
        <v>0</v>
      </c>
      <c r="T11" s="145">
        <f>IF(AND(U8=1,T8=0),1,0)</f>
        <v>0</v>
      </c>
      <c r="U11" s="145">
        <f>IF(AND(V8=1,U8=0),1,0)</f>
        <v>0</v>
      </c>
      <c r="V11" s="145">
        <f>IF(AND(W8=1,V8=0),1,0)</f>
        <v>0</v>
      </c>
      <c r="W11" s="145">
        <f>IF(AND(X8=1,W8=0),1,0)</f>
        <v>0</v>
      </c>
      <c r="X11" s="145">
        <f>IF(AND(Y8=1,X8=0),1,0)</f>
        <v>0</v>
      </c>
      <c r="Y11" s="145">
        <f>IF(AND(Z8=1,Y8=0),1,0)</f>
        <v>0</v>
      </c>
      <c r="Z11" s="145">
        <f>IF(AND(AA8=1,Z8=0),1,0)</f>
        <v>0</v>
      </c>
      <c r="AA11" s="145">
        <f>IF(AND(AB8=1,AA8=0),1,0)</f>
        <v>0</v>
      </c>
      <c r="AB11" s="145">
        <f>IF(AND(AC8=1,AB8=0),1,0)</f>
        <v>0</v>
      </c>
      <c r="AC11" s="145">
        <f>IF(AND(AD8=1,AC8=0),1,0)</f>
        <v>0</v>
      </c>
      <c r="AD11" s="145">
        <f>IF(AND(AE8=1,AD8=0),1,0)</f>
        <v>0</v>
      </c>
      <c r="AE11" s="145">
        <f>IF(AND(AF8=1,AE8=0),1,0)</f>
        <v>0</v>
      </c>
      <c r="AF11" s="145">
        <f>IF(AND(AG8=1,AF8=0),1,0)</f>
        <v>0</v>
      </c>
      <c r="AG11" s="145">
        <f>IF(AND(AH8=1,AG8=0),1,0)</f>
        <v>0</v>
      </c>
      <c r="AH11" s="145">
        <f>IF(AND(AI8=1,AH8=0),1,0)</f>
        <v>0</v>
      </c>
      <c r="AI11" s="145">
        <f>IF(AND(AJ8=1,AI8=0),1,0)</f>
        <v>0</v>
      </c>
      <c r="AJ11" s="145">
        <f>IF(AND(AK8=1,AJ8=0),1,0)</f>
        <v>0</v>
      </c>
      <c r="AK11" s="145">
        <f>IF(AND(AL8=1,AK8=0),1,0)</f>
        <v>0</v>
      </c>
      <c r="AL11" s="145">
        <f>IF(AND(AM8=1,AL8=0),1,0)</f>
        <v>0</v>
      </c>
      <c r="AM11" s="145">
        <f>IF(AND(AN8=1,AM8=0),1,0)</f>
        <v>0</v>
      </c>
      <c r="AN11" s="145">
        <f>IF(AND(AO8=1,AN8=0),1,0)</f>
        <v>0</v>
      </c>
      <c r="AO11" s="145">
        <f>IF(AND(AP8=1,AO8=0),1,0)</f>
        <v>0</v>
      </c>
      <c r="AP11" s="145">
        <f>IF(AND(AQ8=1,AP8=0),1,0)</f>
        <v>0</v>
      </c>
      <c r="AQ11" s="145">
        <f>IF(AND(AR8=1,AQ8=0),1,0)</f>
        <v>0</v>
      </c>
      <c r="AR11" s="145">
        <f>IF(AND(AS8=1,AR8=0),1,0)</f>
        <v>0</v>
      </c>
      <c r="AS11" s="145">
        <f>IF(AND(AT8=1,AS8=0),1,0)</f>
        <v>0</v>
      </c>
      <c r="AT11" s="145">
        <f>IF(AND(AU8=1,AT8=0),1,0)</f>
        <v>0</v>
      </c>
      <c r="AU11" s="145">
        <f>IF(AND(AV8=1,AU8=0),1,0)</f>
        <v>0</v>
      </c>
      <c r="AV11" s="145">
        <f>IF(AND(AW8=1,AV8=0),1,0)</f>
        <v>0</v>
      </c>
      <c r="AW11" s="145">
        <f>IF(AND(AX8=1,AW8=0),1,0)</f>
        <v>0</v>
      </c>
      <c r="AX11" s="145">
        <f>IF(AND(AY8=1,AX8=0),1,0)</f>
        <v>0</v>
      </c>
      <c r="AY11" s="145">
        <f>IF(AND(AZ8=1,AY8=0),1,0)</f>
        <v>0</v>
      </c>
      <c r="AZ11" s="145">
        <f>IF(AND(BA8=1,AZ8=0),1,0)</f>
        <v>0</v>
      </c>
      <c r="BA11" s="145">
        <f>IF(AND(BB8=1,BA8=0),1,0)</f>
        <v>0</v>
      </c>
      <c r="BB11" s="145">
        <f>IF(AND(BC8=1,BB8=0),1,0)</f>
        <v>0</v>
      </c>
      <c r="BC11" s="145">
        <f>IF(AND(BD8=1,BC8=0),1,0)</f>
        <v>0</v>
      </c>
      <c r="BD11" s="145">
        <f>IF(AND(BE8=1,BD8=0),1,0)</f>
        <v>0</v>
      </c>
      <c r="BE11" s="145">
        <f>IF(AND(BF8=1,BE8=0),1,0)</f>
        <v>0</v>
      </c>
      <c r="BF11" s="145">
        <f>IF(AND(BG8=1,BF8=0),1,0)</f>
        <v>0</v>
      </c>
      <c r="BG11" s="145">
        <f>IF(AND(BH8=1,BG8=0),1,0)</f>
        <v>0</v>
      </c>
      <c r="BH11" s="145">
        <f>IF(AND(BI8=1,BH8=0),1,0)</f>
        <v>0</v>
      </c>
      <c r="BI11" s="145">
        <f>IF(AND(BJ8=1,BI8=0),1,0)</f>
        <v>0</v>
      </c>
      <c r="BJ11" s="145">
        <f>IF(AND(BK8=1,BJ8=0),1,0)</f>
        <v>0</v>
      </c>
      <c r="BK11" s="145">
        <f>IF(AND(BL8=1,BK8=0),1,0)</f>
        <v>0</v>
      </c>
      <c r="BL11" s="145">
        <f>IF(AND(BM8=1,BL8=0),1,0)</f>
        <v>0</v>
      </c>
    </row>
    <row r="12" spans="1:64">
      <c r="B12" s="11" t="s">
        <v>323</v>
      </c>
      <c r="E12" s="145">
        <f>IF(Dashboard!$C$36=Lists!$B$4,IF(Dashboard!$C$35&lt;=YEAR(E$5),1,0),0)</f>
        <v>0</v>
      </c>
      <c r="F12" s="145">
        <f>IF(Dashboard!$C$36=Lists!$B$4,IF(Dashboard!$C$35&lt;=YEAR(F$5),1,0),0)</f>
        <v>0</v>
      </c>
      <c r="G12" s="145">
        <f>IF(Dashboard!$C$36=Lists!$B$4,IF(Dashboard!$C$35&lt;=YEAR(G$5),1,0),0)</f>
        <v>0</v>
      </c>
      <c r="H12" s="145">
        <f>IF(Dashboard!$C$36=Lists!$B$4,IF(Dashboard!$C$35&lt;=YEAR(H$5),1,0),0)</f>
        <v>0</v>
      </c>
      <c r="I12" s="145">
        <f>IF(Dashboard!$C$36=Lists!$B$4,IF(Dashboard!$C$35&lt;=YEAR(I$5),1,0),0)</f>
        <v>0</v>
      </c>
      <c r="J12" s="145">
        <f>IF(Dashboard!$C$36=Lists!$B$4,IF(Dashboard!$C$35&lt;=YEAR(J$5),1,0),0)</f>
        <v>0</v>
      </c>
      <c r="K12" s="145">
        <f>IF(Dashboard!$C$36=Lists!$B$4,IF(Dashboard!$C$35&lt;=YEAR(K$5),1,0),0)</f>
        <v>0</v>
      </c>
      <c r="L12" s="145">
        <f>IF(Dashboard!$C$36=Lists!$B$4,IF(Dashboard!$C$35&lt;=YEAR(L$5),1,0),0)</f>
        <v>0</v>
      </c>
      <c r="M12" s="145">
        <f>IF(Dashboard!$C$36=Lists!$B$4,IF(Dashboard!$C$35&lt;=YEAR(M$5),1,0),0)</f>
        <v>0</v>
      </c>
      <c r="N12" s="145">
        <f>IF(Dashboard!$C$36=Lists!$B$4,IF(Dashboard!$C$35&lt;=YEAR(N$5),1,0),0)</f>
        <v>0</v>
      </c>
      <c r="O12" s="145">
        <f>IF(Dashboard!$C$36=Lists!$B$4,IF(Dashboard!$C$35&lt;=YEAR(O$5),1,0),0)</f>
        <v>0</v>
      </c>
      <c r="P12" s="145">
        <f>IF(Dashboard!$C$36=Lists!$B$4,IF(Dashboard!$C$35&lt;=YEAR(P$5),1,0),0)</f>
        <v>0</v>
      </c>
      <c r="Q12" s="145">
        <f>IF(Dashboard!$C$36=Lists!$B$4,IF(Dashboard!$C$35&lt;=YEAR(Q$5),1,0),0)</f>
        <v>0</v>
      </c>
      <c r="R12" s="145">
        <f>IF(Dashboard!$C$36=Lists!$B$4,IF(Dashboard!$C$35&lt;=YEAR(R$5),1,0),0)</f>
        <v>0</v>
      </c>
      <c r="S12" s="145">
        <f>IF(Dashboard!$C$36=Lists!$B$4,IF(Dashboard!$C$35&lt;=YEAR(S$5),1,0),0)</f>
        <v>0</v>
      </c>
      <c r="T12" s="145">
        <f>IF(Dashboard!$C$36=Lists!$B$4,IF(Dashboard!$C$35&lt;=YEAR(T$5),1,0),0)</f>
        <v>0</v>
      </c>
      <c r="U12" s="145">
        <f>IF(Dashboard!$C$36=Lists!$B$4,IF(Dashboard!$C$35&lt;=YEAR(U$5),1,0),0)</f>
        <v>0</v>
      </c>
      <c r="V12" s="145">
        <f>IF(Dashboard!$C$36=Lists!$B$4,IF(Dashboard!$C$35&lt;=YEAR(V$5),1,0),0)</f>
        <v>0</v>
      </c>
      <c r="W12" s="145">
        <f>IF(Dashboard!$C$36=Lists!$B$4,IF(Dashboard!$C$35&lt;=YEAR(W$5),1,0),0)</f>
        <v>0</v>
      </c>
      <c r="X12" s="145">
        <f>IF(Dashboard!$C$36=Lists!$B$4,IF(Dashboard!$C$35&lt;=YEAR(X$5),1,0),0)</f>
        <v>0</v>
      </c>
      <c r="Y12" s="145">
        <f>IF(Dashboard!$C$36=Lists!$B$4,IF(Dashboard!$C$35&lt;=YEAR(Y$5),1,0),0)</f>
        <v>0</v>
      </c>
      <c r="Z12" s="145">
        <f>IF(Dashboard!$C$36=Lists!$B$4,IF(Dashboard!$C$35&lt;=YEAR(Z$5),1,0),0)</f>
        <v>0</v>
      </c>
      <c r="AA12" s="145">
        <f>IF(Dashboard!$C$36=Lists!$B$4,IF(Dashboard!$C$35&lt;=YEAR(AA$5),1,0),0)</f>
        <v>0</v>
      </c>
      <c r="AB12" s="145">
        <f>IF(Dashboard!$C$36=Lists!$B$4,IF(Dashboard!$C$35&lt;=YEAR(AB$5),1,0),0)</f>
        <v>0</v>
      </c>
      <c r="AC12" s="145">
        <f>IF(Dashboard!$C$36=Lists!$B$4,IF(Dashboard!$C$35&lt;=YEAR(AC$5),1,0),0)</f>
        <v>0</v>
      </c>
      <c r="AD12" s="145">
        <f>IF(Dashboard!$C$36=Lists!$B$4,IF(Dashboard!$C$35&lt;=YEAR(AD$5),1,0),0)</f>
        <v>0</v>
      </c>
      <c r="AE12" s="145">
        <f>IF(Dashboard!$C$36=Lists!$B$4,IF(Dashboard!$C$35&lt;=YEAR(AE$5),1,0),0)</f>
        <v>0</v>
      </c>
      <c r="AF12" s="145">
        <f>IF(Dashboard!$C$36=Lists!$B$4,IF(Dashboard!$C$35&lt;=YEAR(AF$5),1,0),0)</f>
        <v>0</v>
      </c>
      <c r="AG12" s="145">
        <f>IF(Dashboard!$C$36=Lists!$B$4,IF(Dashboard!$C$35&lt;=YEAR(AG$5),1,0),0)</f>
        <v>0</v>
      </c>
      <c r="AH12" s="145">
        <f>IF(Dashboard!$C$36=Lists!$B$4,IF(Dashboard!$C$35&lt;=YEAR(AH$5),1,0),0)</f>
        <v>0</v>
      </c>
      <c r="AI12" s="145">
        <f>IF(Dashboard!$C$36=Lists!$B$4,IF(Dashboard!$C$35&lt;=YEAR(AI$5),1,0),0)</f>
        <v>0</v>
      </c>
      <c r="AJ12" s="145">
        <f>IF(Dashboard!$C$36=Lists!$B$4,IF(Dashboard!$C$35&lt;=YEAR(AJ$5),1,0),0)</f>
        <v>0</v>
      </c>
      <c r="AK12" s="145">
        <f>IF(Dashboard!$C$36=Lists!$B$4,IF(Dashboard!$C$35&lt;=YEAR(AK$5),1,0),0)</f>
        <v>0</v>
      </c>
      <c r="AL12" s="145">
        <f>IF(Dashboard!$C$36=Lists!$B$4,IF(Dashboard!$C$35&lt;=YEAR(AL$5),1,0),0)</f>
        <v>0</v>
      </c>
      <c r="AM12" s="145">
        <f>IF(Dashboard!$C$36=Lists!$B$4,IF(Dashboard!$C$35&lt;=YEAR(AM$5),1,0),0)</f>
        <v>0</v>
      </c>
      <c r="AN12" s="145">
        <f>IF(Dashboard!$C$36=Lists!$B$4,IF(Dashboard!$C$35&lt;=YEAR(AN$5),1,0),0)</f>
        <v>0</v>
      </c>
      <c r="AO12" s="145">
        <f>IF(Dashboard!$C$36=Lists!$B$4,IF(Dashboard!$C$35&lt;=YEAR(AO$5),1,0),0)</f>
        <v>0</v>
      </c>
      <c r="AP12" s="145">
        <f>IF(Dashboard!$C$36=Lists!$B$4,IF(Dashboard!$C$35&lt;=YEAR(AP$5),1,0),0)</f>
        <v>0</v>
      </c>
      <c r="AQ12" s="145">
        <f>IF(Dashboard!$C$36=Lists!$B$4,IF(Dashboard!$C$35&lt;=YEAR(AQ$5),1,0),0)</f>
        <v>0</v>
      </c>
      <c r="AR12" s="145">
        <f>IF(Dashboard!$C$36=Lists!$B$4,IF(Dashboard!$C$35&lt;=YEAR(AR$5),1,0),0)</f>
        <v>0</v>
      </c>
      <c r="AS12" s="145">
        <f>IF(Dashboard!$C$36=Lists!$B$4,IF(Dashboard!$C$35&lt;=YEAR(AS$5),1,0),0)</f>
        <v>0</v>
      </c>
      <c r="AT12" s="145">
        <f>IF(Dashboard!$C$36=Lists!$B$4,IF(Dashboard!$C$35&lt;=YEAR(AT$5),1,0),0)</f>
        <v>0</v>
      </c>
      <c r="AU12" s="145">
        <f>IF(Dashboard!$C$36=Lists!$B$4,IF(Dashboard!$C$35&lt;=YEAR(AU$5),1,0),0)</f>
        <v>0</v>
      </c>
      <c r="AV12" s="145">
        <f>IF(Dashboard!$C$36=Lists!$B$4,IF(Dashboard!$C$35&lt;=YEAR(AV$5),1,0),0)</f>
        <v>0</v>
      </c>
      <c r="AW12" s="145">
        <f>IF(Dashboard!$C$36=Lists!$B$4,IF(Dashboard!$C$35&lt;=YEAR(AW$5),1,0),0)</f>
        <v>0</v>
      </c>
      <c r="AX12" s="145">
        <f>IF(Dashboard!$C$36=Lists!$B$4,IF(Dashboard!$C$35&lt;=YEAR(AX$5),1,0),0)</f>
        <v>0</v>
      </c>
      <c r="AY12" s="145">
        <f>IF(Dashboard!$C$36=Lists!$B$4,IF(Dashboard!$C$35&lt;=YEAR(AY$5),1,0),0)</f>
        <v>0</v>
      </c>
      <c r="AZ12" s="145">
        <f>IF(Dashboard!$C$36=Lists!$B$4,IF(Dashboard!$C$35&lt;=YEAR(AZ$5),1,0),0)</f>
        <v>0</v>
      </c>
      <c r="BA12" s="145">
        <f>IF(Dashboard!$C$36=Lists!$B$4,IF(Dashboard!$C$35&lt;=YEAR(BA$5),1,0),0)</f>
        <v>0</v>
      </c>
      <c r="BB12" s="145">
        <f>IF(Dashboard!$C$36=Lists!$B$4,IF(Dashboard!$C$35&lt;=YEAR(BB$5),1,0),0)</f>
        <v>0</v>
      </c>
      <c r="BC12" s="145">
        <f>IF(Dashboard!$C$36=Lists!$B$4,IF(Dashboard!$C$35&lt;=YEAR(BC$5),1,0),0)</f>
        <v>0</v>
      </c>
      <c r="BD12" s="145">
        <f>IF(Dashboard!$C$36=Lists!$B$4,IF(Dashboard!$C$35&lt;=YEAR(BD$5),1,0),0)</f>
        <v>0</v>
      </c>
      <c r="BE12" s="145">
        <f>IF(Dashboard!$C$36=Lists!$B$4,IF(Dashboard!$C$35&lt;=YEAR(BE$5),1,0),0)</f>
        <v>0</v>
      </c>
      <c r="BF12" s="145">
        <f>IF(Dashboard!$C$36=Lists!$B$4,IF(Dashboard!$C$35&lt;=YEAR(BF$5),1,0),0)</f>
        <v>0</v>
      </c>
      <c r="BG12" s="145">
        <f>IF(Dashboard!$C$36=Lists!$B$4,IF(Dashboard!$C$35&lt;=YEAR(BG$5),1,0),0)</f>
        <v>0</v>
      </c>
      <c r="BH12" s="145">
        <f>IF(Dashboard!$C$36=Lists!$B$4,IF(Dashboard!$C$35&lt;=YEAR(BH$5),1,0),0)</f>
        <v>0</v>
      </c>
      <c r="BI12" s="145">
        <f>IF(Dashboard!$C$36=Lists!$B$4,IF(Dashboard!$C$35&lt;=YEAR(BI$5),1,0),0)</f>
        <v>0</v>
      </c>
      <c r="BJ12" s="145">
        <f>IF(Dashboard!$C$36=Lists!$B$4,IF(Dashboard!$C$35&lt;=YEAR(BJ$5),1,0),0)</f>
        <v>0</v>
      </c>
      <c r="BK12" s="145">
        <f>IF(Dashboard!$C$36=Lists!$B$4,IF(Dashboard!$C$35&lt;=YEAR(BK$5),1,0),0)</f>
        <v>0</v>
      </c>
      <c r="BL12" s="145">
        <f>IF(Dashboard!$C$36=Lists!$B$4,IF(Dashboard!$C$35&lt;=YEAR(BL$5),1,0),0)</f>
        <v>0</v>
      </c>
    </row>
    <row r="14" spans="1:64">
      <c r="B14" s="145" t="s">
        <v>414</v>
      </c>
    </row>
    <row r="15" spans="1:64">
      <c r="B15" s="212" t="s">
        <v>415</v>
      </c>
    </row>
    <row r="16" spans="1:64">
      <c r="B16" s="146" t="s">
        <v>416</v>
      </c>
      <c r="E16" s="76" t="e">
        <f>'Technical inputs'!$C$6*(E6-E7)+'Technical inputs'!$D$6*(E7-E8)+'Technical inputs'!$E$6*E8</f>
        <v>#REF!</v>
      </c>
      <c r="F16" s="76" t="e">
        <f>'Technical inputs'!$C$6*(F6-F7)+'Technical inputs'!$D$6*(F7-F8)+'Technical inputs'!$E$6*F8</f>
        <v>#REF!</v>
      </c>
      <c r="G16" s="76" t="e">
        <f>'Technical inputs'!$C$6*(G6-G7)+'Technical inputs'!$D$6*(G7-G8)+'Technical inputs'!$E$6*G8</f>
        <v>#REF!</v>
      </c>
      <c r="H16" s="76" t="e">
        <f>'Technical inputs'!$C$6*(H6-H7)+'Technical inputs'!$D$6*(H7-H8)+'Technical inputs'!$E$6*H8</f>
        <v>#REF!</v>
      </c>
      <c r="I16" s="76" t="e">
        <f>'Technical inputs'!$C$6*(I6-I7)+'Technical inputs'!$D$6*(I7-I8)+'Technical inputs'!$E$6*I8</f>
        <v>#REF!</v>
      </c>
      <c r="J16" s="76" t="e">
        <f>'Technical inputs'!$C$6*(J6-J7)+'Technical inputs'!$D$6*(J7-J8)+'Technical inputs'!$E$6*J8</f>
        <v>#REF!</v>
      </c>
      <c r="K16" s="76" t="e">
        <f>'Technical inputs'!$C$6*(K6-K7)+'Technical inputs'!$D$6*(K7-K8)+'Technical inputs'!$E$6*K8</f>
        <v>#REF!</v>
      </c>
      <c r="L16" s="76" t="e">
        <f>'Technical inputs'!$C$6*(L6-L7)+'Technical inputs'!$D$6*(L7-L8)+'Technical inputs'!$E$6*L8</f>
        <v>#REF!</v>
      </c>
      <c r="M16" s="76" t="e">
        <f>'Technical inputs'!$C$6*(M6-M7)+'Technical inputs'!$D$6*(M7-M8)+'Technical inputs'!$E$6*M8</f>
        <v>#REF!</v>
      </c>
      <c r="N16" s="76" t="e">
        <f>'Technical inputs'!$C$6*(N6-N7)+'Technical inputs'!$D$6*(N7-N8)+'Technical inputs'!$E$6*N8</f>
        <v>#REF!</v>
      </c>
      <c r="O16" s="76" t="e">
        <f>'Technical inputs'!$C$6*(O6-O7)+'Technical inputs'!$D$6*(O7-O8)+'Technical inputs'!$E$6*O8</f>
        <v>#REF!</v>
      </c>
      <c r="P16" s="76" t="e">
        <f>'Technical inputs'!$C$6*(P6-P7)+'Technical inputs'!$D$6*(P7-P8)+'Technical inputs'!$E$6*P8</f>
        <v>#REF!</v>
      </c>
      <c r="Q16" s="76" t="e">
        <f>'Technical inputs'!$C$6*(Q6-Q7)+'Technical inputs'!$D$6*(Q7-Q8)+'Technical inputs'!$E$6*Q8</f>
        <v>#REF!</v>
      </c>
      <c r="R16" s="76" t="e">
        <f>'Technical inputs'!$C$6*(R6-R7)+'Technical inputs'!$D$6*(R7-R8)+'Technical inputs'!$E$6*R8</f>
        <v>#REF!</v>
      </c>
      <c r="S16" s="76" t="e">
        <f>'Technical inputs'!$C$6*(S6-S7)+'Technical inputs'!$D$6*(S7-S8)+'Technical inputs'!$E$6*S8</f>
        <v>#REF!</v>
      </c>
      <c r="T16" s="76" t="e">
        <f>'Technical inputs'!$C$6*(T6-T7)+'Technical inputs'!$D$6*(T7-T8)+'Technical inputs'!$E$6*T8</f>
        <v>#REF!</v>
      </c>
      <c r="U16" s="76" t="e">
        <f>'Technical inputs'!$C$6*(U6-U7)+'Technical inputs'!$D$6*(U7-U8)+'Technical inputs'!$E$6*U8</f>
        <v>#REF!</v>
      </c>
      <c r="V16" s="76" t="e">
        <f>'Technical inputs'!$C$6*(V6-V7)+'Technical inputs'!$D$6*(V7-V8)+'Technical inputs'!$E$6*V8</f>
        <v>#REF!</v>
      </c>
      <c r="W16" s="76" t="e">
        <f>'Technical inputs'!$C$6*(W6-W7)+'Technical inputs'!$D$6*(W7-W8)+'Technical inputs'!$E$6*W8</f>
        <v>#REF!</v>
      </c>
      <c r="X16" s="76" t="e">
        <f>'Technical inputs'!$C$6*(X6-X7)+'Technical inputs'!$D$6*(X7-X8)+'Technical inputs'!$E$6*X8</f>
        <v>#REF!</v>
      </c>
      <c r="Y16" s="76" t="e">
        <f>'Technical inputs'!$C$6*(Y6-Y7)+'Technical inputs'!$D$6*(Y7-Y8)+'Technical inputs'!$E$6*Y8</f>
        <v>#REF!</v>
      </c>
      <c r="Z16" s="76" t="e">
        <f>'Technical inputs'!$C$6*(Z6-Z7)+'Technical inputs'!$D$6*(Z7-Z8)+'Technical inputs'!$E$6*Z8</f>
        <v>#REF!</v>
      </c>
      <c r="AA16" s="76" t="e">
        <f>'Technical inputs'!$C$6*(AA6-AA7)+'Technical inputs'!$D$6*(AA7-AA8)+'Technical inputs'!$E$6*AA8</f>
        <v>#REF!</v>
      </c>
      <c r="AB16" s="76" t="e">
        <f>'Technical inputs'!$C$6*(AB6-AB7)+'Technical inputs'!$D$6*(AB7-AB8)+'Technical inputs'!$E$6*AB8</f>
        <v>#REF!</v>
      </c>
      <c r="AC16" s="76" t="e">
        <f>'Technical inputs'!$C$6*(AC6-AC7)+'Technical inputs'!$D$6*(AC7-AC8)+'Technical inputs'!$E$6*AC8</f>
        <v>#REF!</v>
      </c>
      <c r="AD16" s="76" t="e">
        <f>'Technical inputs'!$C$6*(AD6-AD7)+'Technical inputs'!$D$6*(AD7-AD8)+'Technical inputs'!$E$6*AD8</f>
        <v>#REF!</v>
      </c>
      <c r="AE16" s="76" t="e">
        <f>'Technical inputs'!$C$6*(AE6-AE7)+'Technical inputs'!$D$6*(AE7-AE8)+'Technical inputs'!$E$6*AE8</f>
        <v>#REF!</v>
      </c>
      <c r="AF16" s="76" t="e">
        <f>'Technical inputs'!$C$6*(AF6-AF7)+'Technical inputs'!$D$6*(AF7-AF8)+'Technical inputs'!$E$6*AF8</f>
        <v>#REF!</v>
      </c>
      <c r="AG16" s="76" t="e">
        <f>'Technical inputs'!$C$6*(AG6-AG7)+'Technical inputs'!$D$6*(AG7-AG8)+'Technical inputs'!$E$6*AG8</f>
        <v>#REF!</v>
      </c>
      <c r="AH16" s="76" t="e">
        <f>'Technical inputs'!$C$6*(AH6-AH7)+'Technical inputs'!$D$6*(AH7-AH8)+'Technical inputs'!$E$6*AH8</f>
        <v>#REF!</v>
      </c>
      <c r="AI16" s="76" t="e">
        <f>'Technical inputs'!$C$6*(AI6-AI7)+'Technical inputs'!$D$6*(AI7-AI8)+'Technical inputs'!$E$6*AI8</f>
        <v>#REF!</v>
      </c>
      <c r="AJ16" s="76" t="e">
        <f>'Technical inputs'!$C$6*(AJ6-AJ7)+'Technical inputs'!$D$6*(AJ7-AJ8)+'Technical inputs'!$E$6*AJ8</f>
        <v>#REF!</v>
      </c>
      <c r="AK16" s="76" t="e">
        <f>'Technical inputs'!$C$6*(AK6-AK7)+'Technical inputs'!$D$6*(AK7-AK8)+'Technical inputs'!$E$6*AK8</f>
        <v>#REF!</v>
      </c>
      <c r="AL16" s="76" t="e">
        <f>'Technical inputs'!$C$6*(AL6-AL7)+'Technical inputs'!$D$6*(AL7-AL8)+'Technical inputs'!$E$6*AL8</f>
        <v>#REF!</v>
      </c>
      <c r="AM16" s="76" t="e">
        <f>'Technical inputs'!$C$6*(AM6-AM7)+'Technical inputs'!$D$6*(AM7-AM8)+'Technical inputs'!$E$6*AM8</f>
        <v>#REF!</v>
      </c>
      <c r="AN16" s="76" t="e">
        <f>'Technical inputs'!$C$6*(AN6-AN7)+'Technical inputs'!$D$6*(AN7-AN8)+'Technical inputs'!$E$6*AN8</f>
        <v>#REF!</v>
      </c>
      <c r="AO16" s="76" t="e">
        <f>'Technical inputs'!$C$6*(AO6-AO7)+'Technical inputs'!$D$6*(AO7-AO8)+'Technical inputs'!$E$6*AO8</f>
        <v>#REF!</v>
      </c>
      <c r="AP16" s="76" t="e">
        <f>'Technical inputs'!$C$6*(AP6-AP7)+'Technical inputs'!$D$6*(AP7-AP8)+'Technical inputs'!$E$6*AP8</f>
        <v>#REF!</v>
      </c>
      <c r="AQ16" s="76" t="e">
        <f>'Technical inputs'!$C$6*(AQ6-AQ7)+'Technical inputs'!$D$6*(AQ7-AQ8)+'Technical inputs'!$E$6*AQ8</f>
        <v>#REF!</v>
      </c>
      <c r="AR16" s="76" t="e">
        <f>'Technical inputs'!$C$6*(AR6-AR7)+'Technical inputs'!$D$6*(AR7-AR8)+'Technical inputs'!$E$6*AR8</f>
        <v>#REF!</v>
      </c>
      <c r="AS16" s="76" t="e">
        <f>'Technical inputs'!$C$6*(AS6-AS7)+'Technical inputs'!$D$6*(AS7-AS8)+'Technical inputs'!$E$6*AS8</f>
        <v>#REF!</v>
      </c>
      <c r="AT16" s="76" t="e">
        <f>'Technical inputs'!$C$6*(AT6-AT7)+'Technical inputs'!$D$6*(AT7-AT8)+'Technical inputs'!$E$6*AT8</f>
        <v>#REF!</v>
      </c>
      <c r="AU16" s="76" t="e">
        <f>'Technical inputs'!$C$6*(AU6-AU7)+'Technical inputs'!$D$6*(AU7-AU8)+'Technical inputs'!$E$6*AU8</f>
        <v>#REF!</v>
      </c>
      <c r="AV16" s="76" t="e">
        <f>'Technical inputs'!$C$6*(AV6-AV7)+'Technical inputs'!$D$6*(AV7-AV8)+'Technical inputs'!$E$6*AV8</f>
        <v>#REF!</v>
      </c>
      <c r="AW16" s="76" t="e">
        <f>'Technical inputs'!$C$6*(AW6-AW7)+'Technical inputs'!$D$6*(AW7-AW8)+'Technical inputs'!$E$6*AW8</f>
        <v>#REF!</v>
      </c>
      <c r="AX16" s="76" t="e">
        <f>'Technical inputs'!$C$6*(AX6-AX7)+'Technical inputs'!$D$6*(AX7-AX8)+'Technical inputs'!$E$6*AX8</f>
        <v>#REF!</v>
      </c>
      <c r="AY16" s="76" t="e">
        <f>'Technical inputs'!$C$6*(AY6-AY7)+'Technical inputs'!$D$6*(AY7-AY8)+'Technical inputs'!$E$6*AY8</f>
        <v>#REF!</v>
      </c>
      <c r="AZ16" s="76" t="e">
        <f>'Technical inputs'!$C$6*(AZ6-AZ7)+'Technical inputs'!$D$6*(AZ7-AZ8)+'Technical inputs'!$E$6*AZ8</f>
        <v>#REF!</v>
      </c>
      <c r="BA16" s="76" t="e">
        <f>'Technical inputs'!$C$6*(BA6-BA7)+'Technical inputs'!$D$6*(BA7-BA8)+'Technical inputs'!$E$6*BA8</f>
        <v>#REF!</v>
      </c>
      <c r="BB16" s="76" t="e">
        <f>'Technical inputs'!$C$6*(BB6-BB7)+'Technical inputs'!$D$6*(BB7-BB8)+'Technical inputs'!$E$6*BB8</f>
        <v>#REF!</v>
      </c>
      <c r="BC16" s="76" t="e">
        <f>'Technical inputs'!$C$6*(BC6-BC7)+'Technical inputs'!$D$6*(BC7-BC8)+'Technical inputs'!$E$6*BC8</f>
        <v>#REF!</v>
      </c>
      <c r="BD16" s="76" t="e">
        <f>'Technical inputs'!$C$6*(BD6-BD7)+'Technical inputs'!$D$6*(BD7-BD8)+'Technical inputs'!$E$6*BD8</f>
        <v>#REF!</v>
      </c>
      <c r="BE16" s="76" t="e">
        <f>'Technical inputs'!$C$6*(BE6-BE7)+'Technical inputs'!$D$6*(BE7-BE8)+'Technical inputs'!$E$6*BE8</f>
        <v>#REF!</v>
      </c>
      <c r="BF16" s="76" t="e">
        <f>'Technical inputs'!$C$6*(BF6-BF7)+'Technical inputs'!$D$6*(BF7-BF8)+'Technical inputs'!$E$6*BF8</f>
        <v>#REF!</v>
      </c>
      <c r="BG16" s="76" t="e">
        <f>'Technical inputs'!$C$6*(BG6-BG7)+'Technical inputs'!$D$6*(BG7-BG8)+'Technical inputs'!$E$6*BG8</f>
        <v>#REF!</v>
      </c>
      <c r="BH16" s="76" t="e">
        <f>'Technical inputs'!$C$6*(BH6-BH7)+'Technical inputs'!$D$6*(BH7-BH8)+'Technical inputs'!$E$6*BH8</f>
        <v>#REF!</v>
      </c>
      <c r="BI16" s="76" t="e">
        <f>'Technical inputs'!$C$6*(BI6-BI7)+'Technical inputs'!$D$6*(BI7-BI8)+'Technical inputs'!$E$6*BI8</f>
        <v>#REF!</v>
      </c>
      <c r="BJ16" s="76" t="e">
        <f>'Technical inputs'!$C$6*(BJ6-BJ7)+'Technical inputs'!$D$6*(BJ7-BJ8)+'Technical inputs'!$E$6*BJ8</f>
        <v>#REF!</v>
      </c>
      <c r="BK16" s="76" t="e">
        <f>'Technical inputs'!$C$6*(BK6-BK7)+'Technical inputs'!$D$6*(BK7-BK8)+'Technical inputs'!$E$6*BK8</f>
        <v>#REF!</v>
      </c>
      <c r="BL16" s="76" t="e">
        <f>'Technical inputs'!$C$6*(BL6-BL7)+'Technical inputs'!$D$6*(BL7-BL8)+'Technical inputs'!$E$6*BL8</f>
        <v>#REF!</v>
      </c>
    </row>
    <row r="17" spans="2:64">
      <c r="B17" s="146" t="s">
        <v>417</v>
      </c>
      <c r="E17" s="76" t="e">
        <f>'Technical inputs'!$C$7*(E6-E7)+'Technical inputs'!$D$7*(E7-E8)+'Technical inputs'!$E$7*E8</f>
        <v>#REF!</v>
      </c>
      <c r="F17" s="76" t="e">
        <f>'Technical inputs'!$C$7*(F6-F7)+'Technical inputs'!$D$7*(F7-F8)+'Technical inputs'!$E$7*F8</f>
        <v>#REF!</v>
      </c>
      <c r="G17" s="76" t="e">
        <f>'Technical inputs'!$C$7*(G6-G7)+'Technical inputs'!$D$7*(G7-G8)+'Technical inputs'!$E$7*G8</f>
        <v>#REF!</v>
      </c>
      <c r="H17" s="76" t="e">
        <f>'Technical inputs'!$C$7*(H6-H7)+'Technical inputs'!$D$7*(H7-H8)+'Technical inputs'!$E$7*H8</f>
        <v>#REF!</v>
      </c>
      <c r="I17" s="76" t="e">
        <f>'Technical inputs'!$C$7*(I6-I7)+'Technical inputs'!$D$7*(I7-I8)+'Technical inputs'!$E$7*I8</f>
        <v>#REF!</v>
      </c>
      <c r="J17" s="76" t="e">
        <f>'Technical inputs'!$C$7*(J6-J7)+'Technical inputs'!$D$7*(J7-J8)+'Technical inputs'!$E$7*J8</f>
        <v>#REF!</v>
      </c>
      <c r="K17" s="76" t="e">
        <f>'Technical inputs'!$C$7*(K6-K7)+'Technical inputs'!$D$7*(K7-K8)+'Technical inputs'!$E$7*K8</f>
        <v>#REF!</v>
      </c>
      <c r="L17" s="76" t="e">
        <f>'Technical inputs'!$C$7*(L6-L7)+'Technical inputs'!$D$7*(L7-L8)+'Technical inputs'!$E$7*L8</f>
        <v>#REF!</v>
      </c>
      <c r="M17" s="76" t="e">
        <f>'Technical inputs'!$C$7*(M6-M7)+'Technical inputs'!$D$7*(M7-M8)+'Technical inputs'!$E$7*M8</f>
        <v>#REF!</v>
      </c>
      <c r="N17" s="76" t="e">
        <f>'Technical inputs'!$C$7*(N6-N7)+'Technical inputs'!$D$7*(N7-N8)+'Technical inputs'!$E$7*N8</f>
        <v>#REF!</v>
      </c>
      <c r="O17" s="76" t="e">
        <f>'Technical inputs'!$C$7*(O6-O7)+'Technical inputs'!$D$7*(O7-O8)+'Technical inputs'!$E$7*O8</f>
        <v>#REF!</v>
      </c>
      <c r="P17" s="76" t="e">
        <f>'Technical inputs'!$C$7*(P6-P7)+'Technical inputs'!$D$7*(P7-P8)+'Technical inputs'!$E$7*P8</f>
        <v>#REF!</v>
      </c>
      <c r="Q17" s="76" t="e">
        <f>'Technical inputs'!$C$7*(Q6-Q7)+'Technical inputs'!$D$7*(Q7-Q8)+'Technical inputs'!$E$7*Q8</f>
        <v>#REF!</v>
      </c>
      <c r="R17" s="76" t="e">
        <f>'Technical inputs'!$C$7*(R6-R7)+'Technical inputs'!$D$7*(R7-R8)+'Technical inputs'!$E$7*R8</f>
        <v>#REF!</v>
      </c>
      <c r="S17" s="76" t="e">
        <f>'Technical inputs'!$C$7*(S6-S7)+'Technical inputs'!$D$7*(S7-S8)+'Technical inputs'!$E$7*S8</f>
        <v>#REF!</v>
      </c>
      <c r="T17" s="76" t="e">
        <f>'Technical inputs'!$C$7*(T6-T7)+'Technical inputs'!$D$7*(T7-T8)+'Technical inputs'!$E$7*T8</f>
        <v>#REF!</v>
      </c>
      <c r="U17" s="76" t="e">
        <f>'Technical inputs'!$C$7*(U6-U7)+'Technical inputs'!$D$7*(U7-U8)+'Technical inputs'!$E$7*U8</f>
        <v>#REF!</v>
      </c>
      <c r="V17" s="76" t="e">
        <f>'Technical inputs'!$C$7*(V6-V7)+'Technical inputs'!$D$7*(V7-V8)+'Technical inputs'!$E$7*V8</f>
        <v>#REF!</v>
      </c>
      <c r="W17" s="76" t="e">
        <f>'Technical inputs'!$C$7*(W6-W7)+'Technical inputs'!$D$7*(W7-W8)+'Technical inputs'!$E$7*W8</f>
        <v>#REF!</v>
      </c>
      <c r="X17" s="76" t="e">
        <f>'Technical inputs'!$C$7*(X6-X7)+'Technical inputs'!$D$7*(X7-X8)+'Technical inputs'!$E$7*X8</f>
        <v>#REF!</v>
      </c>
      <c r="Y17" s="76" t="e">
        <f>'Technical inputs'!$C$7*(Y6-Y7)+'Technical inputs'!$D$7*(Y7-Y8)+'Technical inputs'!$E$7*Y8</f>
        <v>#REF!</v>
      </c>
      <c r="Z17" s="76" t="e">
        <f>'Technical inputs'!$C$7*(Z6-Z7)+'Technical inputs'!$D$7*(Z7-Z8)+'Technical inputs'!$E$7*Z8</f>
        <v>#REF!</v>
      </c>
      <c r="AA17" s="76" t="e">
        <f>'Technical inputs'!$C$7*(AA6-AA7)+'Technical inputs'!$D$7*(AA7-AA8)+'Technical inputs'!$E$7*AA8</f>
        <v>#REF!</v>
      </c>
      <c r="AB17" s="76" t="e">
        <f>'Technical inputs'!$C$7*(AB6-AB7)+'Technical inputs'!$D$7*(AB7-AB8)+'Technical inputs'!$E$7*AB8</f>
        <v>#REF!</v>
      </c>
      <c r="AC17" s="76" t="e">
        <f>'Technical inputs'!$C$7*(AC6-AC7)+'Technical inputs'!$D$7*(AC7-AC8)+'Technical inputs'!$E$7*AC8</f>
        <v>#REF!</v>
      </c>
      <c r="AD17" s="76" t="e">
        <f>'Technical inputs'!$C$7*(AD6-AD7)+'Technical inputs'!$D$7*(AD7-AD8)+'Technical inputs'!$E$7*AD8</f>
        <v>#REF!</v>
      </c>
      <c r="AE17" s="76" t="e">
        <f>'Technical inputs'!$C$7*(AE6-AE7)+'Technical inputs'!$D$7*(AE7-AE8)+'Technical inputs'!$E$7*AE8</f>
        <v>#REF!</v>
      </c>
      <c r="AF17" s="76" t="e">
        <f>'Technical inputs'!$C$7*(AF6-AF7)+'Technical inputs'!$D$7*(AF7-AF8)+'Technical inputs'!$E$7*AF8</f>
        <v>#REF!</v>
      </c>
      <c r="AG17" s="76" t="e">
        <f>'Technical inputs'!$C$7*(AG6-AG7)+'Technical inputs'!$D$7*(AG7-AG8)+'Technical inputs'!$E$7*AG8</f>
        <v>#REF!</v>
      </c>
      <c r="AH17" s="76" t="e">
        <f>'Technical inputs'!$C$7*(AH6-AH7)+'Technical inputs'!$D$7*(AH7-AH8)+'Technical inputs'!$E$7*AH8</f>
        <v>#REF!</v>
      </c>
      <c r="AI17" s="76" t="e">
        <f>'Technical inputs'!$C$7*(AI6-AI7)+'Technical inputs'!$D$7*(AI7-AI8)+'Technical inputs'!$E$7*AI8</f>
        <v>#REF!</v>
      </c>
      <c r="AJ17" s="76" t="e">
        <f>'Technical inputs'!$C$7*(AJ6-AJ7)+'Technical inputs'!$D$7*(AJ7-AJ8)+'Technical inputs'!$E$7*AJ8</f>
        <v>#REF!</v>
      </c>
      <c r="AK17" s="76" t="e">
        <f>'Technical inputs'!$C$7*(AK6-AK7)+'Technical inputs'!$D$7*(AK7-AK8)+'Technical inputs'!$E$7*AK8</f>
        <v>#REF!</v>
      </c>
      <c r="AL17" s="76" t="e">
        <f>'Technical inputs'!$C$7*(AL6-AL7)+'Technical inputs'!$D$7*(AL7-AL8)+'Technical inputs'!$E$7*AL8</f>
        <v>#REF!</v>
      </c>
      <c r="AM17" s="76" t="e">
        <f>'Technical inputs'!$C$7*(AM6-AM7)+'Technical inputs'!$D$7*(AM7-AM8)+'Technical inputs'!$E$7*AM8</f>
        <v>#REF!</v>
      </c>
      <c r="AN17" s="76" t="e">
        <f>'Technical inputs'!$C$7*(AN6-AN7)+'Technical inputs'!$D$7*(AN7-AN8)+'Technical inputs'!$E$7*AN8</f>
        <v>#REF!</v>
      </c>
      <c r="AO17" s="76" t="e">
        <f>'Technical inputs'!$C$7*(AO6-AO7)+'Technical inputs'!$D$7*(AO7-AO8)+'Technical inputs'!$E$7*AO8</f>
        <v>#REF!</v>
      </c>
      <c r="AP17" s="76" t="e">
        <f>'Technical inputs'!$C$7*(AP6-AP7)+'Technical inputs'!$D$7*(AP7-AP8)+'Technical inputs'!$E$7*AP8</f>
        <v>#REF!</v>
      </c>
      <c r="AQ17" s="76" t="e">
        <f>'Technical inputs'!$C$7*(AQ6-AQ7)+'Technical inputs'!$D$7*(AQ7-AQ8)+'Technical inputs'!$E$7*AQ8</f>
        <v>#REF!</v>
      </c>
      <c r="AR17" s="76" t="e">
        <f>'Technical inputs'!$C$7*(AR6-AR7)+'Technical inputs'!$D$7*(AR7-AR8)+'Technical inputs'!$E$7*AR8</f>
        <v>#REF!</v>
      </c>
      <c r="AS17" s="76" t="e">
        <f>'Technical inputs'!$C$7*(AS6-AS7)+'Technical inputs'!$D$7*(AS7-AS8)+'Technical inputs'!$E$7*AS8</f>
        <v>#REF!</v>
      </c>
      <c r="AT17" s="76" t="e">
        <f>'Technical inputs'!$C$7*(AT6-AT7)+'Technical inputs'!$D$7*(AT7-AT8)+'Technical inputs'!$E$7*AT8</f>
        <v>#REF!</v>
      </c>
      <c r="AU17" s="76" t="e">
        <f>'Technical inputs'!$C$7*(AU6-AU7)+'Technical inputs'!$D$7*(AU7-AU8)+'Technical inputs'!$E$7*AU8</f>
        <v>#REF!</v>
      </c>
      <c r="AV17" s="76" t="e">
        <f>'Technical inputs'!$C$7*(AV6-AV7)+'Technical inputs'!$D$7*(AV7-AV8)+'Technical inputs'!$E$7*AV8</f>
        <v>#REF!</v>
      </c>
      <c r="AW17" s="76" t="e">
        <f>'Technical inputs'!$C$7*(AW6-AW7)+'Technical inputs'!$D$7*(AW7-AW8)+'Technical inputs'!$E$7*AW8</f>
        <v>#REF!</v>
      </c>
      <c r="AX17" s="76" t="e">
        <f>'Technical inputs'!$C$7*(AX6-AX7)+'Technical inputs'!$D$7*(AX7-AX8)+'Technical inputs'!$E$7*AX8</f>
        <v>#REF!</v>
      </c>
      <c r="AY17" s="76" t="e">
        <f>'Technical inputs'!$C$7*(AY6-AY7)+'Technical inputs'!$D$7*(AY7-AY8)+'Technical inputs'!$E$7*AY8</f>
        <v>#REF!</v>
      </c>
      <c r="AZ17" s="76" t="e">
        <f>'Technical inputs'!$C$7*(AZ6-AZ7)+'Technical inputs'!$D$7*(AZ7-AZ8)+'Technical inputs'!$E$7*AZ8</f>
        <v>#REF!</v>
      </c>
      <c r="BA17" s="76" t="e">
        <f>'Technical inputs'!$C$7*(BA6-BA7)+'Technical inputs'!$D$7*(BA7-BA8)+'Technical inputs'!$E$7*BA8</f>
        <v>#REF!</v>
      </c>
      <c r="BB17" s="76" t="e">
        <f>'Technical inputs'!$C$7*(BB6-BB7)+'Technical inputs'!$D$7*(BB7-BB8)+'Technical inputs'!$E$7*BB8</f>
        <v>#REF!</v>
      </c>
      <c r="BC17" s="76" t="e">
        <f>'Technical inputs'!$C$7*(BC6-BC7)+'Technical inputs'!$D$7*(BC7-BC8)+'Technical inputs'!$E$7*BC8</f>
        <v>#REF!</v>
      </c>
      <c r="BD17" s="76" t="e">
        <f>'Technical inputs'!$C$7*(BD6-BD7)+'Technical inputs'!$D$7*(BD7-BD8)+'Technical inputs'!$E$7*BD8</f>
        <v>#REF!</v>
      </c>
      <c r="BE17" s="76" t="e">
        <f>'Technical inputs'!$C$7*(BE6-BE7)+'Technical inputs'!$D$7*(BE7-BE8)+'Technical inputs'!$E$7*BE8</f>
        <v>#REF!</v>
      </c>
      <c r="BF17" s="76" t="e">
        <f>'Technical inputs'!$C$7*(BF6-BF7)+'Technical inputs'!$D$7*(BF7-BF8)+'Technical inputs'!$E$7*BF8</f>
        <v>#REF!</v>
      </c>
      <c r="BG17" s="76" t="e">
        <f>'Technical inputs'!$C$7*(BG6-BG7)+'Technical inputs'!$D$7*(BG7-BG8)+'Technical inputs'!$E$7*BG8</f>
        <v>#REF!</v>
      </c>
      <c r="BH17" s="76" t="e">
        <f>'Technical inputs'!$C$7*(BH6-BH7)+'Technical inputs'!$D$7*(BH7-BH8)+'Technical inputs'!$E$7*BH8</f>
        <v>#REF!</v>
      </c>
      <c r="BI17" s="76" t="e">
        <f>'Technical inputs'!$C$7*(BI6-BI7)+'Technical inputs'!$D$7*(BI7-BI8)+'Technical inputs'!$E$7*BI8</f>
        <v>#REF!</v>
      </c>
      <c r="BJ17" s="76" t="e">
        <f>'Technical inputs'!$C$7*(BJ6-BJ7)+'Technical inputs'!$D$7*(BJ7-BJ8)+'Technical inputs'!$E$7*BJ8</f>
        <v>#REF!</v>
      </c>
      <c r="BK17" s="76" t="e">
        <f>'Technical inputs'!$C$7*(BK6-BK7)+'Technical inputs'!$D$7*(BK7-BK8)+'Technical inputs'!$E$7*BK8</f>
        <v>#REF!</v>
      </c>
      <c r="BL17" s="76" t="e">
        <f>'Technical inputs'!$C$7*(BL6-BL7)+'Technical inputs'!$D$7*(BL7-BL8)+'Technical inputs'!$E$7*BL8</f>
        <v>#REF!</v>
      </c>
    </row>
    <row r="18" spans="2:64">
      <c r="B18" s="146" t="s">
        <v>418</v>
      </c>
      <c r="E18" s="100" t="e">
        <f>E16+E17</f>
        <v>#REF!</v>
      </c>
      <c r="F18" s="100" t="e">
        <f>F16+F17</f>
        <v>#REF!</v>
      </c>
      <c r="G18" s="100" t="e">
        <f>G16+G17</f>
        <v>#REF!</v>
      </c>
      <c r="H18" s="100" t="e">
        <f>H16+H17</f>
        <v>#REF!</v>
      </c>
      <c r="I18" s="100" t="e">
        <f>I16+I17</f>
        <v>#REF!</v>
      </c>
      <c r="J18" s="100" t="e">
        <f>J16+J17</f>
        <v>#REF!</v>
      </c>
      <c r="K18" s="100" t="e">
        <f>K16+K17</f>
        <v>#REF!</v>
      </c>
      <c r="L18" s="100" t="e">
        <f>L16+L17</f>
        <v>#REF!</v>
      </c>
      <c r="M18" s="100" t="e">
        <f>M16+M17</f>
        <v>#REF!</v>
      </c>
      <c r="N18" s="100" t="e">
        <f>N16+N17</f>
        <v>#REF!</v>
      </c>
      <c r="O18" s="100" t="e">
        <f>O16+O17</f>
        <v>#REF!</v>
      </c>
      <c r="P18" s="100" t="e">
        <f>P16+P17</f>
        <v>#REF!</v>
      </c>
      <c r="Q18" s="100" t="e">
        <f>Q16+Q17</f>
        <v>#REF!</v>
      </c>
      <c r="R18" s="100" t="e">
        <f>R16+R17</f>
        <v>#REF!</v>
      </c>
      <c r="S18" s="100" t="e">
        <f>S16+S17</f>
        <v>#REF!</v>
      </c>
      <c r="T18" s="100" t="e">
        <f>T16+T17</f>
        <v>#REF!</v>
      </c>
      <c r="U18" s="100" t="e">
        <f>U16+U17</f>
        <v>#REF!</v>
      </c>
      <c r="V18" s="100" t="e">
        <f>V16+V17</f>
        <v>#REF!</v>
      </c>
      <c r="W18" s="100" t="e">
        <f>W16+W17</f>
        <v>#REF!</v>
      </c>
      <c r="X18" s="100" t="e">
        <f>X16+X17</f>
        <v>#REF!</v>
      </c>
      <c r="Y18" s="100" t="e">
        <f>Y16+Y17</f>
        <v>#REF!</v>
      </c>
      <c r="Z18" s="100" t="e">
        <f>Z16+Z17</f>
        <v>#REF!</v>
      </c>
      <c r="AA18" s="100" t="e">
        <f>AA16+AA17</f>
        <v>#REF!</v>
      </c>
      <c r="AB18" s="100" t="e">
        <f>AB16+AB17</f>
        <v>#REF!</v>
      </c>
      <c r="AC18" s="100" t="e">
        <f>AC16+AC17</f>
        <v>#REF!</v>
      </c>
      <c r="AD18" s="100" t="e">
        <f>AD16+AD17</f>
        <v>#REF!</v>
      </c>
      <c r="AE18" s="100" t="e">
        <f>AE16+AE17</f>
        <v>#REF!</v>
      </c>
      <c r="AF18" s="100" t="e">
        <f>AF16+AF17</f>
        <v>#REF!</v>
      </c>
      <c r="AG18" s="100" t="e">
        <f>AG16+AG17</f>
        <v>#REF!</v>
      </c>
      <c r="AH18" s="100" t="e">
        <f>AH16+AH17</f>
        <v>#REF!</v>
      </c>
      <c r="AI18" s="100" t="e">
        <f>AI16+AI17</f>
        <v>#REF!</v>
      </c>
      <c r="AJ18" s="100" t="e">
        <f>AJ16+AJ17</f>
        <v>#REF!</v>
      </c>
      <c r="AK18" s="100" t="e">
        <f>AK16+AK17</f>
        <v>#REF!</v>
      </c>
      <c r="AL18" s="100" t="e">
        <f>AL16+AL17</f>
        <v>#REF!</v>
      </c>
      <c r="AM18" s="100" t="e">
        <f>AM16+AM17</f>
        <v>#REF!</v>
      </c>
      <c r="AN18" s="100" t="e">
        <f>AN16+AN17</f>
        <v>#REF!</v>
      </c>
      <c r="AO18" s="100" t="e">
        <f>AO16+AO17</f>
        <v>#REF!</v>
      </c>
      <c r="AP18" s="100" t="e">
        <f>AP16+AP17</f>
        <v>#REF!</v>
      </c>
      <c r="AQ18" s="100" t="e">
        <f>AQ16+AQ17</f>
        <v>#REF!</v>
      </c>
      <c r="AR18" s="100" t="e">
        <f>AR16+AR17</f>
        <v>#REF!</v>
      </c>
      <c r="AS18" s="100" t="e">
        <f>AS16+AS17</f>
        <v>#REF!</v>
      </c>
      <c r="AT18" s="100" t="e">
        <f>AT16+AT17</f>
        <v>#REF!</v>
      </c>
      <c r="AU18" s="100" t="e">
        <f>AU16+AU17</f>
        <v>#REF!</v>
      </c>
      <c r="AV18" s="100" t="e">
        <f>AV16+AV17</f>
        <v>#REF!</v>
      </c>
      <c r="AW18" s="100" t="e">
        <f>AW16+AW17</f>
        <v>#REF!</v>
      </c>
      <c r="AX18" s="100" t="e">
        <f>AX16+AX17</f>
        <v>#REF!</v>
      </c>
      <c r="AY18" s="100" t="e">
        <f>AY16+AY17</f>
        <v>#REF!</v>
      </c>
      <c r="AZ18" s="100" t="e">
        <f>AZ16+AZ17</f>
        <v>#REF!</v>
      </c>
      <c r="BA18" s="100" t="e">
        <f>BA16+BA17</f>
        <v>#REF!</v>
      </c>
      <c r="BB18" s="100" t="e">
        <f>BB16+BB17</f>
        <v>#REF!</v>
      </c>
      <c r="BC18" s="100" t="e">
        <f>BC16+BC17</f>
        <v>#REF!</v>
      </c>
      <c r="BD18" s="100" t="e">
        <f>BD16+BD17</f>
        <v>#REF!</v>
      </c>
      <c r="BE18" s="100" t="e">
        <f>BE16+BE17</f>
        <v>#REF!</v>
      </c>
      <c r="BF18" s="100" t="e">
        <f>BF16+BF17</f>
        <v>#REF!</v>
      </c>
      <c r="BG18" s="100" t="e">
        <f>BG16+BG17</f>
        <v>#REF!</v>
      </c>
      <c r="BH18" s="100" t="e">
        <f>BH16+BH17</f>
        <v>#REF!</v>
      </c>
      <c r="BI18" s="100" t="e">
        <f>BI16+BI17</f>
        <v>#REF!</v>
      </c>
      <c r="BJ18" s="100" t="e">
        <f>BJ16+BJ17</f>
        <v>#REF!</v>
      </c>
      <c r="BK18" s="100" t="e">
        <f>BK16+BK17</f>
        <v>#REF!</v>
      </c>
      <c r="BL18" s="100" t="e">
        <f>BL16+BL17</f>
        <v>#REF!</v>
      </c>
    </row>
    <row r="19" spans="2:64" ht="4.5" customHeight="1">
      <c r="B19" s="146"/>
      <c r="E19" s="100"/>
      <c r="F19" s="100"/>
      <c r="G19" s="100"/>
      <c r="H19" s="100"/>
      <c r="I19" s="100"/>
      <c r="J19" s="100"/>
      <c r="K19" s="100"/>
      <c r="L19" s="100"/>
      <c r="M19" s="100"/>
      <c r="N19" s="100"/>
      <c r="O19" s="100"/>
      <c r="P19" s="100"/>
      <c r="Q19" s="100"/>
      <c r="R19" s="100"/>
      <c r="S19" s="100"/>
      <c r="T19" s="100"/>
      <c r="U19" s="100"/>
      <c r="V19" s="100"/>
      <c r="W19" s="100"/>
      <c r="X19" s="100"/>
      <c r="Y19" s="100"/>
      <c r="Z19" s="100"/>
      <c r="AA19" s="100"/>
      <c r="AB19" s="100"/>
      <c r="AC19" s="100"/>
      <c r="AD19" s="100"/>
      <c r="AE19" s="100"/>
      <c r="AF19" s="100"/>
      <c r="AG19" s="100"/>
      <c r="AH19" s="100"/>
      <c r="AI19" s="100"/>
      <c r="AJ19" s="100"/>
      <c r="AK19" s="100"/>
      <c r="AL19" s="100"/>
      <c r="AM19" s="100"/>
      <c r="AN19" s="100"/>
      <c r="AO19" s="100"/>
      <c r="AP19" s="100"/>
      <c r="AQ19" s="100"/>
      <c r="AR19" s="100"/>
      <c r="AS19" s="100"/>
      <c r="AT19" s="100"/>
      <c r="AU19" s="100"/>
      <c r="AV19" s="100"/>
      <c r="AW19" s="100"/>
      <c r="AX19" s="100"/>
      <c r="AY19" s="100"/>
      <c r="AZ19" s="100"/>
      <c r="BA19" s="100"/>
      <c r="BB19" s="100"/>
      <c r="BC19" s="100"/>
      <c r="BD19" s="100"/>
      <c r="BE19" s="100"/>
      <c r="BF19" s="100"/>
      <c r="BG19" s="100"/>
      <c r="BH19" s="100"/>
      <c r="BI19" s="100"/>
      <c r="BJ19" s="100"/>
      <c r="BK19" s="100"/>
      <c r="BL19" s="100"/>
    </row>
    <row r="20" spans="2:64">
      <c r="B20" s="146" t="s">
        <v>148</v>
      </c>
      <c r="E20" s="76" t="e">
        <f>'Operating model'!$C$8*(E6-E7)+'Operating model'!$D$8*(E7-E8)+'Operating model'!$E$8*E8</f>
        <v>#REF!</v>
      </c>
      <c r="F20" s="76" t="e">
        <f>'Operating model'!$C$8*(F6-F7)+'Operating model'!$D$8*(F7-F8)+'Operating model'!$E$8*F8</f>
        <v>#REF!</v>
      </c>
      <c r="G20" s="76" t="e">
        <f>'Operating model'!$C$8*(G6-G7)+'Operating model'!$D$8*(G7-G8)+'Operating model'!$E$8*G8</f>
        <v>#REF!</v>
      </c>
      <c r="H20" s="76" t="e">
        <f>'Operating model'!$C$8*(H6-H7)+'Operating model'!$D$8*(H7-H8)+'Operating model'!$E$8*H8</f>
        <v>#REF!</v>
      </c>
      <c r="I20" s="76" t="e">
        <f>'Operating model'!$C$8*(I6-I7)+'Operating model'!$D$8*(I7-I8)+'Operating model'!$E$8*I8</f>
        <v>#REF!</v>
      </c>
      <c r="J20" s="76" t="e">
        <f>'Operating model'!$C$8*(J6-J7)+'Operating model'!$D$8*(J7-J8)+'Operating model'!$E$8*J8</f>
        <v>#REF!</v>
      </c>
      <c r="K20" s="76" t="e">
        <f>'Operating model'!$C$8*(K6-K7)+'Operating model'!$D$8*(K7-K8)+'Operating model'!$E$8*K8</f>
        <v>#REF!</v>
      </c>
      <c r="L20" s="76" t="e">
        <f>'Operating model'!$C$8*(L6-L7)+'Operating model'!$D$8*(L7-L8)+'Operating model'!$E$8*L8</f>
        <v>#REF!</v>
      </c>
      <c r="M20" s="76" t="e">
        <f>'Operating model'!$C$8*(M6-M7)+'Operating model'!$D$8*(M7-M8)+'Operating model'!$E$8*M8</f>
        <v>#REF!</v>
      </c>
      <c r="N20" s="76" t="e">
        <f>'Operating model'!$C$8*(N6-N7)+'Operating model'!$D$8*(N7-N8)+'Operating model'!$E$8*N8</f>
        <v>#REF!</v>
      </c>
      <c r="O20" s="76" t="e">
        <f>'Operating model'!$C$8*(O6-O7)+'Operating model'!$D$8*(O7-O8)+'Operating model'!$E$8*O8</f>
        <v>#REF!</v>
      </c>
      <c r="P20" s="76" t="e">
        <f>'Operating model'!$C$8*(P6-P7)+'Operating model'!$D$8*(P7-P8)+'Operating model'!$E$8*P8</f>
        <v>#REF!</v>
      </c>
      <c r="Q20" s="76" t="e">
        <f>'Operating model'!$C$8*(Q6-Q7)+'Operating model'!$D$8*(Q7-Q8)+'Operating model'!$E$8*Q8</f>
        <v>#REF!</v>
      </c>
      <c r="R20" s="76" t="e">
        <f>'Operating model'!$C$8*(R6-R7)+'Operating model'!$D$8*(R7-R8)+'Operating model'!$E$8*R8</f>
        <v>#REF!</v>
      </c>
      <c r="S20" s="76" t="e">
        <f>'Operating model'!$C$8*(S6-S7)+'Operating model'!$D$8*(S7-S8)+'Operating model'!$E$8*S8</f>
        <v>#REF!</v>
      </c>
      <c r="T20" s="76" t="e">
        <f>'Operating model'!$C$8*(T6-T7)+'Operating model'!$D$8*(T7-T8)+'Operating model'!$E$8*T8</f>
        <v>#REF!</v>
      </c>
      <c r="U20" s="76" t="e">
        <f>'Operating model'!$C$8*(U6-U7)+'Operating model'!$D$8*(U7-U8)+'Operating model'!$E$8*U8</f>
        <v>#REF!</v>
      </c>
      <c r="V20" s="76" t="e">
        <f>'Operating model'!$C$8*(V6-V7)+'Operating model'!$D$8*(V7-V8)+'Operating model'!$E$8*V8</f>
        <v>#REF!</v>
      </c>
      <c r="W20" s="76" t="e">
        <f>'Operating model'!$C$8*(W6-W7)+'Operating model'!$D$8*(W7-W8)+'Operating model'!$E$8*W8</f>
        <v>#REF!</v>
      </c>
      <c r="X20" s="76" t="e">
        <f>'Operating model'!$C$8*(X6-X7)+'Operating model'!$D$8*(X7-X8)+'Operating model'!$E$8*X8</f>
        <v>#REF!</v>
      </c>
      <c r="Y20" s="76" t="e">
        <f>'Operating model'!$C$8*(Y6-Y7)+'Operating model'!$D$8*(Y7-Y8)+'Operating model'!$E$8*Y8</f>
        <v>#REF!</v>
      </c>
      <c r="Z20" s="76" t="e">
        <f>'Operating model'!$C$8*(Z6-Z7)+'Operating model'!$D$8*(Z7-Z8)+'Operating model'!$E$8*Z8</f>
        <v>#REF!</v>
      </c>
      <c r="AA20" s="76" t="e">
        <f>'Operating model'!$C$8*(AA6-AA7)+'Operating model'!$D$8*(AA7-AA8)+'Operating model'!$E$8*AA8</f>
        <v>#REF!</v>
      </c>
      <c r="AB20" s="76" t="e">
        <f>'Operating model'!$C$8*(AB6-AB7)+'Operating model'!$D$8*(AB7-AB8)+'Operating model'!$E$8*AB8</f>
        <v>#REF!</v>
      </c>
      <c r="AC20" s="76" t="e">
        <f>'Operating model'!$C$8*(AC6-AC7)+'Operating model'!$D$8*(AC7-AC8)+'Operating model'!$E$8*AC8</f>
        <v>#REF!</v>
      </c>
      <c r="AD20" s="76" t="e">
        <f>'Operating model'!$C$8*(AD6-AD7)+'Operating model'!$D$8*(AD7-AD8)+'Operating model'!$E$8*AD8</f>
        <v>#REF!</v>
      </c>
      <c r="AE20" s="76" t="e">
        <f>'Operating model'!$C$8*(AE6-AE7)+'Operating model'!$D$8*(AE7-AE8)+'Operating model'!$E$8*AE8</f>
        <v>#REF!</v>
      </c>
      <c r="AF20" s="76" t="e">
        <f>'Operating model'!$C$8*(AF6-AF7)+'Operating model'!$D$8*(AF7-AF8)+'Operating model'!$E$8*AF8</f>
        <v>#REF!</v>
      </c>
      <c r="AG20" s="76" t="e">
        <f>'Operating model'!$C$8*(AG6-AG7)+'Operating model'!$D$8*(AG7-AG8)+'Operating model'!$E$8*AG8</f>
        <v>#REF!</v>
      </c>
      <c r="AH20" s="76" t="e">
        <f>'Operating model'!$C$8*(AH6-AH7)+'Operating model'!$D$8*(AH7-AH8)+'Operating model'!$E$8*AH8</f>
        <v>#REF!</v>
      </c>
      <c r="AI20" s="76" t="e">
        <f>'Operating model'!$C$8*(AI6-AI7)+'Operating model'!$D$8*(AI7-AI8)+'Operating model'!$E$8*AI8</f>
        <v>#REF!</v>
      </c>
      <c r="AJ20" s="76" t="e">
        <f>'Operating model'!$C$8*(AJ6-AJ7)+'Operating model'!$D$8*(AJ7-AJ8)+'Operating model'!$E$8*AJ8</f>
        <v>#REF!</v>
      </c>
      <c r="AK20" s="76" t="e">
        <f>'Operating model'!$C$8*(AK6-AK7)+'Operating model'!$D$8*(AK7-AK8)+'Operating model'!$E$8*AK8</f>
        <v>#REF!</v>
      </c>
      <c r="AL20" s="76" t="e">
        <f>'Operating model'!$C$8*(AL6-AL7)+'Operating model'!$D$8*(AL7-AL8)+'Operating model'!$E$8*AL8</f>
        <v>#REF!</v>
      </c>
      <c r="AM20" s="76" t="e">
        <f>'Operating model'!$C$8*(AM6-AM7)+'Operating model'!$D$8*(AM7-AM8)+'Operating model'!$E$8*AM8</f>
        <v>#REF!</v>
      </c>
      <c r="AN20" s="76" t="e">
        <f>'Operating model'!$C$8*(AN6-AN7)+'Operating model'!$D$8*(AN7-AN8)+'Operating model'!$E$8*AN8</f>
        <v>#REF!</v>
      </c>
      <c r="AO20" s="76" t="e">
        <f>'Operating model'!$C$8*(AO6-AO7)+'Operating model'!$D$8*(AO7-AO8)+'Operating model'!$E$8*AO8</f>
        <v>#REF!</v>
      </c>
      <c r="AP20" s="76" t="e">
        <f>'Operating model'!$C$8*(AP6-AP7)+'Operating model'!$D$8*(AP7-AP8)+'Operating model'!$E$8*AP8</f>
        <v>#REF!</v>
      </c>
      <c r="AQ20" s="76" t="e">
        <f>'Operating model'!$C$8*(AQ6-AQ7)+'Operating model'!$D$8*(AQ7-AQ8)+'Operating model'!$E$8*AQ8</f>
        <v>#REF!</v>
      </c>
      <c r="AR20" s="76" t="e">
        <f>'Operating model'!$C$8*(AR6-AR7)+'Operating model'!$D$8*(AR7-AR8)+'Operating model'!$E$8*AR8</f>
        <v>#REF!</v>
      </c>
      <c r="AS20" s="76" t="e">
        <f>'Operating model'!$C$8*(AS6-AS7)+'Operating model'!$D$8*(AS7-AS8)+'Operating model'!$E$8*AS8</f>
        <v>#REF!</v>
      </c>
      <c r="AT20" s="76" t="e">
        <f>'Operating model'!$C$8*(AT6-AT7)+'Operating model'!$D$8*(AT7-AT8)+'Operating model'!$E$8*AT8</f>
        <v>#REF!</v>
      </c>
      <c r="AU20" s="76" t="e">
        <f>'Operating model'!$C$8*(AU6-AU7)+'Operating model'!$D$8*(AU7-AU8)+'Operating model'!$E$8*AU8</f>
        <v>#REF!</v>
      </c>
      <c r="AV20" s="76" t="e">
        <f>'Operating model'!$C$8*(AV6-AV7)+'Operating model'!$D$8*(AV7-AV8)+'Operating model'!$E$8*AV8</f>
        <v>#REF!</v>
      </c>
      <c r="AW20" s="76" t="e">
        <f>'Operating model'!$C$8*(AW6-AW7)+'Operating model'!$D$8*(AW7-AW8)+'Operating model'!$E$8*AW8</f>
        <v>#REF!</v>
      </c>
      <c r="AX20" s="76" t="e">
        <f>'Operating model'!$C$8*(AX6-AX7)+'Operating model'!$D$8*(AX7-AX8)+'Operating model'!$E$8*AX8</f>
        <v>#REF!</v>
      </c>
      <c r="AY20" s="76" t="e">
        <f>'Operating model'!$C$8*(AY6-AY7)+'Operating model'!$D$8*(AY7-AY8)+'Operating model'!$E$8*AY8</f>
        <v>#REF!</v>
      </c>
      <c r="AZ20" s="76" t="e">
        <f>'Operating model'!$C$8*(AZ6-AZ7)+'Operating model'!$D$8*(AZ7-AZ8)+'Operating model'!$E$8*AZ8</f>
        <v>#REF!</v>
      </c>
      <c r="BA20" s="76" t="e">
        <f>'Operating model'!$C$8*(BA6-BA7)+'Operating model'!$D$8*(BA7-BA8)+'Operating model'!$E$8*BA8</f>
        <v>#REF!</v>
      </c>
      <c r="BB20" s="76" t="e">
        <f>'Operating model'!$C$8*(BB6-BB7)+'Operating model'!$D$8*(BB7-BB8)+'Operating model'!$E$8*BB8</f>
        <v>#REF!</v>
      </c>
      <c r="BC20" s="76" t="e">
        <f>'Operating model'!$C$8*(BC6-BC7)+'Operating model'!$D$8*(BC7-BC8)+'Operating model'!$E$8*BC8</f>
        <v>#REF!</v>
      </c>
      <c r="BD20" s="76" t="e">
        <f>'Operating model'!$C$8*(BD6-BD7)+'Operating model'!$D$8*(BD7-BD8)+'Operating model'!$E$8*BD8</f>
        <v>#REF!</v>
      </c>
      <c r="BE20" s="76" t="e">
        <f>'Operating model'!$C$8*(BE6-BE7)+'Operating model'!$D$8*(BE7-BE8)+'Operating model'!$E$8*BE8</f>
        <v>#REF!</v>
      </c>
      <c r="BF20" s="76" t="e">
        <f>'Operating model'!$C$8*(BF6-BF7)+'Operating model'!$D$8*(BF7-BF8)+'Operating model'!$E$8*BF8</f>
        <v>#REF!</v>
      </c>
      <c r="BG20" s="76" t="e">
        <f>'Operating model'!$C$8*(BG6-BG7)+'Operating model'!$D$8*(BG7-BG8)+'Operating model'!$E$8*BG8</f>
        <v>#REF!</v>
      </c>
      <c r="BH20" s="76" t="e">
        <f>'Operating model'!$C$8*(BH6-BH7)+'Operating model'!$D$8*(BH7-BH8)+'Operating model'!$E$8*BH8</f>
        <v>#REF!</v>
      </c>
      <c r="BI20" s="76" t="e">
        <f>'Operating model'!$C$8*(BI6-BI7)+'Operating model'!$D$8*(BI7-BI8)+'Operating model'!$E$8*BI8</f>
        <v>#REF!</v>
      </c>
      <c r="BJ20" s="76" t="e">
        <f>'Operating model'!$C$8*(BJ6-BJ7)+'Operating model'!$D$8*(BJ7-BJ8)+'Operating model'!$E$8*BJ8</f>
        <v>#REF!</v>
      </c>
      <c r="BK20" s="76" t="e">
        <f>'Operating model'!$C$8*(BK6-BK7)+'Operating model'!$D$8*(BK7-BK8)+'Operating model'!$E$8*BK8</f>
        <v>#REF!</v>
      </c>
      <c r="BL20" s="76" t="e">
        <f>'Operating model'!$C$8*(BL6-BL7)+'Operating model'!$D$8*(BL7-BL8)+'Operating model'!$E$8*BL8</f>
        <v>#REF!</v>
      </c>
    </row>
    <row r="21" spans="2:64">
      <c r="B21" s="146" t="s">
        <v>146</v>
      </c>
      <c r="E21" s="100" t="e">
        <f>E18+E20</f>
        <v>#REF!</v>
      </c>
      <c r="F21" s="100" t="e">
        <f>F18+F20</f>
        <v>#REF!</v>
      </c>
      <c r="G21" s="100" t="e">
        <f>G18+G20</f>
        <v>#REF!</v>
      </c>
      <c r="H21" s="100" t="e">
        <f>H18+H20</f>
        <v>#REF!</v>
      </c>
      <c r="I21" s="100" t="e">
        <f>I18+I20</f>
        <v>#REF!</v>
      </c>
      <c r="J21" s="100" t="e">
        <f>J18+J20</f>
        <v>#REF!</v>
      </c>
      <c r="K21" s="100" t="e">
        <f>K18+K20</f>
        <v>#REF!</v>
      </c>
      <c r="L21" s="100" t="e">
        <f>L18+L20</f>
        <v>#REF!</v>
      </c>
      <c r="M21" s="100" t="e">
        <f>M18+M20</f>
        <v>#REF!</v>
      </c>
      <c r="N21" s="100" t="e">
        <f>N18+N20</f>
        <v>#REF!</v>
      </c>
      <c r="O21" s="100" t="e">
        <f>O18+O20</f>
        <v>#REF!</v>
      </c>
      <c r="P21" s="100" t="e">
        <f>P18+P20</f>
        <v>#REF!</v>
      </c>
      <c r="Q21" s="100" t="e">
        <f>Q18+Q20</f>
        <v>#REF!</v>
      </c>
      <c r="R21" s="100" t="e">
        <f>R18+R20</f>
        <v>#REF!</v>
      </c>
      <c r="S21" s="100" t="e">
        <f>S18+S20</f>
        <v>#REF!</v>
      </c>
      <c r="T21" s="100" t="e">
        <f>T18+T20</f>
        <v>#REF!</v>
      </c>
      <c r="U21" s="100" t="e">
        <f>U18+U20</f>
        <v>#REF!</v>
      </c>
      <c r="V21" s="100" t="e">
        <f>V18+V20</f>
        <v>#REF!</v>
      </c>
      <c r="W21" s="100" t="e">
        <f>W18+W20</f>
        <v>#REF!</v>
      </c>
      <c r="X21" s="100" t="e">
        <f>X18+X20</f>
        <v>#REF!</v>
      </c>
      <c r="Y21" s="100" t="e">
        <f>Y18+Y20</f>
        <v>#REF!</v>
      </c>
      <c r="Z21" s="100" t="e">
        <f>Z18+Z20</f>
        <v>#REF!</v>
      </c>
      <c r="AA21" s="100" t="e">
        <f>AA18+AA20</f>
        <v>#REF!</v>
      </c>
      <c r="AB21" s="100" t="e">
        <f>AB18+AB20</f>
        <v>#REF!</v>
      </c>
      <c r="AC21" s="100" t="e">
        <f>AC18+AC20</f>
        <v>#REF!</v>
      </c>
      <c r="AD21" s="100" t="e">
        <f>AD18+AD20</f>
        <v>#REF!</v>
      </c>
      <c r="AE21" s="100" t="e">
        <f>AE18+AE20</f>
        <v>#REF!</v>
      </c>
      <c r="AF21" s="100" t="e">
        <f>AF18+AF20</f>
        <v>#REF!</v>
      </c>
      <c r="AG21" s="100" t="e">
        <f>AG18+AG20</f>
        <v>#REF!</v>
      </c>
      <c r="AH21" s="100" t="e">
        <f>AH18+AH20</f>
        <v>#REF!</v>
      </c>
      <c r="AI21" s="100" t="e">
        <f>AI18+AI20</f>
        <v>#REF!</v>
      </c>
      <c r="AJ21" s="100" t="e">
        <f>AJ18+AJ20</f>
        <v>#REF!</v>
      </c>
      <c r="AK21" s="100" t="e">
        <f>AK18+AK20</f>
        <v>#REF!</v>
      </c>
      <c r="AL21" s="100" t="e">
        <f>AL18+AL20</f>
        <v>#REF!</v>
      </c>
      <c r="AM21" s="100" t="e">
        <f>AM18+AM20</f>
        <v>#REF!</v>
      </c>
      <c r="AN21" s="100" t="e">
        <f>AN18+AN20</f>
        <v>#REF!</v>
      </c>
      <c r="AO21" s="100" t="e">
        <f>AO18+AO20</f>
        <v>#REF!</v>
      </c>
      <c r="AP21" s="100" t="e">
        <f>AP18+AP20</f>
        <v>#REF!</v>
      </c>
      <c r="AQ21" s="100" t="e">
        <f>AQ18+AQ20</f>
        <v>#REF!</v>
      </c>
      <c r="AR21" s="100" t="e">
        <f>AR18+AR20</f>
        <v>#REF!</v>
      </c>
      <c r="AS21" s="100" t="e">
        <f>AS18+AS20</f>
        <v>#REF!</v>
      </c>
      <c r="AT21" s="100" t="e">
        <f>AT18+AT20</f>
        <v>#REF!</v>
      </c>
      <c r="AU21" s="100" t="e">
        <f>AU18+AU20</f>
        <v>#REF!</v>
      </c>
      <c r="AV21" s="100" t="e">
        <f>AV18+AV20</f>
        <v>#REF!</v>
      </c>
      <c r="AW21" s="100" t="e">
        <f>AW18+AW20</f>
        <v>#REF!</v>
      </c>
      <c r="AX21" s="100" t="e">
        <f>AX18+AX20</f>
        <v>#REF!</v>
      </c>
      <c r="AY21" s="100" t="e">
        <f>AY18+AY20</f>
        <v>#REF!</v>
      </c>
      <c r="AZ21" s="100" t="e">
        <f>AZ18+AZ20</f>
        <v>#REF!</v>
      </c>
      <c r="BA21" s="100" t="e">
        <f>BA18+BA20</f>
        <v>#REF!</v>
      </c>
      <c r="BB21" s="100" t="e">
        <f>BB18+BB20</f>
        <v>#REF!</v>
      </c>
      <c r="BC21" s="100" t="e">
        <f>BC18+BC20</f>
        <v>#REF!</v>
      </c>
      <c r="BD21" s="100" t="e">
        <f>BD18+BD20</f>
        <v>#REF!</v>
      </c>
      <c r="BE21" s="100" t="e">
        <f>BE18+BE20</f>
        <v>#REF!</v>
      </c>
      <c r="BF21" s="100" t="e">
        <f>BF18+BF20</f>
        <v>#REF!</v>
      </c>
      <c r="BG21" s="100" t="e">
        <f>BG18+BG20</f>
        <v>#REF!</v>
      </c>
      <c r="BH21" s="100" t="e">
        <f>BH18+BH20</f>
        <v>#REF!</v>
      </c>
      <c r="BI21" s="100" t="e">
        <f>BI18+BI20</f>
        <v>#REF!</v>
      </c>
      <c r="BJ21" s="100" t="e">
        <f>BJ18+BJ20</f>
        <v>#REF!</v>
      </c>
      <c r="BK21" s="100" t="e">
        <f>BK18+BK20</f>
        <v>#REF!</v>
      </c>
      <c r="BL21" s="100" t="e">
        <f>BL18+BL20</f>
        <v>#REF!</v>
      </c>
    </row>
    <row r="22" spans="2:64" ht="7.5" customHeight="1">
      <c r="B22" s="146"/>
    </row>
    <row r="23" spans="2:64">
      <c r="B23" s="146" t="s">
        <v>419</v>
      </c>
      <c r="E23" s="11">
        <f>'Operating model'!$C$21*(E6-E7)+'Operating model'!$D$21*(E7-E8)+'Operating model'!$E$21*E8</f>
        <v>0</v>
      </c>
      <c r="F23" s="11">
        <f>'Operating model'!$C$21*(F6-F7)+'Operating model'!$D$21*(F7-F8)+'Operating model'!$E$21*F8</f>
        <v>0</v>
      </c>
      <c r="G23" s="11">
        <f>'Operating model'!$C$21*(G6-G7)+'Operating model'!$D$21*(G7-G8)+'Operating model'!$E$21*G8</f>
        <v>0</v>
      </c>
      <c r="H23" s="11">
        <f>'Operating model'!$C$21*(H6-H7)+'Operating model'!$D$21*(H7-H8)+'Operating model'!$E$21*H8</f>
        <v>0</v>
      </c>
      <c r="I23" s="11">
        <f>'Operating model'!$C$21*(I6-I7)+'Operating model'!$D$21*(I7-I8)+'Operating model'!$E$21*I8</f>
        <v>0</v>
      </c>
      <c r="J23" s="11">
        <f>'Operating model'!$C$21*(J6-J7)+'Operating model'!$D$21*(J7-J8)+'Operating model'!$E$21*J8</f>
        <v>0</v>
      </c>
      <c r="K23" s="11">
        <f>'Operating model'!$C$21*(K6-K7)+'Operating model'!$D$21*(K7-K8)+'Operating model'!$E$21*K8</f>
        <v>0</v>
      </c>
      <c r="L23" s="11">
        <f>'Operating model'!$C$21*(L6-L7)+'Operating model'!$D$21*(L7-L8)+'Operating model'!$E$21*L8</f>
        <v>0</v>
      </c>
      <c r="M23" s="11">
        <f>'Operating model'!$C$21*(M6-M7)+'Operating model'!$D$21*(M7-M8)+'Operating model'!$E$21*M8</f>
        <v>0</v>
      </c>
      <c r="N23" s="11">
        <f>'Operating model'!$C$21*(N6-N7)+'Operating model'!$D$21*(N7-N8)+'Operating model'!$E$21*N8</f>
        <v>0</v>
      </c>
      <c r="O23" s="11">
        <f>'Operating model'!$C$21*(O6-O7)+'Operating model'!$D$21*(O7-O8)+'Operating model'!$E$21*O8</f>
        <v>0</v>
      </c>
      <c r="P23" s="11">
        <f>'Operating model'!$C$21*(P6-P7)+'Operating model'!$D$21*(P7-P8)+'Operating model'!$E$21*P8</f>
        <v>0</v>
      </c>
      <c r="Q23" s="11">
        <f>'Operating model'!$C$21*(Q6-Q7)+'Operating model'!$D$21*(Q7-Q8)+'Operating model'!$E$21*Q8</f>
        <v>0</v>
      </c>
      <c r="R23" s="11">
        <f>'Operating model'!$C$21*(R6-R7)+'Operating model'!$D$21*(R7-R8)+'Operating model'!$E$21*R8</f>
        <v>0</v>
      </c>
      <c r="S23" s="11">
        <f>'Operating model'!$C$21*(S6-S7)+'Operating model'!$D$21*(S7-S8)+'Operating model'!$E$21*S8</f>
        <v>0</v>
      </c>
      <c r="T23" s="11">
        <f>'Operating model'!$C$21*(T6-T7)+'Operating model'!$D$21*(T7-T8)+'Operating model'!$E$21*T8</f>
        <v>0</v>
      </c>
      <c r="U23" s="11">
        <f>'Operating model'!$C$21*(U6-U7)+'Operating model'!$D$21*(U7-U8)+'Operating model'!$E$21*U8</f>
        <v>0</v>
      </c>
      <c r="V23" s="11">
        <f>'Operating model'!$C$21*(V6-V7)+'Operating model'!$D$21*(V7-V8)+'Operating model'!$E$21*V8</f>
        <v>0</v>
      </c>
      <c r="W23" s="11">
        <f>'Operating model'!$C$21*(W6-W7)+'Operating model'!$D$21*(W7-W8)+'Operating model'!$E$21*W8</f>
        <v>0</v>
      </c>
      <c r="X23" s="11">
        <f>'Operating model'!$C$21*(X6-X7)+'Operating model'!$D$21*(X7-X8)+'Operating model'!$E$21*X8</f>
        <v>0</v>
      </c>
      <c r="Y23" s="11">
        <f>'Operating model'!$C$21*(Y6-Y7)+'Operating model'!$D$21*(Y7-Y8)+'Operating model'!$E$21*Y8</f>
        <v>0</v>
      </c>
      <c r="Z23" s="11">
        <f>'Operating model'!$C$21*(Z6-Z7)+'Operating model'!$D$21*(Z7-Z8)+'Operating model'!$E$21*Z8</f>
        <v>0</v>
      </c>
      <c r="AA23" s="11">
        <f>'Operating model'!$C$21*(AA6-AA7)+'Operating model'!$D$21*(AA7-AA8)+'Operating model'!$E$21*AA8</f>
        <v>0</v>
      </c>
      <c r="AB23" s="11">
        <f>'Operating model'!$C$21*(AB6-AB7)+'Operating model'!$D$21*(AB7-AB8)+'Operating model'!$E$21*AB8</f>
        <v>0</v>
      </c>
      <c r="AC23" s="11">
        <f>'Operating model'!$C$21*(AC6-AC7)+'Operating model'!$D$21*(AC7-AC8)+'Operating model'!$E$21*AC8</f>
        <v>0</v>
      </c>
      <c r="AD23" s="11">
        <f>'Operating model'!$C$21*(AD6-AD7)+'Operating model'!$D$21*(AD7-AD8)+'Operating model'!$E$21*AD8</f>
        <v>0</v>
      </c>
      <c r="AE23" s="11">
        <f>'Operating model'!$C$21*(AE6-AE7)+'Operating model'!$D$21*(AE7-AE8)+'Operating model'!$E$21*AE8</f>
        <v>0</v>
      </c>
      <c r="AF23" s="11">
        <f>'Operating model'!$C$21*(AF6-AF7)+'Operating model'!$D$21*(AF7-AF8)+'Operating model'!$E$21*AF8</f>
        <v>0</v>
      </c>
      <c r="AG23" s="11">
        <f>'Operating model'!$C$21*(AG6-AG7)+'Operating model'!$D$21*(AG7-AG8)+'Operating model'!$E$21*AG8</f>
        <v>0</v>
      </c>
      <c r="AH23" s="11">
        <f>'Operating model'!$C$21*(AH6-AH7)+'Operating model'!$D$21*(AH7-AH8)+'Operating model'!$E$21*AH8</f>
        <v>0</v>
      </c>
      <c r="AI23" s="11">
        <f>'Operating model'!$C$21*(AI6-AI7)+'Operating model'!$D$21*(AI7-AI8)+'Operating model'!$E$21*AI8</f>
        <v>0</v>
      </c>
      <c r="AJ23" s="11">
        <f>'Operating model'!$C$21*(AJ6-AJ7)+'Operating model'!$D$21*(AJ7-AJ8)+'Operating model'!$E$21*AJ8</f>
        <v>0</v>
      </c>
      <c r="AK23" s="11">
        <f>'Operating model'!$C$21*(AK6-AK7)+'Operating model'!$D$21*(AK7-AK8)+'Operating model'!$E$21*AK8</f>
        <v>0</v>
      </c>
      <c r="AL23" s="11">
        <f>'Operating model'!$C$21*(AL6-AL7)+'Operating model'!$D$21*(AL7-AL8)+'Operating model'!$E$21*AL8</f>
        <v>0</v>
      </c>
      <c r="AM23" s="11">
        <f>'Operating model'!$C$21*(AM6-AM7)+'Operating model'!$D$21*(AM7-AM8)+'Operating model'!$E$21*AM8</f>
        <v>0</v>
      </c>
      <c r="AN23" s="11">
        <f>'Operating model'!$C$21*(AN6-AN7)+'Operating model'!$D$21*(AN7-AN8)+'Operating model'!$E$21*AN8</f>
        <v>0</v>
      </c>
      <c r="AO23" s="11">
        <f>'Operating model'!$C$21*(AO6-AO7)+'Operating model'!$D$21*(AO7-AO8)+'Operating model'!$E$21*AO8</f>
        <v>0</v>
      </c>
      <c r="AP23" s="11">
        <f>'Operating model'!$C$21*(AP6-AP7)+'Operating model'!$D$21*(AP7-AP8)+'Operating model'!$E$21*AP8</f>
        <v>0</v>
      </c>
      <c r="AQ23" s="11">
        <f>'Operating model'!$C$21*(AQ6-AQ7)+'Operating model'!$D$21*(AQ7-AQ8)+'Operating model'!$E$21*AQ8</f>
        <v>0</v>
      </c>
      <c r="AR23" s="11">
        <f>'Operating model'!$C$21*(AR6-AR7)+'Operating model'!$D$21*(AR7-AR8)+'Operating model'!$E$21*AR8</f>
        <v>0</v>
      </c>
      <c r="AS23" s="11">
        <f>'Operating model'!$C$21*(AS6-AS7)+'Operating model'!$D$21*(AS7-AS8)+'Operating model'!$E$21*AS8</f>
        <v>0</v>
      </c>
      <c r="AT23" s="11">
        <f>'Operating model'!$C$21*(AT6-AT7)+'Operating model'!$D$21*(AT7-AT8)+'Operating model'!$E$21*AT8</f>
        <v>0</v>
      </c>
      <c r="AU23" s="11">
        <f>'Operating model'!$C$21*(AU6-AU7)+'Operating model'!$D$21*(AU7-AU8)+'Operating model'!$E$21*AU8</f>
        <v>0</v>
      </c>
      <c r="AV23" s="11">
        <f>'Operating model'!$C$21*(AV6-AV7)+'Operating model'!$D$21*(AV7-AV8)+'Operating model'!$E$21*AV8</f>
        <v>0</v>
      </c>
      <c r="AW23" s="11">
        <f>'Operating model'!$C$21*(AW6-AW7)+'Operating model'!$D$21*(AW7-AW8)+'Operating model'!$E$21*AW8</f>
        <v>0</v>
      </c>
      <c r="AX23" s="11">
        <f>'Operating model'!$C$21*(AX6-AX7)+'Operating model'!$D$21*(AX7-AX8)+'Operating model'!$E$21*AX8</f>
        <v>0</v>
      </c>
      <c r="AY23" s="11">
        <f>'Operating model'!$C$21*(AY6-AY7)+'Operating model'!$D$21*(AY7-AY8)+'Operating model'!$E$21*AY8</f>
        <v>0</v>
      </c>
      <c r="AZ23" s="11">
        <f>'Operating model'!$C$21*(AZ6-AZ7)+'Operating model'!$D$21*(AZ7-AZ8)+'Operating model'!$E$21*AZ8</f>
        <v>0</v>
      </c>
      <c r="BA23" s="11">
        <f>'Operating model'!$C$21*(BA6-BA7)+'Operating model'!$D$21*(BA7-BA8)+'Operating model'!$E$21*BA8</f>
        <v>0</v>
      </c>
      <c r="BB23" s="11">
        <f>'Operating model'!$C$21*(BB6-BB7)+'Operating model'!$D$21*(BB7-BB8)+'Operating model'!$E$21*BB8</f>
        <v>0</v>
      </c>
      <c r="BC23" s="11">
        <f>'Operating model'!$C$21*(BC6-BC7)+'Operating model'!$D$21*(BC7-BC8)+'Operating model'!$E$21*BC8</f>
        <v>0</v>
      </c>
      <c r="BD23" s="11">
        <f>'Operating model'!$C$21*(BD6-BD7)+'Operating model'!$D$21*(BD7-BD8)+'Operating model'!$E$21*BD8</f>
        <v>0</v>
      </c>
      <c r="BE23" s="11">
        <f>'Operating model'!$C$21*(BE6-BE7)+'Operating model'!$D$21*(BE7-BE8)+'Operating model'!$E$21*BE8</f>
        <v>0</v>
      </c>
      <c r="BF23" s="11">
        <f>'Operating model'!$C$21*(BF6-BF7)+'Operating model'!$D$21*(BF7-BF8)+'Operating model'!$E$21*BF8</f>
        <v>0</v>
      </c>
      <c r="BG23" s="11">
        <f>'Operating model'!$C$21*(BG6-BG7)+'Operating model'!$D$21*(BG7-BG8)+'Operating model'!$E$21*BG8</f>
        <v>0</v>
      </c>
      <c r="BH23" s="11">
        <f>'Operating model'!$C$21*(BH6-BH7)+'Operating model'!$D$21*(BH7-BH8)+'Operating model'!$E$21*BH8</f>
        <v>0</v>
      </c>
      <c r="BI23" s="11">
        <f>'Operating model'!$C$21*(BI6-BI7)+'Operating model'!$D$21*(BI7-BI8)+'Operating model'!$E$21*BI8</f>
        <v>0</v>
      </c>
      <c r="BJ23" s="11">
        <f>'Operating model'!$C$21*(BJ6-BJ7)+'Operating model'!$D$21*(BJ7-BJ8)+'Operating model'!$E$21*BJ8</f>
        <v>0</v>
      </c>
      <c r="BK23" s="11">
        <f>'Operating model'!$C$21*(BK6-BK7)+'Operating model'!$D$21*(BK7-BK8)+'Operating model'!$E$21*BK8</f>
        <v>0</v>
      </c>
      <c r="BL23" s="11">
        <f>'Operating model'!$C$21*(BL6-BL7)+'Operating model'!$D$21*(BL7-BL8)+'Operating model'!$E$21*BL8</f>
        <v>0</v>
      </c>
    </row>
    <row r="24" spans="2:64">
      <c r="B24" s="146" t="s">
        <v>420</v>
      </c>
      <c r="E24" s="76" t="e">
        <f>'Operating model'!$C$22*(E6-E7)+'Operating model'!$D$22*(E7-E8)+'Operating model'!$E$22*E8</f>
        <v>#REF!</v>
      </c>
      <c r="F24" s="76" t="e">
        <f>'Operating model'!$C$22*(F6-F7)+'Operating model'!$D$22*(F7-F8)+'Operating model'!$E$22*F8</f>
        <v>#REF!</v>
      </c>
      <c r="G24" s="76" t="e">
        <f>'Operating model'!$C$22*(G6-G7)+'Operating model'!$D$22*(G7-G8)+'Operating model'!$E$22*G8</f>
        <v>#REF!</v>
      </c>
      <c r="H24" s="76" t="e">
        <f>'Operating model'!$C$22*(H6-H7)+'Operating model'!$D$22*(H7-H8)+'Operating model'!$E$22*H8</f>
        <v>#REF!</v>
      </c>
      <c r="I24" s="76" t="e">
        <f>'Operating model'!$C$22*(I6-I7)+'Operating model'!$D$22*(I7-I8)+'Operating model'!$E$22*I8</f>
        <v>#REF!</v>
      </c>
      <c r="J24" s="76" t="e">
        <f>'Operating model'!$C$22*(J6-J7)+'Operating model'!$D$22*(J7-J8)+'Operating model'!$E$22*J8</f>
        <v>#REF!</v>
      </c>
      <c r="K24" s="76" t="e">
        <f>'Operating model'!$C$22*(K6-K7)+'Operating model'!$D$22*(K7-K8)+'Operating model'!$E$22*K8</f>
        <v>#REF!</v>
      </c>
      <c r="L24" s="76" t="e">
        <f>'Operating model'!$C$22*(L6-L7)+'Operating model'!$D$22*(L7-L8)+'Operating model'!$E$22*L8</f>
        <v>#REF!</v>
      </c>
      <c r="M24" s="76" t="e">
        <f>'Operating model'!$C$22*(M6-M7)+'Operating model'!$D$22*(M7-M8)+'Operating model'!$E$22*M8</f>
        <v>#REF!</v>
      </c>
      <c r="N24" s="76" t="e">
        <f>'Operating model'!$C$22*(N6-N7)+'Operating model'!$D$22*(N7-N8)+'Operating model'!$E$22*N8</f>
        <v>#REF!</v>
      </c>
      <c r="O24" s="76" t="e">
        <f>'Operating model'!$C$22*(O6-O7)+'Operating model'!$D$22*(O7-O8)+'Operating model'!$E$22*O8</f>
        <v>#REF!</v>
      </c>
      <c r="P24" s="76" t="e">
        <f>'Operating model'!$C$22*(P6-P7)+'Operating model'!$D$22*(P7-P8)+'Operating model'!$E$22*P8</f>
        <v>#REF!</v>
      </c>
      <c r="Q24" s="76" t="e">
        <f>'Operating model'!$C$22*(Q6-Q7)+'Operating model'!$D$22*(Q7-Q8)+'Operating model'!$E$22*Q8</f>
        <v>#REF!</v>
      </c>
      <c r="R24" s="76" t="e">
        <f>'Operating model'!$C$22*(R6-R7)+'Operating model'!$D$22*(R7-R8)+'Operating model'!$E$22*R8</f>
        <v>#REF!</v>
      </c>
      <c r="S24" s="76" t="e">
        <f>'Operating model'!$C$22*(S6-S7)+'Operating model'!$D$22*(S7-S8)+'Operating model'!$E$22*S8</f>
        <v>#REF!</v>
      </c>
      <c r="T24" s="76" t="e">
        <f>'Operating model'!$C$22*(T6-T7)+'Operating model'!$D$22*(T7-T8)+'Operating model'!$E$22*T8</f>
        <v>#REF!</v>
      </c>
      <c r="U24" s="76" t="e">
        <f>'Operating model'!$C$22*(U6-U7)+'Operating model'!$D$22*(U7-U8)+'Operating model'!$E$22*U8</f>
        <v>#REF!</v>
      </c>
      <c r="V24" s="76" t="e">
        <f>'Operating model'!$C$22*(V6-V7)+'Operating model'!$D$22*(V7-V8)+'Operating model'!$E$22*V8</f>
        <v>#REF!</v>
      </c>
      <c r="W24" s="76" t="e">
        <f>'Operating model'!$C$22*(W6-W7)+'Operating model'!$D$22*(W7-W8)+'Operating model'!$E$22*W8</f>
        <v>#REF!</v>
      </c>
      <c r="X24" s="76" t="e">
        <f>'Operating model'!$C$22*(X6-X7)+'Operating model'!$D$22*(X7-X8)+'Operating model'!$E$22*X8</f>
        <v>#REF!</v>
      </c>
      <c r="Y24" s="76" t="e">
        <f>'Operating model'!$C$22*(Y6-Y7)+'Operating model'!$D$22*(Y7-Y8)+'Operating model'!$E$22*Y8</f>
        <v>#REF!</v>
      </c>
      <c r="Z24" s="76" t="e">
        <f>'Operating model'!$C$22*(Z6-Z7)+'Operating model'!$D$22*(Z7-Z8)+'Operating model'!$E$22*Z8</f>
        <v>#REF!</v>
      </c>
      <c r="AA24" s="76" t="e">
        <f>'Operating model'!$C$22*(AA6-AA7)+'Operating model'!$D$22*(AA7-AA8)+'Operating model'!$E$22*AA8</f>
        <v>#REF!</v>
      </c>
      <c r="AB24" s="76" t="e">
        <f>'Operating model'!$C$22*(AB6-AB7)+'Operating model'!$D$22*(AB7-AB8)+'Operating model'!$E$22*AB8</f>
        <v>#REF!</v>
      </c>
      <c r="AC24" s="76" t="e">
        <f>'Operating model'!$C$22*(AC6-AC7)+'Operating model'!$D$22*(AC7-AC8)+'Operating model'!$E$22*AC8</f>
        <v>#REF!</v>
      </c>
      <c r="AD24" s="76" t="e">
        <f>'Operating model'!$C$22*(AD6-AD7)+'Operating model'!$D$22*(AD7-AD8)+'Operating model'!$E$22*AD8</f>
        <v>#REF!</v>
      </c>
      <c r="AE24" s="76" t="e">
        <f>'Operating model'!$C$22*(AE6-AE7)+'Operating model'!$D$22*(AE7-AE8)+'Operating model'!$E$22*AE8</f>
        <v>#REF!</v>
      </c>
      <c r="AF24" s="76" t="e">
        <f>'Operating model'!$C$22*(AF6-AF7)+'Operating model'!$D$22*(AF7-AF8)+'Operating model'!$E$22*AF8</f>
        <v>#REF!</v>
      </c>
      <c r="AG24" s="76" t="e">
        <f>'Operating model'!$C$22*(AG6-AG7)+'Operating model'!$D$22*(AG7-AG8)+'Operating model'!$E$22*AG8</f>
        <v>#REF!</v>
      </c>
      <c r="AH24" s="76" t="e">
        <f>'Operating model'!$C$22*(AH6-AH7)+'Operating model'!$D$22*(AH7-AH8)+'Operating model'!$E$22*AH8</f>
        <v>#REF!</v>
      </c>
      <c r="AI24" s="76" t="e">
        <f>'Operating model'!$C$22*(AI6-AI7)+'Operating model'!$D$22*(AI7-AI8)+'Operating model'!$E$22*AI8</f>
        <v>#REF!</v>
      </c>
      <c r="AJ24" s="76" t="e">
        <f>'Operating model'!$C$22*(AJ6-AJ7)+'Operating model'!$D$22*(AJ7-AJ8)+'Operating model'!$E$22*AJ8</f>
        <v>#REF!</v>
      </c>
      <c r="AK24" s="76" t="e">
        <f>'Operating model'!$C$22*(AK6-AK7)+'Operating model'!$D$22*(AK7-AK8)+'Operating model'!$E$22*AK8</f>
        <v>#REF!</v>
      </c>
      <c r="AL24" s="76" t="e">
        <f>'Operating model'!$C$22*(AL6-AL7)+'Operating model'!$D$22*(AL7-AL8)+'Operating model'!$E$22*AL8</f>
        <v>#REF!</v>
      </c>
      <c r="AM24" s="76" t="e">
        <f>'Operating model'!$C$22*(AM6-AM7)+'Operating model'!$D$22*(AM7-AM8)+'Operating model'!$E$22*AM8</f>
        <v>#REF!</v>
      </c>
      <c r="AN24" s="76" t="e">
        <f>'Operating model'!$C$22*(AN6-AN7)+'Operating model'!$D$22*(AN7-AN8)+'Operating model'!$E$22*AN8</f>
        <v>#REF!</v>
      </c>
      <c r="AO24" s="76" t="e">
        <f>'Operating model'!$C$22*(AO6-AO7)+'Operating model'!$D$22*(AO7-AO8)+'Operating model'!$E$22*AO8</f>
        <v>#REF!</v>
      </c>
      <c r="AP24" s="76" t="e">
        <f>'Operating model'!$C$22*(AP6-AP7)+'Operating model'!$D$22*(AP7-AP8)+'Operating model'!$E$22*AP8</f>
        <v>#REF!</v>
      </c>
      <c r="AQ24" s="76" t="e">
        <f>'Operating model'!$C$22*(AQ6-AQ7)+'Operating model'!$D$22*(AQ7-AQ8)+'Operating model'!$E$22*AQ8</f>
        <v>#REF!</v>
      </c>
      <c r="AR24" s="76" t="e">
        <f>'Operating model'!$C$22*(AR6-AR7)+'Operating model'!$D$22*(AR7-AR8)+'Operating model'!$E$22*AR8</f>
        <v>#REF!</v>
      </c>
      <c r="AS24" s="76" t="e">
        <f>'Operating model'!$C$22*(AS6-AS7)+'Operating model'!$D$22*(AS7-AS8)+'Operating model'!$E$22*AS8</f>
        <v>#REF!</v>
      </c>
      <c r="AT24" s="76" t="e">
        <f>'Operating model'!$C$22*(AT6-AT7)+'Operating model'!$D$22*(AT7-AT8)+'Operating model'!$E$22*AT8</f>
        <v>#REF!</v>
      </c>
      <c r="AU24" s="76" t="e">
        <f>'Operating model'!$C$22*(AU6-AU7)+'Operating model'!$D$22*(AU7-AU8)+'Operating model'!$E$22*AU8</f>
        <v>#REF!</v>
      </c>
      <c r="AV24" s="76" t="e">
        <f>'Operating model'!$C$22*(AV6-AV7)+'Operating model'!$D$22*(AV7-AV8)+'Operating model'!$E$22*AV8</f>
        <v>#REF!</v>
      </c>
      <c r="AW24" s="76" t="e">
        <f>'Operating model'!$C$22*(AW6-AW7)+'Operating model'!$D$22*(AW7-AW8)+'Operating model'!$E$22*AW8</f>
        <v>#REF!</v>
      </c>
      <c r="AX24" s="76" t="e">
        <f>'Operating model'!$C$22*(AX6-AX7)+'Operating model'!$D$22*(AX7-AX8)+'Operating model'!$E$22*AX8</f>
        <v>#REF!</v>
      </c>
      <c r="AY24" s="76" t="e">
        <f>'Operating model'!$C$22*(AY6-AY7)+'Operating model'!$D$22*(AY7-AY8)+'Operating model'!$E$22*AY8</f>
        <v>#REF!</v>
      </c>
      <c r="AZ24" s="76" t="e">
        <f>'Operating model'!$C$22*(AZ6-AZ7)+'Operating model'!$D$22*(AZ7-AZ8)+'Operating model'!$E$22*AZ8</f>
        <v>#REF!</v>
      </c>
      <c r="BA24" s="76" t="e">
        <f>'Operating model'!$C$22*(BA6-BA7)+'Operating model'!$D$22*(BA7-BA8)+'Operating model'!$E$22*BA8</f>
        <v>#REF!</v>
      </c>
      <c r="BB24" s="76" t="e">
        <f>'Operating model'!$C$22*(BB6-BB7)+'Operating model'!$D$22*(BB7-BB8)+'Operating model'!$E$22*BB8</f>
        <v>#REF!</v>
      </c>
      <c r="BC24" s="76" t="e">
        <f>'Operating model'!$C$22*(BC6-BC7)+'Operating model'!$D$22*(BC7-BC8)+'Operating model'!$E$22*BC8</f>
        <v>#REF!</v>
      </c>
      <c r="BD24" s="76" t="e">
        <f>'Operating model'!$C$22*(BD6-BD7)+'Operating model'!$D$22*(BD7-BD8)+'Operating model'!$E$22*BD8</f>
        <v>#REF!</v>
      </c>
      <c r="BE24" s="76" t="e">
        <f>'Operating model'!$C$22*(BE6-BE7)+'Operating model'!$D$22*(BE7-BE8)+'Operating model'!$E$22*BE8</f>
        <v>#REF!</v>
      </c>
      <c r="BF24" s="76" t="e">
        <f>'Operating model'!$C$22*(BF6-BF7)+'Operating model'!$D$22*(BF7-BF8)+'Operating model'!$E$22*BF8</f>
        <v>#REF!</v>
      </c>
      <c r="BG24" s="76" t="e">
        <f>'Operating model'!$C$22*(BG6-BG7)+'Operating model'!$D$22*(BG7-BG8)+'Operating model'!$E$22*BG8</f>
        <v>#REF!</v>
      </c>
      <c r="BH24" s="76" t="e">
        <f>'Operating model'!$C$22*(BH6-BH7)+'Operating model'!$D$22*(BH7-BH8)+'Operating model'!$E$22*BH8</f>
        <v>#REF!</v>
      </c>
      <c r="BI24" s="76" t="e">
        <f>'Operating model'!$C$22*(BI6-BI7)+'Operating model'!$D$22*(BI7-BI8)+'Operating model'!$E$22*BI8</f>
        <v>#REF!</v>
      </c>
      <c r="BJ24" s="76" t="e">
        <f>'Operating model'!$C$22*(BJ6-BJ7)+'Operating model'!$D$22*(BJ7-BJ8)+'Operating model'!$E$22*BJ8</f>
        <v>#REF!</v>
      </c>
      <c r="BK24" s="76" t="e">
        <f>'Operating model'!$C$22*(BK6-BK7)+'Operating model'!$D$22*(BK7-BK8)+'Operating model'!$E$22*BK8</f>
        <v>#REF!</v>
      </c>
      <c r="BL24" s="76" t="e">
        <f>'Operating model'!$C$22*(BL6-BL7)+'Operating model'!$D$22*(BL7-BL8)+'Operating model'!$E$22*BL8</f>
        <v>#REF!</v>
      </c>
    </row>
    <row r="25" spans="2:64">
      <c r="B25" s="213"/>
    </row>
    <row r="26" spans="2:64" ht="5.25" customHeight="1">
      <c r="B26" s="14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  <c r="AV26" s="76"/>
      <c r="AW26" s="76"/>
      <c r="AX26" s="76"/>
      <c r="AY26" s="76"/>
      <c r="AZ26" s="76"/>
      <c r="BA26" s="76"/>
      <c r="BB26" s="76"/>
      <c r="BC26" s="76"/>
      <c r="BD26" s="76"/>
      <c r="BE26" s="76"/>
      <c r="BF26" s="76"/>
      <c r="BG26" s="76"/>
      <c r="BH26" s="76"/>
      <c r="BI26" s="76"/>
      <c r="BJ26" s="76"/>
      <c r="BK26" s="76"/>
      <c r="BL26" s="76"/>
    </row>
    <row r="27" spans="2:64">
      <c r="B27" s="146" t="s">
        <v>421</v>
      </c>
      <c r="E27" s="76" t="e">
        <f>'Operating model'!$C$25*(E6-E7)+'Operating model'!$D$25*(E7-E8)+'Operating model'!$E$25*(E8)</f>
        <v>#REF!</v>
      </c>
      <c r="F27" s="76" t="e">
        <f>'Operating model'!$C$25*(F6-F7)+'Operating model'!$D$25*(F7-F8)+'Operating model'!$E$25*(F8)</f>
        <v>#REF!</v>
      </c>
      <c r="G27" s="76" t="e">
        <f>'Operating model'!$C$25*(G6-G7)+'Operating model'!$D$25*(G7-G8)+'Operating model'!$E$25*(G8)</f>
        <v>#REF!</v>
      </c>
      <c r="H27" s="76" t="e">
        <f>'Operating model'!$C$25*(H6-H7)+'Operating model'!$D$25*(H7-H8)+'Operating model'!$E$25*(H8)</f>
        <v>#REF!</v>
      </c>
      <c r="I27" s="76" t="e">
        <f>'Operating model'!$C$25*(I6-I7)+'Operating model'!$D$25*(I7-I8)+'Operating model'!$E$25*(I8)</f>
        <v>#REF!</v>
      </c>
      <c r="J27" s="76" t="e">
        <f>'Operating model'!$C$25*(J6-J7)+'Operating model'!$D$25*(J7-J8)+'Operating model'!$E$25*(J8)</f>
        <v>#REF!</v>
      </c>
      <c r="K27" s="76" t="e">
        <f>'Operating model'!$C$25*(K6-K7)+'Operating model'!$D$25*(K7-K8)+'Operating model'!$E$25*(K8)</f>
        <v>#REF!</v>
      </c>
      <c r="L27" s="76" t="e">
        <f>'Operating model'!$C$25*(L6-L7)+'Operating model'!$D$25*(L7-L8)+'Operating model'!$E$25*(L8)</f>
        <v>#REF!</v>
      </c>
      <c r="M27" s="76" t="e">
        <f>'Operating model'!$C$25*(M6-M7)+'Operating model'!$D$25*(M7-M8)+'Operating model'!$E$25*(M8)</f>
        <v>#REF!</v>
      </c>
      <c r="N27" s="76" t="e">
        <f>'Operating model'!$C$25*(N6-N7)+'Operating model'!$D$25*(N7-N8)+'Operating model'!$E$25*(N8)</f>
        <v>#REF!</v>
      </c>
      <c r="O27" s="76" t="e">
        <f>'Operating model'!$C$25*(O6-O7)+'Operating model'!$D$25*(O7-O8)+'Operating model'!$E$25*(O8)</f>
        <v>#REF!</v>
      </c>
      <c r="P27" s="76" t="e">
        <f>'Operating model'!$C$25*(P6-P7)+'Operating model'!$D$25*(P7-P8)+'Operating model'!$E$25*(P8)</f>
        <v>#REF!</v>
      </c>
      <c r="Q27" s="76" t="e">
        <f>'Operating model'!$C$25*(Q6-Q7)+'Operating model'!$D$25*(Q7-Q8)+'Operating model'!$E$25*(Q8)</f>
        <v>#REF!</v>
      </c>
      <c r="R27" s="76" t="e">
        <f>'Operating model'!$C$25*(R6-R7)+'Operating model'!$D$25*(R7-R8)+'Operating model'!$E$25*(R8)</f>
        <v>#REF!</v>
      </c>
      <c r="S27" s="76" t="e">
        <f>'Operating model'!$C$25*(S6-S7)+'Operating model'!$D$25*(S7-S8)+'Operating model'!$E$25*(S8)</f>
        <v>#REF!</v>
      </c>
      <c r="T27" s="76" t="e">
        <f>'Operating model'!$C$25*(T6-T7)+'Operating model'!$D$25*(T7-T8)+'Operating model'!$E$25*(T8)</f>
        <v>#REF!</v>
      </c>
      <c r="U27" s="76" t="e">
        <f>'Operating model'!$C$25*(U6-U7)+'Operating model'!$D$25*(U7-U8)+'Operating model'!$E$25*(U8)</f>
        <v>#REF!</v>
      </c>
      <c r="V27" s="76" t="e">
        <f>'Operating model'!$C$25*(V6-V7)+'Operating model'!$D$25*(V7-V8)+'Operating model'!$E$25*(V8)</f>
        <v>#REF!</v>
      </c>
      <c r="W27" s="76" t="e">
        <f>'Operating model'!$C$25*(W6-W7)+'Operating model'!$D$25*(W7-W8)+'Operating model'!$E$25*(W8)</f>
        <v>#REF!</v>
      </c>
      <c r="X27" s="76" t="e">
        <f>'Operating model'!$C$25*(X6-X7)+'Operating model'!$D$25*(X7-X8)+'Operating model'!$E$25*(X8)</f>
        <v>#REF!</v>
      </c>
      <c r="Y27" s="76" t="e">
        <f>'Operating model'!$C$25*(Y6-Y7)+'Operating model'!$D$25*(Y7-Y8)+'Operating model'!$E$25*(Y8)</f>
        <v>#REF!</v>
      </c>
      <c r="Z27" s="76" t="e">
        <f>'Operating model'!$C$25*(Z6-Z7)+'Operating model'!$D$25*(Z7-Z8)+'Operating model'!$E$25*(Z8)</f>
        <v>#REF!</v>
      </c>
      <c r="AA27" s="76" t="e">
        <f>'Operating model'!$C$25*(AA6-AA7)+'Operating model'!$D$25*(AA7-AA8)+'Operating model'!$E$25*(AA8)</f>
        <v>#REF!</v>
      </c>
      <c r="AB27" s="76" t="e">
        <f>'Operating model'!$C$25*(AB6-AB7)+'Operating model'!$D$25*(AB7-AB8)+'Operating model'!$E$25*(AB8)</f>
        <v>#REF!</v>
      </c>
      <c r="AC27" s="76" t="e">
        <f>'Operating model'!$C$25*(AC6-AC7)+'Operating model'!$D$25*(AC7-AC8)+'Operating model'!$E$25*(AC8)</f>
        <v>#REF!</v>
      </c>
      <c r="AD27" s="76" t="e">
        <f>'Operating model'!$C$25*(AD6-AD7)+'Operating model'!$D$25*(AD7-AD8)+'Operating model'!$E$25*(AD8)</f>
        <v>#REF!</v>
      </c>
      <c r="AE27" s="76" t="e">
        <f>'Operating model'!$C$25*(AE6-AE7)+'Operating model'!$D$25*(AE7-AE8)+'Operating model'!$E$25*(AE8)</f>
        <v>#REF!</v>
      </c>
      <c r="AF27" s="76" t="e">
        <f>'Operating model'!$C$25*(AF6-AF7)+'Operating model'!$D$25*(AF7-AF8)+'Operating model'!$E$25*(AF8)</f>
        <v>#REF!</v>
      </c>
      <c r="AG27" s="76" t="e">
        <f>'Operating model'!$C$25*(AG6-AG7)+'Operating model'!$D$25*(AG7-AG8)+'Operating model'!$E$25*(AG8)</f>
        <v>#REF!</v>
      </c>
      <c r="AH27" s="76" t="e">
        <f>'Operating model'!$C$25*(AH6-AH7)+'Operating model'!$D$25*(AH7-AH8)+'Operating model'!$E$25*(AH8)</f>
        <v>#REF!</v>
      </c>
      <c r="AI27" s="76" t="e">
        <f>'Operating model'!$C$25*(AI6-AI7)+'Operating model'!$D$25*(AI7-AI8)+'Operating model'!$E$25*(AI8)</f>
        <v>#REF!</v>
      </c>
      <c r="AJ27" s="76" t="e">
        <f>'Operating model'!$C$25*(AJ6-AJ7)+'Operating model'!$D$25*(AJ7-AJ8)+'Operating model'!$E$25*(AJ8)</f>
        <v>#REF!</v>
      </c>
      <c r="AK27" s="76" t="e">
        <f>'Operating model'!$C$25*(AK6-AK7)+'Operating model'!$D$25*(AK7-AK8)+'Operating model'!$E$25*(AK8)</f>
        <v>#REF!</v>
      </c>
      <c r="AL27" s="76" t="e">
        <f>'Operating model'!$C$25*(AL6-AL7)+'Operating model'!$D$25*(AL7-AL8)+'Operating model'!$E$25*(AL8)</f>
        <v>#REF!</v>
      </c>
      <c r="AM27" s="76" t="e">
        <f>'Operating model'!$C$25*(AM6-AM7)+'Operating model'!$D$25*(AM7-AM8)+'Operating model'!$E$25*(AM8)</f>
        <v>#REF!</v>
      </c>
      <c r="AN27" s="76" t="e">
        <f>'Operating model'!$C$25*(AN6-AN7)+'Operating model'!$D$25*(AN7-AN8)+'Operating model'!$E$25*(AN8)</f>
        <v>#REF!</v>
      </c>
      <c r="AO27" s="76" t="e">
        <f>'Operating model'!$C$25*(AO6-AO7)+'Operating model'!$D$25*(AO7-AO8)+'Operating model'!$E$25*(AO8)</f>
        <v>#REF!</v>
      </c>
      <c r="AP27" s="76" t="e">
        <f>'Operating model'!$C$25*(AP6-AP7)+'Operating model'!$D$25*(AP7-AP8)+'Operating model'!$E$25*(AP8)</f>
        <v>#REF!</v>
      </c>
      <c r="AQ27" s="76" t="e">
        <f>'Operating model'!$C$25*(AQ6-AQ7)+'Operating model'!$D$25*(AQ7-AQ8)+'Operating model'!$E$25*(AQ8)</f>
        <v>#REF!</v>
      </c>
      <c r="AR27" s="76" t="e">
        <f>'Operating model'!$C$25*(AR6-AR7)+'Operating model'!$D$25*(AR7-AR8)+'Operating model'!$E$25*(AR8)</f>
        <v>#REF!</v>
      </c>
      <c r="AS27" s="76" t="e">
        <f>'Operating model'!$C$25*(AS6-AS7)+'Operating model'!$D$25*(AS7-AS8)+'Operating model'!$E$25*(AS8)</f>
        <v>#REF!</v>
      </c>
      <c r="AT27" s="76" t="e">
        <f>'Operating model'!$C$25*(AT6-AT7)+'Operating model'!$D$25*(AT7-AT8)+'Operating model'!$E$25*(AT8)</f>
        <v>#REF!</v>
      </c>
      <c r="AU27" s="76" t="e">
        <f>'Operating model'!$C$25*(AU6-AU7)+'Operating model'!$D$25*(AU7-AU8)+'Operating model'!$E$25*(AU8)</f>
        <v>#REF!</v>
      </c>
      <c r="AV27" s="76" t="e">
        <f>'Operating model'!$C$25*(AV6-AV7)+'Operating model'!$D$25*(AV7-AV8)+'Operating model'!$E$25*(AV8)</f>
        <v>#REF!</v>
      </c>
      <c r="AW27" s="76" t="e">
        <f>'Operating model'!$C$25*(AW6-AW7)+'Operating model'!$D$25*(AW7-AW8)+'Operating model'!$E$25*(AW8)</f>
        <v>#REF!</v>
      </c>
      <c r="AX27" s="76" t="e">
        <f>'Operating model'!$C$25*(AX6-AX7)+'Operating model'!$D$25*(AX7-AX8)+'Operating model'!$E$25*(AX8)</f>
        <v>#REF!</v>
      </c>
      <c r="AY27" s="76" t="e">
        <f>'Operating model'!$C$25*(AY6-AY7)+'Operating model'!$D$25*(AY7-AY8)+'Operating model'!$E$25*(AY8)</f>
        <v>#REF!</v>
      </c>
      <c r="AZ27" s="76" t="e">
        <f>'Operating model'!$C$25*(AZ6-AZ7)+'Operating model'!$D$25*(AZ7-AZ8)+'Operating model'!$E$25*(AZ8)</f>
        <v>#REF!</v>
      </c>
      <c r="BA27" s="76" t="e">
        <f>'Operating model'!$C$25*(BA6-BA7)+'Operating model'!$D$25*(BA7-BA8)+'Operating model'!$E$25*(BA8)</f>
        <v>#REF!</v>
      </c>
      <c r="BB27" s="76" t="e">
        <f>'Operating model'!$C$25*(BB6-BB7)+'Operating model'!$D$25*(BB7-BB8)+'Operating model'!$E$25*(BB8)</f>
        <v>#REF!</v>
      </c>
      <c r="BC27" s="76" t="e">
        <f>'Operating model'!$C$25*(BC6-BC7)+'Operating model'!$D$25*(BC7-BC8)+'Operating model'!$E$25*(BC8)</f>
        <v>#REF!</v>
      </c>
      <c r="BD27" s="76" t="e">
        <f>'Operating model'!$C$25*(BD6-BD7)+'Operating model'!$D$25*(BD7-BD8)+'Operating model'!$E$25*(BD8)</f>
        <v>#REF!</v>
      </c>
      <c r="BE27" s="76" t="e">
        <f>'Operating model'!$C$25*(BE6-BE7)+'Operating model'!$D$25*(BE7-BE8)+'Operating model'!$E$25*(BE8)</f>
        <v>#REF!</v>
      </c>
      <c r="BF27" s="76" t="e">
        <f>'Operating model'!$C$25*(BF6-BF7)+'Operating model'!$D$25*(BF7-BF8)+'Operating model'!$E$25*(BF8)</f>
        <v>#REF!</v>
      </c>
      <c r="BG27" s="76" t="e">
        <f>'Operating model'!$C$25*(BG6-BG7)+'Operating model'!$D$25*(BG7-BG8)+'Operating model'!$E$25*(BG8)</f>
        <v>#REF!</v>
      </c>
      <c r="BH27" s="76" t="e">
        <f>'Operating model'!$C$25*(BH6-BH7)+'Operating model'!$D$25*(BH7-BH8)+'Operating model'!$E$25*(BH8)</f>
        <v>#REF!</v>
      </c>
      <c r="BI27" s="76" t="e">
        <f>'Operating model'!$C$25*(BI6-BI7)+'Operating model'!$D$25*(BI7-BI8)+'Operating model'!$E$25*(BI8)</f>
        <v>#REF!</v>
      </c>
      <c r="BJ27" s="76" t="e">
        <f>'Operating model'!$C$25*(BJ6-BJ7)+'Operating model'!$D$25*(BJ7-BJ8)+'Operating model'!$E$25*(BJ8)</f>
        <v>#REF!</v>
      </c>
      <c r="BK27" s="76" t="e">
        <f>'Operating model'!$C$25*(BK6-BK7)+'Operating model'!$D$25*(BK7-BK8)+'Operating model'!$E$25*(BK8)</f>
        <v>#REF!</v>
      </c>
      <c r="BL27" s="76" t="e">
        <f>'Operating model'!$C$25*(BL6-BL7)+'Operating model'!$D$25*(BL7-BL8)+'Operating model'!$E$25*(BL8)</f>
        <v>#REF!</v>
      </c>
    </row>
    <row r="28" spans="2:64">
      <c r="B28" s="146" t="s">
        <v>422</v>
      </c>
      <c r="E28" s="76" t="e">
        <f>'Operating model'!$C$26*(E6-E7)+'Operating model'!$D$26*(E7-E8)+'Operating model'!$E$26*(E8)</f>
        <v>#REF!</v>
      </c>
      <c r="F28" s="76" t="e">
        <f>'Operating model'!$C$26*(F6-F7)+'Operating model'!$D$26*(F7-F8)+'Operating model'!$E$26*(F8)</f>
        <v>#REF!</v>
      </c>
      <c r="G28" s="76" t="e">
        <f>'Operating model'!$C$26*(G6-G7)+'Operating model'!$D$26*(G7-G8)+'Operating model'!$E$26*(G8)</f>
        <v>#REF!</v>
      </c>
      <c r="H28" s="76" t="e">
        <f>'Operating model'!$C$26*(H6-H7)+'Operating model'!$D$26*(H7-H8)+'Operating model'!$E$26*(H8)</f>
        <v>#REF!</v>
      </c>
      <c r="I28" s="76" t="e">
        <f>'Operating model'!$C$26*(I6-I7)+'Operating model'!$D$26*(I7-I8)+'Operating model'!$E$26*(I8)</f>
        <v>#REF!</v>
      </c>
      <c r="J28" s="76" t="e">
        <f>'Operating model'!$C$26*(J6-J7)+'Operating model'!$D$26*(J7-J8)+'Operating model'!$E$26*(J8)</f>
        <v>#REF!</v>
      </c>
      <c r="K28" s="76" t="e">
        <f>'Operating model'!$C$26*(K6-K7)+'Operating model'!$D$26*(K7-K8)+'Operating model'!$E$26*(K8)</f>
        <v>#REF!</v>
      </c>
      <c r="L28" s="76" t="e">
        <f>'Operating model'!$C$26*(L6-L7)+'Operating model'!$D$26*(L7-L8)+'Operating model'!$E$26*(L8)</f>
        <v>#REF!</v>
      </c>
      <c r="M28" s="76" t="e">
        <f>'Operating model'!$C$26*(M6-M7)+'Operating model'!$D$26*(M7-M8)+'Operating model'!$E$26*(M8)</f>
        <v>#REF!</v>
      </c>
      <c r="N28" s="76" t="e">
        <f>'Operating model'!$C$26*(N6-N7)+'Operating model'!$D$26*(N7-N8)+'Operating model'!$E$26*(N8)</f>
        <v>#REF!</v>
      </c>
      <c r="O28" s="76" t="e">
        <f>'Operating model'!$C$26*(O6-O7)+'Operating model'!$D$26*(O7-O8)+'Operating model'!$E$26*(O8)</f>
        <v>#REF!</v>
      </c>
      <c r="P28" s="76" t="e">
        <f>'Operating model'!$C$26*(P6-P7)+'Operating model'!$D$26*(P7-P8)+'Operating model'!$E$26*(P8)</f>
        <v>#REF!</v>
      </c>
      <c r="Q28" s="76" t="e">
        <f>'Operating model'!$C$26*(Q6-Q7)+'Operating model'!$D$26*(Q7-Q8)+'Operating model'!$E$26*(Q8)</f>
        <v>#REF!</v>
      </c>
      <c r="R28" s="76" t="e">
        <f>'Operating model'!$C$26*(R6-R7)+'Operating model'!$D$26*(R7-R8)+'Operating model'!$E$26*(R8)</f>
        <v>#REF!</v>
      </c>
      <c r="S28" s="76" t="e">
        <f>'Operating model'!$C$26*(S6-S7)+'Operating model'!$D$26*(S7-S8)+'Operating model'!$E$26*(S8)</f>
        <v>#REF!</v>
      </c>
      <c r="T28" s="76" t="e">
        <f>'Operating model'!$C$26*(T6-T7)+'Operating model'!$D$26*(T7-T8)+'Operating model'!$E$26*(T8)</f>
        <v>#REF!</v>
      </c>
      <c r="U28" s="76" t="e">
        <f>'Operating model'!$C$26*(U6-U7)+'Operating model'!$D$26*(U7-U8)+'Operating model'!$E$26*(U8)</f>
        <v>#REF!</v>
      </c>
      <c r="V28" s="76" t="e">
        <f>'Operating model'!$C$26*(V6-V7)+'Operating model'!$D$26*(V7-V8)+'Operating model'!$E$26*(V8)</f>
        <v>#REF!</v>
      </c>
      <c r="W28" s="76" t="e">
        <f>'Operating model'!$C$26*(W6-W7)+'Operating model'!$D$26*(W7-W8)+'Operating model'!$E$26*(W8)</f>
        <v>#REF!</v>
      </c>
      <c r="X28" s="76" t="e">
        <f>'Operating model'!$C$26*(X6-X7)+'Operating model'!$D$26*(X7-X8)+'Operating model'!$E$26*(X8)</f>
        <v>#REF!</v>
      </c>
      <c r="Y28" s="76" t="e">
        <f>'Operating model'!$C$26*(Y6-Y7)+'Operating model'!$D$26*(Y7-Y8)+'Operating model'!$E$26*(Y8)</f>
        <v>#REF!</v>
      </c>
      <c r="Z28" s="76" t="e">
        <f>'Operating model'!$C$26*(Z6-Z7)+'Operating model'!$D$26*(Z7-Z8)+'Operating model'!$E$26*(Z8)</f>
        <v>#REF!</v>
      </c>
      <c r="AA28" s="76" t="e">
        <f>'Operating model'!$C$26*(AA6-AA7)+'Operating model'!$D$26*(AA7-AA8)+'Operating model'!$E$26*(AA8)</f>
        <v>#REF!</v>
      </c>
      <c r="AB28" s="76" t="e">
        <f>'Operating model'!$C$26*(AB6-AB7)+'Operating model'!$D$26*(AB7-AB8)+'Operating model'!$E$26*(AB8)</f>
        <v>#REF!</v>
      </c>
      <c r="AC28" s="76" t="e">
        <f>'Operating model'!$C$26*(AC6-AC7)+'Operating model'!$D$26*(AC7-AC8)+'Operating model'!$E$26*(AC8)</f>
        <v>#REF!</v>
      </c>
      <c r="AD28" s="76" t="e">
        <f>'Operating model'!$C$26*(AD6-AD7)+'Operating model'!$D$26*(AD7-AD8)+'Operating model'!$E$26*(AD8)</f>
        <v>#REF!</v>
      </c>
      <c r="AE28" s="76" t="e">
        <f>'Operating model'!$C$26*(AE6-AE7)+'Operating model'!$D$26*(AE7-AE8)+'Operating model'!$E$26*(AE8)</f>
        <v>#REF!</v>
      </c>
      <c r="AF28" s="76" t="e">
        <f>'Operating model'!$C$26*(AF6-AF7)+'Operating model'!$D$26*(AF7-AF8)+'Operating model'!$E$26*(AF8)</f>
        <v>#REF!</v>
      </c>
      <c r="AG28" s="76" t="e">
        <f>'Operating model'!$C$26*(AG6-AG7)+'Operating model'!$D$26*(AG7-AG8)+'Operating model'!$E$26*(AG8)</f>
        <v>#REF!</v>
      </c>
      <c r="AH28" s="76" t="e">
        <f>'Operating model'!$C$26*(AH6-AH7)+'Operating model'!$D$26*(AH7-AH8)+'Operating model'!$E$26*(AH8)</f>
        <v>#REF!</v>
      </c>
      <c r="AI28" s="76" t="e">
        <f>'Operating model'!$C$26*(AI6-AI7)+'Operating model'!$D$26*(AI7-AI8)+'Operating model'!$E$26*(AI8)</f>
        <v>#REF!</v>
      </c>
      <c r="AJ28" s="76" t="e">
        <f>'Operating model'!$C$26*(AJ6-AJ7)+'Operating model'!$D$26*(AJ7-AJ8)+'Operating model'!$E$26*(AJ8)</f>
        <v>#REF!</v>
      </c>
      <c r="AK28" s="76" t="e">
        <f>'Operating model'!$C$26*(AK6-AK7)+'Operating model'!$D$26*(AK7-AK8)+'Operating model'!$E$26*(AK8)</f>
        <v>#REF!</v>
      </c>
      <c r="AL28" s="76" t="e">
        <f>'Operating model'!$C$26*(AL6-AL7)+'Operating model'!$D$26*(AL7-AL8)+'Operating model'!$E$26*(AL8)</f>
        <v>#REF!</v>
      </c>
      <c r="AM28" s="76" t="e">
        <f>'Operating model'!$C$26*(AM6-AM7)+'Operating model'!$D$26*(AM7-AM8)+'Operating model'!$E$26*(AM8)</f>
        <v>#REF!</v>
      </c>
      <c r="AN28" s="76" t="e">
        <f>'Operating model'!$C$26*(AN6-AN7)+'Operating model'!$D$26*(AN7-AN8)+'Operating model'!$E$26*(AN8)</f>
        <v>#REF!</v>
      </c>
      <c r="AO28" s="76" t="e">
        <f>'Operating model'!$C$26*(AO6-AO7)+'Operating model'!$D$26*(AO7-AO8)+'Operating model'!$E$26*(AO8)</f>
        <v>#REF!</v>
      </c>
      <c r="AP28" s="76" t="e">
        <f>'Operating model'!$C$26*(AP6-AP7)+'Operating model'!$D$26*(AP7-AP8)+'Operating model'!$E$26*(AP8)</f>
        <v>#REF!</v>
      </c>
      <c r="AQ28" s="76" t="e">
        <f>'Operating model'!$C$26*(AQ6-AQ7)+'Operating model'!$D$26*(AQ7-AQ8)+'Operating model'!$E$26*(AQ8)</f>
        <v>#REF!</v>
      </c>
      <c r="AR28" s="76" t="e">
        <f>'Operating model'!$C$26*(AR6-AR7)+'Operating model'!$D$26*(AR7-AR8)+'Operating model'!$E$26*(AR8)</f>
        <v>#REF!</v>
      </c>
      <c r="AS28" s="76" t="e">
        <f>'Operating model'!$C$26*(AS6-AS7)+'Operating model'!$D$26*(AS7-AS8)+'Operating model'!$E$26*(AS8)</f>
        <v>#REF!</v>
      </c>
      <c r="AT28" s="76" t="e">
        <f>'Operating model'!$C$26*(AT6-AT7)+'Operating model'!$D$26*(AT7-AT8)+'Operating model'!$E$26*(AT8)</f>
        <v>#REF!</v>
      </c>
      <c r="AU28" s="76" t="e">
        <f>'Operating model'!$C$26*(AU6-AU7)+'Operating model'!$D$26*(AU7-AU8)+'Operating model'!$E$26*(AU8)</f>
        <v>#REF!</v>
      </c>
      <c r="AV28" s="76" t="e">
        <f>'Operating model'!$C$26*(AV6-AV7)+'Operating model'!$D$26*(AV7-AV8)+'Operating model'!$E$26*(AV8)</f>
        <v>#REF!</v>
      </c>
      <c r="AW28" s="76" t="e">
        <f>'Operating model'!$C$26*(AW6-AW7)+'Operating model'!$D$26*(AW7-AW8)+'Operating model'!$E$26*(AW8)</f>
        <v>#REF!</v>
      </c>
      <c r="AX28" s="76" t="e">
        <f>'Operating model'!$C$26*(AX6-AX7)+'Operating model'!$D$26*(AX7-AX8)+'Operating model'!$E$26*(AX8)</f>
        <v>#REF!</v>
      </c>
      <c r="AY28" s="76" t="e">
        <f>'Operating model'!$C$26*(AY6-AY7)+'Operating model'!$D$26*(AY7-AY8)+'Operating model'!$E$26*(AY8)</f>
        <v>#REF!</v>
      </c>
      <c r="AZ28" s="76" t="e">
        <f>'Operating model'!$C$26*(AZ6-AZ7)+'Operating model'!$D$26*(AZ7-AZ8)+'Operating model'!$E$26*(AZ8)</f>
        <v>#REF!</v>
      </c>
      <c r="BA28" s="76" t="e">
        <f>'Operating model'!$C$26*(BA6-BA7)+'Operating model'!$D$26*(BA7-BA8)+'Operating model'!$E$26*(BA8)</f>
        <v>#REF!</v>
      </c>
      <c r="BB28" s="76" t="e">
        <f>'Operating model'!$C$26*(BB6-BB7)+'Operating model'!$D$26*(BB7-BB8)+'Operating model'!$E$26*(BB8)</f>
        <v>#REF!</v>
      </c>
      <c r="BC28" s="76" t="e">
        <f>'Operating model'!$C$26*(BC6-BC7)+'Operating model'!$D$26*(BC7-BC8)+'Operating model'!$E$26*(BC8)</f>
        <v>#REF!</v>
      </c>
      <c r="BD28" s="76" t="e">
        <f>'Operating model'!$C$26*(BD6-BD7)+'Operating model'!$D$26*(BD7-BD8)+'Operating model'!$E$26*(BD8)</f>
        <v>#REF!</v>
      </c>
      <c r="BE28" s="76" t="e">
        <f>'Operating model'!$C$26*(BE6-BE7)+'Operating model'!$D$26*(BE7-BE8)+'Operating model'!$E$26*(BE8)</f>
        <v>#REF!</v>
      </c>
      <c r="BF28" s="76" t="e">
        <f>'Operating model'!$C$26*(BF6-BF7)+'Operating model'!$D$26*(BF7-BF8)+'Operating model'!$E$26*(BF8)</f>
        <v>#REF!</v>
      </c>
      <c r="BG28" s="76" t="e">
        <f>'Operating model'!$C$26*(BG6-BG7)+'Operating model'!$D$26*(BG7-BG8)+'Operating model'!$E$26*(BG8)</f>
        <v>#REF!</v>
      </c>
      <c r="BH28" s="76" t="e">
        <f>'Operating model'!$C$26*(BH6-BH7)+'Operating model'!$D$26*(BH7-BH8)+'Operating model'!$E$26*(BH8)</f>
        <v>#REF!</v>
      </c>
      <c r="BI28" s="76" t="e">
        <f>'Operating model'!$C$26*(BI6-BI7)+'Operating model'!$D$26*(BI7-BI8)+'Operating model'!$E$26*(BI8)</f>
        <v>#REF!</v>
      </c>
      <c r="BJ28" s="76" t="e">
        <f>'Operating model'!$C$26*(BJ6-BJ7)+'Operating model'!$D$26*(BJ7-BJ8)+'Operating model'!$E$26*(BJ8)</f>
        <v>#REF!</v>
      </c>
      <c r="BK28" s="76" t="e">
        <f>'Operating model'!$C$26*(BK6-BK7)+'Operating model'!$D$26*(BK7-BK8)+'Operating model'!$E$26*(BK8)</f>
        <v>#REF!</v>
      </c>
      <c r="BL28" s="76" t="e">
        <f>'Operating model'!$C$26*(BL6-BL7)+'Operating model'!$D$26*(BL7-BL8)+'Operating model'!$E$26*(BL8)</f>
        <v>#REF!</v>
      </c>
    </row>
    <row r="29" spans="2:64">
      <c r="B29" s="146" t="s">
        <v>423</v>
      </c>
      <c r="E29" s="76">
        <f>'Operating model'!$C$27*(E6-E7)+'Operating model'!$D$27*(E7-E8)+'Operating model'!$E$27*(E8)</f>
        <v>0</v>
      </c>
      <c r="F29" s="76">
        <f>'Operating model'!$C$27*(F6-F7)+'Operating model'!$D$27*(F7-F8)+'Operating model'!$E$27*(F8)</f>
        <v>0</v>
      </c>
      <c r="G29" s="76">
        <f>'Operating model'!$C$27*(G6-G7)+'Operating model'!$D$27*(G7-G8)+'Operating model'!$E$27*(G8)</f>
        <v>0</v>
      </c>
      <c r="H29" s="76">
        <f>'Operating model'!$C$27*(H6-H7)+'Operating model'!$D$27*(H7-H8)+'Operating model'!$E$27*(H8)</f>
        <v>0</v>
      </c>
      <c r="I29" s="76">
        <f>'Operating model'!$C$27*(I6-I7)+'Operating model'!$D$27*(I7-I8)+'Operating model'!$E$27*(I8)</f>
        <v>0</v>
      </c>
      <c r="J29" s="76">
        <f>'Operating model'!$C$27*(J6-J7)+'Operating model'!$D$27*(J7-J8)+'Operating model'!$E$27*(J8)</f>
        <v>0</v>
      </c>
      <c r="K29" s="76">
        <f>'Operating model'!$C$27*(K6-K7)+'Operating model'!$D$27*(K7-K8)+'Operating model'!$E$27*(K8)</f>
        <v>0</v>
      </c>
      <c r="L29" s="76">
        <f>'Operating model'!$C$27*(L6-L7)+'Operating model'!$D$27*(L7-L8)+'Operating model'!$E$27*(L8)</f>
        <v>0</v>
      </c>
      <c r="M29" s="76">
        <f>'Operating model'!$C$27*(M6-M7)+'Operating model'!$D$27*(M7-M8)+'Operating model'!$E$27*(M8)</f>
        <v>0</v>
      </c>
      <c r="N29" s="76">
        <f>'Operating model'!$C$27*(N6-N7)+'Operating model'!$D$27*(N7-N8)+'Operating model'!$E$27*(N8)</f>
        <v>0</v>
      </c>
      <c r="O29" s="76">
        <f>'Operating model'!$C$27*(O6-O7)+'Operating model'!$D$27*(O7-O8)+'Operating model'!$E$27*(O8)</f>
        <v>0</v>
      </c>
      <c r="P29" s="76">
        <f>'Operating model'!$C$27*(P6-P7)+'Operating model'!$D$27*(P7-P8)+'Operating model'!$E$27*(P8)</f>
        <v>0</v>
      </c>
      <c r="Q29" s="76">
        <f>'Operating model'!$C$27*(Q6-Q7)+'Operating model'!$D$27*(Q7-Q8)+'Operating model'!$E$27*(Q8)</f>
        <v>0</v>
      </c>
      <c r="R29" s="76">
        <f>'Operating model'!$C$27*(R6-R7)+'Operating model'!$D$27*(R7-R8)+'Operating model'!$E$27*(R8)</f>
        <v>0</v>
      </c>
      <c r="S29" s="76">
        <f>'Operating model'!$C$27*(S6-S7)+'Operating model'!$D$27*(S7-S8)+'Operating model'!$E$27*(S8)</f>
        <v>0</v>
      </c>
      <c r="T29" s="76">
        <f>'Operating model'!$C$27*(T6-T7)+'Operating model'!$D$27*(T7-T8)+'Operating model'!$E$27*(T8)</f>
        <v>0</v>
      </c>
      <c r="U29" s="76">
        <f>'Operating model'!$C$27*(U6-U7)+'Operating model'!$D$27*(U7-U8)+'Operating model'!$E$27*(U8)</f>
        <v>0</v>
      </c>
      <c r="V29" s="76">
        <f>'Operating model'!$C$27*(V6-V7)+'Operating model'!$D$27*(V7-V8)+'Operating model'!$E$27*(V8)</f>
        <v>0</v>
      </c>
      <c r="W29" s="76">
        <f>'Operating model'!$C$27*(W6-W7)+'Operating model'!$D$27*(W7-W8)+'Operating model'!$E$27*(W8)</f>
        <v>0</v>
      </c>
      <c r="X29" s="76">
        <f>'Operating model'!$C$27*(X6-X7)+'Operating model'!$D$27*(X7-X8)+'Operating model'!$E$27*(X8)</f>
        <v>0</v>
      </c>
      <c r="Y29" s="76">
        <f>'Operating model'!$C$27*(Y6-Y7)+'Operating model'!$D$27*(Y7-Y8)+'Operating model'!$E$27*(Y8)</f>
        <v>0</v>
      </c>
      <c r="Z29" s="76">
        <f>'Operating model'!$C$27*(Z6-Z7)+'Operating model'!$D$27*(Z7-Z8)+'Operating model'!$E$27*(Z8)</f>
        <v>0</v>
      </c>
      <c r="AA29" s="76">
        <f>'Operating model'!$C$27*(AA6-AA7)+'Operating model'!$D$27*(AA7-AA8)+'Operating model'!$E$27*(AA8)</f>
        <v>0</v>
      </c>
      <c r="AB29" s="76">
        <f>'Operating model'!$C$27*(AB6-AB7)+'Operating model'!$D$27*(AB7-AB8)+'Operating model'!$E$27*(AB8)</f>
        <v>0</v>
      </c>
      <c r="AC29" s="76">
        <f>'Operating model'!$C$27*(AC6-AC7)+'Operating model'!$D$27*(AC7-AC8)+'Operating model'!$E$27*(AC8)</f>
        <v>0</v>
      </c>
      <c r="AD29" s="76">
        <f>'Operating model'!$C$27*(AD6-AD7)+'Operating model'!$D$27*(AD7-AD8)+'Operating model'!$E$27*(AD8)</f>
        <v>0</v>
      </c>
      <c r="AE29" s="76">
        <f>'Operating model'!$C$27*(AE6-AE7)+'Operating model'!$D$27*(AE7-AE8)+'Operating model'!$E$27*(AE8)</f>
        <v>0</v>
      </c>
      <c r="AF29" s="76">
        <f>'Operating model'!$C$27*(AF6-AF7)+'Operating model'!$D$27*(AF7-AF8)+'Operating model'!$E$27*(AF8)</f>
        <v>0</v>
      </c>
      <c r="AG29" s="76">
        <f>'Operating model'!$C$27*(AG6-AG7)+'Operating model'!$D$27*(AG7-AG8)+'Operating model'!$E$27*(AG8)</f>
        <v>0</v>
      </c>
      <c r="AH29" s="76">
        <f>'Operating model'!$C$27*(AH6-AH7)+'Operating model'!$D$27*(AH7-AH8)+'Operating model'!$E$27*(AH8)</f>
        <v>0</v>
      </c>
      <c r="AI29" s="76">
        <f>'Operating model'!$C$27*(AI6-AI7)+'Operating model'!$D$27*(AI7-AI8)+'Operating model'!$E$27*(AI8)</f>
        <v>0</v>
      </c>
      <c r="AJ29" s="76">
        <f>'Operating model'!$C$27*(AJ6-AJ7)+'Operating model'!$D$27*(AJ7-AJ8)+'Operating model'!$E$27*(AJ8)</f>
        <v>0</v>
      </c>
      <c r="AK29" s="76">
        <f>'Operating model'!$C$27*(AK6-AK7)+'Operating model'!$D$27*(AK7-AK8)+'Operating model'!$E$27*(AK8)</f>
        <v>0</v>
      </c>
      <c r="AL29" s="76">
        <f>'Operating model'!$C$27*(AL6-AL7)+'Operating model'!$D$27*(AL7-AL8)+'Operating model'!$E$27*(AL8)</f>
        <v>0</v>
      </c>
      <c r="AM29" s="76">
        <f>'Operating model'!$C$27*(AM6-AM7)+'Operating model'!$D$27*(AM7-AM8)+'Operating model'!$E$27*(AM8)</f>
        <v>0</v>
      </c>
      <c r="AN29" s="76">
        <f>'Operating model'!$C$27*(AN6-AN7)+'Operating model'!$D$27*(AN7-AN8)+'Operating model'!$E$27*(AN8)</f>
        <v>0</v>
      </c>
      <c r="AO29" s="76">
        <f>'Operating model'!$C$27*(AO6-AO7)+'Operating model'!$D$27*(AO7-AO8)+'Operating model'!$E$27*(AO8)</f>
        <v>0</v>
      </c>
      <c r="AP29" s="76">
        <f>'Operating model'!$C$27*(AP6-AP7)+'Operating model'!$D$27*(AP7-AP8)+'Operating model'!$E$27*(AP8)</f>
        <v>0</v>
      </c>
      <c r="AQ29" s="76">
        <f>'Operating model'!$C$27*(AQ6-AQ7)+'Operating model'!$D$27*(AQ7-AQ8)+'Operating model'!$E$27*(AQ8)</f>
        <v>0</v>
      </c>
      <c r="AR29" s="76">
        <f>'Operating model'!$C$27*(AR6-AR7)+'Operating model'!$D$27*(AR7-AR8)+'Operating model'!$E$27*(AR8)</f>
        <v>0</v>
      </c>
      <c r="AS29" s="76">
        <f>'Operating model'!$C$27*(AS6-AS7)+'Operating model'!$D$27*(AS7-AS8)+'Operating model'!$E$27*(AS8)</f>
        <v>0</v>
      </c>
      <c r="AT29" s="76">
        <f>'Operating model'!$C$27*(AT6-AT7)+'Operating model'!$D$27*(AT7-AT8)+'Operating model'!$E$27*(AT8)</f>
        <v>0</v>
      </c>
      <c r="AU29" s="76">
        <f>'Operating model'!$C$27*(AU6-AU7)+'Operating model'!$D$27*(AU7-AU8)+'Operating model'!$E$27*(AU8)</f>
        <v>0</v>
      </c>
      <c r="AV29" s="76">
        <f>'Operating model'!$C$27*(AV6-AV7)+'Operating model'!$D$27*(AV7-AV8)+'Operating model'!$E$27*(AV8)</f>
        <v>0</v>
      </c>
      <c r="AW29" s="76">
        <f>'Operating model'!$C$27*(AW6-AW7)+'Operating model'!$D$27*(AW7-AW8)+'Operating model'!$E$27*(AW8)</f>
        <v>0</v>
      </c>
      <c r="AX29" s="76">
        <f>'Operating model'!$C$27*(AX6-AX7)+'Operating model'!$D$27*(AX7-AX8)+'Operating model'!$E$27*(AX8)</f>
        <v>0</v>
      </c>
      <c r="AY29" s="76">
        <f>'Operating model'!$C$27*(AY6-AY7)+'Operating model'!$D$27*(AY7-AY8)+'Operating model'!$E$27*(AY8)</f>
        <v>0</v>
      </c>
      <c r="AZ29" s="76">
        <f>'Operating model'!$C$27*(AZ6-AZ7)+'Operating model'!$D$27*(AZ7-AZ8)+'Operating model'!$E$27*(AZ8)</f>
        <v>0</v>
      </c>
      <c r="BA29" s="76">
        <f>'Operating model'!$C$27*(BA6-BA7)+'Operating model'!$D$27*(BA7-BA8)+'Operating model'!$E$27*(BA8)</f>
        <v>0</v>
      </c>
      <c r="BB29" s="76">
        <f>'Operating model'!$C$27*(BB6-BB7)+'Operating model'!$D$27*(BB7-BB8)+'Operating model'!$E$27*(BB8)</f>
        <v>0</v>
      </c>
      <c r="BC29" s="76">
        <f>'Operating model'!$C$27*(BC6-BC7)+'Operating model'!$D$27*(BC7-BC8)+'Operating model'!$E$27*(BC8)</f>
        <v>0</v>
      </c>
      <c r="BD29" s="76">
        <f>'Operating model'!$C$27*(BD6-BD7)+'Operating model'!$D$27*(BD7-BD8)+'Operating model'!$E$27*(BD8)</f>
        <v>0</v>
      </c>
      <c r="BE29" s="76">
        <f>'Operating model'!$C$27*(BE6-BE7)+'Operating model'!$D$27*(BE7-BE8)+'Operating model'!$E$27*(BE8)</f>
        <v>0</v>
      </c>
      <c r="BF29" s="76">
        <f>'Operating model'!$C$27*(BF6-BF7)+'Operating model'!$D$27*(BF7-BF8)+'Operating model'!$E$27*(BF8)</f>
        <v>0</v>
      </c>
      <c r="BG29" s="76">
        <f>'Operating model'!$C$27*(BG6-BG7)+'Operating model'!$D$27*(BG7-BG8)+'Operating model'!$E$27*(BG8)</f>
        <v>0</v>
      </c>
      <c r="BH29" s="76">
        <f>'Operating model'!$C$27*(BH6-BH7)+'Operating model'!$D$27*(BH7-BH8)+'Operating model'!$E$27*(BH8)</f>
        <v>0</v>
      </c>
      <c r="BI29" s="76">
        <f>'Operating model'!$C$27*(BI6-BI7)+'Operating model'!$D$27*(BI7-BI8)+'Operating model'!$E$27*(BI8)</f>
        <v>0</v>
      </c>
      <c r="BJ29" s="76">
        <f>'Operating model'!$C$27*(BJ6-BJ7)+'Operating model'!$D$27*(BJ7-BJ8)+'Operating model'!$E$27*(BJ8)</f>
        <v>0</v>
      </c>
      <c r="BK29" s="76">
        <f>'Operating model'!$C$27*(BK6-BK7)+'Operating model'!$D$27*(BK7-BK8)+'Operating model'!$E$27*(BK8)</f>
        <v>0</v>
      </c>
      <c r="BL29" s="76">
        <f>'Operating model'!$C$27*(BL6-BL7)+'Operating model'!$D$27*(BL7-BL8)+'Operating model'!$E$27*(BL8)</f>
        <v>0</v>
      </c>
    </row>
    <row r="30" spans="2:64">
      <c r="B30" s="146" t="s">
        <v>424</v>
      </c>
      <c r="E30" s="76" t="e">
        <f>'Operating model'!$C$28*(E6-E7)+'Operating model'!$D$28*(E7-E8)+'Operating model'!$E$28*E8</f>
        <v>#REF!</v>
      </c>
      <c r="F30" s="76" t="e">
        <f>'Operating model'!$C$28*(F6-F7)+'Operating model'!$D$28*(F7-F8)+'Operating model'!$E$28*F8</f>
        <v>#REF!</v>
      </c>
      <c r="G30" s="76" t="e">
        <f>'Operating model'!$C$28*(G6-G7)+'Operating model'!$D$28*(G7-G8)+'Operating model'!$E$28*G8</f>
        <v>#REF!</v>
      </c>
      <c r="H30" s="76" t="e">
        <f>'Operating model'!$C$28*(H6-H7)+'Operating model'!$D$28*(H7-H8)+'Operating model'!$E$28*H8</f>
        <v>#REF!</v>
      </c>
      <c r="I30" s="76" t="e">
        <f>'Operating model'!$C$28*(I6-I7)+'Operating model'!$D$28*(I7-I8)+'Operating model'!$E$28*I8</f>
        <v>#REF!</v>
      </c>
      <c r="J30" s="76" t="e">
        <f>'Operating model'!$C$28*(J6-J7)+'Operating model'!$D$28*(J7-J8)+'Operating model'!$E$28*J8</f>
        <v>#REF!</v>
      </c>
      <c r="K30" s="76" t="e">
        <f>'Operating model'!$C$28*(K6-K7)+'Operating model'!$D$28*(K7-K8)+'Operating model'!$E$28*K8</f>
        <v>#REF!</v>
      </c>
      <c r="L30" s="76" t="e">
        <f>'Operating model'!$C$28*(L6-L7)+'Operating model'!$D$28*(L7-L8)+'Operating model'!$E$28*L8</f>
        <v>#REF!</v>
      </c>
      <c r="M30" s="76" t="e">
        <f>'Operating model'!$C$28*(M6-M7)+'Operating model'!$D$28*(M7-M8)+'Operating model'!$E$28*M8</f>
        <v>#REF!</v>
      </c>
      <c r="N30" s="76" t="e">
        <f>'Operating model'!$C$28*(N6-N7)+'Operating model'!$D$28*(N7-N8)+'Operating model'!$E$28*N8</f>
        <v>#REF!</v>
      </c>
      <c r="O30" s="76" t="e">
        <f>'Operating model'!$C$28*(O6-O7)+'Operating model'!$D$28*(O7-O8)+'Operating model'!$E$28*O8</f>
        <v>#REF!</v>
      </c>
      <c r="P30" s="76" t="e">
        <f>'Operating model'!$C$28*(P6-P7)+'Operating model'!$D$28*(P7-P8)+'Operating model'!$E$28*P8</f>
        <v>#REF!</v>
      </c>
      <c r="Q30" s="76" t="e">
        <f>'Operating model'!$C$28*(Q6-Q7)+'Operating model'!$D$28*(Q7-Q8)+'Operating model'!$E$28*Q8</f>
        <v>#REF!</v>
      </c>
      <c r="R30" s="76" t="e">
        <f>'Operating model'!$C$28*(R6-R7)+'Operating model'!$D$28*(R7-R8)+'Operating model'!$E$28*R8</f>
        <v>#REF!</v>
      </c>
      <c r="S30" s="76" t="e">
        <f>'Operating model'!$C$28*(S6-S7)+'Operating model'!$D$28*(S7-S8)+'Operating model'!$E$28*S8</f>
        <v>#REF!</v>
      </c>
      <c r="T30" s="76" t="e">
        <f>'Operating model'!$C$28*(T6-T7)+'Operating model'!$D$28*(T7-T8)+'Operating model'!$E$28*T8</f>
        <v>#REF!</v>
      </c>
      <c r="U30" s="76" t="e">
        <f>'Operating model'!$C$28*(U6-U7)+'Operating model'!$D$28*(U7-U8)+'Operating model'!$E$28*U8</f>
        <v>#REF!</v>
      </c>
      <c r="V30" s="76" t="e">
        <f>'Operating model'!$C$28*(V6-V7)+'Operating model'!$D$28*(V7-V8)+'Operating model'!$E$28*V8</f>
        <v>#REF!</v>
      </c>
      <c r="W30" s="76" t="e">
        <f>'Operating model'!$C$28*(W6-W7)+'Operating model'!$D$28*(W7-W8)+'Operating model'!$E$28*W8</f>
        <v>#REF!</v>
      </c>
      <c r="X30" s="76" t="e">
        <f>'Operating model'!$C$28*(X6-X7)+'Operating model'!$D$28*(X7-X8)+'Operating model'!$E$28*X8</f>
        <v>#REF!</v>
      </c>
      <c r="Y30" s="76" t="e">
        <f>'Operating model'!$C$28*(Y6-Y7)+'Operating model'!$D$28*(Y7-Y8)+'Operating model'!$E$28*Y8</f>
        <v>#REF!</v>
      </c>
      <c r="Z30" s="76" t="e">
        <f>'Operating model'!$C$28*(Z6-Z7)+'Operating model'!$D$28*(Z7-Z8)+'Operating model'!$E$28*Z8</f>
        <v>#REF!</v>
      </c>
      <c r="AA30" s="76" t="e">
        <f>'Operating model'!$C$28*(AA6-AA7)+'Operating model'!$D$28*(AA7-AA8)+'Operating model'!$E$28*AA8</f>
        <v>#REF!</v>
      </c>
      <c r="AB30" s="76" t="e">
        <f>'Operating model'!$C$28*(AB6-AB7)+'Operating model'!$D$28*(AB7-AB8)+'Operating model'!$E$28*AB8</f>
        <v>#REF!</v>
      </c>
      <c r="AC30" s="76" t="e">
        <f>'Operating model'!$C$28*(AC6-AC7)+'Operating model'!$D$28*(AC7-AC8)+'Operating model'!$E$28*AC8</f>
        <v>#REF!</v>
      </c>
      <c r="AD30" s="76" t="e">
        <f>'Operating model'!$C$28*(AD6-AD7)+'Operating model'!$D$28*(AD7-AD8)+'Operating model'!$E$28*AD8</f>
        <v>#REF!</v>
      </c>
      <c r="AE30" s="76" t="e">
        <f>'Operating model'!$C$28*(AE6-AE7)+'Operating model'!$D$28*(AE7-AE8)+'Operating model'!$E$28*AE8</f>
        <v>#REF!</v>
      </c>
      <c r="AF30" s="76" t="e">
        <f>'Operating model'!$C$28*(AF6-AF7)+'Operating model'!$D$28*(AF7-AF8)+'Operating model'!$E$28*AF8</f>
        <v>#REF!</v>
      </c>
      <c r="AG30" s="76" t="e">
        <f>'Operating model'!$C$28*(AG6-AG7)+'Operating model'!$D$28*(AG7-AG8)+'Operating model'!$E$28*AG8</f>
        <v>#REF!</v>
      </c>
      <c r="AH30" s="76" t="e">
        <f>'Operating model'!$C$28*(AH6-AH7)+'Operating model'!$D$28*(AH7-AH8)+'Operating model'!$E$28*AH8</f>
        <v>#REF!</v>
      </c>
      <c r="AI30" s="76" t="e">
        <f>'Operating model'!$C$28*(AI6-AI7)+'Operating model'!$D$28*(AI7-AI8)+'Operating model'!$E$28*AI8</f>
        <v>#REF!</v>
      </c>
      <c r="AJ30" s="76" t="e">
        <f>'Operating model'!$C$28*(AJ6-AJ7)+'Operating model'!$D$28*(AJ7-AJ8)+'Operating model'!$E$28*AJ8</f>
        <v>#REF!</v>
      </c>
      <c r="AK30" s="76" t="e">
        <f>'Operating model'!$C$28*(AK6-AK7)+'Operating model'!$D$28*(AK7-AK8)+'Operating model'!$E$28*AK8</f>
        <v>#REF!</v>
      </c>
      <c r="AL30" s="76" t="e">
        <f>'Operating model'!$C$28*(AL6-AL7)+'Operating model'!$D$28*(AL7-AL8)+'Operating model'!$E$28*AL8</f>
        <v>#REF!</v>
      </c>
      <c r="AM30" s="76" t="e">
        <f>'Operating model'!$C$28*(AM6-AM7)+'Operating model'!$D$28*(AM7-AM8)+'Operating model'!$E$28*AM8</f>
        <v>#REF!</v>
      </c>
      <c r="AN30" s="76" t="e">
        <f>'Operating model'!$C$28*(AN6-AN7)+'Operating model'!$D$28*(AN7-AN8)+'Operating model'!$E$28*AN8</f>
        <v>#REF!</v>
      </c>
      <c r="AO30" s="76" t="e">
        <f>'Operating model'!$C$28*(AO6-AO7)+'Operating model'!$D$28*(AO7-AO8)+'Operating model'!$E$28*AO8</f>
        <v>#REF!</v>
      </c>
      <c r="AP30" s="76" t="e">
        <f>'Operating model'!$C$28*(AP6-AP7)+'Operating model'!$D$28*(AP7-AP8)+'Operating model'!$E$28*AP8</f>
        <v>#REF!</v>
      </c>
      <c r="AQ30" s="76" t="e">
        <f>'Operating model'!$C$28*(AQ6-AQ7)+'Operating model'!$D$28*(AQ7-AQ8)+'Operating model'!$E$28*AQ8</f>
        <v>#REF!</v>
      </c>
      <c r="AR30" s="76" t="e">
        <f>'Operating model'!$C$28*(AR6-AR7)+'Operating model'!$D$28*(AR7-AR8)+'Operating model'!$E$28*AR8</f>
        <v>#REF!</v>
      </c>
      <c r="AS30" s="76" t="e">
        <f>'Operating model'!$C$28*(AS6-AS7)+'Operating model'!$D$28*(AS7-AS8)+'Operating model'!$E$28*AS8</f>
        <v>#REF!</v>
      </c>
      <c r="AT30" s="76" t="e">
        <f>'Operating model'!$C$28*(AT6-AT7)+'Operating model'!$D$28*(AT7-AT8)+'Operating model'!$E$28*AT8</f>
        <v>#REF!</v>
      </c>
      <c r="AU30" s="76" t="e">
        <f>'Operating model'!$C$28*(AU6-AU7)+'Operating model'!$D$28*(AU7-AU8)+'Operating model'!$E$28*AU8</f>
        <v>#REF!</v>
      </c>
      <c r="AV30" s="76" t="e">
        <f>'Operating model'!$C$28*(AV6-AV7)+'Operating model'!$D$28*(AV7-AV8)+'Operating model'!$E$28*AV8</f>
        <v>#REF!</v>
      </c>
      <c r="AW30" s="76" t="e">
        <f>'Operating model'!$C$28*(AW6-AW7)+'Operating model'!$D$28*(AW7-AW8)+'Operating model'!$E$28*AW8</f>
        <v>#REF!</v>
      </c>
      <c r="AX30" s="76" t="e">
        <f>'Operating model'!$C$28*(AX6-AX7)+'Operating model'!$D$28*(AX7-AX8)+'Operating model'!$E$28*AX8</f>
        <v>#REF!</v>
      </c>
      <c r="AY30" s="76" t="e">
        <f>'Operating model'!$C$28*(AY6-AY7)+'Operating model'!$D$28*(AY7-AY8)+'Operating model'!$E$28*AY8</f>
        <v>#REF!</v>
      </c>
      <c r="AZ30" s="76" t="e">
        <f>'Operating model'!$C$28*(AZ6-AZ7)+'Operating model'!$D$28*(AZ7-AZ8)+'Operating model'!$E$28*AZ8</f>
        <v>#REF!</v>
      </c>
      <c r="BA30" s="76" t="e">
        <f>'Operating model'!$C$28*(BA6-BA7)+'Operating model'!$D$28*(BA7-BA8)+'Operating model'!$E$28*BA8</f>
        <v>#REF!</v>
      </c>
      <c r="BB30" s="76" t="e">
        <f>'Operating model'!$C$28*(BB6-BB7)+'Operating model'!$D$28*(BB7-BB8)+'Operating model'!$E$28*BB8</f>
        <v>#REF!</v>
      </c>
      <c r="BC30" s="76" t="e">
        <f>'Operating model'!$C$28*(BC6-BC7)+'Operating model'!$D$28*(BC7-BC8)+'Operating model'!$E$28*BC8</f>
        <v>#REF!</v>
      </c>
      <c r="BD30" s="76" t="e">
        <f>'Operating model'!$C$28*(BD6-BD7)+'Operating model'!$D$28*(BD7-BD8)+'Operating model'!$E$28*BD8</f>
        <v>#REF!</v>
      </c>
      <c r="BE30" s="76" t="e">
        <f>'Operating model'!$C$28*(BE6-BE7)+'Operating model'!$D$28*(BE7-BE8)+'Operating model'!$E$28*BE8</f>
        <v>#REF!</v>
      </c>
      <c r="BF30" s="76" t="e">
        <f>'Operating model'!$C$28*(BF6-BF7)+'Operating model'!$D$28*(BF7-BF8)+'Operating model'!$E$28*BF8</f>
        <v>#REF!</v>
      </c>
      <c r="BG30" s="76" t="e">
        <f>'Operating model'!$C$28*(BG6-BG7)+'Operating model'!$D$28*(BG7-BG8)+'Operating model'!$E$28*BG8</f>
        <v>#REF!</v>
      </c>
      <c r="BH30" s="76" t="e">
        <f>'Operating model'!$C$28*(BH6-BH7)+'Operating model'!$D$28*(BH7-BH8)+'Operating model'!$E$28*BH8</f>
        <v>#REF!</v>
      </c>
      <c r="BI30" s="76" t="e">
        <f>'Operating model'!$C$28*(BI6-BI7)+'Operating model'!$D$28*(BI7-BI8)+'Operating model'!$E$28*BI8</f>
        <v>#REF!</v>
      </c>
      <c r="BJ30" s="76" t="e">
        <f>'Operating model'!$C$28*(BJ6-BJ7)+'Operating model'!$D$28*(BJ7-BJ8)+'Operating model'!$E$28*BJ8</f>
        <v>#REF!</v>
      </c>
      <c r="BK30" s="76" t="e">
        <f>'Operating model'!$C$28*(BK6-BK7)+'Operating model'!$D$28*(BK7-BK8)+'Operating model'!$E$28*BK8</f>
        <v>#REF!</v>
      </c>
      <c r="BL30" s="76" t="e">
        <f>'Operating model'!$C$28*(BL6-BL7)+'Operating model'!$D$28*(BL7-BL8)+'Operating model'!$E$28*BL8</f>
        <v>#REF!</v>
      </c>
    </row>
    <row r="31" spans="2:64">
      <c r="B31" s="146" t="s">
        <v>425</v>
      </c>
      <c r="E31" s="76" t="e">
        <f>'Operating model'!$C$29*(E6-E7)+'Operating model'!$D$29*(E7-E8)+'Operating model'!$E$29*E8</f>
        <v>#REF!</v>
      </c>
      <c r="F31" s="76" t="e">
        <f>'Operating model'!$C$29*(F6-F7)+'Operating model'!$D$29*(F7-F8)+'Operating model'!$E$29*F8</f>
        <v>#REF!</v>
      </c>
      <c r="G31" s="76" t="e">
        <f>'Operating model'!$C$29*(G6-G7)+'Operating model'!$D$29*(G7-G8)+'Operating model'!$E$29*G8</f>
        <v>#REF!</v>
      </c>
      <c r="H31" s="76" t="e">
        <f>'Operating model'!$C$29*(H6-H7)+'Operating model'!$D$29*(H7-H8)+'Operating model'!$E$29*H8</f>
        <v>#REF!</v>
      </c>
      <c r="I31" s="76" t="e">
        <f>'Operating model'!$C$29*(I6-I7)+'Operating model'!$D$29*(I7-I8)+'Operating model'!$E$29*I8</f>
        <v>#REF!</v>
      </c>
      <c r="J31" s="76" t="e">
        <f>'Operating model'!$C$29*(J6-J7)+'Operating model'!$D$29*(J7-J8)+'Operating model'!$E$29*J8</f>
        <v>#REF!</v>
      </c>
      <c r="K31" s="76" t="e">
        <f>'Operating model'!$C$29*(K6-K7)+'Operating model'!$D$29*(K7-K8)+'Operating model'!$E$29*K8</f>
        <v>#REF!</v>
      </c>
      <c r="L31" s="76" t="e">
        <f>'Operating model'!$C$29*(L6-L7)+'Operating model'!$D$29*(L7-L8)+'Operating model'!$E$29*L8</f>
        <v>#REF!</v>
      </c>
      <c r="M31" s="76" t="e">
        <f>'Operating model'!$C$29*(M6-M7)+'Operating model'!$D$29*(M7-M8)+'Operating model'!$E$29*M8</f>
        <v>#REF!</v>
      </c>
      <c r="N31" s="76" t="e">
        <f>'Operating model'!$C$29*(N6-N7)+'Operating model'!$D$29*(N7-N8)+'Operating model'!$E$29*N8</f>
        <v>#REF!</v>
      </c>
      <c r="O31" s="76" t="e">
        <f>'Operating model'!$C$29*(O6-O7)+'Operating model'!$D$29*(O7-O8)+'Operating model'!$E$29*O8</f>
        <v>#REF!</v>
      </c>
      <c r="P31" s="76" t="e">
        <f>'Operating model'!$C$29*(P6-P7)+'Operating model'!$D$29*(P7-P8)+'Operating model'!$E$29*P8</f>
        <v>#REF!</v>
      </c>
      <c r="Q31" s="76" t="e">
        <f>'Operating model'!$C$29*(Q6-Q7)+'Operating model'!$D$29*(Q7-Q8)+'Operating model'!$E$29*Q8</f>
        <v>#REF!</v>
      </c>
      <c r="R31" s="76" t="e">
        <f>'Operating model'!$C$29*(R6-R7)+'Operating model'!$D$29*(R7-R8)+'Operating model'!$E$29*R8</f>
        <v>#REF!</v>
      </c>
      <c r="S31" s="76" t="e">
        <f>'Operating model'!$C$29*(S6-S7)+'Operating model'!$D$29*(S7-S8)+'Operating model'!$E$29*S8</f>
        <v>#REF!</v>
      </c>
      <c r="T31" s="76" t="e">
        <f>'Operating model'!$C$29*(T6-T7)+'Operating model'!$D$29*(T7-T8)+'Operating model'!$E$29*T8</f>
        <v>#REF!</v>
      </c>
      <c r="U31" s="76" t="e">
        <f>'Operating model'!$C$29*(U6-U7)+'Operating model'!$D$29*(U7-U8)+'Operating model'!$E$29*U8</f>
        <v>#REF!</v>
      </c>
      <c r="V31" s="76" t="e">
        <f>'Operating model'!$C$29*(V6-V7)+'Operating model'!$D$29*(V7-V8)+'Operating model'!$E$29*V8</f>
        <v>#REF!</v>
      </c>
      <c r="W31" s="76" t="e">
        <f>'Operating model'!$C$29*(W6-W7)+'Operating model'!$D$29*(W7-W8)+'Operating model'!$E$29*W8</f>
        <v>#REF!</v>
      </c>
      <c r="X31" s="76" t="e">
        <f>'Operating model'!$C$29*(X6-X7)+'Operating model'!$D$29*(X7-X8)+'Operating model'!$E$29*X8</f>
        <v>#REF!</v>
      </c>
      <c r="Y31" s="76" t="e">
        <f>'Operating model'!$C$29*(Y6-Y7)+'Operating model'!$D$29*(Y7-Y8)+'Operating model'!$E$29*Y8</f>
        <v>#REF!</v>
      </c>
      <c r="Z31" s="76" t="e">
        <f>'Operating model'!$C$29*(Z6-Z7)+'Operating model'!$D$29*(Z7-Z8)+'Operating model'!$E$29*Z8</f>
        <v>#REF!</v>
      </c>
      <c r="AA31" s="76" t="e">
        <f>'Operating model'!$C$29*(AA6-AA7)+'Operating model'!$D$29*(AA7-AA8)+'Operating model'!$E$29*AA8</f>
        <v>#REF!</v>
      </c>
      <c r="AB31" s="76" t="e">
        <f>'Operating model'!$C$29*(AB6-AB7)+'Operating model'!$D$29*(AB7-AB8)+'Operating model'!$E$29*AB8</f>
        <v>#REF!</v>
      </c>
      <c r="AC31" s="76" t="e">
        <f>'Operating model'!$C$29*(AC6-AC7)+'Operating model'!$D$29*(AC7-AC8)+'Operating model'!$E$29*AC8</f>
        <v>#REF!</v>
      </c>
      <c r="AD31" s="76" t="e">
        <f>'Operating model'!$C$29*(AD6-AD7)+'Operating model'!$D$29*(AD7-AD8)+'Operating model'!$E$29*AD8</f>
        <v>#REF!</v>
      </c>
      <c r="AE31" s="76" t="e">
        <f>'Operating model'!$C$29*(AE6-AE7)+'Operating model'!$D$29*(AE7-AE8)+'Operating model'!$E$29*AE8</f>
        <v>#REF!</v>
      </c>
      <c r="AF31" s="76" t="e">
        <f>'Operating model'!$C$29*(AF6-AF7)+'Operating model'!$D$29*(AF7-AF8)+'Operating model'!$E$29*AF8</f>
        <v>#REF!</v>
      </c>
      <c r="AG31" s="76" t="e">
        <f>'Operating model'!$C$29*(AG6-AG7)+'Operating model'!$D$29*(AG7-AG8)+'Operating model'!$E$29*AG8</f>
        <v>#REF!</v>
      </c>
      <c r="AH31" s="76" t="e">
        <f>'Operating model'!$C$29*(AH6-AH7)+'Operating model'!$D$29*(AH7-AH8)+'Operating model'!$E$29*AH8</f>
        <v>#REF!</v>
      </c>
      <c r="AI31" s="76" t="e">
        <f>'Operating model'!$C$29*(AI6-AI7)+'Operating model'!$D$29*(AI7-AI8)+'Operating model'!$E$29*AI8</f>
        <v>#REF!</v>
      </c>
      <c r="AJ31" s="76" t="e">
        <f>'Operating model'!$C$29*(AJ6-AJ7)+'Operating model'!$D$29*(AJ7-AJ8)+'Operating model'!$E$29*AJ8</f>
        <v>#REF!</v>
      </c>
      <c r="AK31" s="76" t="e">
        <f>'Operating model'!$C$29*(AK6-AK7)+'Operating model'!$D$29*(AK7-AK8)+'Operating model'!$E$29*AK8</f>
        <v>#REF!</v>
      </c>
      <c r="AL31" s="76" t="e">
        <f>'Operating model'!$C$29*(AL6-AL7)+'Operating model'!$D$29*(AL7-AL8)+'Operating model'!$E$29*AL8</f>
        <v>#REF!</v>
      </c>
      <c r="AM31" s="76" t="e">
        <f>'Operating model'!$C$29*(AM6-AM7)+'Operating model'!$D$29*(AM7-AM8)+'Operating model'!$E$29*AM8</f>
        <v>#REF!</v>
      </c>
      <c r="AN31" s="76" t="e">
        <f>'Operating model'!$C$29*(AN6-AN7)+'Operating model'!$D$29*(AN7-AN8)+'Operating model'!$E$29*AN8</f>
        <v>#REF!</v>
      </c>
      <c r="AO31" s="76" t="e">
        <f>'Operating model'!$C$29*(AO6-AO7)+'Operating model'!$D$29*(AO7-AO8)+'Operating model'!$E$29*AO8</f>
        <v>#REF!</v>
      </c>
      <c r="AP31" s="76" t="e">
        <f>'Operating model'!$C$29*(AP6-AP7)+'Operating model'!$D$29*(AP7-AP8)+'Operating model'!$E$29*AP8</f>
        <v>#REF!</v>
      </c>
      <c r="AQ31" s="76" t="e">
        <f>'Operating model'!$C$29*(AQ6-AQ7)+'Operating model'!$D$29*(AQ7-AQ8)+'Operating model'!$E$29*AQ8</f>
        <v>#REF!</v>
      </c>
      <c r="AR31" s="76" t="e">
        <f>'Operating model'!$C$29*(AR6-AR7)+'Operating model'!$D$29*(AR7-AR8)+'Operating model'!$E$29*AR8</f>
        <v>#REF!</v>
      </c>
      <c r="AS31" s="76" t="e">
        <f>'Operating model'!$C$29*(AS6-AS7)+'Operating model'!$D$29*(AS7-AS8)+'Operating model'!$E$29*AS8</f>
        <v>#REF!</v>
      </c>
      <c r="AT31" s="76" t="e">
        <f>'Operating model'!$C$29*(AT6-AT7)+'Operating model'!$D$29*(AT7-AT8)+'Operating model'!$E$29*AT8</f>
        <v>#REF!</v>
      </c>
      <c r="AU31" s="76" t="e">
        <f>'Operating model'!$C$29*(AU6-AU7)+'Operating model'!$D$29*(AU7-AU8)+'Operating model'!$E$29*AU8</f>
        <v>#REF!</v>
      </c>
      <c r="AV31" s="76" t="e">
        <f>'Operating model'!$C$29*(AV6-AV7)+'Operating model'!$D$29*(AV7-AV8)+'Operating model'!$E$29*AV8</f>
        <v>#REF!</v>
      </c>
      <c r="AW31" s="76" t="e">
        <f>'Operating model'!$C$29*(AW6-AW7)+'Operating model'!$D$29*(AW7-AW8)+'Operating model'!$E$29*AW8</f>
        <v>#REF!</v>
      </c>
      <c r="AX31" s="76" t="e">
        <f>'Operating model'!$C$29*(AX6-AX7)+'Operating model'!$D$29*(AX7-AX8)+'Operating model'!$E$29*AX8</f>
        <v>#REF!</v>
      </c>
      <c r="AY31" s="76" t="e">
        <f>'Operating model'!$C$29*(AY6-AY7)+'Operating model'!$D$29*(AY7-AY8)+'Operating model'!$E$29*AY8</f>
        <v>#REF!</v>
      </c>
      <c r="AZ31" s="76" t="e">
        <f>'Operating model'!$C$29*(AZ6-AZ7)+'Operating model'!$D$29*(AZ7-AZ8)+'Operating model'!$E$29*AZ8</f>
        <v>#REF!</v>
      </c>
      <c r="BA31" s="76" t="e">
        <f>'Operating model'!$C$29*(BA6-BA7)+'Operating model'!$D$29*(BA7-BA8)+'Operating model'!$E$29*BA8</f>
        <v>#REF!</v>
      </c>
      <c r="BB31" s="76" t="e">
        <f>'Operating model'!$C$29*(BB6-BB7)+'Operating model'!$D$29*(BB7-BB8)+'Operating model'!$E$29*BB8</f>
        <v>#REF!</v>
      </c>
      <c r="BC31" s="76" t="e">
        <f>'Operating model'!$C$29*(BC6-BC7)+'Operating model'!$D$29*(BC7-BC8)+'Operating model'!$E$29*BC8</f>
        <v>#REF!</v>
      </c>
      <c r="BD31" s="76" t="e">
        <f>'Operating model'!$C$29*(BD6-BD7)+'Operating model'!$D$29*(BD7-BD8)+'Operating model'!$E$29*BD8</f>
        <v>#REF!</v>
      </c>
      <c r="BE31" s="76" t="e">
        <f>'Operating model'!$C$29*(BE6-BE7)+'Operating model'!$D$29*(BE7-BE8)+'Operating model'!$E$29*BE8</f>
        <v>#REF!</v>
      </c>
      <c r="BF31" s="76" t="e">
        <f>'Operating model'!$C$29*(BF6-BF7)+'Operating model'!$D$29*(BF7-BF8)+'Operating model'!$E$29*BF8</f>
        <v>#REF!</v>
      </c>
      <c r="BG31" s="76" t="e">
        <f>'Operating model'!$C$29*(BG6-BG7)+'Operating model'!$D$29*(BG7-BG8)+'Operating model'!$E$29*BG8</f>
        <v>#REF!</v>
      </c>
      <c r="BH31" s="76" t="e">
        <f>'Operating model'!$C$29*(BH6-BH7)+'Operating model'!$D$29*(BH7-BH8)+'Operating model'!$E$29*BH8</f>
        <v>#REF!</v>
      </c>
      <c r="BI31" s="76" t="e">
        <f>'Operating model'!$C$29*(BI6-BI7)+'Operating model'!$D$29*(BI7-BI8)+'Operating model'!$E$29*BI8</f>
        <v>#REF!</v>
      </c>
      <c r="BJ31" s="76" t="e">
        <f>'Operating model'!$C$29*(BJ6-BJ7)+'Operating model'!$D$29*(BJ7-BJ8)+'Operating model'!$E$29*BJ8</f>
        <v>#REF!</v>
      </c>
      <c r="BK31" s="76" t="e">
        <f>'Operating model'!$C$29*(BK6-BK7)+'Operating model'!$D$29*(BK7-BK8)+'Operating model'!$E$29*BK8</f>
        <v>#REF!</v>
      </c>
      <c r="BL31" s="76" t="e">
        <f>'Operating model'!$C$29*(BL6-BL7)+'Operating model'!$D$29*(BL7-BL8)+'Operating model'!$E$29*BL8</f>
        <v>#REF!</v>
      </c>
    </row>
    <row r="33" spans="2:64">
      <c r="B33" s="146" t="s">
        <v>426</v>
      </c>
      <c r="E33" s="100" t="e">
        <f>E27+E28+E30+E31</f>
        <v>#REF!</v>
      </c>
      <c r="F33" s="100" t="e">
        <f>F27+F28+F30+F31</f>
        <v>#REF!</v>
      </c>
      <c r="G33" s="100" t="e">
        <f>G27+G28+G30+G31</f>
        <v>#REF!</v>
      </c>
      <c r="H33" s="100" t="e">
        <f>H27+H28+H30+H31</f>
        <v>#REF!</v>
      </c>
      <c r="I33" s="100" t="e">
        <f>I27+I28+I30+I31</f>
        <v>#REF!</v>
      </c>
      <c r="J33" s="100" t="e">
        <f>J27+J28+J30+J31</f>
        <v>#REF!</v>
      </c>
      <c r="K33" s="100" t="e">
        <f>K27+K28+K30+K31</f>
        <v>#REF!</v>
      </c>
      <c r="L33" s="100" t="e">
        <f>L27+L28+L30+L31</f>
        <v>#REF!</v>
      </c>
      <c r="M33" s="100" t="e">
        <f>M27+M28+M30+M31</f>
        <v>#REF!</v>
      </c>
      <c r="N33" s="100" t="e">
        <f>N27+N28+N30+N31</f>
        <v>#REF!</v>
      </c>
      <c r="O33" s="100" t="e">
        <f>O27+O28+O30+O31</f>
        <v>#REF!</v>
      </c>
      <c r="P33" s="100" t="e">
        <f>P27+P28+P30+P31</f>
        <v>#REF!</v>
      </c>
      <c r="Q33" s="100" t="e">
        <f>Q27+Q28+Q30+Q31</f>
        <v>#REF!</v>
      </c>
      <c r="R33" s="100" t="e">
        <f>R27+R28+R30+R31</f>
        <v>#REF!</v>
      </c>
      <c r="S33" s="100" t="e">
        <f>S27+S28+S30+S31</f>
        <v>#REF!</v>
      </c>
      <c r="T33" s="100" t="e">
        <f>T27+T28+T30+T31</f>
        <v>#REF!</v>
      </c>
      <c r="U33" s="100" t="e">
        <f>U27+U28+U30+U31</f>
        <v>#REF!</v>
      </c>
      <c r="V33" s="100" t="e">
        <f>V27+V28+V30+V31</f>
        <v>#REF!</v>
      </c>
      <c r="W33" s="100" t="e">
        <f>W27+W28+W30+W31</f>
        <v>#REF!</v>
      </c>
      <c r="X33" s="100" t="e">
        <f>X27+X28+X30+X31</f>
        <v>#REF!</v>
      </c>
      <c r="Y33" s="100" t="e">
        <f>Y27+Y28+Y30+Y31</f>
        <v>#REF!</v>
      </c>
      <c r="Z33" s="100" t="e">
        <f>Z27+Z28+Z30+Z31</f>
        <v>#REF!</v>
      </c>
      <c r="AA33" s="100" t="e">
        <f>AA27+AA28+AA30+AA31</f>
        <v>#REF!</v>
      </c>
      <c r="AB33" s="100" t="e">
        <f>AB27+AB28+AB30+AB31</f>
        <v>#REF!</v>
      </c>
      <c r="AC33" s="100" t="e">
        <f>AC27+AC28+AC30+AC31</f>
        <v>#REF!</v>
      </c>
      <c r="AD33" s="100" t="e">
        <f>AD27+AD28+AD30+AD31</f>
        <v>#REF!</v>
      </c>
      <c r="AE33" s="100" t="e">
        <f>AE27+AE28+AE30+AE31</f>
        <v>#REF!</v>
      </c>
      <c r="AF33" s="100" t="e">
        <f>AF27+AF28+AF30+AF31</f>
        <v>#REF!</v>
      </c>
      <c r="AG33" s="100" t="e">
        <f>AG27+AG28+AG30+AG31</f>
        <v>#REF!</v>
      </c>
      <c r="AH33" s="100" t="e">
        <f>AH27+AH28+AH30+AH31</f>
        <v>#REF!</v>
      </c>
      <c r="AI33" s="100" t="e">
        <f>AI27+AI28+AI30+AI31</f>
        <v>#REF!</v>
      </c>
      <c r="AJ33" s="100" t="e">
        <f>AJ27+AJ28+AJ30+AJ31</f>
        <v>#REF!</v>
      </c>
      <c r="AK33" s="100" t="e">
        <f>AK27+AK28+AK30+AK31</f>
        <v>#REF!</v>
      </c>
      <c r="AL33" s="100" t="e">
        <f>AL27+AL28+AL30+AL31</f>
        <v>#REF!</v>
      </c>
      <c r="AM33" s="100" t="e">
        <f>AM27+AM28+AM30+AM31</f>
        <v>#REF!</v>
      </c>
      <c r="AN33" s="100" t="e">
        <f>AN27+AN28+AN30+AN31</f>
        <v>#REF!</v>
      </c>
      <c r="AO33" s="100" t="e">
        <f>AO27+AO28+AO30+AO31</f>
        <v>#REF!</v>
      </c>
      <c r="AP33" s="100" t="e">
        <f>AP27+AP28+AP30+AP31</f>
        <v>#REF!</v>
      </c>
      <c r="AQ33" s="100" t="e">
        <f>AQ27+AQ28+AQ30+AQ31</f>
        <v>#REF!</v>
      </c>
      <c r="AR33" s="100" t="e">
        <f>AR27+AR28+AR30+AR31</f>
        <v>#REF!</v>
      </c>
      <c r="AS33" s="100" t="e">
        <f>AS27+AS28+AS30+AS31</f>
        <v>#REF!</v>
      </c>
      <c r="AT33" s="100" t="e">
        <f>AT27+AT28+AT30+AT31</f>
        <v>#REF!</v>
      </c>
      <c r="AU33" s="100" t="e">
        <f>AU27+AU28+AU30+AU31</f>
        <v>#REF!</v>
      </c>
      <c r="AV33" s="100" t="e">
        <f>AV27+AV28+AV30+AV31</f>
        <v>#REF!</v>
      </c>
      <c r="AW33" s="100" t="e">
        <f>AW27+AW28+AW30+AW31</f>
        <v>#REF!</v>
      </c>
      <c r="AX33" s="100" t="e">
        <f>AX27+AX28+AX30+AX31</f>
        <v>#REF!</v>
      </c>
      <c r="AY33" s="100" t="e">
        <f>AY27+AY28+AY30+AY31</f>
        <v>#REF!</v>
      </c>
      <c r="AZ33" s="100" t="e">
        <f>AZ27+AZ28+AZ30+AZ31</f>
        <v>#REF!</v>
      </c>
      <c r="BA33" s="100" t="e">
        <f>BA27+BA28+BA30+BA31</f>
        <v>#REF!</v>
      </c>
      <c r="BB33" s="100" t="e">
        <f>BB27+BB28+BB30+BB31</f>
        <v>#REF!</v>
      </c>
      <c r="BC33" s="100" t="e">
        <f>BC27+BC28+BC30+BC31</f>
        <v>#REF!</v>
      </c>
      <c r="BD33" s="100" t="e">
        <f>BD27+BD28+BD30+BD31</f>
        <v>#REF!</v>
      </c>
      <c r="BE33" s="100" t="e">
        <f>BE27+BE28+BE30+BE31</f>
        <v>#REF!</v>
      </c>
      <c r="BF33" s="100" t="e">
        <f>BF27+BF28+BF30+BF31</f>
        <v>#REF!</v>
      </c>
      <c r="BG33" s="100" t="e">
        <f>BG27+BG28+BG30+BG31</f>
        <v>#REF!</v>
      </c>
      <c r="BH33" s="100" t="e">
        <f>BH27+BH28+BH30+BH31</f>
        <v>#REF!</v>
      </c>
      <c r="BI33" s="100" t="e">
        <f>BI27+BI28+BI30+BI31</f>
        <v>#REF!</v>
      </c>
      <c r="BJ33" s="100" t="e">
        <f>BJ27+BJ28+BJ30+BJ31</f>
        <v>#REF!</v>
      </c>
      <c r="BK33" s="100" t="e">
        <f>BK27+BK28+BK30+BK31</f>
        <v>#REF!</v>
      </c>
      <c r="BL33" s="100" t="e">
        <f>BL27+BL28+BL30+BL31</f>
        <v>#REF!</v>
      </c>
    </row>
    <row r="34" spans="2:64">
      <c r="B34" s="146"/>
    </row>
    <row r="35" spans="2:64">
      <c r="B35" s="212" t="s">
        <v>252</v>
      </c>
    </row>
    <row r="36" spans="2:64">
      <c r="B36" s="146" t="s">
        <v>416</v>
      </c>
      <c r="E36" s="76">
        <f>IF(Dashboard!$C$36=Lists!$B$4,'Technical inputs'!$C$37*E12,0)</f>
        <v>0</v>
      </c>
      <c r="F36" s="76">
        <f>IF(Dashboard!$C$36=Lists!$B$4,'Technical inputs'!$C$37*F12,0)</f>
        <v>0</v>
      </c>
      <c r="G36" s="76">
        <f>IF(Dashboard!$C$36=Lists!$B$4,'Technical inputs'!$C$37*G12,0)</f>
        <v>0</v>
      </c>
      <c r="H36" s="76">
        <f>IF(Dashboard!$C$36=Lists!$B$4,'Technical inputs'!$C$37*H12,0)</f>
        <v>0</v>
      </c>
      <c r="I36" s="76">
        <f>IF(Dashboard!$C$36=Lists!$B$4,'Technical inputs'!$C$37*I12,0)</f>
        <v>0</v>
      </c>
      <c r="J36" s="76">
        <f>IF(Dashboard!$C$36=Lists!$B$4,'Technical inputs'!$C$37*J12,0)</f>
        <v>0</v>
      </c>
      <c r="K36" s="76">
        <f>IF(Dashboard!$C$36=Lists!$B$4,'Technical inputs'!$C$37*K12,0)</f>
        <v>0</v>
      </c>
      <c r="L36" s="76">
        <f>IF(Dashboard!$C$36=Lists!$B$4,'Technical inputs'!$C$37*L12,0)</f>
        <v>0</v>
      </c>
      <c r="M36" s="76">
        <f>IF(Dashboard!$C$36=Lists!$B$4,'Technical inputs'!$C$37*M12,0)</f>
        <v>0</v>
      </c>
      <c r="N36" s="76">
        <f>IF(Dashboard!$C$36=Lists!$B$4,'Technical inputs'!$C$37*N12,0)</f>
        <v>0</v>
      </c>
      <c r="O36" s="76">
        <f>IF(Dashboard!$C$36=Lists!$B$4,'Technical inputs'!$C$37*O12,0)</f>
        <v>0</v>
      </c>
      <c r="P36" s="76">
        <f>IF(Dashboard!$C$36=Lists!$B$4,'Technical inputs'!$C$37*P12,0)</f>
        <v>0</v>
      </c>
      <c r="Q36" s="76">
        <f>IF(Dashboard!$C$36=Lists!$B$4,'Technical inputs'!$C$37*Q12,0)</f>
        <v>0</v>
      </c>
      <c r="R36" s="76">
        <f>IF(Dashboard!$C$36=Lists!$B$4,'Technical inputs'!$C$37*R12,0)</f>
        <v>0</v>
      </c>
      <c r="S36" s="76">
        <f>IF(Dashboard!$C$36=Lists!$B$4,'Technical inputs'!$C$37*S12,0)</f>
        <v>0</v>
      </c>
      <c r="T36" s="76">
        <f>IF(Dashboard!$C$36=Lists!$B$4,'Technical inputs'!$C$37*T12,0)</f>
        <v>0</v>
      </c>
      <c r="U36" s="76">
        <f>IF(Dashboard!$C$36=Lists!$B$4,'Technical inputs'!$C$37*U12,0)</f>
        <v>0</v>
      </c>
      <c r="V36" s="76">
        <f>IF(Dashboard!$C$36=Lists!$B$4,'Technical inputs'!$C$37*V12,0)</f>
        <v>0</v>
      </c>
      <c r="W36" s="76">
        <f>IF(Dashboard!$C$36=Lists!$B$4,'Technical inputs'!$C$37*W12,0)</f>
        <v>0</v>
      </c>
      <c r="X36" s="76">
        <f>IF(Dashboard!$C$36=Lists!$B$4,'Technical inputs'!$C$37*X12,0)</f>
        <v>0</v>
      </c>
      <c r="Y36" s="76">
        <f>IF(Dashboard!$C$36=Lists!$B$4,'Technical inputs'!$C$37*Y12,0)</f>
        <v>0</v>
      </c>
      <c r="Z36" s="76">
        <f>IF(Dashboard!$C$36=Lists!$B$4,'Technical inputs'!$C$37*Z12,0)</f>
        <v>0</v>
      </c>
      <c r="AA36" s="76">
        <f>IF(Dashboard!$C$36=Lists!$B$4,'Technical inputs'!$C$37*AA12,0)</f>
        <v>0</v>
      </c>
      <c r="AB36" s="76">
        <f>IF(Dashboard!$C$36=Lists!$B$4,'Technical inputs'!$C$37*AB12,0)</f>
        <v>0</v>
      </c>
      <c r="AC36" s="76">
        <f>IF(Dashboard!$C$36=Lists!$B$4,'Technical inputs'!$C$37*AC12,0)</f>
        <v>0</v>
      </c>
      <c r="AD36" s="76">
        <f>IF(Dashboard!$C$36=Lists!$B$4,'Technical inputs'!$C$37*AD12,0)</f>
        <v>0</v>
      </c>
      <c r="AE36" s="76">
        <f>IF(Dashboard!$C$36=Lists!$B$4,'Technical inputs'!$C$37*AE12,0)</f>
        <v>0</v>
      </c>
      <c r="AF36" s="76">
        <f>IF(Dashboard!$C$36=Lists!$B$4,'Technical inputs'!$C$37*AF12,0)</f>
        <v>0</v>
      </c>
      <c r="AG36" s="76">
        <f>IF(Dashboard!$C$36=Lists!$B$4,'Technical inputs'!$C$37*AG12,0)</f>
        <v>0</v>
      </c>
      <c r="AH36" s="76">
        <f>IF(Dashboard!$C$36=Lists!$B$4,'Technical inputs'!$C$37*AH12,0)</f>
        <v>0</v>
      </c>
      <c r="AI36" s="76">
        <f>IF(Dashboard!$C$36=Lists!$B$4,'Technical inputs'!$C$37*AI12,0)</f>
        <v>0</v>
      </c>
      <c r="AJ36" s="76">
        <f>IF(Dashboard!$C$36=Lists!$B$4,'Technical inputs'!$C$37*AJ12,0)</f>
        <v>0</v>
      </c>
      <c r="AK36" s="76">
        <f>IF(Dashboard!$C$36=Lists!$B$4,'Technical inputs'!$C$37*AK12,0)</f>
        <v>0</v>
      </c>
      <c r="AL36" s="76">
        <f>IF(Dashboard!$C$36=Lists!$B$4,'Technical inputs'!$C$37*AL12,0)</f>
        <v>0</v>
      </c>
      <c r="AM36" s="76">
        <f>IF(Dashboard!$C$36=Lists!$B$4,'Technical inputs'!$C$37*AM12,0)</f>
        <v>0</v>
      </c>
      <c r="AN36" s="76">
        <f>IF(Dashboard!$C$36=Lists!$B$4,'Technical inputs'!$C$37*AN12,0)</f>
        <v>0</v>
      </c>
      <c r="AO36" s="76">
        <f>IF(Dashboard!$C$36=Lists!$B$4,'Technical inputs'!$C$37*AO12,0)</f>
        <v>0</v>
      </c>
      <c r="AP36" s="76">
        <f>IF(Dashboard!$C$36=Lists!$B$4,'Technical inputs'!$C$37*AP12,0)</f>
        <v>0</v>
      </c>
      <c r="AQ36" s="76">
        <f>IF(Dashboard!$C$36=Lists!$B$4,'Technical inputs'!$C$37*AQ12,0)</f>
        <v>0</v>
      </c>
      <c r="AR36" s="76">
        <f>IF(Dashboard!$C$36=Lists!$B$4,'Technical inputs'!$C$37*AR12,0)</f>
        <v>0</v>
      </c>
      <c r="AS36" s="76">
        <f>IF(Dashboard!$C$36=Lists!$B$4,'Technical inputs'!$C$37*AS12,0)</f>
        <v>0</v>
      </c>
      <c r="AT36" s="76">
        <f>IF(Dashboard!$C$36=Lists!$B$4,'Technical inputs'!$C$37*AT12,0)</f>
        <v>0</v>
      </c>
      <c r="AU36" s="76">
        <f>IF(Dashboard!$C$36=Lists!$B$4,'Technical inputs'!$C$37*AU12,0)</f>
        <v>0</v>
      </c>
      <c r="AV36" s="76">
        <f>IF(Dashboard!$C$36=Lists!$B$4,'Technical inputs'!$C$37*AV12,0)</f>
        <v>0</v>
      </c>
      <c r="AW36" s="76">
        <f>IF(Dashboard!$C$36=Lists!$B$4,'Technical inputs'!$C$37*AW12,0)</f>
        <v>0</v>
      </c>
      <c r="AX36" s="76">
        <f>IF(Dashboard!$C$36=Lists!$B$4,'Technical inputs'!$C$37*AX12,0)</f>
        <v>0</v>
      </c>
      <c r="AY36" s="76">
        <f>IF(Dashboard!$C$36=Lists!$B$4,'Technical inputs'!$C$37*AY12,0)</f>
        <v>0</v>
      </c>
      <c r="AZ36" s="76">
        <f>IF(Dashboard!$C$36=Lists!$B$4,'Technical inputs'!$C$37*AZ12,0)</f>
        <v>0</v>
      </c>
      <c r="BA36" s="76">
        <f>IF(Dashboard!$C$36=Lists!$B$4,'Technical inputs'!$C$37*BA12,0)</f>
        <v>0</v>
      </c>
      <c r="BB36" s="76">
        <f>IF(Dashboard!$C$36=Lists!$B$4,'Technical inputs'!$C$37*BB12,0)</f>
        <v>0</v>
      </c>
      <c r="BC36" s="76">
        <f>IF(Dashboard!$C$36=Lists!$B$4,'Technical inputs'!$C$37*BC12,0)</f>
        <v>0</v>
      </c>
      <c r="BD36" s="76">
        <f>IF(Dashboard!$C$36=Lists!$B$4,'Technical inputs'!$C$37*BD12,0)</f>
        <v>0</v>
      </c>
      <c r="BE36" s="76">
        <f>IF(Dashboard!$C$36=Lists!$B$4,'Technical inputs'!$C$37*BE12,0)</f>
        <v>0</v>
      </c>
      <c r="BF36" s="76">
        <f>IF(Dashboard!$C$36=Lists!$B$4,'Technical inputs'!$C$37*BF12,0)</f>
        <v>0</v>
      </c>
      <c r="BG36" s="76">
        <f>IF(Dashboard!$C$36=Lists!$B$4,'Technical inputs'!$C$37*BG12,0)</f>
        <v>0</v>
      </c>
      <c r="BH36" s="76">
        <f>IF(Dashboard!$C$36=Lists!$B$4,'Technical inputs'!$C$37*BH12,0)</f>
        <v>0</v>
      </c>
      <c r="BI36" s="76">
        <f>IF(Dashboard!$C$36=Lists!$B$4,'Technical inputs'!$C$37*BI12,0)</f>
        <v>0</v>
      </c>
      <c r="BJ36" s="76">
        <f>IF(Dashboard!$C$36=Lists!$B$4,'Technical inputs'!$C$37*BJ12,0)</f>
        <v>0</v>
      </c>
      <c r="BK36" s="76">
        <f>IF(Dashboard!$C$36=Lists!$B$4,'Technical inputs'!$C$37*BK12,0)</f>
        <v>0</v>
      </c>
      <c r="BL36" s="76">
        <f>IF(Dashboard!$C$36=Lists!$B$4,'Technical inputs'!$C$37*BL12,0)</f>
        <v>0</v>
      </c>
    </row>
    <row r="37" spans="2:64">
      <c r="B37" s="146" t="s">
        <v>417</v>
      </c>
      <c r="E37" s="76">
        <f>IF(Dashboard!$C$36=Lists!$B$4,'Technical inputs'!$C$38*E12,0)</f>
        <v>0</v>
      </c>
      <c r="F37" s="76">
        <f>IF(Dashboard!$C$36=Lists!$B$4,'Technical inputs'!$C$38*F12,0)</f>
        <v>0</v>
      </c>
      <c r="G37" s="76">
        <f>IF(Dashboard!$C$36=Lists!$B$4,'Technical inputs'!$C$38*G12,0)</f>
        <v>0</v>
      </c>
      <c r="H37" s="76">
        <f>IF(Dashboard!$C$36=Lists!$B$4,'Technical inputs'!$C$38*H12,0)</f>
        <v>0</v>
      </c>
      <c r="I37" s="76">
        <f>IF(Dashboard!$C$36=Lists!$B$4,'Technical inputs'!$C$38*I12,0)</f>
        <v>0</v>
      </c>
      <c r="J37" s="76">
        <f>IF(Dashboard!$C$36=Lists!$B$4,'Technical inputs'!$C$38*J12,0)</f>
        <v>0</v>
      </c>
      <c r="K37" s="76">
        <f>IF(Dashboard!$C$36=Lists!$B$4,'Technical inputs'!$C$38*K12,0)</f>
        <v>0</v>
      </c>
      <c r="L37" s="76">
        <f>IF(Dashboard!$C$36=Lists!$B$4,'Technical inputs'!$C$38*L12,0)</f>
        <v>0</v>
      </c>
      <c r="M37" s="76">
        <f>IF(Dashboard!$C$36=Lists!$B$4,'Technical inputs'!$C$38*M12,0)</f>
        <v>0</v>
      </c>
      <c r="N37" s="76">
        <f>IF(Dashboard!$C$36=Lists!$B$4,'Technical inputs'!$C$38*N12,0)</f>
        <v>0</v>
      </c>
      <c r="O37" s="76">
        <f>IF(Dashboard!$C$36=Lists!$B$4,'Technical inputs'!$C$38*O12,0)</f>
        <v>0</v>
      </c>
      <c r="P37" s="76">
        <f>IF(Dashboard!$C$36=Lists!$B$4,'Technical inputs'!$C$38*P12,0)</f>
        <v>0</v>
      </c>
      <c r="Q37" s="76">
        <f>IF(Dashboard!$C$36=Lists!$B$4,'Technical inputs'!$C$38*Q12,0)</f>
        <v>0</v>
      </c>
      <c r="R37" s="76">
        <f>IF(Dashboard!$C$36=Lists!$B$4,'Technical inputs'!$C$38*R12,0)</f>
        <v>0</v>
      </c>
      <c r="S37" s="76">
        <f>IF(Dashboard!$C$36=Lists!$B$4,'Technical inputs'!$C$38*S12,0)</f>
        <v>0</v>
      </c>
      <c r="T37" s="76">
        <f>IF(Dashboard!$C$36=Lists!$B$4,'Technical inputs'!$C$38*T12,0)</f>
        <v>0</v>
      </c>
      <c r="U37" s="76">
        <f>IF(Dashboard!$C$36=Lists!$B$4,'Technical inputs'!$C$38*U12,0)</f>
        <v>0</v>
      </c>
      <c r="V37" s="76">
        <f>IF(Dashboard!$C$36=Lists!$B$4,'Technical inputs'!$C$38*V12,0)</f>
        <v>0</v>
      </c>
      <c r="W37" s="76">
        <f>IF(Dashboard!$C$36=Lists!$B$4,'Technical inputs'!$C$38*W12,0)</f>
        <v>0</v>
      </c>
      <c r="X37" s="76">
        <f>IF(Dashboard!$C$36=Lists!$B$4,'Technical inputs'!$C$38*X12,0)</f>
        <v>0</v>
      </c>
      <c r="Y37" s="76">
        <f>IF(Dashboard!$C$36=Lists!$B$4,'Technical inputs'!$C$38*Y12,0)</f>
        <v>0</v>
      </c>
      <c r="Z37" s="76">
        <f>IF(Dashboard!$C$36=Lists!$B$4,'Technical inputs'!$C$38*Z12,0)</f>
        <v>0</v>
      </c>
      <c r="AA37" s="76">
        <f>IF(Dashboard!$C$36=Lists!$B$4,'Technical inputs'!$C$38*AA12,0)</f>
        <v>0</v>
      </c>
      <c r="AB37" s="76">
        <f>IF(Dashboard!$C$36=Lists!$B$4,'Technical inputs'!$C$38*AB12,0)</f>
        <v>0</v>
      </c>
      <c r="AC37" s="76">
        <f>IF(Dashboard!$C$36=Lists!$B$4,'Technical inputs'!$C$38*AC12,0)</f>
        <v>0</v>
      </c>
      <c r="AD37" s="76">
        <f>IF(Dashboard!$C$36=Lists!$B$4,'Technical inputs'!$C$38*AD12,0)</f>
        <v>0</v>
      </c>
      <c r="AE37" s="76">
        <f>IF(Dashboard!$C$36=Lists!$B$4,'Technical inputs'!$C$38*AE12,0)</f>
        <v>0</v>
      </c>
      <c r="AF37" s="76">
        <f>IF(Dashboard!$C$36=Lists!$B$4,'Technical inputs'!$C$38*AF12,0)</f>
        <v>0</v>
      </c>
      <c r="AG37" s="76">
        <f>IF(Dashboard!$C$36=Lists!$B$4,'Technical inputs'!$C$38*AG12,0)</f>
        <v>0</v>
      </c>
      <c r="AH37" s="76">
        <f>IF(Dashboard!$C$36=Lists!$B$4,'Technical inputs'!$C$38*AH12,0)</f>
        <v>0</v>
      </c>
      <c r="AI37" s="76">
        <f>IF(Dashboard!$C$36=Lists!$B$4,'Technical inputs'!$C$38*AI12,0)</f>
        <v>0</v>
      </c>
      <c r="AJ37" s="76">
        <f>IF(Dashboard!$C$36=Lists!$B$4,'Technical inputs'!$C$38*AJ12,0)</f>
        <v>0</v>
      </c>
      <c r="AK37" s="76">
        <f>IF(Dashboard!$C$36=Lists!$B$4,'Technical inputs'!$C$38*AK12,0)</f>
        <v>0</v>
      </c>
      <c r="AL37" s="76">
        <f>IF(Dashboard!$C$36=Lists!$B$4,'Technical inputs'!$C$38*AL12,0)</f>
        <v>0</v>
      </c>
      <c r="AM37" s="76">
        <f>IF(Dashboard!$C$36=Lists!$B$4,'Technical inputs'!$C$38*AM12,0)</f>
        <v>0</v>
      </c>
      <c r="AN37" s="76">
        <f>IF(Dashboard!$C$36=Lists!$B$4,'Technical inputs'!$C$38*AN12,0)</f>
        <v>0</v>
      </c>
      <c r="AO37" s="76">
        <f>IF(Dashboard!$C$36=Lists!$B$4,'Technical inputs'!$C$38*AO12,0)</f>
        <v>0</v>
      </c>
      <c r="AP37" s="76">
        <f>IF(Dashboard!$C$36=Lists!$B$4,'Technical inputs'!$C$38*AP12,0)</f>
        <v>0</v>
      </c>
      <c r="AQ37" s="76">
        <f>IF(Dashboard!$C$36=Lists!$B$4,'Technical inputs'!$C$38*AQ12,0)</f>
        <v>0</v>
      </c>
      <c r="AR37" s="76">
        <f>IF(Dashboard!$C$36=Lists!$B$4,'Technical inputs'!$C$38*AR12,0)</f>
        <v>0</v>
      </c>
      <c r="AS37" s="76">
        <f>IF(Dashboard!$C$36=Lists!$B$4,'Technical inputs'!$C$38*AS12,0)</f>
        <v>0</v>
      </c>
      <c r="AT37" s="76">
        <f>IF(Dashboard!$C$36=Lists!$B$4,'Technical inputs'!$C$38*AT12,0)</f>
        <v>0</v>
      </c>
      <c r="AU37" s="76">
        <f>IF(Dashboard!$C$36=Lists!$B$4,'Technical inputs'!$C$38*AU12,0)</f>
        <v>0</v>
      </c>
      <c r="AV37" s="76">
        <f>IF(Dashboard!$C$36=Lists!$B$4,'Technical inputs'!$C$38*AV12,0)</f>
        <v>0</v>
      </c>
      <c r="AW37" s="76">
        <f>IF(Dashboard!$C$36=Lists!$B$4,'Technical inputs'!$C$38*AW12,0)</f>
        <v>0</v>
      </c>
      <c r="AX37" s="76">
        <f>IF(Dashboard!$C$36=Lists!$B$4,'Technical inputs'!$C$38*AX12,0)</f>
        <v>0</v>
      </c>
      <c r="AY37" s="76">
        <f>IF(Dashboard!$C$36=Lists!$B$4,'Technical inputs'!$C$38*AY12,0)</f>
        <v>0</v>
      </c>
      <c r="AZ37" s="76">
        <f>IF(Dashboard!$C$36=Lists!$B$4,'Technical inputs'!$C$38*AZ12,0)</f>
        <v>0</v>
      </c>
      <c r="BA37" s="76">
        <f>IF(Dashboard!$C$36=Lists!$B$4,'Technical inputs'!$C$38*BA12,0)</f>
        <v>0</v>
      </c>
      <c r="BB37" s="76">
        <f>IF(Dashboard!$C$36=Lists!$B$4,'Technical inputs'!$C$38*BB12,0)</f>
        <v>0</v>
      </c>
      <c r="BC37" s="76">
        <f>IF(Dashboard!$C$36=Lists!$B$4,'Technical inputs'!$C$38*BC12,0)</f>
        <v>0</v>
      </c>
      <c r="BD37" s="76">
        <f>IF(Dashboard!$C$36=Lists!$B$4,'Technical inputs'!$C$38*BD12,0)</f>
        <v>0</v>
      </c>
      <c r="BE37" s="76">
        <f>IF(Dashboard!$C$36=Lists!$B$4,'Technical inputs'!$C$38*BE12,0)</f>
        <v>0</v>
      </c>
      <c r="BF37" s="76">
        <f>IF(Dashboard!$C$36=Lists!$B$4,'Technical inputs'!$C$38*BF12,0)</f>
        <v>0</v>
      </c>
      <c r="BG37" s="76">
        <f>IF(Dashboard!$C$36=Lists!$B$4,'Technical inputs'!$C$38*BG12,0)</f>
        <v>0</v>
      </c>
      <c r="BH37" s="76">
        <f>IF(Dashboard!$C$36=Lists!$B$4,'Technical inputs'!$C$38*BH12,0)</f>
        <v>0</v>
      </c>
      <c r="BI37" s="76">
        <f>IF(Dashboard!$C$36=Lists!$B$4,'Technical inputs'!$C$38*BI12,0)</f>
        <v>0</v>
      </c>
      <c r="BJ37" s="76">
        <f>IF(Dashboard!$C$36=Lists!$B$4,'Technical inputs'!$C$38*BJ12,0)</f>
        <v>0</v>
      </c>
      <c r="BK37" s="76">
        <f>IF(Dashboard!$C$36=Lists!$B$4,'Technical inputs'!$C$38*BK12,0)</f>
        <v>0</v>
      </c>
      <c r="BL37" s="76">
        <f>IF(Dashboard!$C$36=Lists!$B$4,'Technical inputs'!$C$38*BL12,0)</f>
        <v>0</v>
      </c>
    </row>
    <row r="38" spans="2:64">
      <c r="B38" s="146" t="s">
        <v>427</v>
      </c>
      <c r="E38" s="76">
        <f>E36+E37</f>
        <v>0</v>
      </c>
      <c r="F38" s="76">
        <f>F36+F37</f>
        <v>0</v>
      </c>
      <c r="G38" s="76">
        <f>G36+G37</f>
        <v>0</v>
      </c>
      <c r="H38" s="76">
        <f>H36+H37</f>
        <v>0</v>
      </c>
      <c r="I38" s="76">
        <f>I36+I37</f>
        <v>0</v>
      </c>
      <c r="J38" s="76">
        <f>J36+J37</f>
        <v>0</v>
      </c>
      <c r="K38" s="76">
        <f>K36+K37</f>
        <v>0</v>
      </c>
      <c r="L38" s="76">
        <f>L36+L37</f>
        <v>0</v>
      </c>
      <c r="M38" s="76">
        <f>M36+M37</f>
        <v>0</v>
      </c>
      <c r="N38" s="76">
        <f>N36+N37</f>
        <v>0</v>
      </c>
      <c r="O38" s="76">
        <f>O36+O37</f>
        <v>0</v>
      </c>
      <c r="P38" s="76">
        <f>P36+P37</f>
        <v>0</v>
      </c>
      <c r="Q38" s="76">
        <f>Q36+Q37</f>
        <v>0</v>
      </c>
      <c r="R38" s="76">
        <f>R36+R37</f>
        <v>0</v>
      </c>
      <c r="S38" s="76">
        <f>S36+S37</f>
        <v>0</v>
      </c>
      <c r="T38" s="76">
        <f>T36+T37</f>
        <v>0</v>
      </c>
      <c r="U38" s="76">
        <f>U36+U37</f>
        <v>0</v>
      </c>
      <c r="V38" s="76">
        <f>V36+V37</f>
        <v>0</v>
      </c>
      <c r="W38" s="76">
        <f>W36+W37</f>
        <v>0</v>
      </c>
      <c r="X38" s="76">
        <f>X36+X37</f>
        <v>0</v>
      </c>
      <c r="Y38" s="76">
        <f>Y36+Y37</f>
        <v>0</v>
      </c>
      <c r="Z38" s="76">
        <f>Z36+Z37</f>
        <v>0</v>
      </c>
      <c r="AA38" s="76">
        <f>AA36+AA37</f>
        <v>0</v>
      </c>
      <c r="AB38" s="76">
        <f>AB36+AB37</f>
        <v>0</v>
      </c>
      <c r="AC38" s="76">
        <f>AC36+AC37</f>
        <v>0</v>
      </c>
      <c r="AD38" s="76">
        <f>AD36+AD37</f>
        <v>0</v>
      </c>
      <c r="AE38" s="76">
        <f>AE36+AE37</f>
        <v>0</v>
      </c>
      <c r="AF38" s="76">
        <f>AF36+AF37</f>
        <v>0</v>
      </c>
      <c r="AG38" s="76">
        <f>AG36+AG37</f>
        <v>0</v>
      </c>
      <c r="AH38" s="76">
        <f>AH36+AH37</f>
        <v>0</v>
      </c>
      <c r="AI38" s="76">
        <f>AI36+AI37</f>
        <v>0</v>
      </c>
      <c r="AJ38" s="76">
        <f>AJ36+AJ37</f>
        <v>0</v>
      </c>
      <c r="AK38" s="76">
        <f>AK36+AK37</f>
        <v>0</v>
      </c>
      <c r="AL38" s="76">
        <f>AL36+AL37</f>
        <v>0</v>
      </c>
      <c r="AM38" s="76">
        <f>AM36+AM37</f>
        <v>0</v>
      </c>
      <c r="AN38" s="76">
        <f>AN36+AN37</f>
        <v>0</v>
      </c>
      <c r="AO38" s="76">
        <f>AO36+AO37</f>
        <v>0</v>
      </c>
      <c r="AP38" s="76">
        <f>AP36+AP37</f>
        <v>0</v>
      </c>
      <c r="AQ38" s="76">
        <f>AQ36+AQ37</f>
        <v>0</v>
      </c>
      <c r="AR38" s="76">
        <f>AR36+AR37</f>
        <v>0</v>
      </c>
      <c r="AS38" s="76">
        <f>AS36+AS37</f>
        <v>0</v>
      </c>
      <c r="AT38" s="76">
        <f>AT36+AT37</f>
        <v>0</v>
      </c>
      <c r="AU38" s="76">
        <f>AU36+AU37</f>
        <v>0</v>
      </c>
      <c r="AV38" s="76">
        <f>AV36+AV37</f>
        <v>0</v>
      </c>
      <c r="AW38" s="76">
        <f>AW36+AW37</f>
        <v>0</v>
      </c>
      <c r="AX38" s="76">
        <f>AX36+AX37</f>
        <v>0</v>
      </c>
      <c r="AY38" s="76">
        <f>AY36+AY37</f>
        <v>0</v>
      </c>
      <c r="AZ38" s="76">
        <f>AZ36+AZ37</f>
        <v>0</v>
      </c>
      <c r="BA38" s="76">
        <f>BA36+BA37</f>
        <v>0</v>
      </c>
      <c r="BB38" s="76">
        <f>BB36+BB37</f>
        <v>0</v>
      </c>
      <c r="BC38" s="76">
        <f>BC36+BC37</f>
        <v>0</v>
      </c>
      <c r="BD38" s="76">
        <f>BD36+BD37</f>
        <v>0</v>
      </c>
      <c r="BE38" s="76">
        <f>BE36+BE37</f>
        <v>0</v>
      </c>
      <c r="BF38" s="76">
        <f>BF36+BF37</f>
        <v>0</v>
      </c>
      <c r="BG38" s="76">
        <f>BG36+BG37</f>
        <v>0</v>
      </c>
      <c r="BH38" s="76">
        <f>BH36+BH37</f>
        <v>0</v>
      </c>
      <c r="BI38" s="76">
        <f>BI36+BI37</f>
        <v>0</v>
      </c>
      <c r="BJ38" s="76">
        <f>BJ36+BJ37</f>
        <v>0</v>
      </c>
      <c r="BK38" s="76">
        <f>BK36+BK37</f>
        <v>0</v>
      </c>
      <c r="BL38" s="76">
        <f>BL36+BL37</f>
        <v>0</v>
      </c>
    </row>
    <row r="39" spans="2:64" ht="6" customHeight="1">
      <c r="B39" s="146"/>
    </row>
    <row r="40" spans="2:64">
      <c r="B40" s="146" t="s">
        <v>428</v>
      </c>
      <c r="E40" s="76">
        <f>IF(Dashboard!$C$36=Lists!$B$4,IF(Dashboard!$C$35&lt;=YEAR(E$5),'Operating model'!$C$35,0),)</f>
        <v>0</v>
      </c>
      <c r="F40" s="76">
        <f>IF(Dashboard!$C$36=Lists!$B$4,IF(Dashboard!$C$35&lt;=YEAR(F$5),'Operating model'!$C$35,0),)</f>
        <v>0</v>
      </c>
      <c r="G40" s="76">
        <f>IF(Dashboard!$C$36=Lists!$B$4,IF(Dashboard!$C$35&lt;=YEAR(G$5),'Operating model'!$C$35,0),)</f>
        <v>0</v>
      </c>
      <c r="H40" s="76">
        <f>IF(Dashboard!$C$36=Lists!$B$4,IF(Dashboard!$C$35&lt;=YEAR(H$5),'Operating model'!$C$35,0),)</f>
        <v>0</v>
      </c>
      <c r="I40" s="76">
        <f>IF(Dashboard!$C$36=Lists!$B$4,IF(Dashboard!$C$35&lt;=YEAR(I$5),'Operating model'!$C$35,0),)</f>
        <v>0</v>
      </c>
      <c r="J40" s="76">
        <f>IF(Dashboard!$C$36=Lists!$B$4,IF(Dashboard!$C$35&lt;=YEAR(J$5),'Operating model'!$C$35,0),)</f>
        <v>0</v>
      </c>
      <c r="K40" s="76">
        <f>IF(Dashboard!$C$36=Lists!$B$4,IF(Dashboard!$C$35&lt;=YEAR(K$5),'Operating model'!$C$35,0),)</f>
        <v>0</v>
      </c>
      <c r="L40" s="76">
        <f>IF(Dashboard!$C$36=Lists!$B$4,IF(Dashboard!$C$35&lt;=YEAR(L$5),'Operating model'!$C$35,0),)</f>
        <v>0</v>
      </c>
      <c r="M40" s="76">
        <f>IF(Dashboard!$C$36=Lists!$B$4,IF(Dashboard!$C$35&lt;=YEAR(M$5),'Operating model'!$C$35,0),)</f>
        <v>0</v>
      </c>
      <c r="N40" s="76">
        <f>IF(Dashboard!$C$36=Lists!$B$4,IF(Dashboard!$C$35&lt;=YEAR(N$5),'Operating model'!$C$35,0),)</f>
        <v>0</v>
      </c>
      <c r="O40" s="76">
        <f>IF(Dashboard!$C$36=Lists!$B$4,IF(Dashboard!$C$35&lt;=YEAR(O$5),'Operating model'!$C$35,0),)</f>
        <v>0</v>
      </c>
      <c r="P40" s="76">
        <f>IF(Dashboard!$C$36=Lists!$B$4,IF(Dashboard!$C$35&lt;=YEAR(P$5),'Operating model'!$C$35,0),)</f>
        <v>0</v>
      </c>
      <c r="Q40" s="76">
        <f>IF(Dashboard!$C$36=Lists!$B$4,IF(Dashboard!$C$35&lt;=YEAR(Q$5),'Operating model'!$C$35,0),)</f>
        <v>0</v>
      </c>
      <c r="R40" s="76">
        <f>IF(Dashboard!$C$36=Lists!$B$4,IF(Dashboard!$C$35&lt;=YEAR(R$5),'Operating model'!$C$35,0),)</f>
        <v>0</v>
      </c>
      <c r="S40" s="76">
        <f>IF(Dashboard!$C$36=Lists!$B$4,IF(Dashboard!$C$35&lt;=YEAR(S$5),'Operating model'!$C$35,0),)</f>
        <v>0</v>
      </c>
      <c r="T40" s="76">
        <f>IF(Dashboard!$C$36=Lists!$B$4,IF(Dashboard!$C$35&lt;=YEAR(T$5),'Operating model'!$C$35,0),)</f>
        <v>0</v>
      </c>
      <c r="U40" s="76">
        <f>IF(Dashboard!$C$36=Lists!$B$4,IF(Dashboard!$C$35&lt;=YEAR(U$5),'Operating model'!$C$35,0),)</f>
        <v>0</v>
      </c>
      <c r="V40" s="76">
        <f>IF(Dashboard!$C$36=Lists!$B$4,IF(Dashboard!$C$35&lt;=YEAR(V$5),'Operating model'!$C$35,0),)</f>
        <v>0</v>
      </c>
      <c r="W40" s="76">
        <f>IF(Dashboard!$C$36=Lists!$B$4,IF(Dashboard!$C$35&lt;=YEAR(W$5),'Operating model'!$C$35,0),)</f>
        <v>0</v>
      </c>
      <c r="X40" s="76">
        <f>IF(Dashboard!$C$36=Lists!$B$4,IF(Dashboard!$C$35&lt;=YEAR(X$5),'Operating model'!$C$35,0),)</f>
        <v>0</v>
      </c>
      <c r="Y40" s="76">
        <f>IF(Dashboard!$C$36=Lists!$B$4,IF(Dashboard!$C$35&lt;=YEAR(Y$5),'Operating model'!$C$35,0),)</f>
        <v>0</v>
      </c>
      <c r="Z40" s="76">
        <f>IF(Dashboard!$C$36=Lists!$B$4,IF(Dashboard!$C$35&lt;=YEAR(Z$5),'Operating model'!$C$35,0),)</f>
        <v>0</v>
      </c>
      <c r="AA40" s="76">
        <f>IF(Dashboard!$C$36=Lists!$B$4,IF(Dashboard!$C$35&lt;=YEAR(AA$5),'Operating model'!$C$35,0),)</f>
        <v>0</v>
      </c>
      <c r="AB40" s="76">
        <f>IF(Dashboard!$C$36=Lists!$B$4,IF(Dashboard!$C$35&lt;=YEAR(AB$5),'Operating model'!$C$35,0),)</f>
        <v>0</v>
      </c>
      <c r="AC40" s="76">
        <f>IF(Dashboard!$C$36=Lists!$B$4,IF(Dashboard!$C$35&lt;=YEAR(AC$5),'Operating model'!$C$35,0),)</f>
        <v>0</v>
      </c>
      <c r="AD40" s="76">
        <f>IF(Dashboard!$C$36=Lists!$B$4,IF(Dashboard!$C$35&lt;=YEAR(AD$5),'Operating model'!$C$35,0),)</f>
        <v>0</v>
      </c>
      <c r="AE40" s="76">
        <f>IF(Dashboard!$C$36=Lists!$B$4,IF(Dashboard!$C$35&lt;=YEAR(AE$5),'Operating model'!$C$35,0),)</f>
        <v>0</v>
      </c>
      <c r="AF40" s="76">
        <f>IF(Dashboard!$C$36=Lists!$B$4,IF(Dashboard!$C$35&lt;=YEAR(AF$5),'Operating model'!$C$35,0),)</f>
        <v>0</v>
      </c>
      <c r="AG40" s="76">
        <f>IF(Dashboard!$C$36=Lists!$B$4,IF(Dashboard!$C$35&lt;=YEAR(AG$5),'Operating model'!$C$35,0),)</f>
        <v>0</v>
      </c>
      <c r="AH40" s="76">
        <f>IF(Dashboard!$C$36=Lists!$B$4,IF(Dashboard!$C$35&lt;=YEAR(AH$5),'Operating model'!$C$35,0),)</f>
        <v>0</v>
      </c>
      <c r="AI40" s="76">
        <f>IF(Dashboard!$C$36=Lists!$B$4,IF(Dashboard!$C$35&lt;=YEAR(AI$5),'Operating model'!$C$35,0),)</f>
        <v>0</v>
      </c>
      <c r="AJ40" s="76">
        <f>IF(Dashboard!$C$36=Lists!$B$4,IF(Dashboard!$C$35&lt;=YEAR(AJ$5),'Operating model'!$C$35,0),)</f>
        <v>0</v>
      </c>
      <c r="AK40" s="76">
        <f>IF(Dashboard!$C$36=Lists!$B$4,IF(Dashboard!$C$35&lt;=YEAR(AK$5),'Operating model'!$C$35,0),)</f>
        <v>0</v>
      </c>
      <c r="AL40" s="76">
        <f>IF(Dashboard!$C$36=Lists!$B$4,IF(Dashboard!$C$35&lt;=YEAR(AL$5),'Operating model'!$C$35,0),)</f>
        <v>0</v>
      </c>
      <c r="AM40" s="76">
        <f>IF(Dashboard!$C$36=Lists!$B$4,IF(Dashboard!$C$35&lt;=YEAR(AM$5),'Operating model'!$C$35,0),)</f>
        <v>0</v>
      </c>
      <c r="AN40" s="76">
        <f>IF(Dashboard!$C$36=Lists!$B$4,IF(Dashboard!$C$35&lt;=YEAR(AN$5),'Operating model'!$C$35,0),)</f>
        <v>0</v>
      </c>
      <c r="AO40" s="76">
        <f>IF(Dashboard!$C$36=Lists!$B$4,IF(Dashboard!$C$35&lt;=YEAR(AO$5),'Operating model'!$C$35,0),)</f>
        <v>0</v>
      </c>
      <c r="AP40" s="76">
        <f>IF(Dashboard!$C$36=Lists!$B$4,IF(Dashboard!$C$35&lt;=YEAR(AP$5),'Operating model'!$C$35,0),)</f>
        <v>0</v>
      </c>
      <c r="AQ40" s="76">
        <f>IF(Dashboard!$C$36=Lists!$B$4,IF(Dashboard!$C$35&lt;=YEAR(AQ$5),'Operating model'!$C$35,0),)</f>
        <v>0</v>
      </c>
      <c r="AR40" s="76">
        <f>IF(Dashboard!$C$36=Lists!$B$4,IF(Dashboard!$C$35&lt;=YEAR(AR$5),'Operating model'!$C$35,0),)</f>
        <v>0</v>
      </c>
      <c r="AS40" s="76">
        <f>IF(Dashboard!$C$36=Lists!$B$4,IF(Dashboard!$C$35&lt;=YEAR(AS$5),'Operating model'!$C$35,0),)</f>
        <v>0</v>
      </c>
      <c r="AT40" s="76">
        <f>IF(Dashboard!$C$36=Lists!$B$4,IF(Dashboard!$C$35&lt;=YEAR(AT$5),'Operating model'!$C$35,0),)</f>
        <v>0</v>
      </c>
      <c r="AU40" s="76">
        <f>IF(Dashboard!$C$36=Lists!$B$4,IF(Dashboard!$C$35&lt;=YEAR(AU$5),'Operating model'!$C$35,0),)</f>
        <v>0</v>
      </c>
      <c r="AV40" s="76">
        <f>IF(Dashboard!$C$36=Lists!$B$4,IF(Dashboard!$C$35&lt;=YEAR(AV$5),'Operating model'!$C$35,0),)</f>
        <v>0</v>
      </c>
      <c r="AW40" s="76">
        <f>IF(Dashboard!$C$36=Lists!$B$4,IF(Dashboard!$C$35&lt;=YEAR(AW$5),'Operating model'!$C$35,0),)</f>
        <v>0</v>
      </c>
      <c r="AX40" s="76">
        <f>IF(Dashboard!$C$36=Lists!$B$4,IF(Dashboard!$C$35&lt;=YEAR(AX$5),'Operating model'!$C$35,0),)</f>
        <v>0</v>
      </c>
      <c r="AY40" s="76">
        <f>IF(Dashboard!$C$36=Lists!$B$4,IF(Dashboard!$C$35&lt;=YEAR(AY$5),'Operating model'!$C$35,0),)</f>
        <v>0</v>
      </c>
      <c r="AZ40" s="76">
        <f>IF(Dashboard!$C$36=Lists!$B$4,IF(Dashboard!$C$35&lt;=YEAR(AZ$5),'Operating model'!$C$35,0),)</f>
        <v>0</v>
      </c>
      <c r="BA40" s="76">
        <f>IF(Dashboard!$C$36=Lists!$B$4,IF(Dashboard!$C$35&lt;=YEAR(BA$5),'Operating model'!$C$35,0),)</f>
        <v>0</v>
      </c>
      <c r="BB40" s="76">
        <f>IF(Dashboard!$C$36=Lists!$B$4,IF(Dashboard!$C$35&lt;=YEAR(BB$5),'Operating model'!$C$35,0),)</f>
        <v>0</v>
      </c>
      <c r="BC40" s="76">
        <f>IF(Dashboard!$C$36=Lists!$B$4,IF(Dashboard!$C$35&lt;=YEAR(BC$5),'Operating model'!$C$35,0),)</f>
        <v>0</v>
      </c>
      <c r="BD40" s="76">
        <f>IF(Dashboard!$C$36=Lists!$B$4,IF(Dashboard!$C$35&lt;=YEAR(BD$5),'Operating model'!$C$35,0),)</f>
        <v>0</v>
      </c>
      <c r="BE40" s="76">
        <f>IF(Dashboard!$C$36=Lists!$B$4,IF(Dashboard!$C$35&lt;=YEAR(BE$5),'Operating model'!$C$35,0),)</f>
        <v>0</v>
      </c>
      <c r="BF40" s="76">
        <f>IF(Dashboard!$C$36=Lists!$B$4,IF(Dashboard!$C$35&lt;=YEAR(BF$5),'Operating model'!$C$35,0),)</f>
        <v>0</v>
      </c>
      <c r="BG40" s="76">
        <f>IF(Dashboard!$C$36=Lists!$B$4,IF(Dashboard!$C$35&lt;=YEAR(BG$5),'Operating model'!$C$35,0),)</f>
        <v>0</v>
      </c>
      <c r="BH40" s="76">
        <f>IF(Dashboard!$C$36=Lists!$B$4,IF(Dashboard!$C$35&lt;=YEAR(BH$5),'Operating model'!$C$35,0),)</f>
        <v>0</v>
      </c>
      <c r="BI40" s="76">
        <f>IF(Dashboard!$C$36=Lists!$B$4,IF(Dashboard!$C$35&lt;=YEAR(BI$5),'Operating model'!$C$35,0),)</f>
        <v>0</v>
      </c>
      <c r="BJ40" s="76">
        <f>IF(Dashboard!$C$36=Lists!$B$4,IF(Dashboard!$C$35&lt;=YEAR(BJ$5),'Operating model'!$C$35,0),)</f>
        <v>0</v>
      </c>
      <c r="BK40" s="76">
        <f>IF(Dashboard!$C$36=Lists!$B$4,IF(Dashboard!$C$35&lt;=YEAR(BK$5),'Operating model'!$C$35,0),)</f>
        <v>0</v>
      </c>
      <c r="BL40" s="76">
        <f>IF(Dashboard!$C$36=Lists!$B$4,IF(Dashboard!$C$35&lt;=YEAR(BL$5),'Operating model'!$C$35,0),)</f>
        <v>0</v>
      </c>
    </row>
    <row r="41" spans="2:64">
      <c r="B41" s="146" t="s">
        <v>429</v>
      </c>
      <c r="E41" s="76">
        <f>IF(Dashboard!$C$36=Lists!$B$4,IF(Dashboard!$C$35&lt;=YEAR(E$5),'Operating model'!$C$36,0),)</f>
        <v>0</v>
      </c>
      <c r="F41" s="76">
        <f>IF(Dashboard!$C$36=Lists!$B$4,IF(Dashboard!$C$35&lt;=YEAR(F$5),'Operating model'!$C$36,0),)</f>
        <v>0</v>
      </c>
      <c r="G41" s="76">
        <f>IF(Dashboard!$C$36=Lists!$B$4,IF(Dashboard!$C$35&lt;=YEAR(G$5),'Operating model'!$C$36,0),)</f>
        <v>0</v>
      </c>
      <c r="H41" s="76">
        <f>IF(Dashboard!$C$36=Lists!$B$4,IF(Dashboard!$C$35&lt;=YEAR(H$5),'Operating model'!$C$36,0),)</f>
        <v>0</v>
      </c>
      <c r="I41" s="76">
        <f>IF(Dashboard!$C$36=Lists!$B$4,IF(Dashboard!$C$35&lt;=YEAR(I$5),'Operating model'!$C$36,0),)</f>
        <v>0</v>
      </c>
      <c r="J41" s="76">
        <f>IF(Dashboard!$C$36=Lists!$B$4,IF(Dashboard!$C$35&lt;=YEAR(J$5),'Operating model'!$C$36,0),)</f>
        <v>0</v>
      </c>
      <c r="K41" s="76">
        <f>IF(Dashboard!$C$36=Lists!$B$4,IF(Dashboard!$C$35&lt;=YEAR(K$5),'Operating model'!$C$36,0),)</f>
        <v>0</v>
      </c>
      <c r="L41" s="76">
        <f>IF(Dashboard!$C$36=Lists!$B$4,IF(Dashboard!$C$35&lt;=YEAR(L$5),'Operating model'!$C$36,0),)</f>
        <v>0</v>
      </c>
      <c r="M41" s="76">
        <f>IF(Dashboard!$C$36=Lists!$B$4,IF(Dashboard!$C$35&lt;=YEAR(M$5),'Operating model'!$C$36,0),)</f>
        <v>0</v>
      </c>
      <c r="N41" s="76">
        <f>IF(Dashboard!$C$36=Lists!$B$4,IF(Dashboard!$C$35&lt;=YEAR(N$5),'Operating model'!$C$36,0),)</f>
        <v>0</v>
      </c>
      <c r="O41" s="76">
        <f>IF(Dashboard!$C$36=Lists!$B$4,IF(Dashboard!$C$35&lt;=YEAR(O$5),'Operating model'!$C$36,0),)</f>
        <v>0</v>
      </c>
      <c r="P41" s="76">
        <f>IF(Dashboard!$C$36=Lists!$B$4,IF(Dashboard!$C$35&lt;=YEAR(P$5),'Operating model'!$C$36,0),)</f>
        <v>0</v>
      </c>
      <c r="Q41" s="76">
        <f>IF(Dashboard!$C$36=Lists!$B$4,IF(Dashboard!$C$35&lt;=YEAR(Q$5),'Operating model'!$C$36,0),)</f>
        <v>0</v>
      </c>
      <c r="R41" s="76">
        <f>IF(Dashboard!$C$36=Lists!$B$4,IF(Dashboard!$C$35&lt;=YEAR(R$5),'Operating model'!$C$36,0),)</f>
        <v>0</v>
      </c>
      <c r="S41" s="76">
        <f>IF(Dashboard!$C$36=Lists!$B$4,IF(Dashboard!$C$35&lt;=YEAR(S$5),'Operating model'!$C$36,0),)</f>
        <v>0</v>
      </c>
      <c r="T41" s="76">
        <f>IF(Dashboard!$C$36=Lists!$B$4,IF(Dashboard!$C$35&lt;=YEAR(T$5),'Operating model'!$C$36,0),)</f>
        <v>0</v>
      </c>
      <c r="U41" s="76">
        <f>IF(Dashboard!$C$36=Lists!$B$4,IF(Dashboard!$C$35&lt;=YEAR(U$5),'Operating model'!$C$36,0),)</f>
        <v>0</v>
      </c>
      <c r="V41" s="76">
        <f>IF(Dashboard!$C$36=Lists!$B$4,IF(Dashboard!$C$35&lt;=YEAR(V$5),'Operating model'!$C$36,0),)</f>
        <v>0</v>
      </c>
      <c r="W41" s="76">
        <f>IF(Dashboard!$C$36=Lists!$B$4,IF(Dashboard!$C$35&lt;=YEAR(W$5),'Operating model'!$C$36,0),)</f>
        <v>0</v>
      </c>
      <c r="X41" s="76">
        <f>IF(Dashboard!$C$36=Lists!$B$4,IF(Dashboard!$C$35&lt;=YEAR(X$5),'Operating model'!$C$36,0),)</f>
        <v>0</v>
      </c>
      <c r="Y41" s="76">
        <f>IF(Dashboard!$C$36=Lists!$B$4,IF(Dashboard!$C$35&lt;=YEAR(Y$5),'Operating model'!$C$36,0),)</f>
        <v>0</v>
      </c>
      <c r="Z41" s="76">
        <f>IF(Dashboard!$C$36=Lists!$B$4,IF(Dashboard!$C$35&lt;=YEAR(Z$5),'Operating model'!$C$36,0),)</f>
        <v>0</v>
      </c>
      <c r="AA41" s="76">
        <f>IF(Dashboard!$C$36=Lists!$B$4,IF(Dashboard!$C$35&lt;=YEAR(AA$5),'Operating model'!$C$36,0),)</f>
        <v>0</v>
      </c>
      <c r="AB41" s="76">
        <f>IF(Dashboard!$C$36=Lists!$B$4,IF(Dashboard!$C$35&lt;=YEAR(AB$5),'Operating model'!$C$36,0),)</f>
        <v>0</v>
      </c>
      <c r="AC41" s="76">
        <f>IF(Dashboard!$C$36=Lists!$B$4,IF(Dashboard!$C$35&lt;=YEAR(AC$5),'Operating model'!$C$36,0),)</f>
        <v>0</v>
      </c>
      <c r="AD41" s="76">
        <f>IF(Dashboard!$C$36=Lists!$B$4,IF(Dashboard!$C$35&lt;=YEAR(AD$5),'Operating model'!$C$36,0),)</f>
        <v>0</v>
      </c>
      <c r="AE41" s="76">
        <f>IF(Dashboard!$C$36=Lists!$B$4,IF(Dashboard!$C$35&lt;=YEAR(AE$5),'Operating model'!$C$36,0),)</f>
        <v>0</v>
      </c>
      <c r="AF41" s="76">
        <f>IF(Dashboard!$C$36=Lists!$B$4,IF(Dashboard!$C$35&lt;=YEAR(AF$5),'Operating model'!$C$36,0),)</f>
        <v>0</v>
      </c>
      <c r="AG41" s="76">
        <f>IF(Dashboard!$C$36=Lists!$B$4,IF(Dashboard!$C$35&lt;=YEAR(AG$5),'Operating model'!$C$36,0),)</f>
        <v>0</v>
      </c>
      <c r="AH41" s="76">
        <f>IF(Dashboard!$C$36=Lists!$B$4,IF(Dashboard!$C$35&lt;=YEAR(AH$5),'Operating model'!$C$36,0),)</f>
        <v>0</v>
      </c>
      <c r="AI41" s="76">
        <f>IF(Dashboard!$C$36=Lists!$B$4,IF(Dashboard!$C$35&lt;=YEAR(AI$5),'Operating model'!$C$36,0),)</f>
        <v>0</v>
      </c>
      <c r="AJ41" s="76">
        <f>IF(Dashboard!$C$36=Lists!$B$4,IF(Dashboard!$C$35&lt;=YEAR(AJ$5),'Operating model'!$C$36,0),)</f>
        <v>0</v>
      </c>
      <c r="AK41" s="76">
        <f>IF(Dashboard!$C$36=Lists!$B$4,IF(Dashboard!$C$35&lt;=YEAR(AK$5),'Operating model'!$C$36,0),)</f>
        <v>0</v>
      </c>
      <c r="AL41" s="76">
        <f>IF(Dashboard!$C$36=Lists!$B$4,IF(Dashboard!$C$35&lt;=YEAR(AL$5),'Operating model'!$C$36,0),)</f>
        <v>0</v>
      </c>
      <c r="AM41" s="76">
        <f>IF(Dashboard!$C$36=Lists!$B$4,IF(Dashboard!$C$35&lt;=YEAR(AM$5),'Operating model'!$C$36,0),)</f>
        <v>0</v>
      </c>
      <c r="AN41" s="76">
        <f>IF(Dashboard!$C$36=Lists!$B$4,IF(Dashboard!$C$35&lt;=YEAR(AN$5),'Operating model'!$C$36,0),)</f>
        <v>0</v>
      </c>
      <c r="AO41" s="76">
        <f>IF(Dashboard!$C$36=Lists!$B$4,IF(Dashboard!$C$35&lt;=YEAR(AO$5),'Operating model'!$C$36,0),)</f>
        <v>0</v>
      </c>
      <c r="AP41" s="76">
        <f>IF(Dashboard!$C$36=Lists!$B$4,IF(Dashboard!$C$35&lt;=YEAR(AP$5),'Operating model'!$C$36,0),)</f>
        <v>0</v>
      </c>
      <c r="AQ41" s="76">
        <f>IF(Dashboard!$C$36=Lists!$B$4,IF(Dashboard!$C$35&lt;=YEAR(AQ$5),'Operating model'!$C$36,0),)</f>
        <v>0</v>
      </c>
      <c r="AR41" s="76">
        <f>IF(Dashboard!$C$36=Lists!$B$4,IF(Dashboard!$C$35&lt;=YEAR(AR$5),'Operating model'!$C$36,0),)</f>
        <v>0</v>
      </c>
      <c r="AS41" s="76">
        <f>IF(Dashboard!$C$36=Lists!$B$4,IF(Dashboard!$C$35&lt;=YEAR(AS$5),'Operating model'!$C$36,0),)</f>
        <v>0</v>
      </c>
      <c r="AT41" s="76">
        <f>IF(Dashboard!$C$36=Lists!$B$4,IF(Dashboard!$C$35&lt;=YEAR(AT$5),'Operating model'!$C$36,0),)</f>
        <v>0</v>
      </c>
      <c r="AU41" s="76">
        <f>IF(Dashboard!$C$36=Lists!$B$4,IF(Dashboard!$C$35&lt;=YEAR(AU$5),'Operating model'!$C$36,0),)</f>
        <v>0</v>
      </c>
      <c r="AV41" s="76">
        <f>IF(Dashboard!$C$36=Lists!$B$4,IF(Dashboard!$C$35&lt;=YEAR(AV$5),'Operating model'!$C$36,0),)</f>
        <v>0</v>
      </c>
      <c r="AW41" s="76">
        <f>IF(Dashboard!$C$36=Lists!$B$4,IF(Dashboard!$C$35&lt;=YEAR(AW$5),'Operating model'!$C$36,0),)</f>
        <v>0</v>
      </c>
      <c r="AX41" s="76">
        <f>IF(Dashboard!$C$36=Lists!$B$4,IF(Dashboard!$C$35&lt;=YEAR(AX$5),'Operating model'!$C$36,0),)</f>
        <v>0</v>
      </c>
      <c r="AY41" s="76">
        <f>IF(Dashboard!$C$36=Lists!$B$4,IF(Dashboard!$C$35&lt;=YEAR(AY$5),'Operating model'!$C$36,0),)</f>
        <v>0</v>
      </c>
      <c r="AZ41" s="76">
        <f>IF(Dashboard!$C$36=Lists!$B$4,IF(Dashboard!$C$35&lt;=YEAR(AZ$5),'Operating model'!$C$36,0),)</f>
        <v>0</v>
      </c>
      <c r="BA41" s="76">
        <f>IF(Dashboard!$C$36=Lists!$B$4,IF(Dashboard!$C$35&lt;=YEAR(BA$5),'Operating model'!$C$36,0),)</f>
        <v>0</v>
      </c>
      <c r="BB41" s="76">
        <f>IF(Dashboard!$C$36=Lists!$B$4,IF(Dashboard!$C$35&lt;=YEAR(BB$5),'Operating model'!$C$36,0),)</f>
        <v>0</v>
      </c>
      <c r="BC41" s="76">
        <f>IF(Dashboard!$C$36=Lists!$B$4,IF(Dashboard!$C$35&lt;=YEAR(BC$5),'Operating model'!$C$36,0),)</f>
        <v>0</v>
      </c>
      <c r="BD41" s="76">
        <f>IF(Dashboard!$C$36=Lists!$B$4,IF(Dashboard!$C$35&lt;=YEAR(BD$5),'Operating model'!$C$36,0),)</f>
        <v>0</v>
      </c>
      <c r="BE41" s="76">
        <f>IF(Dashboard!$C$36=Lists!$B$4,IF(Dashboard!$C$35&lt;=YEAR(BE$5),'Operating model'!$C$36,0),)</f>
        <v>0</v>
      </c>
      <c r="BF41" s="76">
        <f>IF(Dashboard!$C$36=Lists!$B$4,IF(Dashboard!$C$35&lt;=YEAR(BF$5),'Operating model'!$C$36,0),)</f>
        <v>0</v>
      </c>
      <c r="BG41" s="76">
        <f>IF(Dashboard!$C$36=Lists!$B$4,IF(Dashboard!$C$35&lt;=YEAR(BG$5),'Operating model'!$C$36,0),)</f>
        <v>0</v>
      </c>
      <c r="BH41" s="76">
        <f>IF(Dashboard!$C$36=Lists!$B$4,IF(Dashboard!$C$35&lt;=YEAR(BH$5),'Operating model'!$C$36,0),)</f>
        <v>0</v>
      </c>
      <c r="BI41" s="76">
        <f>IF(Dashboard!$C$36=Lists!$B$4,IF(Dashboard!$C$35&lt;=YEAR(BI$5),'Operating model'!$C$36,0),)</f>
        <v>0</v>
      </c>
      <c r="BJ41" s="76">
        <f>IF(Dashboard!$C$36=Lists!$B$4,IF(Dashboard!$C$35&lt;=YEAR(BJ$5),'Operating model'!$C$36,0),)</f>
        <v>0</v>
      </c>
      <c r="BK41" s="76">
        <f>IF(Dashboard!$C$36=Lists!$B$4,IF(Dashboard!$C$35&lt;=YEAR(BK$5),'Operating model'!$C$36,0),)</f>
        <v>0</v>
      </c>
      <c r="BL41" s="76">
        <f>IF(Dashboard!$C$36=Lists!$B$4,IF(Dashboard!$C$35&lt;=YEAR(BL$5),'Operating model'!$C$36,0),)</f>
        <v>0</v>
      </c>
    </row>
    <row r="42" spans="2:64">
      <c r="B42" s="146"/>
    </row>
    <row r="43" spans="2:64">
      <c r="B43" s="212" t="s">
        <v>151</v>
      </c>
    </row>
    <row r="44" spans="2:64">
      <c r="B44" s="146" t="s">
        <v>416</v>
      </c>
      <c r="E44" s="100" t="e">
        <f>E16+E36</f>
        <v>#REF!</v>
      </c>
      <c r="F44" s="100" t="e">
        <f>F16+F36</f>
        <v>#REF!</v>
      </c>
      <c r="G44" s="100" t="e">
        <f>G16+G36</f>
        <v>#REF!</v>
      </c>
      <c r="H44" s="100" t="e">
        <f>H16+H36</f>
        <v>#REF!</v>
      </c>
      <c r="I44" s="100" t="e">
        <f>I16+I36</f>
        <v>#REF!</v>
      </c>
      <c r="J44" s="100" t="e">
        <f>J16+J36</f>
        <v>#REF!</v>
      </c>
      <c r="K44" s="100" t="e">
        <f>K16+K36</f>
        <v>#REF!</v>
      </c>
      <c r="L44" s="100" t="e">
        <f>L16+L36</f>
        <v>#REF!</v>
      </c>
      <c r="M44" s="100" t="e">
        <f>M16+M36</f>
        <v>#REF!</v>
      </c>
      <c r="N44" s="100" t="e">
        <f>N16+N36</f>
        <v>#REF!</v>
      </c>
      <c r="O44" s="100" t="e">
        <f>O16+O36</f>
        <v>#REF!</v>
      </c>
      <c r="P44" s="100" t="e">
        <f>P16+P36</f>
        <v>#REF!</v>
      </c>
      <c r="Q44" s="100" t="e">
        <f>Q16+Q36</f>
        <v>#REF!</v>
      </c>
      <c r="R44" s="100" t="e">
        <f>R16+R36</f>
        <v>#REF!</v>
      </c>
      <c r="S44" s="100" t="e">
        <f>S16+S36</f>
        <v>#REF!</v>
      </c>
      <c r="T44" s="100" t="e">
        <f>T16+T36</f>
        <v>#REF!</v>
      </c>
      <c r="U44" s="100" t="e">
        <f>U16+U36</f>
        <v>#REF!</v>
      </c>
      <c r="V44" s="100" t="e">
        <f>V16+V36</f>
        <v>#REF!</v>
      </c>
      <c r="W44" s="100" t="e">
        <f>W16+W36</f>
        <v>#REF!</v>
      </c>
      <c r="X44" s="100" t="e">
        <f>X16+X36</f>
        <v>#REF!</v>
      </c>
      <c r="Y44" s="100" t="e">
        <f>Y16+Y36</f>
        <v>#REF!</v>
      </c>
      <c r="Z44" s="100" t="e">
        <f>Z16+Z36</f>
        <v>#REF!</v>
      </c>
      <c r="AA44" s="100" t="e">
        <f>AA16+AA36</f>
        <v>#REF!</v>
      </c>
      <c r="AB44" s="100" t="e">
        <f>AB16+AB36</f>
        <v>#REF!</v>
      </c>
      <c r="AC44" s="100" t="e">
        <f>AC16+AC36</f>
        <v>#REF!</v>
      </c>
      <c r="AD44" s="100" t="e">
        <f>AD16+AD36</f>
        <v>#REF!</v>
      </c>
      <c r="AE44" s="100" t="e">
        <f>AE16+AE36</f>
        <v>#REF!</v>
      </c>
      <c r="AF44" s="100" t="e">
        <f>AF16+AF36</f>
        <v>#REF!</v>
      </c>
      <c r="AG44" s="100" t="e">
        <f>AG16+AG36</f>
        <v>#REF!</v>
      </c>
      <c r="AH44" s="100" t="e">
        <f>AH16+AH36</f>
        <v>#REF!</v>
      </c>
      <c r="AI44" s="100" t="e">
        <f>AI16+AI36</f>
        <v>#REF!</v>
      </c>
      <c r="AJ44" s="100" t="e">
        <f>AJ16+AJ36</f>
        <v>#REF!</v>
      </c>
      <c r="AK44" s="100" t="e">
        <f>AK16+AK36</f>
        <v>#REF!</v>
      </c>
      <c r="AL44" s="100" t="e">
        <f>AL16+AL36</f>
        <v>#REF!</v>
      </c>
      <c r="AM44" s="100" t="e">
        <f>AM16+AM36</f>
        <v>#REF!</v>
      </c>
      <c r="AN44" s="100" t="e">
        <f>AN16+AN36</f>
        <v>#REF!</v>
      </c>
      <c r="AO44" s="100" t="e">
        <f>AO16+AO36</f>
        <v>#REF!</v>
      </c>
      <c r="AP44" s="100" t="e">
        <f>AP16+AP36</f>
        <v>#REF!</v>
      </c>
      <c r="AQ44" s="100" t="e">
        <f>AQ16+AQ36</f>
        <v>#REF!</v>
      </c>
      <c r="AR44" s="100" t="e">
        <f>AR16+AR36</f>
        <v>#REF!</v>
      </c>
      <c r="AS44" s="100" t="e">
        <f>AS16+AS36</f>
        <v>#REF!</v>
      </c>
      <c r="AT44" s="100" t="e">
        <f>AT16+AT36</f>
        <v>#REF!</v>
      </c>
      <c r="AU44" s="100" t="e">
        <f>AU16+AU36</f>
        <v>#REF!</v>
      </c>
      <c r="AV44" s="100" t="e">
        <f>AV16+AV36</f>
        <v>#REF!</v>
      </c>
      <c r="AW44" s="100" t="e">
        <f>AW16+AW36</f>
        <v>#REF!</v>
      </c>
      <c r="AX44" s="100" t="e">
        <f>AX16+AX36</f>
        <v>#REF!</v>
      </c>
      <c r="AY44" s="100" t="e">
        <f>AY16+AY36</f>
        <v>#REF!</v>
      </c>
      <c r="AZ44" s="100" t="e">
        <f>AZ16+AZ36</f>
        <v>#REF!</v>
      </c>
      <c r="BA44" s="100" t="e">
        <f>BA16+BA36</f>
        <v>#REF!</v>
      </c>
      <c r="BB44" s="100" t="e">
        <f>BB16+BB36</f>
        <v>#REF!</v>
      </c>
      <c r="BC44" s="100" t="e">
        <f>BC16+BC36</f>
        <v>#REF!</v>
      </c>
      <c r="BD44" s="100" t="e">
        <f>BD16+BD36</f>
        <v>#REF!</v>
      </c>
      <c r="BE44" s="100" t="e">
        <f>BE16+BE36</f>
        <v>#REF!</v>
      </c>
      <c r="BF44" s="100" t="e">
        <f>BF16+BF36</f>
        <v>#REF!</v>
      </c>
      <c r="BG44" s="100" t="e">
        <f>BG16+BG36</f>
        <v>#REF!</v>
      </c>
      <c r="BH44" s="100" t="e">
        <f>BH16+BH36</f>
        <v>#REF!</v>
      </c>
      <c r="BI44" s="100" t="e">
        <f>BI16+BI36</f>
        <v>#REF!</v>
      </c>
      <c r="BJ44" s="100" t="e">
        <f>BJ16+BJ36</f>
        <v>#REF!</v>
      </c>
      <c r="BK44" s="100" t="e">
        <f>BK16+BK36</f>
        <v>#REF!</v>
      </c>
      <c r="BL44" s="100" t="e">
        <f>BL16+BL36</f>
        <v>#REF!</v>
      </c>
    </row>
    <row r="45" spans="2:64">
      <c r="B45" s="146" t="s">
        <v>417</v>
      </c>
      <c r="E45" s="100" t="e">
        <f>E17+E37</f>
        <v>#REF!</v>
      </c>
      <c r="F45" s="100" t="e">
        <f>F17+F37</f>
        <v>#REF!</v>
      </c>
      <c r="G45" s="100" t="e">
        <f>G17+G37</f>
        <v>#REF!</v>
      </c>
      <c r="H45" s="100" t="e">
        <f>H17+H37</f>
        <v>#REF!</v>
      </c>
      <c r="I45" s="100" t="e">
        <f>I17+I37</f>
        <v>#REF!</v>
      </c>
      <c r="J45" s="100" t="e">
        <f>J17+J37</f>
        <v>#REF!</v>
      </c>
      <c r="K45" s="100" t="e">
        <f>K17+K37</f>
        <v>#REF!</v>
      </c>
      <c r="L45" s="100" t="e">
        <f>L17+L37</f>
        <v>#REF!</v>
      </c>
      <c r="M45" s="100" t="e">
        <f>M17+M37</f>
        <v>#REF!</v>
      </c>
      <c r="N45" s="100" t="e">
        <f>N17+N37</f>
        <v>#REF!</v>
      </c>
      <c r="O45" s="100" t="e">
        <f>O17+O37</f>
        <v>#REF!</v>
      </c>
      <c r="P45" s="100" t="e">
        <f>P17+P37</f>
        <v>#REF!</v>
      </c>
      <c r="Q45" s="100" t="e">
        <f>Q17+Q37</f>
        <v>#REF!</v>
      </c>
      <c r="R45" s="100" t="e">
        <f>R17+R37</f>
        <v>#REF!</v>
      </c>
      <c r="S45" s="100" t="e">
        <f>S17+S37</f>
        <v>#REF!</v>
      </c>
      <c r="T45" s="100" t="e">
        <f>T17+T37</f>
        <v>#REF!</v>
      </c>
      <c r="U45" s="100" t="e">
        <f>U17+U37</f>
        <v>#REF!</v>
      </c>
      <c r="V45" s="100" t="e">
        <f>V17+V37</f>
        <v>#REF!</v>
      </c>
      <c r="W45" s="100" t="e">
        <f>W17+W37</f>
        <v>#REF!</v>
      </c>
      <c r="X45" s="100" t="e">
        <f>X17+X37</f>
        <v>#REF!</v>
      </c>
      <c r="Y45" s="100" t="e">
        <f>Y17+Y37</f>
        <v>#REF!</v>
      </c>
      <c r="Z45" s="100" t="e">
        <f>Z17+Z37</f>
        <v>#REF!</v>
      </c>
      <c r="AA45" s="100" t="e">
        <f>AA17+AA37</f>
        <v>#REF!</v>
      </c>
      <c r="AB45" s="100" t="e">
        <f>AB17+AB37</f>
        <v>#REF!</v>
      </c>
      <c r="AC45" s="100" t="e">
        <f>AC17+AC37</f>
        <v>#REF!</v>
      </c>
      <c r="AD45" s="100" t="e">
        <f>AD17+AD37</f>
        <v>#REF!</v>
      </c>
      <c r="AE45" s="100" t="e">
        <f>AE17+AE37</f>
        <v>#REF!</v>
      </c>
      <c r="AF45" s="100" t="e">
        <f>AF17+AF37</f>
        <v>#REF!</v>
      </c>
      <c r="AG45" s="100" t="e">
        <f>AG17+AG37</f>
        <v>#REF!</v>
      </c>
      <c r="AH45" s="100" t="e">
        <f>AH17+AH37</f>
        <v>#REF!</v>
      </c>
      <c r="AI45" s="100" t="e">
        <f>AI17+AI37</f>
        <v>#REF!</v>
      </c>
      <c r="AJ45" s="100" t="e">
        <f>AJ17+AJ37</f>
        <v>#REF!</v>
      </c>
      <c r="AK45" s="100" t="e">
        <f>AK17+AK37</f>
        <v>#REF!</v>
      </c>
      <c r="AL45" s="100" t="e">
        <f>AL17+AL37</f>
        <v>#REF!</v>
      </c>
      <c r="AM45" s="100" t="e">
        <f>AM17+AM37</f>
        <v>#REF!</v>
      </c>
      <c r="AN45" s="100" t="e">
        <f>AN17+AN37</f>
        <v>#REF!</v>
      </c>
      <c r="AO45" s="100" t="e">
        <f>AO17+AO37</f>
        <v>#REF!</v>
      </c>
      <c r="AP45" s="100" t="e">
        <f>AP17+AP37</f>
        <v>#REF!</v>
      </c>
      <c r="AQ45" s="100" t="e">
        <f>AQ17+AQ37</f>
        <v>#REF!</v>
      </c>
      <c r="AR45" s="100" t="e">
        <f>AR17+AR37</f>
        <v>#REF!</v>
      </c>
      <c r="AS45" s="100" t="e">
        <f>AS17+AS37</f>
        <v>#REF!</v>
      </c>
      <c r="AT45" s="100" t="e">
        <f>AT17+AT37</f>
        <v>#REF!</v>
      </c>
      <c r="AU45" s="100" t="e">
        <f>AU17+AU37</f>
        <v>#REF!</v>
      </c>
      <c r="AV45" s="100" t="e">
        <f>AV17+AV37</f>
        <v>#REF!</v>
      </c>
      <c r="AW45" s="100" t="e">
        <f>AW17+AW37</f>
        <v>#REF!</v>
      </c>
      <c r="AX45" s="100" t="e">
        <f>AX17+AX37</f>
        <v>#REF!</v>
      </c>
      <c r="AY45" s="100" t="e">
        <f>AY17+AY37</f>
        <v>#REF!</v>
      </c>
      <c r="AZ45" s="100" t="e">
        <f>AZ17+AZ37</f>
        <v>#REF!</v>
      </c>
      <c r="BA45" s="100" t="e">
        <f>BA17+BA37</f>
        <v>#REF!</v>
      </c>
      <c r="BB45" s="100" t="e">
        <f>BB17+BB37</f>
        <v>#REF!</v>
      </c>
      <c r="BC45" s="100" t="e">
        <f>BC17+BC37</f>
        <v>#REF!</v>
      </c>
      <c r="BD45" s="100" t="e">
        <f>BD17+BD37</f>
        <v>#REF!</v>
      </c>
      <c r="BE45" s="100" t="e">
        <f>BE17+BE37</f>
        <v>#REF!</v>
      </c>
      <c r="BF45" s="100" t="e">
        <f>BF17+BF37</f>
        <v>#REF!</v>
      </c>
      <c r="BG45" s="100" t="e">
        <f>BG17+BG37</f>
        <v>#REF!</v>
      </c>
      <c r="BH45" s="100" t="e">
        <f>BH17+BH37</f>
        <v>#REF!</v>
      </c>
      <c r="BI45" s="100" t="e">
        <f>BI17+BI37</f>
        <v>#REF!</v>
      </c>
      <c r="BJ45" s="100" t="e">
        <f>BJ17+BJ37</f>
        <v>#REF!</v>
      </c>
      <c r="BK45" s="100" t="e">
        <f>BK17+BK37</f>
        <v>#REF!</v>
      </c>
      <c r="BL45" s="100" t="e">
        <f>BL17+BL37</f>
        <v>#REF!</v>
      </c>
    </row>
    <row r="46" spans="2:64">
      <c r="B46" s="146" t="s">
        <v>427</v>
      </c>
      <c r="E46" s="100" t="e">
        <f>E44+E45</f>
        <v>#REF!</v>
      </c>
      <c r="F46" s="100" t="e">
        <f>F44+F45</f>
        <v>#REF!</v>
      </c>
      <c r="G46" s="100" t="e">
        <f>G44+G45</f>
        <v>#REF!</v>
      </c>
      <c r="H46" s="100" t="e">
        <f>H44+H45</f>
        <v>#REF!</v>
      </c>
      <c r="I46" s="100" t="e">
        <f>I44+I45</f>
        <v>#REF!</v>
      </c>
      <c r="J46" s="100" t="e">
        <f>J44+J45</f>
        <v>#REF!</v>
      </c>
      <c r="K46" s="100" t="e">
        <f>K44+K45</f>
        <v>#REF!</v>
      </c>
      <c r="L46" s="100" t="e">
        <f>L44+L45</f>
        <v>#REF!</v>
      </c>
      <c r="M46" s="100" t="e">
        <f>M44+M45</f>
        <v>#REF!</v>
      </c>
      <c r="N46" s="100" t="e">
        <f>N44+N45</f>
        <v>#REF!</v>
      </c>
      <c r="O46" s="100" t="e">
        <f>O44+O45</f>
        <v>#REF!</v>
      </c>
      <c r="P46" s="100" t="e">
        <f>P44+P45</f>
        <v>#REF!</v>
      </c>
      <c r="Q46" s="100" t="e">
        <f>Q44+Q45</f>
        <v>#REF!</v>
      </c>
      <c r="R46" s="100" t="e">
        <f>R44+R45</f>
        <v>#REF!</v>
      </c>
      <c r="S46" s="100" t="e">
        <f>S44+S45</f>
        <v>#REF!</v>
      </c>
      <c r="T46" s="100" t="e">
        <f>T44+T45</f>
        <v>#REF!</v>
      </c>
      <c r="U46" s="100" t="e">
        <f>U44+U45</f>
        <v>#REF!</v>
      </c>
      <c r="V46" s="100" t="e">
        <f>V44+V45</f>
        <v>#REF!</v>
      </c>
      <c r="W46" s="100" t="e">
        <f>W44+W45</f>
        <v>#REF!</v>
      </c>
      <c r="X46" s="100" t="e">
        <f>X44+X45</f>
        <v>#REF!</v>
      </c>
      <c r="Y46" s="100" t="e">
        <f>Y44+Y45</f>
        <v>#REF!</v>
      </c>
      <c r="Z46" s="100" t="e">
        <f>Z44+Z45</f>
        <v>#REF!</v>
      </c>
      <c r="AA46" s="100" t="e">
        <f>AA44+AA45</f>
        <v>#REF!</v>
      </c>
      <c r="AB46" s="100" t="e">
        <f>AB44+AB45</f>
        <v>#REF!</v>
      </c>
      <c r="AC46" s="100" t="e">
        <f>AC44+AC45</f>
        <v>#REF!</v>
      </c>
      <c r="AD46" s="100" t="e">
        <f>AD44+AD45</f>
        <v>#REF!</v>
      </c>
      <c r="AE46" s="100" t="e">
        <f>AE44+AE45</f>
        <v>#REF!</v>
      </c>
      <c r="AF46" s="100" t="e">
        <f>AF44+AF45</f>
        <v>#REF!</v>
      </c>
      <c r="AG46" s="100" t="e">
        <f>AG44+AG45</f>
        <v>#REF!</v>
      </c>
      <c r="AH46" s="100" t="e">
        <f>AH44+AH45</f>
        <v>#REF!</v>
      </c>
      <c r="AI46" s="100" t="e">
        <f>AI44+AI45</f>
        <v>#REF!</v>
      </c>
      <c r="AJ46" s="100" t="e">
        <f>AJ44+AJ45</f>
        <v>#REF!</v>
      </c>
      <c r="AK46" s="100" t="e">
        <f>AK44+AK45</f>
        <v>#REF!</v>
      </c>
      <c r="AL46" s="100" t="e">
        <f>AL44+AL45</f>
        <v>#REF!</v>
      </c>
      <c r="AM46" s="100" t="e">
        <f>AM44+AM45</f>
        <v>#REF!</v>
      </c>
      <c r="AN46" s="100" t="e">
        <f>AN44+AN45</f>
        <v>#REF!</v>
      </c>
      <c r="AO46" s="100" t="e">
        <f>AO44+AO45</f>
        <v>#REF!</v>
      </c>
      <c r="AP46" s="100" t="e">
        <f>AP44+AP45</f>
        <v>#REF!</v>
      </c>
      <c r="AQ46" s="100" t="e">
        <f>AQ44+AQ45</f>
        <v>#REF!</v>
      </c>
      <c r="AR46" s="100" t="e">
        <f>AR44+AR45</f>
        <v>#REF!</v>
      </c>
      <c r="AS46" s="100" t="e">
        <f>AS44+AS45</f>
        <v>#REF!</v>
      </c>
      <c r="AT46" s="100" t="e">
        <f>AT44+AT45</f>
        <v>#REF!</v>
      </c>
      <c r="AU46" s="100" t="e">
        <f>AU44+AU45</f>
        <v>#REF!</v>
      </c>
      <c r="AV46" s="100" t="e">
        <f>AV44+AV45</f>
        <v>#REF!</v>
      </c>
      <c r="AW46" s="100" t="e">
        <f>AW44+AW45</f>
        <v>#REF!</v>
      </c>
      <c r="AX46" s="100" t="e">
        <f>AX44+AX45</f>
        <v>#REF!</v>
      </c>
      <c r="AY46" s="100" t="e">
        <f>AY44+AY45</f>
        <v>#REF!</v>
      </c>
      <c r="AZ46" s="100" t="e">
        <f>AZ44+AZ45</f>
        <v>#REF!</v>
      </c>
      <c r="BA46" s="100" t="e">
        <f>BA44+BA45</f>
        <v>#REF!</v>
      </c>
      <c r="BB46" s="100" t="e">
        <f>BB44+BB45</f>
        <v>#REF!</v>
      </c>
      <c r="BC46" s="100" t="e">
        <f>BC44+BC45</f>
        <v>#REF!</v>
      </c>
      <c r="BD46" s="100" t="e">
        <f>BD44+BD45</f>
        <v>#REF!</v>
      </c>
      <c r="BE46" s="100" t="e">
        <f>BE44+BE45</f>
        <v>#REF!</v>
      </c>
      <c r="BF46" s="100" t="e">
        <f>BF44+BF45</f>
        <v>#REF!</v>
      </c>
      <c r="BG46" s="100" t="e">
        <f>BG44+BG45</f>
        <v>#REF!</v>
      </c>
      <c r="BH46" s="100" t="e">
        <f>BH44+BH45</f>
        <v>#REF!</v>
      </c>
      <c r="BI46" s="100" t="e">
        <f>BI44+BI45</f>
        <v>#REF!</v>
      </c>
      <c r="BJ46" s="100" t="e">
        <f>BJ44+BJ45</f>
        <v>#REF!</v>
      </c>
      <c r="BK46" s="100" t="e">
        <f>BK44+BK45</f>
        <v>#REF!</v>
      </c>
      <c r="BL46" s="100" t="e">
        <f>BL44+BL45</f>
        <v>#REF!</v>
      </c>
    </row>
    <row r="47" spans="2:64" ht="6" customHeight="1">
      <c r="B47" s="146"/>
    </row>
    <row r="48" spans="2:64">
      <c r="B48" s="146" t="s">
        <v>430</v>
      </c>
      <c r="E48" s="76" t="e">
        <f>IF(Dashboard!$C$39=Lists!$B$19,'Financial Analysis'!E44,IF(Dashboard!$C$39=Lists!$B$18,('Financial Analysis'!E44/'Technical inputs'!$C$44),0))</f>
        <v>#REF!</v>
      </c>
      <c r="F48" s="76" t="e">
        <f>IF(Dashboard!$C$39=Lists!$B$19,'Financial Analysis'!F44,IF(Dashboard!$C$39=Lists!$B$18,('Financial Analysis'!F44/'Technical inputs'!$C$44),0))</f>
        <v>#REF!</v>
      </c>
      <c r="G48" s="76" t="e">
        <f>IF(Dashboard!$C$39=Lists!$B$19,'Financial Analysis'!G44,IF(Dashboard!$C$39=Lists!$B$18,('Financial Analysis'!G44/'Technical inputs'!$C$44),0))</f>
        <v>#REF!</v>
      </c>
      <c r="H48" s="76" t="e">
        <f>IF(Dashboard!$C$39=Lists!$B$19,'Financial Analysis'!H44,IF(Dashboard!$C$39=Lists!$B$18,('Financial Analysis'!H44/'Technical inputs'!$C$44),0))</f>
        <v>#REF!</v>
      </c>
      <c r="I48" s="76" t="e">
        <f>IF(Dashboard!$C$39=Lists!$B$19,'Financial Analysis'!I44,IF(Dashboard!$C$39=Lists!$B$18,('Financial Analysis'!I44/'Technical inputs'!$C$44),0))</f>
        <v>#REF!</v>
      </c>
      <c r="J48" s="76" t="e">
        <f>IF(Dashboard!$C$39=Lists!$B$19,'Financial Analysis'!J44,IF(Dashboard!$C$39=Lists!$B$18,('Financial Analysis'!J44/'Technical inputs'!$C$44),0))</f>
        <v>#REF!</v>
      </c>
      <c r="K48" s="76" t="e">
        <f>IF(Dashboard!$C$39=Lists!$B$19,'Financial Analysis'!K44,IF(Dashboard!$C$39=Lists!$B$18,('Financial Analysis'!K44/'Technical inputs'!$C$44),0))</f>
        <v>#REF!</v>
      </c>
      <c r="L48" s="76" t="e">
        <f>IF(Dashboard!$C$39=Lists!$B$19,'Financial Analysis'!L44,IF(Dashboard!$C$39=Lists!$B$18,('Financial Analysis'!L44/'Technical inputs'!$C$44),0))</f>
        <v>#REF!</v>
      </c>
      <c r="M48" s="76" t="e">
        <f>IF(Dashboard!$C$39=Lists!$B$19,'Financial Analysis'!M44,IF(Dashboard!$C$39=Lists!$B$18,('Financial Analysis'!M44/'Technical inputs'!$C$44),0))</f>
        <v>#REF!</v>
      </c>
      <c r="N48" s="76" t="e">
        <f>IF(Dashboard!$C$39=Lists!$B$19,'Financial Analysis'!N44,IF(Dashboard!$C$39=Lists!$B$18,('Financial Analysis'!N44/'Technical inputs'!$C$44),0))</f>
        <v>#REF!</v>
      </c>
      <c r="O48" s="76" t="e">
        <f>IF(Dashboard!$C$39=Lists!$B$19,'Financial Analysis'!O44,IF(Dashboard!$C$39=Lists!$B$18,('Financial Analysis'!O44/'Technical inputs'!$C$44),0))</f>
        <v>#REF!</v>
      </c>
      <c r="P48" s="76" t="e">
        <f>IF(Dashboard!$C$39=Lists!$B$19,'Financial Analysis'!P44,IF(Dashboard!$C$39=Lists!$B$18,('Financial Analysis'!P44/'Technical inputs'!$C$44),0))</f>
        <v>#REF!</v>
      </c>
      <c r="Q48" s="76" t="e">
        <f>IF(Dashboard!$C$39=Lists!$B$19,'Financial Analysis'!Q44,IF(Dashboard!$C$39=Lists!$B$18,('Financial Analysis'!Q44/'Technical inputs'!$C$44),0))</f>
        <v>#REF!</v>
      </c>
      <c r="R48" s="76" t="e">
        <f>IF(Dashboard!$C$39=Lists!$B$19,'Financial Analysis'!R44,IF(Dashboard!$C$39=Lists!$B$18,('Financial Analysis'!R44/'Technical inputs'!$C$44),0))</f>
        <v>#REF!</v>
      </c>
      <c r="S48" s="76" t="e">
        <f>IF(Dashboard!$C$39=Lists!$B$19,'Financial Analysis'!S44,IF(Dashboard!$C$39=Lists!$B$18,('Financial Analysis'!S44/'Technical inputs'!$C$44),0))</f>
        <v>#REF!</v>
      </c>
      <c r="T48" s="76" t="e">
        <f>IF(Dashboard!$C$39=Lists!$B$19,'Financial Analysis'!T44,IF(Dashboard!$C$39=Lists!$B$18,('Financial Analysis'!T44/'Technical inputs'!$C$44),0))</f>
        <v>#REF!</v>
      </c>
      <c r="U48" s="76" t="e">
        <f>IF(Dashboard!$C$39=Lists!$B$19,'Financial Analysis'!U44,IF(Dashboard!$C$39=Lists!$B$18,('Financial Analysis'!U44/'Technical inputs'!$C$44),0))</f>
        <v>#REF!</v>
      </c>
      <c r="V48" s="76" t="e">
        <f>IF(Dashboard!$C$39=Lists!$B$19,'Financial Analysis'!V44,IF(Dashboard!$C$39=Lists!$B$18,('Financial Analysis'!V44/'Technical inputs'!$C$44),0))</f>
        <v>#REF!</v>
      </c>
      <c r="W48" s="76" t="e">
        <f>IF(Dashboard!$C$39=Lists!$B$19,'Financial Analysis'!W44,IF(Dashboard!$C$39=Lists!$B$18,('Financial Analysis'!W44/'Technical inputs'!$C$44),0))</f>
        <v>#REF!</v>
      </c>
      <c r="X48" s="76" t="e">
        <f>IF(Dashboard!$C$39=Lists!$B$19,'Financial Analysis'!X44,IF(Dashboard!$C$39=Lists!$B$18,('Financial Analysis'!X44/'Technical inputs'!$C$44),0))</f>
        <v>#REF!</v>
      </c>
      <c r="Y48" s="76" t="e">
        <f>IF(Dashboard!$C$39=Lists!$B$19,'Financial Analysis'!Y44,IF(Dashboard!$C$39=Lists!$B$18,('Financial Analysis'!Y44/'Technical inputs'!$C$44),0))</f>
        <v>#REF!</v>
      </c>
      <c r="Z48" s="76" t="e">
        <f>IF(Dashboard!$C$39=Lists!$B$19,'Financial Analysis'!Z44,IF(Dashboard!$C$39=Lists!$B$18,('Financial Analysis'!Z44/'Technical inputs'!$C$44),0))</f>
        <v>#REF!</v>
      </c>
      <c r="AA48" s="76" t="e">
        <f>IF(Dashboard!$C$39=Lists!$B$19,'Financial Analysis'!AA44,IF(Dashboard!$C$39=Lists!$B$18,('Financial Analysis'!AA44/'Technical inputs'!$C$44),0))</f>
        <v>#REF!</v>
      </c>
      <c r="AB48" s="76" t="e">
        <f>IF(Dashboard!$C$39=Lists!$B$19,'Financial Analysis'!AB44,IF(Dashboard!$C$39=Lists!$B$18,('Financial Analysis'!AB44/'Technical inputs'!$C$44),0))</f>
        <v>#REF!</v>
      </c>
      <c r="AC48" s="76" t="e">
        <f>IF(Dashboard!$C$39=Lists!$B$19,'Financial Analysis'!AC44,IF(Dashboard!$C$39=Lists!$B$18,('Financial Analysis'!AC44/'Technical inputs'!$C$44),0))</f>
        <v>#REF!</v>
      </c>
      <c r="AD48" s="76" t="e">
        <f>IF(Dashboard!$C$39=Lists!$B$19,'Financial Analysis'!AD44,IF(Dashboard!$C$39=Lists!$B$18,('Financial Analysis'!AD44/'Technical inputs'!$C$44),0))</f>
        <v>#REF!</v>
      </c>
      <c r="AE48" s="76" t="e">
        <f>IF(Dashboard!$C$39=Lists!$B$19,'Financial Analysis'!AE44,IF(Dashboard!$C$39=Lists!$B$18,('Financial Analysis'!AE44/'Technical inputs'!$C$44),0))</f>
        <v>#REF!</v>
      </c>
      <c r="AF48" s="76" t="e">
        <f>IF(Dashboard!$C$39=Lists!$B$19,'Financial Analysis'!AF44,IF(Dashboard!$C$39=Lists!$B$18,('Financial Analysis'!AF44/'Technical inputs'!$C$44),0))</f>
        <v>#REF!</v>
      </c>
      <c r="AG48" s="76" t="e">
        <f>IF(Dashboard!$C$39=Lists!$B$19,'Financial Analysis'!AG44,IF(Dashboard!$C$39=Lists!$B$18,('Financial Analysis'!AG44/'Technical inputs'!$C$44),0))</f>
        <v>#REF!</v>
      </c>
      <c r="AH48" s="76" t="e">
        <f>IF(Dashboard!$C$39=Lists!$B$19,'Financial Analysis'!AH44,IF(Dashboard!$C$39=Lists!$B$18,('Financial Analysis'!AH44/'Technical inputs'!$C$44),0))</f>
        <v>#REF!</v>
      </c>
      <c r="AI48" s="76" t="e">
        <f>IF(Dashboard!$C$39=Lists!$B$19,'Financial Analysis'!AI44,IF(Dashboard!$C$39=Lists!$B$18,('Financial Analysis'!AI44/'Technical inputs'!$C$44),0))</f>
        <v>#REF!</v>
      </c>
      <c r="AJ48" s="76" t="e">
        <f>IF(Dashboard!$C$39=Lists!$B$19,'Financial Analysis'!AJ44,IF(Dashboard!$C$39=Lists!$B$18,('Financial Analysis'!AJ44/'Technical inputs'!$C$44),0))</f>
        <v>#REF!</v>
      </c>
      <c r="AK48" s="76" t="e">
        <f>IF(Dashboard!$C$39=Lists!$B$19,'Financial Analysis'!AK44,IF(Dashboard!$C$39=Lists!$B$18,('Financial Analysis'!AK44/'Technical inputs'!$C$44),0))</f>
        <v>#REF!</v>
      </c>
      <c r="AL48" s="76" t="e">
        <f>IF(Dashboard!$C$39=Lists!$B$19,'Financial Analysis'!AL44,IF(Dashboard!$C$39=Lists!$B$18,('Financial Analysis'!AL44/'Technical inputs'!$C$44),0))</f>
        <v>#REF!</v>
      </c>
      <c r="AM48" s="76" t="e">
        <f>IF(Dashboard!$C$39=Lists!$B$19,'Financial Analysis'!AM44,IF(Dashboard!$C$39=Lists!$B$18,('Financial Analysis'!AM44/'Technical inputs'!$C$44),0))</f>
        <v>#REF!</v>
      </c>
      <c r="AN48" s="76" t="e">
        <f>IF(Dashboard!$C$39=Lists!$B$19,'Financial Analysis'!AN44,IF(Dashboard!$C$39=Lists!$B$18,('Financial Analysis'!AN44/'Technical inputs'!$C$44),0))</f>
        <v>#REF!</v>
      </c>
      <c r="AO48" s="76" t="e">
        <f>IF(Dashboard!$C$39=Lists!$B$19,'Financial Analysis'!AO44,IF(Dashboard!$C$39=Lists!$B$18,('Financial Analysis'!AO44/'Technical inputs'!$C$44),0))</f>
        <v>#REF!</v>
      </c>
      <c r="AP48" s="76" t="e">
        <f>IF(Dashboard!$C$39=Lists!$B$19,'Financial Analysis'!AP44,IF(Dashboard!$C$39=Lists!$B$18,('Financial Analysis'!AP44/'Technical inputs'!$C$44),0))</f>
        <v>#REF!</v>
      </c>
      <c r="AQ48" s="76" t="e">
        <f>IF(Dashboard!$C$39=Lists!$B$19,'Financial Analysis'!AQ44,IF(Dashboard!$C$39=Lists!$B$18,('Financial Analysis'!AQ44/'Technical inputs'!$C$44),0))</f>
        <v>#REF!</v>
      </c>
      <c r="AR48" s="76" t="e">
        <f>IF(Dashboard!$C$39=Lists!$B$19,'Financial Analysis'!AR44,IF(Dashboard!$C$39=Lists!$B$18,('Financial Analysis'!AR44/'Technical inputs'!$C$44),0))</f>
        <v>#REF!</v>
      </c>
      <c r="AS48" s="76" t="e">
        <f>IF(Dashboard!$C$39=Lists!$B$19,'Financial Analysis'!AS44,IF(Dashboard!$C$39=Lists!$B$18,('Financial Analysis'!AS44/'Technical inputs'!$C$44),0))</f>
        <v>#REF!</v>
      </c>
      <c r="AT48" s="76" t="e">
        <f>IF(Dashboard!$C$39=Lists!$B$19,'Financial Analysis'!AT44,IF(Dashboard!$C$39=Lists!$B$18,('Financial Analysis'!AT44/'Technical inputs'!$C$44),0))</f>
        <v>#REF!</v>
      </c>
      <c r="AU48" s="76" t="e">
        <f>IF(Dashboard!$C$39=Lists!$B$19,'Financial Analysis'!AU44,IF(Dashboard!$C$39=Lists!$B$18,('Financial Analysis'!AU44/'Technical inputs'!$C$44),0))</f>
        <v>#REF!</v>
      </c>
      <c r="AV48" s="76" t="e">
        <f>IF(Dashboard!$C$39=Lists!$B$19,'Financial Analysis'!AV44,IF(Dashboard!$C$39=Lists!$B$18,('Financial Analysis'!AV44/'Technical inputs'!$C$44),0))</f>
        <v>#REF!</v>
      </c>
      <c r="AW48" s="76" t="e">
        <f>IF(Dashboard!$C$39=Lists!$B$19,'Financial Analysis'!AW44,IF(Dashboard!$C$39=Lists!$B$18,('Financial Analysis'!AW44/'Technical inputs'!$C$44),0))</f>
        <v>#REF!</v>
      </c>
      <c r="AX48" s="76" t="e">
        <f>IF(Dashboard!$C$39=Lists!$B$19,'Financial Analysis'!AX44,IF(Dashboard!$C$39=Lists!$B$18,('Financial Analysis'!AX44/'Technical inputs'!$C$44),0))</f>
        <v>#REF!</v>
      </c>
      <c r="AY48" s="76" t="e">
        <f>IF(Dashboard!$C$39=Lists!$B$19,'Financial Analysis'!AY44,IF(Dashboard!$C$39=Lists!$B$18,('Financial Analysis'!AY44/'Technical inputs'!$C$44),0))</f>
        <v>#REF!</v>
      </c>
      <c r="AZ48" s="76" t="e">
        <f>IF(Dashboard!$C$39=Lists!$B$19,'Financial Analysis'!AZ44,IF(Dashboard!$C$39=Lists!$B$18,('Financial Analysis'!AZ44/'Technical inputs'!$C$44),0))</f>
        <v>#REF!</v>
      </c>
      <c r="BA48" s="76" t="e">
        <f>IF(Dashboard!$C$39=Lists!$B$19,'Financial Analysis'!BA44,IF(Dashboard!$C$39=Lists!$B$18,('Financial Analysis'!BA44/'Technical inputs'!$C$44),0))</f>
        <v>#REF!</v>
      </c>
      <c r="BB48" s="76" t="e">
        <f>IF(Dashboard!$C$39=Lists!$B$19,'Financial Analysis'!BB44,IF(Dashboard!$C$39=Lists!$B$18,('Financial Analysis'!BB44/'Technical inputs'!$C$44),0))</f>
        <v>#REF!</v>
      </c>
      <c r="BC48" s="76" t="e">
        <f>IF(Dashboard!$C$39=Lists!$B$19,'Financial Analysis'!BC44,IF(Dashboard!$C$39=Lists!$B$18,('Financial Analysis'!BC44/'Technical inputs'!$C$44),0))</f>
        <v>#REF!</v>
      </c>
      <c r="BD48" s="76" t="e">
        <f>IF(Dashboard!$C$39=Lists!$B$19,'Financial Analysis'!BD44,IF(Dashboard!$C$39=Lists!$B$18,('Financial Analysis'!BD44/'Technical inputs'!$C$44),0))</f>
        <v>#REF!</v>
      </c>
      <c r="BE48" s="76" t="e">
        <f>IF(Dashboard!$C$39=Lists!$B$19,'Financial Analysis'!BE44,IF(Dashboard!$C$39=Lists!$B$18,('Financial Analysis'!BE44/'Technical inputs'!$C$44),0))</f>
        <v>#REF!</v>
      </c>
      <c r="BF48" s="76" t="e">
        <f>IF(Dashboard!$C$39=Lists!$B$19,'Financial Analysis'!BF44,IF(Dashboard!$C$39=Lists!$B$18,('Financial Analysis'!BF44/'Technical inputs'!$C$44),0))</f>
        <v>#REF!</v>
      </c>
      <c r="BG48" s="76" t="e">
        <f>IF(Dashboard!$C$39=Lists!$B$19,'Financial Analysis'!BG44,IF(Dashboard!$C$39=Lists!$B$18,('Financial Analysis'!BG44/'Technical inputs'!$C$44),0))</f>
        <v>#REF!</v>
      </c>
      <c r="BH48" s="76" t="e">
        <f>IF(Dashboard!$C$39=Lists!$B$19,'Financial Analysis'!BH44,IF(Dashboard!$C$39=Lists!$B$18,('Financial Analysis'!BH44/'Technical inputs'!$C$44),0))</f>
        <v>#REF!</v>
      </c>
      <c r="BI48" s="76" t="e">
        <f>IF(Dashboard!$C$39=Lists!$B$19,'Financial Analysis'!BI44,IF(Dashboard!$C$39=Lists!$B$18,('Financial Analysis'!BI44/'Technical inputs'!$C$44),0))</f>
        <v>#REF!</v>
      </c>
      <c r="BJ48" s="76" t="e">
        <f>IF(Dashboard!$C$39=Lists!$B$19,'Financial Analysis'!BJ44,IF(Dashboard!$C$39=Lists!$B$18,('Financial Analysis'!BJ44/'Technical inputs'!$C$44),0))</f>
        <v>#REF!</v>
      </c>
      <c r="BK48" s="76" t="e">
        <f>IF(Dashboard!$C$39=Lists!$B$19,'Financial Analysis'!BK44,IF(Dashboard!$C$39=Lists!$B$18,('Financial Analysis'!BK44/'Technical inputs'!$C$44),0))</f>
        <v>#REF!</v>
      </c>
      <c r="BL48" s="76" t="e">
        <f>IF(Dashboard!$C$39=Lists!$B$19,'Financial Analysis'!BL44,IF(Dashboard!$C$39=Lists!$B$18,('Financial Analysis'!BL44/'Technical inputs'!$C$44),0))</f>
        <v>#REF!</v>
      </c>
    </row>
    <row r="49" spans="2:64">
      <c r="B49" s="146" t="s">
        <v>431</v>
      </c>
      <c r="E49" s="76" t="e">
        <f>IF(Dashboard!$C$39=Lists!$B$19,'Financial Analysis'!E45,IF(Dashboard!$C$39=Lists!$B$18,('Financial Analysis'!E45/'Technical inputs'!$C$45),0))</f>
        <v>#REF!</v>
      </c>
      <c r="F49" s="76" t="e">
        <f>IF(Dashboard!$C$39=Lists!$B$19,'Financial Analysis'!F45,IF(Dashboard!$C$39=Lists!$B$18,('Financial Analysis'!F45/'Technical inputs'!$C$45),0))</f>
        <v>#REF!</v>
      </c>
      <c r="G49" s="76" t="e">
        <f>IF(Dashboard!$C$39=Lists!$B$19,'Financial Analysis'!G45,IF(Dashboard!$C$39=Lists!$B$18,('Financial Analysis'!G45/'Technical inputs'!$C$45),0))</f>
        <v>#REF!</v>
      </c>
      <c r="H49" s="76" t="e">
        <f>IF(Dashboard!$C$39=Lists!$B$19,'Financial Analysis'!H45,IF(Dashboard!$C$39=Lists!$B$18,('Financial Analysis'!H45/'Technical inputs'!$C$45),0))</f>
        <v>#REF!</v>
      </c>
      <c r="I49" s="76" t="e">
        <f>IF(Dashboard!$C$39=Lists!$B$19,'Financial Analysis'!I45,IF(Dashboard!$C$39=Lists!$B$18,('Financial Analysis'!I45/'Technical inputs'!$C$45),0))</f>
        <v>#REF!</v>
      </c>
      <c r="J49" s="76" t="e">
        <f>IF(Dashboard!$C$39=Lists!$B$19,'Financial Analysis'!J45,IF(Dashboard!$C$39=Lists!$B$18,('Financial Analysis'!J45/'Technical inputs'!$C$45),0))</f>
        <v>#REF!</v>
      </c>
      <c r="K49" s="76" t="e">
        <f>IF(Dashboard!$C$39=Lists!$B$19,'Financial Analysis'!K45,IF(Dashboard!$C$39=Lists!$B$18,('Financial Analysis'!K45/'Technical inputs'!$C$45),0))</f>
        <v>#REF!</v>
      </c>
      <c r="L49" s="76" t="e">
        <f>IF(Dashboard!$C$39=Lists!$B$19,'Financial Analysis'!L45,IF(Dashboard!$C$39=Lists!$B$18,('Financial Analysis'!L45/'Technical inputs'!$C$45),0))</f>
        <v>#REF!</v>
      </c>
      <c r="M49" s="76" t="e">
        <f>IF(Dashboard!$C$39=Lists!$B$19,'Financial Analysis'!M45,IF(Dashboard!$C$39=Lists!$B$18,('Financial Analysis'!M45/'Technical inputs'!$C$45),0))</f>
        <v>#REF!</v>
      </c>
      <c r="N49" s="76" t="e">
        <f>IF(Dashboard!$C$39=Lists!$B$19,'Financial Analysis'!N45,IF(Dashboard!$C$39=Lists!$B$18,('Financial Analysis'!N45/'Technical inputs'!$C$45),0))</f>
        <v>#REF!</v>
      </c>
      <c r="O49" s="76" t="e">
        <f>IF(Dashboard!$C$39=Lists!$B$19,'Financial Analysis'!O45,IF(Dashboard!$C$39=Lists!$B$18,('Financial Analysis'!O45/'Technical inputs'!$C$45),0))</f>
        <v>#REF!</v>
      </c>
      <c r="P49" s="76" t="e">
        <f>IF(Dashboard!$C$39=Lists!$B$19,'Financial Analysis'!P45,IF(Dashboard!$C$39=Lists!$B$18,('Financial Analysis'!P45/'Technical inputs'!$C$45),0))</f>
        <v>#REF!</v>
      </c>
      <c r="Q49" s="76" t="e">
        <f>IF(Dashboard!$C$39=Lists!$B$19,'Financial Analysis'!Q45,IF(Dashboard!$C$39=Lists!$B$18,('Financial Analysis'!Q45/'Technical inputs'!$C$45),0))</f>
        <v>#REF!</v>
      </c>
      <c r="R49" s="76" t="e">
        <f>IF(Dashboard!$C$39=Lists!$B$19,'Financial Analysis'!R45,IF(Dashboard!$C$39=Lists!$B$18,('Financial Analysis'!R45/'Technical inputs'!$C$45),0))</f>
        <v>#REF!</v>
      </c>
      <c r="S49" s="76" t="e">
        <f>IF(Dashboard!$C$39=Lists!$B$19,'Financial Analysis'!S45,IF(Dashboard!$C$39=Lists!$B$18,('Financial Analysis'!S45/'Technical inputs'!$C$45),0))</f>
        <v>#REF!</v>
      </c>
      <c r="T49" s="76" t="e">
        <f>IF(Dashboard!$C$39=Lists!$B$19,'Financial Analysis'!T45,IF(Dashboard!$C$39=Lists!$B$18,('Financial Analysis'!T45/'Technical inputs'!$C$45),0))</f>
        <v>#REF!</v>
      </c>
      <c r="U49" s="76" t="e">
        <f>IF(Dashboard!$C$39=Lists!$B$19,'Financial Analysis'!U45,IF(Dashboard!$C$39=Lists!$B$18,('Financial Analysis'!U45/'Technical inputs'!$C$45),0))</f>
        <v>#REF!</v>
      </c>
      <c r="V49" s="76" t="e">
        <f>IF(Dashboard!$C$39=Lists!$B$19,'Financial Analysis'!V45,IF(Dashboard!$C$39=Lists!$B$18,('Financial Analysis'!V45/'Technical inputs'!$C$45),0))</f>
        <v>#REF!</v>
      </c>
      <c r="W49" s="76" t="e">
        <f>IF(Dashboard!$C$39=Lists!$B$19,'Financial Analysis'!W45,IF(Dashboard!$C$39=Lists!$B$18,('Financial Analysis'!W45/'Technical inputs'!$C$45),0))</f>
        <v>#REF!</v>
      </c>
      <c r="X49" s="76" t="e">
        <f>IF(Dashboard!$C$39=Lists!$B$19,'Financial Analysis'!X45,IF(Dashboard!$C$39=Lists!$B$18,('Financial Analysis'!X45/'Technical inputs'!$C$45),0))</f>
        <v>#REF!</v>
      </c>
      <c r="Y49" s="76" t="e">
        <f>IF(Dashboard!$C$39=Lists!$B$19,'Financial Analysis'!Y45,IF(Dashboard!$C$39=Lists!$B$18,('Financial Analysis'!Y45/'Technical inputs'!$C$45),0))</f>
        <v>#REF!</v>
      </c>
      <c r="Z49" s="76" t="e">
        <f>IF(Dashboard!$C$39=Lists!$B$19,'Financial Analysis'!Z45,IF(Dashboard!$C$39=Lists!$B$18,('Financial Analysis'!Z45/'Technical inputs'!$C$45),0))</f>
        <v>#REF!</v>
      </c>
      <c r="AA49" s="76" t="e">
        <f>IF(Dashboard!$C$39=Lists!$B$19,'Financial Analysis'!AA45,IF(Dashboard!$C$39=Lists!$B$18,('Financial Analysis'!AA45/'Technical inputs'!$C$45),0))</f>
        <v>#REF!</v>
      </c>
      <c r="AB49" s="76" t="e">
        <f>IF(Dashboard!$C$39=Lists!$B$19,'Financial Analysis'!AB45,IF(Dashboard!$C$39=Lists!$B$18,('Financial Analysis'!AB45/'Technical inputs'!$C$45),0))</f>
        <v>#REF!</v>
      </c>
      <c r="AC49" s="76" t="e">
        <f>IF(Dashboard!$C$39=Lists!$B$19,'Financial Analysis'!AC45,IF(Dashboard!$C$39=Lists!$B$18,('Financial Analysis'!AC45/'Technical inputs'!$C$45),0))</f>
        <v>#REF!</v>
      </c>
      <c r="AD49" s="76" t="e">
        <f>IF(Dashboard!$C$39=Lists!$B$19,'Financial Analysis'!AD45,IF(Dashboard!$C$39=Lists!$B$18,('Financial Analysis'!AD45/'Technical inputs'!$C$45),0))</f>
        <v>#REF!</v>
      </c>
      <c r="AE49" s="76" t="e">
        <f>IF(Dashboard!$C$39=Lists!$B$19,'Financial Analysis'!AE45,IF(Dashboard!$C$39=Lists!$B$18,('Financial Analysis'!AE45/'Technical inputs'!$C$45),0))</f>
        <v>#REF!</v>
      </c>
      <c r="AF49" s="76" t="e">
        <f>IF(Dashboard!$C$39=Lists!$B$19,'Financial Analysis'!AF45,IF(Dashboard!$C$39=Lists!$B$18,('Financial Analysis'!AF45/'Technical inputs'!$C$45),0))</f>
        <v>#REF!</v>
      </c>
      <c r="AG49" s="76" t="e">
        <f>IF(Dashboard!$C$39=Lists!$B$19,'Financial Analysis'!AG45,IF(Dashboard!$C$39=Lists!$B$18,('Financial Analysis'!AG45/'Technical inputs'!$C$45),0))</f>
        <v>#REF!</v>
      </c>
      <c r="AH49" s="76" t="e">
        <f>IF(Dashboard!$C$39=Lists!$B$19,'Financial Analysis'!AH45,IF(Dashboard!$C$39=Lists!$B$18,('Financial Analysis'!AH45/'Technical inputs'!$C$45),0))</f>
        <v>#REF!</v>
      </c>
      <c r="AI49" s="76" t="e">
        <f>IF(Dashboard!$C$39=Lists!$B$19,'Financial Analysis'!AI45,IF(Dashboard!$C$39=Lists!$B$18,('Financial Analysis'!AI45/'Technical inputs'!$C$45),0))</f>
        <v>#REF!</v>
      </c>
      <c r="AJ49" s="76" t="e">
        <f>IF(Dashboard!$C$39=Lists!$B$19,'Financial Analysis'!AJ45,IF(Dashboard!$C$39=Lists!$B$18,('Financial Analysis'!AJ45/'Technical inputs'!$C$45),0))</f>
        <v>#REF!</v>
      </c>
      <c r="AK49" s="76" t="e">
        <f>IF(Dashboard!$C$39=Lists!$B$19,'Financial Analysis'!AK45,IF(Dashboard!$C$39=Lists!$B$18,('Financial Analysis'!AK45/'Technical inputs'!$C$45),0))</f>
        <v>#REF!</v>
      </c>
      <c r="AL49" s="76" t="e">
        <f>IF(Dashboard!$C$39=Lists!$B$19,'Financial Analysis'!AL45,IF(Dashboard!$C$39=Lists!$B$18,('Financial Analysis'!AL45/'Technical inputs'!$C$45),0))</f>
        <v>#REF!</v>
      </c>
      <c r="AM49" s="76" t="e">
        <f>IF(Dashboard!$C$39=Lists!$B$19,'Financial Analysis'!AM45,IF(Dashboard!$C$39=Lists!$B$18,('Financial Analysis'!AM45/'Technical inputs'!$C$45),0))</f>
        <v>#REF!</v>
      </c>
      <c r="AN49" s="76" t="e">
        <f>IF(Dashboard!$C$39=Lists!$B$19,'Financial Analysis'!AN45,IF(Dashboard!$C$39=Lists!$B$18,('Financial Analysis'!AN45/'Technical inputs'!$C$45),0))</f>
        <v>#REF!</v>
      </c>
      <c r="AO49" s="76" t="e">
        <f>IF(Dashboard!$C$39=Lists!$B$19,'Financial Analysis'!AO45,IF(Dashboard!$C$39=Lists!$B$18,('Financial Analysis'!AO45/'Technical inputs'!$C$45),0))</f>
        <v>#REF!</v>
      </c>
      <c r="AP49" s="76" t="e">
        <f>IF(Dashboard!$C$39=Lists!$B$19,'Financial Analysis'!AP45,IF(Dashboard!$C$39=Lists!$B$18,('Financial Analysis'!AP45/'Technical inputs'!$C$45),0))</f>
        <v>#REF!</v>
      </c>
      <c r="AQ49" s="76" t="e">
        <f>IF(Dashboard!$C$39=Lists!$B$19,'Financial Analysis'!AQ45,IF(Dashboard!$C$39=Lists!$B$18,('Financial Analysis'!AQ45/'Technical inputs'!$C$45),0))</f>
        <v>#REF!</v>
      </c>
      <c r="AR49" s="76" t="e">
        <f>IF(Dashboard!$C$39=Lists!$B$19,'Financial Analysis'!AR45,IF(Dashboard!$C$39=Lists!$B$18,('Financial Analysis'!AR45/'Technical inputs'!$C$45),0))</f>
        <v>#REF!</v>
      </c>
      <c r="AS49" s="76" t="e">
        <f>IF(Dashboard!$C$39=Lists!$B$19,'Financial Analysis'!AS45,IF(Dashboard!$C$39=Lists!$B$18,('Financial Analysis'!AS45/'Technical inputs'!$C$45),0))</f>
        <v>#REF!</v>
      </c>
      <c r="AT49" s="76" t="e">
        <f>IF(Dashboard!$C$39=Lists!$B$19,'Financial Analysis'!AT45,IF(Dashboard!$C$39=Lists!$B$18,('Financial Analysis'!AT45/'Technical inputs'!$C$45),0))</f>
        <v>#REF!</v>
      </c>
      <c r="AU49" s="76" t="e">
        <f>IF(Dashboard!$C$39=Lists!$B$19,'Financial Analysis'!AU45,IF(Dashboard!$C$39=Lists!$B$18,('Financial Analysis'!AU45/'Technical inputs'!$C$45),0))</f>
        <v>#REF!</v>
      </c>
      <c r="AV49" s="76" t="e">
        <f>IF(Dashboard!$C$39=Lists!$B$19,'Financial Analysis'!AV45,IF(Dashboard!$C$39=Lists!$B$18,('Financial Analysis'!AV45/'Technical inputs'!$C$45),0))</f>
        <v>#REF!</v>
      </c>
      <c r="AW49" s="76" t="e">
        <f>IF(Dashboard!$C$39=Lists!$B$19,'Financial Analysis'!AW45,IF(Dashboard!$C$39=Lists!$B$18,('Financial Analysis'!AW45/'Technical inputs'!$C$45),0))</f>
        <v>#REF!</v>
      </c>
      <c r="AX49" s="76" t="e">
        <f>IF(Dashboard!$C$39=Lists!$B$19,'Financial Analysis'!AX45,IF(Dashboard!$C$39=Lists!$B$18,('Financial Analysis'!AX45/'Technical inputs'!$C$45),0))</f>
        <v>#REF!</v>
      </c>
      <c r="AY49" s="76" t="e">
        <f>IF(Dashboard!$C$39=Lists!$B$19,'Financial Analysis'!AY45,IF(Dashboard!$C$39=Lists!$B$18,('Financial Analysis'!AY45/'Technical inputs'!$C$45),0))</f>
        <v>#REF!</v>
      </c>
      <c r="AZ49" s="76" t="e">
        <f>IF(Dashboard!$C$39=Lists!$B$19,'Financial Analysis'!AZ45,IF(Dashboard!$C$39=Lists!$B$18,('Financial Analysis'!AZ45/'Technical inputs'!$C$45),0))</f>
        <v>#REF!</v>
      </c>
      <c r="BA49" s="76" t="e">
        <f>IF(Dashboard!$C$39=Lists!$B$19,'Financial Analysis'!BA45,IF(Dashboard!$C$39=Lists!$B$18,('Financial Analysis'!BA45/'Technical inputs'!$C$45),0))</f>
        <v>#REF!</v>
      </c>
      <c r="BB49" s="76" t="e">
        <f>IF(Dashboard!$C$39=Lists!$B$19,'Financial Analysis'!BB45,IF(Dashboard!$C$39=Lists!$B$18,('Financial Analysis'!BB45/'Technical inputs'!$C$45),0))</f>
        <v>#REF!</v>
      </c>
      <c r="BC49" s="76" t="e">
        <f>IF(Dashboard!$C$39=Lists!$B$19,'Financial Analysis'!BC45,IF(Dashboard!$C$39=Lists!$B$18,('Financial Analysis'!BC45/'Technical inputs'!$C$45),0))</f>
        <v>#REF!</v>
      </c>
      <c r="BD49" s="76" t="e">
        <f>IF(Dashboard!$C$39=Lists!$B$19,'Financial Analysis'!BD45,IF(Dashboard!$C$39=Lists!$B$18,('Financial Analysis'!BD45/'Technical inputs'!$C$45),0))</f>
        <v>#REF!</v>
      </c>
      <c r="BE49" s="76" t="e">
        <f>IF(Dashboard!$C$39=Lists!$B$19,'Financial Analysis'!BE45,IF(Dashboard!$C$39=Lists!$B$18,('Financial Analysis'!BE45/'Technical inputs'!$C$45),0))</f>
        <v>#REF!</v>
      </c>
      <c r="BF49" s="76" t="e">
        <f>IF(Dashboard!$C$39=Lists!$B$19,'Financial Analysis'!BF45,IF(Dashboard!$C$39=Lists!$B$18,('Financial Analysis'!BF45/'Technical inputs'!$C$45),0))</f>
        <v>#REF!</v>
      </c>
      <c r="BG49" s="76" t="e">
        <f>IF(Dashboard!$C$39=Lists!$B$19,'Financial Analysis'!BG45,IF(Dashboard!$C$39=Lists!$B$18,('Financial Analysis'!BG45/'Technical inputs'!$C$45),0))</f>
        <v>#REF!</v>
      </c>
      <c r="BH49" s="76" t="e">
        <f>IF(Dashboard!$C$39=Lists!$B$19,'Financial Analysis'!BH45,IF(Dashboard!$C$39=Lists!$B$18,('Financial Analysis'!BH45/'Technical inputs'!$C$45),0))</f>
        <v>#REF!</v>
      </c>
      <c r="BI49" s="76" t="e">
        <f>IF(Dashboard!$C$39=Lists!$B$19,'Financial Analysis'!BI45,IF(Dashboard!$C$39=Lists!$B$18,('Financial Analysis'!BI45/'Technical inputs'!$C$45),0))</f>
        <v>#REF!</v>
      </c>
      <c r="BJ49" s="76" t="e">
        <f>IF(Dashboard!$C$39=Lists!$B$19,'Financial Analysis'!BJ45,IF(Dashboard!$C$39=Lists!$B$18,('Financial Analysis'!BJ45/'Technical inputs'!$C$45),0))</f>
        <v>#REF!</v>
      </c>
      <c r="BK49" s="76" t="e">
        <f>IF(Dashboard!$C$39=Lists!$B$19,'Financial Analysis'!BK45,IF(Dashboard!$C$39=Lists!$B$18,('Financial Analysis'!BK45/'Technical inputs'!$C$45),0))</f>
        <v>#REF!</v>
      </c>
      <c r="BL49" s="76" t="e">
        <f>IF(Dashboard!$C$39=Lists!$B$19,'Financial Analysis'!BL45,IF(Dashboard!$C$39=Lists!$B$18,('Financial Analysis'!BL45/'Technical inputs'!$C$45),0))</f>
        <v>#REF!</v>
      </c>
    </row>
    <row r="50" spans="2:64">
      <c r="B50" s="146" t="s">
        <v>432</v>
      </c>
      <c r="E50" s="76">
        <f>IF(Dashboard!$C$39=Lists!$B$17,E44/'Technical inputs'!$C$47,0)</f>
        <v>0</v>
      </c>
      <c r="F50" s="76">
        <f>IF(Dashboard!$C$39=Lists!$B$17,F44/'Technical inputs'!$C$47,0)</f>
        <v>0</v>
      </c>
      <c r="G50" s="76">
        <f>IF(Dashboard!$C$39=Lists!$B$17,G44/'Technical inputs'!$C$47,0)</f>
        <v>0</v>
      </c>
      <c r="H50" s="76">
        <f>IF(Dashboard!$C$39=Lists!$B$17,H44/'Technical inputs'!$C$47,0)</f>
        <v>0</v>
      </c>
      <c r="I50" s="76">
        <f>IF(Dashboard!$C$39=Lists!$B$17,I44/'Technical inputs'!$C$47,0)</f>
        <v>0</v>
      </c>
      <c r="J50" s="76">
        <f>IF(Dashboard!$C$39=Lists!$B$17,J44/'Technical inputs'!$C$47,0)</f>
        <v>0</v>
      </c>
      <c r="K50" s="76">
        <f>IF(Dashboard!$C$39=Lists!$B$17,K44/'Technical inputs'!$C$47,0)</f>
        <v>0</v>
      </c>
      <c r="L50" s="76">
        <f>IF(Dashboard!$C$39=Lists!$B$17,L44/'Technical inputs'!$C$47,0)</f>
        <v>0</v>
      </c>
      <c r="M50" s="76">
        <f>IF(Dashboard!$C$39=Lists!$B$17,M44/'Technical inputs'!$C$47,0)</f>
        <v>0</v>
      </c>
      <c r="N50" s="76">
        <f>IF(Dashboard!$C$39=Lists!$B$17,N44/'Technical inputs'!$C$47,0)</f>
        <v>0</v>
      </c>
      <c r="O50" s="76">
        <f>IF(Dashboard!$C$39=Lists!$B$17,O44/'Technical inputs'!$C$47,0)</f>
        <v>0</v>
      </c>
      <c r="P50" s="76">
        <f>IF(Dashboard!$C$39=Lists!$B$17,P44/'Technical inputs'!$C$47,0)</f>
        <v>0</v>
      </c>
      <c r="Q50" s="76">
        <f>IF(Dashboard!$C$39=Lists!$B$17,Q44/'Technical inputs'!$C$47,0)</f>
        <v>0</v>
      </c>
      <c r="R50" s="76">
        <f>IF(Dashboard!$C$39=Lists!$B$17,R44/'Technical inputs'!$C$47,0)</f>
        <v>0</v>
      </c>
      <c r="S50" s="76">
        <f>IF(Dashboard!$C$39=Lists!$B$17,S44/'Technical inputs'!$C$47,0)</f>
        <v>0</v>
      </c>
      <c r="T50" s="76">
        <f>IF(Dashboard!$C$39=Lists!$B$17,T44/'Technical inputs'!$C$47,0)</f>
        <v>0</v>
      </c>
      <c r="U50" s="76">
        <f>IF(Dashboard!$C$39=Lists!$B$17,U44/'Technical inputs'!$C$47,0)</f>
        <v>0</v>
      </c>
      <c r="V50" s="76">
        <f>IF(Dashboard!$C$39=Lists!$B$17,V44/'Technical inputs'!$C$47,0)</f>
        <v>0</v>
      </c>
      <c r="W50" s="76">
        <f>IF(Dashboard!$C$39=Lists!$B$17,W44/'Technical inputs'!$C$47,0)</f>
        <v>0</v>
      </c>
      <c r="X50" s="76">
        <f>IF(Dashboard!$C$39=Lists!$B$17,X44/'Technical inputs'!$C$47,0)</f>
        <v>0</v>
      </c>
      <c r="Y50" s="76">
        <f>IF(Dashboard!$C$39=Lists!$B$17,Y44/'Technical inputs'!$C$47,0)</f>
        <v>0</v>
      </c>
      <c r="Z50" s="76">
        <f>IF(Dashboard!$C$39=Lists!$B$17,Z44/'Technical inputs'!$C$47,0)</f>
        <v>0</v>
      </c>
      <c r="AA50" s="76">
        <f>IF(Dashboard!$C$39=Lists!$B$17,AA44/'Technical inputs'!$C$47,0)</f>
        <v>0</v>
      </c>
      <c r="AB50" s="76">
        <f>IF(Dashboard!$C$39=Lists!$B$17,AB44/'Technical inputs'!$C$47,0)</f>
        <v>0</v>
      </c>
      <c r="AC50" s="76">
        <f>IF(Dashboard!$C$39=Lists!$B$17,AC44/'Technical inputs'!$C$47,0)</f>
        <v>0</v>
      </c>
      <c r="AD50" s="76">
        <f>IF(Dashboard!$C$39=Lists!$B$17,AD44/'Technical inputs'!$C$47,0)</f>
        <v>0</v>
      </c>
      <c r="AE50" s="76">
        <f>IF(Dashboard!$C$39=Lists!$B$17,AE44/'Technical inputs'!$C$47,0)</f>
        <v>0</v>
      </c>
      <c r="AF50" s="76">
        <f>IF(Dashboard!$C$39=Lists!$B$17,AF44/'Technical inputs'!$C$47,0)</f>
        <v>0</v>
      </c>
      <c r="AG50" s="76">
        <f>IF(Dashboard!$C$39=Lists!$B$17,AG44/'Technical inputs'!$C$47,0)</f>
        <v>0</v>
      </c>
      <c r="AH50" s="76">
        <f>IF(Dashboard!$C$39=Lists!$B$17,AH44/'Technical inputs'!$C$47,0)</f>
        <v>0</v>
      </c>
      <c r="AI50" s="76">
        <f>IF(Dashboard!$C$39=Lists!$B$17,AI44/'Technical inputs'!$C$47,0)</f>
        <v>0</v>
      </c>
      <c r="AJ50" s="76">
        <f>IF(Dashboard!$C$39=Lists!$B$17,AJ44/'Technical inputs'!$C$47,0)</f>
        <v>0</v>
      </c>
      <c r="AK50" s="76">
        <f>IF(Dashboard!$C$39=Lists!$B$17,AK44/'Technical inputs'!$C$47,0)</f>
        <v>0</v>
      </c>
      <c r="AL50" s="76">
        <f>IF(Dashboard!$C$39=Lists!$B$17,AL44/'Technical inputs'!$C$47,0)</f>
        <v>0</v>
      </c>
      <c r="AM50" s="76">
        <f>IF(Dashboard!$C$39=Lists!$B$17,AM44/'Technical inputs'!$C$47,0)</f>
        <v>0</v>
      </c>
      <c r="AN50" s="76">
        <f>IF(Dashboard!$C$39=Lists!$B$17,AN44/'Technical inputs'!$C$47,0)</f>
        <v>0</v>
      </c>
      <c r="AO50" s="76">
        <f>IF(Dashboard!$C$39=Lists!$B$17,AO44/'Technical inputs'!$C$47,0)</f>
        <v>0</v>
      </c>
      <c r="AP50" s="76">
        <f>IF(Dashboard!$C$39=Lists!$B$17,AP44/'Technical inputs'!$C$47,0)</f>
        <v>0</v>
      </c>
      <c r="AQ50" s="76">
        <f>IF(Dashboard!$C$39=Lists!$B$17,AQ44/'Technical inputs'!$C$47,0)</f>
        <v>0</v>
      </c>
      <c r="AR50" s="76">
        <f>IF(Dashboard!$C$39=Lists!$B$17,AR44/'Technical inputs'!$C$47,0)</f>
        <v>0</v>
      </c>
      <c r="AS50" s="76">
        <f>IF(Dashboard!$C$39=Lists!$B$17,AS44/'Technical inputs'!$C$47,0)</f>
        <v>0</v>
      </c>
      <c r="AT50" s="76">
        <f>IF(Dashboard!$C$39=Lists!$B$17,AT44/'Technical inputs'!$C$47,0)</f>
        <v>0</v>
      </c>
      <c r="AU50" s="76">
        <f>IF(Dashboard!$C$39=Lists!$B$17,AU44/'Technical inputs'!$C$47,0)</f>
        <v>0</v>
      </c>
      <c r="AV50" s="76">
        <f>IF(Dashboard!$C$39=Lists!$B$17,AV44/'Technical inputs'!$C$47,0)</f>
        <v>0</v>
      </c>
      <c r="AW50" s="76">
        <f>IF(Dashboard!$C$39=Lists!$B$17,AW44/'Technical inputs'!$C$47,0)</f>
        <v>0</v>
      </c>
      <c r="AX50" s="76">
        <f>IF(Dashboard!$C$39=Lists!$B$17,AX44/'Technical inputs'!$C$47,0)</f>
        <v>0</v>
      </c>
      <c r="AY50" s="76">
        <f>IF(Dashboard!$C$39=Lists!$B$17,AY44/'Technical inputs'!$C$47,0)</f>
        <v>0</v>
      </c>
      <c r="AZ50" s="76">
        <f>IF(Dashboard!$C$39=Lists!$B$17,AZ44/'Technical inputs'!$C$47,0)</f>
        <v>0</v>
      </c>
      <c r="BA50" s="76">
        <f>IF(Dashboard!$C$39=Lists!$B$17,BA44/'Technical inputs'!$C$47,0)</f>
        <v>0</v>
      </c>
      <c r="BB50" s="76">
        <f>IF(Dashboard!$C$39=Lists!$B$17,BB44/'Technical inputs'!$C$47,0)</f>
        <v>0</v>
      </c>
      <c r="BC50" s="76">
        <f>IF(Dashboard!$C$39=Lists!$B$17,BC44/'Technical inputs'!$C$47,0)</f>
        <v>0</v>
      </c>
      <c r="BD50" s="76">
        <f>IF(Dashboard!$C$39=Lists!$B$17,BD44/'Technical inputs'!$C$47,0)</f>
        <v>0</v>
      </c>
      <c r="BE50" s="76">
        <f>IF(Dashboard!$C$39=Lists!$B$17,BE44/'Technical inputs'!$C$47,0)</f>
        <v>0</v>
      </c>
      <c r="BF50" s="76">
        <f>IF(Dashboard!$C$39=Lists!$B$17,BF44/'Technical inputs'!$C$47,0)</f>
        <v>0</v>
      </c>
      <c r="BG50" s="76">
        <f>IF(Dashboard!$C$39=Lists!$B$17,BG44/'Technical inputs'!$C$47,0)</f>
        <v>0</v>
      </c>
      <c r="BH50" s="76">
        <f>IF(Dashboard!$C$39=Lists!$B$17,BH44/'Technical inputs'!$C$47,0)</f>
        <v>0</v>
      </c>
      <c r="BI50" s="76">
        <f>IF(Dashboard!$C$39=Lists!$B$17,BI44/'Technical inputs'!$C$47,0)</f>
        <v>0</v>
      </c>
      <c r="BJ50" s="76">
        <f>IF(Dashboard!$C$39=Lists!$B$17,BJ44/'Technical inputs'!$C$47,0)</f>
        <v>0</v>
      </c>
      <c r="BK50" s="76">
        <f>IF(Dashboard!$C$39=Lists!$B$17,BK44/'Technical inputs'!$C$47,0)</f>
        <v>0</v>
      </c>
      <c r="BL50" s="76">
        <f>IF(Dashboard!$C$39=Lists!$B$17,BL44/'Technical inputs'!$C$47,0)</f>
        <v>0</v>
      </c>
    </row>
    <row r="51" spans="2:64">
      <c r="B51" s="146" t="s">
        <v>433</v>
      </c>
      <c r="E51" s="76">
        <f>IF(Dashboard!$C$39=Lists!$B$17,E45/'Technical inputs'!$C$47,0)</f>
        <v>0</v>
      </c>
      <c r="F51" s="76">
        <f>IF(Dashboard!$C$39=Lists!$B$17,F45/'Technical inputs'!$C$47,0)</f>
        <v>0</v>
      </c>
      <c r="G51" s="76">
        <f>IF(Dashboard!$C$39=Lists!$B$17,G45/'Technical inputs'!$C$47,0)</f>
        <v>0</v>
      </c>
      <c r="H51" s="76">
        <f>IF(Dashboard!$C$39=Lists!$B$17,H45/'Technical inputs'!$C$47,0)</f>
        <v>0</v>
      </c>
      <c r="I51" s="76">
        <f>IF(Dashboard!$C$39=Lists!$B$17,I45/'Technical inputs'!$C$47,0)</f>
        <v>0</v>
      </c>
      <c r="J51" s="76">
        <f>IF(Dashboard!$C$39=Lists!$B$17,J45/'Technical inputs'!$C$47,0)</f>
        <v>0</v>
      </c>
      <c r="K51" s="76">
        <f>IF(Dashboard!$C$39=Lists!$B$17,K45/'Technical inputs'!$C$47,0)</f>
        <v>0</v>
      </c>
      <c r="L51" s="76">
        <f>IF(Dashboard!$C$39=Lists!$B$17,L45/'Technical inputs'!$C$47,0)</f>
        <v>0</v>
      </c>
      <c r="M51" s="76">
        <f>IF(Dashboard!$C$39=Lists!$B$17,M45/'Technical inputs'!$C$47,0)</f>
        <v>0</v>
      </c>
      <c r="N51" s="76">
        <f>IF(Dashboard!$C$39=Lists!$B$17,N45/'Technical inputs'!$C$47,0)</f>
        <v>0</v>
      </c>
      <c r="O51" s="76">
        <f>IF(Dashboard!$C$39=Lists!$B$17,O45/'Technical inputs'!$C$47,0)</f>
        <v>0</v>
      </c>
      <c r="P51" s="76">
        <f>IF(Dashboard!$C$39=Lists!$B$17,P45/'Technical inputs'!$C$47,0)</f>
        <v>0</v>
      </c>
      <c r="Q51" s="76">
        <f>IF(Dashboard!$C$39=Lists!$B$17,Q45/'Technical inputs'!$C$47,0)</f>
        <v>0</v>
      </c>
      <c r="R51" s="76">
        <f>IF(Dashboard!$C$39=Lists!$B$17,R45/'Technical inputs'!$C$47,0)</f>
        <v>0</v>
      </c>
      <c r="S51" s="76">
        <f>IF(Dashboard!$C$39=Lists!$B$17,S45/'Technical inputs'!$C$47,0)</f>
        <v>0</v>
      </c>
      <c r="T51" s="76">
        <f>IF(Dashboard!$C$39=Lists!$B$17,T45/'Technical inputs'!$C$47,0)</f>
        <v>0</v>
      </c>
      <c r="U51" s="76">
        <f>IF(Dashboard!$C$39=Lists!$B$17,U45/'Technical inputs'!$C$47,0)</f>
        <v>0</v>
      </c>
      <c r="V51" s="76">
        <f>IF(Dashboard!$C$39=Lists!$B$17,V45/'Technical inputs'!$C$47,0)</f>
        <v>0</v>
      </c>
      <c r="W51" s="76">
        <f>IF(Dashboard!$C$39=Lists!$B$17,W45/'Technical inputs'!$C$47,0)</f>
        <v>0</v>
      </c>
      <c r="X51" s="76">
        <f>IF(Dashboard!$C$39=Lists!$B$17,X45/'Technical inputs'!$C$47,0)</f>
        <v>0</v>
      </c>
      <c r="Y51" s="76">
        <f>IF(Dashboard!$C$39=Lists!$B$17,Y45/'Technical inputs'!$C$47,0)</f>
        <v>0</v>
      </c>
      <c r="Z51" s="76">
        <f>IF(Dashboard!$C$39=Lists!$B$17,Z45/'Technical inputs'!$C$47,0)</f>
        <v>0</v>
      </c>
      <c r="AA51" s="76">
        <f>IF(Dashboard!$C$39=Lists!$B$17,AA45/'Technical inputs'!$C$47,0)</f>
        <v>0</v>
      </c>
      <c r="AB51" s="76">
        <f>IF(Dashboard!$C$39=Lists!$B$17,AB45/'Technical inputs'!$C$47,0)</f>
        <v>0</v>
      </c>
      <c r="AC51" s="76">
        <f>IF(Dashboard!$C$39=Lists!$B$17,AC45/'Technical inputs'!$C$47,0)</f>
        <v>0</v>
      </c>
      <c r="AD51" s="76">
        <f>IF(Dashboard!$C$39=Lists!$B$17,AD45/'Technical inputs'!$C$47,0)</f>
        <v>0</v>
      </c>
      <c r="AE51" s="76">
        <f>IF(Dashboard!$C$39=Lists!$B$17,AE45/'Technical inputs'!$C$47,0)</f>
        <v>0</v>
      </c>
      <c r="AF51" s="76">
        <f>IF(Dashboard!$C$39=Lists!$B$17,AF45/'Technical inputs'!$C$47,0)</f>
        <v>0</v>
      </c>
      <c r="AG51" s="76">
        <f>IF(Dashboard!$C$39=Lists!$B$17,AG45/'Technical inputs'!$C$47,0)</f>
        <v>0</v>
      </c>
      <c r="AH51" s="76">
        <f>IF(Dashboard!$C$39=Lists!$B$17,AH45/'Technical inputs'!$C$47,0)</f>
        <v>0</v>
      </c>
      <c r="AI51" s="76">
        <f>IF(Dashboard!$C$39=Lists!$B$17,AI45/'Technical inputs'!$C$47,0)</f>
        <v>0</v>
      </c>
      <c r="AJ51" s="76">
        <f>IF(Dashboard!$C$39=Lists!$B$17,AJ45/'Technical inputs'!$C$47,0)</f>
        <v>0</v>
      </c>
      <c r="AK51" s="76">
        <f>IF(Dashboard!$C$39=Lists!$B$17,AK45/'Technical inputs'!$C$47,0)</f>
        <v>0</v>
      </c>
      <c r="AL51" s="76">
        <f>IF(Dashboard!$C$39=Lists!$B$17,AL45/'Technical inputs'!$C$47,0)</f>
        <v>0</v>
      </c>
      <c r="AM51" s="76">
        <f>IF(Dashboard!$C$39=Lists!$B$17,AM45/'Technical inputs'!$C$47,0)</f>
        <v>0</v>
      </c>
      <c r="AN51" s="76">
        <f>IF(Dashboard!$C$39=Lists!$B$17,AN45/'Technical inputs'!$C$47,0)</f>
        <v>0</v>
      </c>
      <c r="AO51" s="76">
        <f>IF(Dashboard!$C$39=Lists!$B$17,AO45/'Technical inputs'!$C$47,0)</f>
        <v>0</v>
      </c>
      <c r="AP51" s="76">
        <f>IF(Dashboard!$C$39=Lists!$B$17,AP45/'Technical inputs'!$C$47,0)</f>
        <v>0</v>
      </c>
      <c r="AQ51" s="76">
        <f>IF(Dashboard!$C$39=Lists!$B$17,AQ45/'Technical inputs'!$C$47,0)</f>
        <v>0</v>
      </c>
      <c r="AR51" s="76">
        <f>IF(Dashboard!$C$39=Lists!$B$17,AR45/'Technical inputs'!$C$47,0)</f>
        <v>0</v>
      </c>
      <c r="AS51" s="76">
        <f>IF(Dashboard!$C$39=Lists!$B$17,AS45/'Technical inputs'!$C$47,0)</f>
        <v>0</v>
      </c>
      <c r="AT51" s="76">
        <f>IF(Dashboard!$C$39=Lists!$B$17,AT45/'Technical inputs'!$C$47,0)</f>
        <v>0</v>
      </c>
      <c r="AU51" s="76">
        <f>IF(Dashboard!$C$39=Lists!$B$17,AU45/'Technical inputs'!$C$47,0)</f>
        <v>0</v>
      </c>
      <c r="AV51" s="76">
        <f>IF(Dashboard!$C$39=Lists!$B$17,AV45/'Technical inputs'!$C$47,0)</f>
        <v>0</v>
      </c>
      <c r="AW51" s="76">
        <f>IF(Dashboard!$C$39=Lists!$B$17,AW45/'Technical inputs'!$C$47,0)</f>
        <v>0</v>
      </c>
      <c r="AX51" s="76">
        <f>IF(Dashboard!$C$39=Lists!$B$17,AX45/'Technical inputs'!$C$47,0)</f>
        <v>0</v>
      </c>
      <c r="AY51" s="76">
        <f>IF(Dashboard!$C$39=Lists!$B$17,AY45/'Technical inputs'!$C$47,0)</f>
        <v>0</v>
      </c>
      <c r="AZ51" s="76">
        <f>IF(Dashboard!$C$39=Lists!$B$17,AZ45/'Technical inputs'!$C$47,0)</f>
        <v>0</v>
      </c>
      <c r="BA51" s="76">
        <f>IF(Dashboard!$C$39=Lists!$B$17,BA45/'Technical inputs'!$C$47,0)</f>
        <v>0</v>
      </c>
      <c r="BB51" s="76">
        <f>IF(Dashboard!$C$39=Lists!$B$17,BB45/'Technical inputs'!$C$47,0)</f>
        <v>0</v>
      </c>
      <c r="BC51" s="76">
        <f>IF(Dashboard!$C$39=Lists!$B$17,BC45/'Technical inputs'!$C$47,0)</f>
        <v>0</v>
      </c>
      <c r="BD51" s="76">
        <f>IF(Dashboard!$C$39=Lists!$B$17,BD45/'Technical inputs'!$C$47,0)</f>
        <v>0</v>
      </c>
      <c r="BE51" s="76">
        <f>IF(Dashboard!$C$39=Lists!$B$17,BE45/'Technical inputs'!$C$47,0)</f>
        <v>0</v>
      </c>
      <c r="BF51" s="76">
        <f>IF(Dashboard!$C$39=Lists!$B$17,BF45/'Technical inputs'!$C$47,0)</f>
        <v>0</v>
      </c>
      <c r="BG51" s="76">
        <f>IF(Dashboard!$C$39=Lists!$B$17,BG45/'Technical inputs'!$C$47,0)</f>
        <v>0</v>
      </c>
      <c r="BH51" s="76">
        <f>IF(Dashboard!$C$39=Lists!$B$17,BH45/'Technical inputs'!$C$47,0)</f>
        <v>0</v>
      </c>
      <c r="BI51" s="76">
        <f>IF(Dashboard!$C$39=Lists!$B$17,BI45/'Technical inputs'!$C$47,0)</f>
        <v>0</v>
      </c>
      <c r="BJ51" s="76">
        <f>IF(Dashboard!$C$39=Lists!$B$17,BJ45/'Technical inputs'!$C$47,0)</f>
        <v>0</v>
      </c>
      <c r="BK51" s="76">
        <f>IF(Dashboard!$C$39=Lists!$B$17,BK45/'Technical inputs'!$C$47,0)</f>
        <v>0</v>
      </c>
      <c r="BL51" s="76">
        <f>IF(Dashboard!$C$39=Lists!$B$17,BL45/'Technical inputs'!$C$47,0)</f>
        <v>0</v>
      </c>
    </row>
    <row r="53" spans="2:64">
      <c r="B53" s="145" t="s">
        <v>434</v>
      </c>
    </row>
    <row r="54" spans="2:64">
      <c r="B54" s="146" t="s">
        <v>435</v>
      </c>
      <c r="C54" s="11">
        <f>IF(Dashboard!$C$32="BEIS price projections",1,0)</f>
        <v>1</v>
      </c>
    </row>
    <row r="55" spans="2:64">
      <c r="B55" s="146" t="s">
        <v>436</v>
      </c>
      <c r="C55" s="11">
        <f>IF(Dashboard!$C$32="Fixed rate",1,0)</f>
        <v>0</v>
      </c>
    </row>
    <row r="57" spans="2:64">
      <c r="B57" s="212" t="s">
        <v>437</v>
      </c>
    </row>
    <row r="58" spans="2:64">
      <c r="B58" s="146" t="s">
        <v>438</v>
      </c>
      <c r="E58" s="104">
        <f>IFERROR((_xlfn.XLOOKUP(YEAR(E$5),'Price projections'!$D$6:$X$6,'Price projections'!$D$52:$X$52,"",0)*'Financial Analysis'!$C$54)+((1+Dashboard!$C$33)*'Financial Analysis'!$C$55),'Financial Analysis'!D58)</f>
        <v>1.087697470661984</v>
      </c>
      <c r="F58" s="104">
        <f>IFERROR((_xlfn.XLOOKUP(YEAR(F$5),'Price projections'!$D$6:$X$6,'Price projections'!$D$52:$X$52,"",0)*'Financial Analysis'!$C$54)+((1+Dashboard!$C$33)*'Financial Analysis'!$C$55),'Financial Analysis'!E58)</f>
        <v>1.1046234671135222</v>
      </c>
      <c r="G58" s="104">
        <f>IFERROR((_xlfn.XLOOKUP(YEAR(G$5),'Price projections'!$D$6:$X$6,'Price projections'!$D$52:$X$52,"",0)*'Financial Analysis'!$C$54)+((1+Dashboard!$C$33)*'Financial Analysis'!$C$55),'Financial Analysis'!F58)</f>
        <v>1.1215136846463625</v>
      </c>
      <c r="H58" s="104">
        <f>IFERROR((_xlfn.XLOOKUP(YEAR(H$5),'Price projections'!$D$6:$X$6,'Price projections'!$D$52:$X$52,"",0)*'Financial Analysis'!$C$54)+((1+Dashboard!$C$33)*'Financial Analysis'!$C$55),'Financial Analysis'!G58)</f>
        <v>1.1381095639665182</v>
      </c>
      <c r="I58" s="104">
        <f>IFERROR((_xlfn.XLOOKUP(YEAR(I$5),'Price projections'!$D$6:$X$6,'Price projections'!$D$52:$X$52,"",0)*'Financial Analysis'!$C$54)+((1+Dashboard!$C$33)*'Financial Analysis'!$C$55),'Financial Analysis'!H58)</f>
        <v>1.1547344334889558</v>
      </c>
      <c r="J58" s="104">
        <f>IFERROR((_xlfn.XLOOKUP(YEAR(J$5),'Price projections'!$D$6:$X$6,'Price projections'!$D$52:$X$52,"",0)*'Financial Analysis'!$C$54)+((1+Dashboard!$C$33)*'Financial Analysis'!$C$55),'Financial Analysis'!I58)</f>
        <v>1.1713756547251128</v>
      </c>
      <c r="K58" s="104">
        <f>IFERROR((_xlfn.XLOOKUP(YEAR(K$5),'Price projections'!$D$6:$X$6,'Price projections'!$D$52:$X$52,"",0)*'Financial Analysis'!$C$54)+((1+Dashboard!$C$33)*'Financial Analysis'!$C$55),'Financial Analysis'!J58)</f>
        <v>1.1880116661987707</v>
      </c>
      <c r="L58" s="104">
        <f>IFERROR((_xlfn.XLOOKUP(YEAR(L$5),'Price projections'!$D$6:$X$6,'Price projections'!$D$52:$X$52,"",0)*'Financial Analysis'!$C$54)+((1+Dashboard!$C$33)*'Financial Analysis'!$C$55),'Financial Analysis'!K58)</f>
        <v>1.2046514000031208</v>
      </c>
      <c r="M58" s="104">
        <f>IFERROR((_xlfn.XLOOKUP(YEAR(M$5),'Price projections'!$D$6:$X$6,'Price projections'!$D$52:$X$52,"",0)*'Financial Analysis'!$C$54)+((1+Dashboard!$C$33)*'Financial Analysis'!$C$55),'Financial Analysis'!L58)</f>
        <v>1.2212949635068735</v>
      </c>
      <c r="N58" s="104">
        <f>IFERROR((_xlfn.XLOOKUP(YEAR(N$5),'Price projections'!$D$6:$X$6,'Price projections'!$D$52:$X$52,"",0)*'Financial Analysis'!$C$54)+((1+Dashboard!$C$33)*'Financial Analysis'!$C$55),'Financial Analysis'!M58)</f>
        <v>1.2209698103455724</v>
      </c>
      <c r="O58" s="104">
        <f>IFERROR((_xlfn.XLOOKUP(YEAR(O$5),'Price projections'!$D$6:$X$6,'Price projections'!$D$52:$X$52,"",0)*'Financial Analysis'!$C$54)+((1+Dashboard!$C$33)*'Financial Analysis'!$C$55),'Financial Analysis'!N58)</f>
        <v>1.2206389196340632</v>
      </c>
      <c r="P58" s="104">
        <f>IFERROR((_xlfn.XLOOKUP(YEAR(P$5),'Price projections'!$D$6:$X$6,'Price projections'!$D$52:$X$52,"",0)*'Financial Analysis'!$C$54)+((1+Dashboard!$C$33)*'Financial Analysis'!$C$55),'Financial Analysis'!O58)</f>
        <v>1.2203164396085124</v>
      </c>
      <c r="Q58" s="104">
        <f>IFERROR((_xlfn.XLOOKUP(YEAR(Q$5),'Price projections'!$D$6:$X$6,'Price projections'!$D$52:$X$52,"",0)*'Financial Analysis'!$C$54)+((1+Dashboard!$C$33)*'Financial Analysis'!$C$55),'Financial Analysis'!P58)</f>
        <v>1.2200103055663747</v>
      </c>
      <c r="R58" s="104">
        <f>IFERROR((_xlfn.XLOOKUP(YEAR(R$5),'Price projections'!$D$6:$X$6,'Price projections'!$D$52:$X$52,"",0)*'Financial Analysis'!$C$54)+((1+Dashboard!$C$33)*'Financial Analysis'!$C$55),'Financial Analysis'!Q58)</f>
        <v>1.2197102962018556</v>
      </c>
      <c r="S58" s="104">
        <f>IFERROR((_xlfn.XLOOKUP(YEAR(S$5),'Price projections'!$D$6:$X$6,'Price projections'!$D$52:$X$52,"",0)*'Financial Analysis'!$C$54)+((1+Dashboard!$C$33)*'Financial Analysis'!$C$55),'Financial Analysis'!R58)</f>
        <v>1.2197102962018556</v>
      </c>
      <c r="T58" s="104">
        <f>IFERROR((_xlfn.XLOOKUP(YEAR(T$5),'Price projections'!$D$6:$X$6,'Price projections'!$D$52:$X$52,"",0)*'Financial Analysis'!$C$54)+((1+Dashboard!$C$33)*'Financial Analysis'!$C$55),'Financial Analysis'!S58)</f>
        <v>1.2197102962018556</v>
      </c>
      <c r="U58" s="104">
        <f>IFERROR((_xlfn.XLOOKUP(YEAR(U$5),'Price projections'!$D$6:$X$6,'Price projections'!$D$52:$X$52,"",0)*'Financial Analysis'!$C$54)+((1+Dashboard!$C$33)*'Financial Analysis'!$C$55),'Financial Analysis'!T58)</f>
        <v>1.2197102962018556</v>
      </c>
      <c r="V58" s="104">
        <f>IFERROR((_xlfn.XLOOKUP(YEAR(V$5),'Price projections'!$D$6:$X$6,'Price projections'!$D$52:$X$52,"",0)*'Financial Analysis'!$C$54)+((1+Dashboard!$C$33)*'Financial Analysis'!$C$55),'Financial Analysis'!U58)</f>
        <v>1.2197102962018556</v>
      </c>
      <c r="W58" s="104">
        <f>IFERROR((_xlfn.XLOOKUP(YEAR(W$5),'Price projections'!$D$6:$X$6,'Price projections'!$D$52:$X$52,"",0)*'Financial Analysis'!$C$54)+((1+Dashboard!$C$33)*'Financial Analysis'!$C$55),'Financial Analysis'!V58)</f>
        <v>1.2197102962018556</v>
      </c>
      <c r="X58" s="104">
        <f>IFERROR((_xlfn.XLOOKUP(YEAR(X$5),'Price projections'!$D$6:$X$6,'Price projections'!$D$52:$X$52,"",0)*'Financial Analysis'!$C$54)+((1+Dashboard!$C$33)*'Financial Analysis'!$C$55),'Financial Analysis'!W58)</f>
        <v>1.2197102962018556</v>
      </c>
      <c r="Y58" s="104">
        <f>IFERROR((_xlfn.XLOOKUP(YEAR(Y$5),'Price projections'!$D$6:$X$6,'Price projections'!$D$52:$X$52,"",0)*'Financial Analysis'!$C$54)+((1+Dashboard!$C$33)*'Financial Analysis'!$C$55),'Financial Analysis'!X58)</f>
        <v>1.2197102962018556</v>
      </c>
      <c r="Z58" s="104">
        <f>IFERROR((_xlfn.XLOOKUP(YEAR(Z$5),'Price projections'!$D$6:$X$6,'Price projections'!$D$52:$X$52,"",0)*'Financial Analysis'!$C$54)+((1+Dashboard!$C$33)*'Financial Analysis'!$C$55),'Financial Analysis'!Y58)</f>
        <v>1.2197102962018556</v>
      </c>
      <c r="AA58" s="104">
        <f>IFERROR((_xlfn.XLOOKUP(YEAR(AA$5),'Price projections'!$D$6:$X$6,'Price projections'!$D$52:$X$52,"",0)*'Financial Analysis'!$C$54)+((1+Dashboard!$C$33)*'Financial Analysis'!$C$55),'Financial Analysis'!Z58)</f>
        <v>1.2197102962018556</v>
      </c>
      <c r="AB58" s="104">
        <f>IFERROR((_xlfn.XLOOKUP(YEAR(AB$5),'Price projections'!$D$6:$X$6,'Price projections'!$D$52:$X$52,"",0)*'Financial Analysis'!$C$54)+((1+Dashboard!$C$33)*'Financial Analysis'!$C$55),'Financial Analysis'!AA58)</f>
        <v>1.2197102962018556</v>
      </c>
      <c r="AC58" s="104">
        <f>IFERROR((_xlfn.XLOOKUP(YEAR(AC$5),'Price projections'!$D$6:$X$6,'Price projections'!$D$52:$X$52,"",0)*'Financial Analysis'!$C$54)+((1+Dashboard!$C$33)*'Financial Analysis'!$C$55),'Financial Analysis'!AB58)</f>
        <v>1.2197102962018556</v>
      </c>
      <c r="AD58" s="104">
        <f>IFERROR((_xlfn.XLOOKUP(YEAR(AD$5),'Price projections'!$D$6:$X$6,'Price projections'!$D$52:$X$52,"",0)*'Financial Analysis'!$C$54)+((1+Dashboard!$C$33)*'Financial Analysis'!$C$55),'Financial Analysis'!AC58)</f>
        <v>1.2197102962018556</v>
      </c>
      <c r="AE58" s="104">
        <f>IFERROR((_xlfn.XLOOKUP(YEAR(AE$5),'Price projections'!$D$6:$X$6,'Price projections'!$D$52:$X$52,"",0)*'Financial Analysis'!$C$54)+((1+Dashboard!$C$33)*'Financial Analysis'!$C$55),'Financial Analysis'!AD58)</f>
        <v>1.2197102962018556</v>
      </c>
      <c r="AF58" s="104">
        <f>IFERROR((_xlfn.XLOOKUP(YEAR(AF$5),'Price projections'!$D$6:$X$6,'Price projections'!$D$52:$X$52,"",0)*'Financial Analysis'!$C$54)+((1+Dashboard!$C$33)*'Financial Analysis'!$C$55),'Financial Analysis'!AE58)</f>
        <v>1.2197102962018556</v>
      </c>
      <c r="AG58" s="104">
        <f>IFERROR((_xlfn.XLOOKUP(YEAR(AG$5),'Price projections'!$D$6:$X$6,'Price projections'!$D$52:$X$52,"",0)*'Financial Analysis'!$C$54)+((1+Dashboard!$C$33)*'Financial Analysis'!$C$55),'Financial Analysis'!AF58)</f>
        <v>1.2197102962018556</v>
      </c>
      <c r="AH58" s="104">
        <f>IFERROR((_xlfn.XLOOKUP(YEAR(AH$5),'Price projections'!$D$6:$X$6,'Price projections'!$D$52:$X$52,"",0)*'Financial Analysis'!$C$54)+((1+Dashboard!$C$33)*'Financial Analysis'!$C$55),'Financial Analysis'!AG58)</f>
        <v>1.2197102962018556</v>
      </c>
      <c r="AI58" s="104">
        <f>IFERROR((_xlfn.XLOOKUP(YEAR(AI$5),'Price projections'!$D$6:$X$6,'Price projections'!$D$52:$X$52,"",0)*'Financial Analysis'!$C$54)+((1+Dashboard!$C$33)*'Financial Analysis'!$C$55),'Financial Analysis'!AH58)</f>
        <v>1.2197102962018556</v>
      </c>
      <c r="AJ58" s="104">
        <f>IFERROR((_xlfn.XLOOKUP(YEAR(AJ$5),'Price projections'!$D$6:$X$6,'Price projections'!$D$52:$X$52,"",0)*'Financial Analysis'!$C$54)+((1+Dashboard!$C$33)*'Financial Analysis'!$C$55),'Financial Analysis'!AI58)</f>
        <v>1.2197102962018556</v>
      </c>
      <c r="AK58" s="104">
        <f>IFERROR((_xlfn.XLOOKUP(YEAR(AK$5),'Price projections'!$D$6:$X$6,'Price projections'!$D$52:$X$52,"",0)*'Financial Analysis'!$C$54)+((1+Dashboard!$C$33)*'Financial Analysis'!$C$55),'Financial Analysis'!AJ58)</f>
        <v>1.2197102962018556</v>
      </c>
      <c r="AL58" s="104">
        <f>IFERROR((_xlfn.XLOOKUP(YEAR(AL$5),'Price projections'!$D$6:$X$6,'Price projections'!$D$52:$X$52,"",0)*'Financial Analysis'!$C$54)+((1+Dashboard!$C$33)*'Financial Analysis'!$C$55),'Financial Analysis'!AK58)</f>
        <v>1.2197102962018556</v>
      </c>
      <c r="AM58" s="104">
        <f>IFERROR((_xlfn.XLOOKUP(YEAR(AM$5),'Price projections'!$D$6:$X$6,'Price projections'!$D$52:$X$52,"",0)*'Financial Analysis'!$C$54)+((1+Dashboard!$C$33)*'Financial Analysis'!$C$55),'Financial Analysis'!AL58)</f>
        <v>1.2197102962018556</v>
      </c>
      <c r="AN58" s="104">
        <f>IFERROR((_xlfn.XLOOKUP(YEAR(AN$5),'Price projections'!$D$6:$X$6,'Price projections'!$D$52:$X$52,"",0)*'Financial Analysis'!$C$54)+((1+Dashboard!$C$33)*'Financial Analysis'!$C$55),'Financial Analysis'!AM58)</f>
        <v>1.2197102962018556</v>
      </c>
      <c r="AO58" s="104">
        <f>IFERROR((_xlfn.XLOOKUP(YEAR(AO$5),'Price projections'!$D$6:$X$6,'Price projections'!$D$52:$X$52,"",0)*'Financial Analysis'!$C$54)+((1+Dashboard!$C$33)*'Financial Analysis'!$C$55),'Financial Analysis'!AN58)</f>
        <v>1.2197102962018556</v>
      </c>
      <c r="AP58" s="104">
        <f>IFERROR((_xlfn.XLOOKUP(YEAR(AP$5),'Price projections'!$D$6:$X$6,'Price projections'!$D$52:$X$52,"",0)*'Financial Analysis'!$C$54)+((1+Dashboard!$C$33)*'Financial Analysis'!$C$55),'Financial Analysis'!AO58)</f>
        <v>1.2197102962018556</v>
      </c>
      <c r="AQ58" s="104">
        <f>IFERROR((_xlfn.XLOOKUP(YEAR(AQ$5),'Price projections'!$D$6:$X$6,'Price projections'!$D$52:$X$52,"",0)*'Financial Analysis'!$C$54)+((1+Dashboard!$C$33)*'Financial Analysis'!$C$55),'Financial Analysis'!AP58)</f>
        <v>1.2197102962018556</v>
      </c>
      <c r="AR58" s="104">
        <f>IFERROR((_xlfn.XLOOKUP(YEAR(AR$5),'Price projections'!$D$6:$X$6,'Price projections'!$D$52:$X$52,"",0)*'Financial Analysis'!$C$54)+((1+Dashboard!$C$33)*'Financial Analysis'!$C$55),'Financial Analysis'!AQ58)</f>
        <v>1.2197102962018556</v>
      </c>
      <c r="AS58" s="104">
        <f>IFERROR((_xlfn.XLOOKUP(YEAR(AS$5),'Price projections'!$D$6:$X$6,'Price projections'!$D$52:$X$52,"",0)*'Financial Analysis'!$C$54)+((1+Dashboard!$C$33)*'Financial Analysis'!$C$55),'Financial Analysis'!AR58)</f>
        <v>1.2197102962018556</v>
      </c>
      <c r="AT58" s="104">
        <f>IFERROR((_xlfn.XLOOKUP(YEAR(AT$5),'Price projections'!$D$6:$X$6,'Price projections'!$D$52:$X$52,"",0)*'Financial Analysis'!$C$54)+((1+Dashboard!$C$33)*'Financial Analysis'!$C$55),'Financial Analysis'!AS58)</f>
        <v>1.2197102962018556</v>
      </c>
      <c r="AU58" s="104">
        <f>IFERROR((_xlfn.XLOOKUP(YEAR(AU$5),'Price projections'!$D$6:$X$6,'Price projections'!$D$52:$X$52,"",0)*'Financial Analysis'!$C$54)+((1+Dashboard!$C$33)*'Financial Analysis'!$C$55),'Financial Analysis'!AT58)</f>
        <v>1.2197102962018556</v>
      </c>
      <c r="AV58" s="104">
        <f>IFERROR((_xlfn.XLOOKUP(YEAR(AV$5),'Price projections'!$D$6:$X$6,'Price projections'!$D$52:$X$52,"",0)*'Financial Analysis'!$C$54)+((1+Dashboard!$C$33)*'Financial Analysis'!$C$55),'Financial Analysis'!AU58)</f>
        <v>1.2197102962018556</v>
      </c>
      <c r="AW58" s="104">
        <f>IFERROR((_xlfn.XLOOKUP(YEAR(AW$5),'Price projections'!$D$6:$X$6,'Price projections'!$D$52:$X$52,"",0)*'Financial Analysis'!$C$54)+((1+Dashboard!$C$33)*'Financial Analysis'!$C$55),'Financial Analysis'!AV58)</f>
        <v>1.2197102962018556</v>
      </c>
      <c r="AX58" s="104">
        <f>IFERROR((_xlfn.XLOOKUP(YEAR(AX$5),'Price projections'!$D$6:$X$6,'Price projections'!$D$52:$X$52,"",0)*'Financial Analysis'!$C$54)+((1+Dashboard!$C$33)*'Financial Analysis'!$C$55),'Financial Analysis'!AW58)</f>
        <v>1.2197102962018556</v>
      </c>
      <c r="AY58" s="104">
        <f>IFERROR((_xlfn.XLOOKUP(YEAR(AY$5),'Price projections'!$D$6:$X$6,'Price projections'!$D$52:$X$52,"",0)*'Financial Analysis'!$C$54)+((1+Dashboard!$C$33)*'Financial Analysis'!$C$55),'Financial Analysis'!AX58)</f>
        <v>1.2197102962018556</v>
      </c>
      <c r="AZ58" s="104">
        <f>IFERROR((_xlfn.XLOOKUP(YEAR(AZ$5),'Price projections'!$D$6:$X$6,'Price projections'!$D$52:$X$52,"",0)*'Financial Analysis'!$C$54)+((1+Dashboard!$C$33)*'Financial Analysis'!$C$55),'Financial Analysis'!AY58)</f>
        <v>1.2197102962018556</v>
      </c>
      <c r="BA58" s="104">
        <f>IFERROR((_xlfn.XLOOKUP(YEAR(BA$5),'Price projections'!$D$6:$X$6,'Price projections'!$D$52:$X$52,"",0)*'Financial Analysis'!$C$54)+((1+Dashboard!$C$33)*'Financial Analysis'!$C$55),'Financial Analysis'!AZ58)</f>
        <v>1.2197102962018556</v>
      </c>
      <c r="BB58" s="104">
        <f>IFERROR((_xlfn.XLOOKUP(YEAR(BB$5),'Price projections'!$D$6:$X$6,'Price projections'!$D$52:$X$52,"",0)*'Financial Analysis'!$C$54)+((1+Dashboard!$C$33)*'Financial Analysis'!$C$55),'Financial Analysis'!BA58)</f>
        <v>1.2197102962018556</v>
      </c>
      <c r="BC58" s="104">
        <f>IFERROR((_xlfn.XLOOKUP(YEAR(BC$5),'Price projections'!$D$6:$X$6,'Price projections'!$D$52:$X$52,"",0)*'Financial Analysis'!$C$54)+((1+Dashboard!$C$33)*'Financial Analysis'!$C$55),'Financial Analysis'!BB58)</f>
        <v>1.2197102962018556</v>
      </c>
      <c r="BD58" s="104">
        <f>IFERROR((_xlfn.XLOOKUP(YEAR(BD$5),'Price projections'!$D$6:$X$6,'Price projections'!$D$52:$X$52,"",0)*'Financial Analysis'!$C$54)+((1+Dashboard!$C$33)*'Financial Analysis'!$C$55),'Financial Analysis'!BC58)</f>
        <v>1.2197102962018556</v>
      </c>
      <c r="BE58" s="104">
        <f>IFERROR((_xlfn.XLOOKUP(YEAR(BE$5),'Price projections'!$D$6:$X$6,'Price projections'!$D$52:$X$52,"",0)*'Financial Analysis'!$C$54)+((1+Dashboard!$C$33)*'Financial Analysis'!$C$55),'Financial Analysis'!BD58)</f>
        <v>1.2197102962018556</v>
      </c>
      <c r="BF58" s="104">
        <f>IFERROR((_xlfn.XLOOKUP(YEAR(BF$5),'Price projections'!$D$6:$X$6,'Price projections'!$D$52:$X$52,"",0)*'Financial Analysis'!$C$54)+((1+Dashboard!$C$33)*'Financial Analysis'!$C$55),'Financial Analysis'!BE58)</f>
        <v>1.2197102962018556</v>
      </c>
      <c r="BG58" s="104">
        <f>IFERROR((_xlfn.XLOOKUP(YEAR(BG$5),'Price projections'!$D$6:$X$6,'Price projections'!$D$52:$X$52,"",0)*'Financial Analysis'!$C$54)+((1+Dashboard!$C$33)*'Financial Analysis'!$C$55),'Financial Analysis'!BF58)</f>
        <v>1.2197102962018556</v>
      </c>
      <c r="BH58" s="104">
        <f>IFERROR((_xlfn.XLOOKUP(YEAR(BH$5),'Price projections'!$D$6:$X$6,'Price projections'!$D$52:$X$52,"",0)*'Financial Analysis'!$C$54)+((1+Dashboard!$C$33)*'Financial Analysis'!$C$55),'Financial Analysis'!BG58)</f>
        <v>1.2197102962018556</v>
      </c>
      <c r="BI58" s="104">
        <f>IFERROR((_xlfn.XLOOKUP(YEAR(BI$5),'Price projections'!$D$6:$X$6,'Price projections'!$D$52:$X$52,"",0)*'Financial Analysis'!$C$54)+((1+Dashboard!$C$33)*'Financial Analysis'!$C$55),'Financial Analysis'!BH58)</f>
        <v>1.2197102962018556</v>
      </c>
      <c r="BJ58" s="104">
        <f>IFERROR((_xlfn.XLOOKUP(YEAR(BJ$5),'Price projections'!$D$6:$X$6,'Price projections'!$D$52:$X$52,"",0)*'Financial Analysis'!$C$54)+((1+Dashboard!$C$33)*'Financial Analysis'!$C$55),'Financial Analysis'!BI58)</f>
        <v>1.2197102962018556</v>
      </c>
      <c r="BK58" s="104">
        <f>IFERROR((_xlfn.XLOOKUP(YEAR(BK$5),'Price projections'!$D$6:$X$6,'Price projections'!$D$52:$X$52,"",0)*'Financial Analysis'!$C$54)+((1+Dashboard!$C$33)*'Financial Analysis'!$C$55),'Financial Analysis'!BJ58)</f>
        <v>1.2197102962018556</v>
      </c>
      <c r="BL58" s="104">
        <f>IFERROR((_xlfn.XLOOKUP(YEAR(BL$5),'Price projections'!$D$6:$X$6,'Price projections'!$D$52:$X$52,"",0)*'Financial Analysis'!$C$54)+((1+Dashboard!$C$33)*'Financial Analysis'!$C$55),'Financial Analysis'!BK58)</f>
        <v>1.2197102962018556</v>
      </c>
    </row>
    <row r="59" spans="2:64">
      <c r="B59" s="146" t="s">
        <v>439</v>
      </c>
      <c r="E59" s="104">
        <f>IFERROR((_xlfn.XLOOKUP(YEAR(E$5),'Price projections'!$D$6:$X$6,'Price projections'!$D$53:$X$53,"",0)*'Financial Analysis'!$C$54)+((1+Dashboard!$C$33)*'Financial Analysis'!$C$55),'Financial Analysis'!D59)</f>
        <v>1.0213195028602211</v>
      </c>
      <c r="F59" s="104">
        <f>IFERROR((_xlfn.XLOOKUP(YEAR(F$5),'Price projections'!$D$6:$X$6,'Price projections'!$D$53:$X$53,"",0)*'Financial Analysis'!$C$54)+((1+Dashboard!$C$33)*'Financial Analysis'!$C$55),'Financial Analysis'!E59)</f>
        <v>1.0296391500563578</v>
      </c>
      <c r="G59" s="104">
        <f>IFERROR((_xlfn.XLOOKUP(YEAR(G$5),'Price projections'!$D$6:$X$6,'Price projections'!$D$53:$X$53,"",0)*'Financial Analysis'!$C$54)+((1+Dashboard!$C$33)*'Financial Analysis'!$C$55),'Financial Analysis'!F59)</f>
        <v>1.0339286575574822</v>
      </c>
      <c r="H59" s="104">
        <f>IFERROR((_xlfn.XLOOKUP(YEAR(H$5),'Price projections'!$D$6:$X$6,'Price projections'!$D$53:$X$53,"",0)*'Financial Analysis'!$C$54)+((1+Dashboard!$C$33)*'Financial Analysis'!$C$55),'Financial Analysis'!G59)</f>
        <v>1.0385261912466177</v>
      </c>
      <c r="I59" s="104">
        <f>IFERROR((_xlfn.XLOOKUP(YEAR(I$5),'Price projections'!$D$6:$X$6,'Price projections'!$D$53:$X$53,"",0)*'Financial Analysis'!$C$54)+((1+Dashboard!$C$33)*'Financial Analysis'!$C$55),'Financial Analysis'!H59)</f>
        <v>1.0428633740395372</v>
      </c>
      <c r="J59" s="104">
        <f>IFERROR((_xlfn.XLOOKUP(YEAR(J$5),'Price projections'!$D$6:$X$6,'Price projections'!$D$53:$X$53,"",0)*'Financial Analysis'!$C$54)+((1+Dashboard!$C$33)*'Financial Analysis'!$C$55),'Financial Analysis'!I59)</f>
        <v>1.0482474852461039</v>
      </c>
      <c r="K59" s="104">
        <f>IFERROR((_xlfn.XLOOKUP(YEAR(K$5),'Price projections'!$D$6:$X$6,'Price projections'!$D$53:$X$53,"",0)*'Financial Analysis'!$C$54)+((1+Dashboard!$C$33)*'Financial Analysis'!$C$55),'Financial Analysis'!J59)</f>
        <v>1.0523062041404667</v>
      </c>
      <c r="L59" s="104">
        <f>IFERROR((_xlfn.XLOOKUP(YEAR(L$5),'Price projections'!$D$6:$X$6,'Price projections'!$D$53:$X$53,"",0)*'Financial Analysis'!$C$54)+((1+Dashboard!$C$33)*'Financial Analysis'!$C$55),'Financial Analysis'!K59)</f>
        <v>1.0575892316023714</v>
      </c>
      <c r="M59" s="104">
        <f>IFERROR((_xlfn.XLOOKUP(YEAR(M$5),'Price projections'!$D$6:$X$6,'Price projections'!$D$53:$X$53,"",0)*'Financial Analysis'!$C$54)+((1+Dashboard!$C$33)*'Financial Analysis'!$C$55),'Financial Analysis'!L59)</f>
        <v>1.0638766284497969</v>
      </c>
      <c r="N59" s="104">
        <f>IFERROR((_xlfn.XLOOKUP(YEAR(N$5),'Price projections'!$D$6:$X$6,'Price projections'!$D$53:$X$53,"",0)*'Financial Analysis'!$C$54)+((1+Dashboard!$C$33)*'Financial Analysis'!$C$55),'Financial Analysis'!M59)</f>
        <v>1.0712434109679436</v>
      </c>
      <c r="O59" s="104">
        <f>IFERROR((_xlfn.XLOOKUP(YEAR(O$5),'Price projections'!$D$6:$X$6,'Price projections'!$D$53:$X$53,"",0)*'Financial Analysis'!$C$54)+((1+Dashboard!$C$33)*'Financial Analysis'!$C$55),'Financial Analysis'!N59)</f>
        <v>1.0702652784922213</v>
      </c>
      <c r="P59" s="104">
        <f>IFERROR((_xlfn.XLOOKUP(YEAR(P$5),'Price projections'!$D$6:$X$6,'Price projections'!$D$53:$X$53,"",0)*'Financial Analysis'!$C$54)+((1+Dashboard!$C$33)*'Financial Analysis'!$C$55),'Financial Analysis'!O59)</f>
        <v>1.0692567965929416</v>
      </c>
      <c r="Q59" s="104">
        <f>IFERROR((_xlfn.XLOOKUP(YEAR(Q$5),'Price projections'!$D$6:$X$6,'Price projections'!$D$53:$X$53,"",0)*'Financial Analysis'!$C$54)+((1+Dashboard!$C$33)*'Financial Analysis'!$C$55),'Financial Analysis'!P59)</f>
        <v>1.0682657462448637</v>
      </c>
      <c r="R59" s="104">
        <f>IFERROR((_xlfn.XLOOKUP(YEAR(R$5),'Price projections'!$D$6:$X$6,'Price projections'!$D$53:$X$53,"",0)*'Financial Analysis'!$C$54)+((1+Dashboard!$C$33)*'Financial Analysis'!$C$55),'Financial Analysis'!Q59)</f>
        <v>1.0672721180012654</v>
      </c>
      <c r="S59" s="104">
        <f>IFERROR((_xlfn.XLOOKUP(YEAR(S$5),'Price projections'!$D$6:$X$6,'Price projections'!$D$53:$X$53,"",0)*'Financial Analysis'!$C$54)+((1+Dashboard!$C$33)*'Financial Analysis'!$C$55),'Financial Analysis'!R59)</f>
        <v>1.0672721180012654</v>
      </c>
      <c r="T59" s="104">
        <f>IFERROR((_xlfn.XLOOKUP(YEAR(T$5),'Price projections'!$D$6:$X$6,'Price projections'!$D$53:$X$53,"",0)*'Financial Analysis'!$C$54)+((1+Dashboard!$C$33)*'Financial Analysis'!$C$55),'Financial Analysis'!S59)</f>
        <v>1.0672721180012654</v>
      </c>
      <c r="U59" s="104">
        <f>IFERROR((_xlfn.XLOOKUP(YEAR(U$5),'Price projections'!$D$6:$X$6,'Price projections'!$D$53:$X$53,"",0)*'Financial Analysis'!$C$54)+((1+Dashboard!$C$33)*'Financial Analysis'!$C$55),'Financial Analysis'!T59)</f>
        <v>1.0672721180012654</v>
      </c>
      <c r="V59" s="104">
        <f>IFERROR((_xlfn.XLOOKUP(YEAR(V$5),'Price projections'!$D$6:$X$6,'Price projections'!$D$53:$X$53,"",0)*'Financial Analysis'!$C$54)+((1+Dashboard!$C$33)*'Financial Analysis'!$C$55),'Financial Analysis'!U59)</f>
        <v>1.0672721180012654</v>
      </c>
      <c r="W59" s="104">
        <f>IFERROR((_xlfn.XLOOKUP(YEAR(W$5),'Price projections'!$D$6:$X$6,'Price projections'!$D$53:$X$53,"",0)*'Financial Analysis'!$C$54)+((1+Dashboard!$C$33)*'Financial Analysis'!$C$55),'Financial Analysis'!V59)</f>
        <v>1.0672721180012654</v>
      </c>
      <c r="X59" s="104">
        <f>IFERROR((_xlfn.XLOOKUP(YEAR(X$5),'Price projections'!$D$6:$X$6,'Price projections'!$D$53:$X$53,"",0)*'Financial Analysis'!$C$54)+((1+Dashboard!$C$33)*'Financial Analysis'!$C$55),'Financial Analysis'!W59)</f>
        <v>1.0672721180012654</v>
      </c>
      <c r="Y59" s="104">
        <f>IFERROR((_xlfn.XLOOKUP(YEAR(Y$5),'Price projections'!$D$6:$X$6,'Price projections'!$D$53:$X$53,"",0)*'Financial Analysis'!$C$54)+((1+Dashboard!$C$33)*'Financial Analysis'!$C$55),'Financial Analysis'!X59)</f>
        <v>1.0672721180012654</v>
      </c>
      <c r="Z59" s="104">
        <f>IFERROR((_xlfn.XLOOKUP(YEAR(Z$5),'Price projections'!$D$6:$X$6,'Price projections'!$D$53:$X$53,"",0)*'Financial Analysis'!$C$54)+((1+Dashboard!$C$33)*'Financial Analysis'!$C$55),'Financial Analysis'!Y59)</f>
        <v>1.0672721180012654</v>
      </c>
      <c r="AA59" s="104">
        <f>IFERROR((_xlfn.XLOOKUP(YEAR(AA$5),'Price projections'!$D$6:$X$6,'Price projections'!$D$53:$X$53,"",0)*'Financial Analysis'!$C$54)+((1+Dashboard!$C$33)*'Financial Analysis'!$C$55),'Financial Analysis'!Z59)</f>
        <v>1.0672721180012654</v>
      </c>
      <c r="AB59" s="104">
        <f>IFERROR((_xlfn.XLOOKUP(YEAR(AB$5),'Price projections'!$D$6:$X$6,'Price projections'!$D$53:$X$53,"",0)*'Financial Analysis'!$C$54)+((1+Dashboard!$C$33)*'Financial Analysis'!$C$55),'Financial Analysis'!AA59)</f>
        <v>1.0672721180012654</v>
      </c>
      <c r="AC59" s="104">
        <f>IFERROR((_xlfn.XLOOKUP(YEAR(AC$5),'Price projections'!$D$6:$X$6,'Price projections'!$D$53:$X$53,"",0)*'Financial Analysis'!$C$54)+((1+Dashboard!$C$33)*'Financial Analysis'!$C$55),'Financial Analysis'!AB59)</f>
        <v>1.0672721180012654</v>
      </c>
      <c r="AD59" s="104">
        <f>IFERROR((_xlfn.XLOOKUP(YEAR(AD$5),'Price projections'!$D$6:$X$6,'Price projections'!$D$53:$X$53,"",0)*'Financial Analysis'!$C$54)+((1+Dashboard!$C$33)*'Financial Analysis'!$C$55),'Financial Analysis'!AC59)</f>
        <v>1.0672721180012654</v>
      </c>
      <c r="AE59" s="104">
        <f>IFERROR((_xlfn.XLOOKUP(YEAR(AE$5),'Price projections'!$D$6:$X$6,'Price projections'!$D$53:$X$53,"",0)*'Financial Analysis'!$C$54)+((1+Dashboard!$C$33)*'Financial Analysis'!$C$55),'Financial Analysis'!AD59)</f>
        <v>1.0672721180012654</v>
      </c>
      <c r="AF59" s="104">
        <f>IFERROR((_xlfn.XLOOKUP(YEAR(AF$5),'Price projections'!$D$6:$X$6,'Price projections'!$D$53:$X$53,"",0)*'Financial Analysis'!$C$54)+((1+Dashboard!$C$33)*'Financial Analysis'!$C$55),'Financial Analysis'!AE59)</f>
        <v>1.0672721180012654</v>
      </c>
      <c r="AG59" s="104">
        <f>IFERROR((_xlfn.XLOOKUP(YEAR(AG$5),'Price projections'!$D$6:$X$6,'Price projections'!$D$53:$X$53,"",0)*'Financial Analysis'!$C$54)+((1+Dashboard!$C$33)*'Financial Analysis'!$C$55),'Financial Analysis'!AF59)</f>
        <v>1.0672721180012654</v>
      </c>
      <c r="AH59" s="104">
        <f>IFERROR((_xlfn.XLOOKUP(YEAR(AH$5),'Price projections'!$D$6:$X$6,'Price projections'!$D$53:$X$53,"",0)*'Financial Analysis'!$C$54)+((1+Dashboard!$C$33)*'Financial Analysis'!$C$55),'Financial Analysis'!AG59)</f>
        <v>1.0672721180012654</v>
      </c>
      <c r="AI59" s="104">
        <f>IFERROR((_xlfn.XLOOKUP(YEAR(AI$5),'Price projections'!$D$6:$X$6,'Price projections'!$D$53:$X$53,"",0)*'Financial Analysis'!$C$54)+((1+Dashboard!$C$33)*'Financial Analysis'!$C$55),'Financial Analysis'!AH59)</f>
        <v>1.0672721180012654</v>
      </c>
      <c r="AJ59" s="104">
        <f>IFERROR((_xlfn.XLOOKUP(YEAR(AJ$5),'Price projections'!$D$6:$X$6,'Price projections'!$D$53:$X$53,"",0)*'Financial Analysis'!$C$54)+((1+Dashboard!$C$33)*'Financial Analysis'!$C$55),'Financial Analysis'!AI59)</f>
        <v>1.0672721180012654</v>
      </c>
      <c r="AK59" s="104">
        <f>IFERROR((_xlfn.XLOOKUP(YEAR(AK$5),'Price projections'!$D$6:$X$6,'Price projections'!$D$53:$X$53,"",0)*'Financial Analysis'!$C$54)+((1+Dashboard!$C$33)*'Financial Analysis'!$C$55),'Financial Analysis'!AJ59)</f>
        <v>1.0672721180012654</v>
      </c>
      <c r="AL59" s="104">
        <f>IFERROR((_xlfn.XLOOKUP(YEAR(AL$5),'Price projections'!$D$6:$X$6,'Price projections'!$D$53:$X$53,"",0)*'Financial Analysis'!$C$54)+((1+Dashboard!$C$33)*'Financial Analysis'!$C$55),'Financial Analysis'!AK59)</f>
        <v>1.0672721180012654</v>
      </c>
      <c r="AM59" s="104">
        <f>IFERROR((_xlfn.XLOOKUP(YEAR(AM$5),'Price projections'!$D$6:$X$6,'Price projections'!$D$53:$X$53,"",0)*'Financial Analysis'!$C$54)+((1+Dashboard!$C$33)*'Financial Analysis'!$C$55),'Financial Analysis'!AL59)</f>
        <v>1.0672721180012654</v>
      </c>
      <c r="AN59" s="104">
        <f>IFERROR((_xlfn.XLOOKUP(YEAR(AN$5),'Price projections'!$D$6:$X$6,'Price projections'!$D$53:$X$53,"",0)*'Financial Analysis'!$C$54)+((1+Dashboard!$C$33)*'Financial Analysis'!$C$55),'Financial Analysis'!AM59)</f>
        <v>1.0672721180012654</v>
      </c>
      <c r="AO59" s="104">
        <f>IFERROR((_xlfn.XLOOKUP(YEAR(AO$5),'Price projections'!$D$6:$X$6,'Price projections'!$D$53:$X$53,"",0)*'Financial Analysis'!$C$54)+((1+Dashboard!$C$33)*'Financial Analysis'!$C$55),'Financial Analysis'!AN59)</f>
        <v>1.0672721180012654</v>
      </c>
      <c r="AP59" s="104">
        <f>IFERROR((_xlfn.XLOOKUP(YEAR(AP$5),'Price projections'!$D$6:$X$6,'Price projections'!$D$53:$X$53,"",0)*'Financial Analysis'!$C$54)+((1+Dashboard!$C$33)*'Financial Analysis'!$C$55),'Financial Analysis'!AO59)</f>
        <v>1.0672721180012654</v>
      </c>
      <c r="AQ59" s="104">
        <f>IFERROR((_xlfn.XLOOKUP(YEAR(AQ$5),'Price projections'!$D$6:$X$6,'Price projections'!$D$53:$X$53,"",0)*'Financial Analysis'!$C$54)+((1+Dashboard!$C$33)*'Financial Analysis'!$C$55),'Financial Analysis'!AP59)</f>
        <v>1.0672721180012654</v>
      </c>
      <c r="AR59" s="104">
        <f>IFERROR((_xlfn.XLOOKUP(YEAR(AR$5),'Price projections'!$D$6:$X$6,'Price projections'!$D$53:$X$53,"",0)*'Financial Analysis'!$C$54)+((1+Dashboard!$C$33)*'Financial Analysis'!$C$55),'Financial Analysis'!AQ59)</f>
        <v>1.0672721180012654</v>
      </c>
      <c r="AS59" s="104">
        <f>IFERROR((_xlfn.XLOOKUP(YEAR(AS$5),'Price projections'!$D$6:$X$6,'Price projections'!$D$53:$X$53,"",0)*'Financial Analysis'!$C$54)+((1+Dashboard!$C$33)*'Financial Analysis'!$C$55),'Financial Analysis'!AR59)</f>
        <v>1.0672721180012654</v>
      </c>
      <c r="AT59" s="104">
        <f>IFERROR((_xlfn.XLOOKUP(YEAR(AT$5),'Price projections'!$D$6:$X$6,'Price projections'!$D$53:$X$53,"",0)*'Financial Analysis'!$C$54)+((1+Dashboard!$C$33)*'Financial Analysis'!$C$55),'Financial Analysis'!AS59)</f>
        <v>1.0672721180012654</v>
      </c>
      <c r="AU59" s="104">
        <f>IFERROR((_xlfn.XLOOKUP(YEAR(AU$5),'Price projections'!$D$6:$X$6,'Price projections'!$D$53:$X$53,"",0)*'Financial Analysis'!$C$54)+((1+Dashboard!$C$33)*'Financial Analysis'!$C$55),'Financial Analysis'!AT59)</f>
        <v>1.0672721180012654</v>
      </c>
      <c r="AV59" s="104">
        <f>IFERROR((_xlfn.XLOOKUP(YEAR(AV$5),'Price projections'!$D$6:$X$6,'Price projections'!$D$53:$X$53,"",0)*'Financial Analysis'!$C$54)+((1+Dashboard!$C$33)*'Financial Analysis'!$C$55),'Financial Analysis'!AU59)</f>
        <v>1.0672721180012654</v>
      </c>
      <c r="AW59" s="104">
        <f>IFERROR((_xlfn.XLOOKUP(YEAR(AW$5),'Price projections'!$D$6:$X$6,'Price projections'!$D$53:$X$53,"",0)*'Financial Analysis'!$C$54)+((1+Dashboard!$C$33)*'Financial Analysis'!$C$55),'Financial Analysis'!AV59)</f>
        <v>1.0672721180012654</v>
      </c>
      <c r="AX59" s="104">
        <f>IFERROR((_xlfn.XLOOKUP(YEAR(AX$5),'Price projections'!$D$6:$X$6,'Price projections'!$D$53:$X$53,"",0)*'Financial Analysis'!$C$54)+((1+Dashboard!$C$33)*'Financial Analysis'!$C$55),'Financial Analysis'!AW59)</f>
        <v>1.0672721180012654</v>
      </c>
      <c r="AY59" s="104">
        <f>IFERROR((_xlfn.XLOOKUP(YEAR(AY$5),'Price projections'!$D$6:$X$6,'Price projections'!$D$53:$X$53,"",0)*'Financial Analysis'!$C$54)+((1+Dashboard!$C$33)*'Financial Analysis'!$C$55),'Financial Analysis'!AX59)</f>
        <v>1.0672721180012654</v>
      </c>
      <c r="AZ59" s="104">
        <f>IFERROR((_xlfn.XLOOKUP(YEAR(AZ$5),'Price projections'!$D$6:$X$6,'Price projections'!$D$53:$X$53,"",0)*'Financial Analysis'!$C$54)+((1+Dashboard!$C$33)*'Financial Analysis'!$C$55),'Financial Analysis'!AY59)</f>
        <v>1.0672721180012654</v>
      </c>
      <c r="BA59" s="104">
        <f>IFERROR((_xlfn.XLOOKUP(YEAR(BA$5),'Price projections'!$D$6:$X$6,'Price projections'!$D$53:$X$53,"",0)*'Financial Analysis'!$C$54)+((1+Dashboard!$C$33)*'Financial Analysis'!$C$55),'Financial Analysis'!AZ59)</f>
        <v>1.0672721180012654</v>
      </c>
      <c r="BB59" s="104">
        <f>IFERROR((_xlfn.XLOOKUP(YEAR(BB$5),'Price projections'!$D$6:$X$6,'Price projections'!$D$53:$X$53,"",0)*'Financial Analysis'!$C$54)+((1+Dashboard!$C$33)*'Financial Analysis'!$C$55),'Financial Analysis'!BA59)</f>
        <v>1.0672721180012654</v>
      </c>
      <c r="BC59" s="104">
        <f>IFERROR((_xlfn.XLOOKUP(YEAR(BC$5),'Price projections'!$D$6:$X$6,'Price projections'!$D$53:$X$53,"",0)*'Financial Analysis'!$C$54)+((1+Dashboard!$C$33)*'Financial Analysis'!$C$55),'Financial Analysis'!BB59)</f>
        <v>1.0672721180012654</v>
      </c>
      <c r="BD59" s="104">
        <f>IFERROR((_xlfn.XLOOKUP(YEAR(BD$5),'Price projections'!$D$6:$X$6,'Price projections'!$D$53:$X$53,"",0)*'Financial Analysis'!$C$54)+((1+Dashboard!$C$33)*'Financial Analysis'!$C$55),'Financial Analysis'!BC59)</f>
        <v>1.0672721180012654</v>
      </c>
      <c r="BE59" s="104">
        <f>IFERROR((_xlfn.XLOOKUP(YEAR(BE$5),'Price projections'!$D$6:$X$6,'Price projections'!$D$53:$X$53,"",0)*'Financial Analysis'!$C$54)+((1+Dashboard!$C$33)*'Financial Analysis'!$C$55),'Financial Analysis'!BD59)</f>
        <v>1.0672721180012654</v>
      </c>
      <c r="BF59" s="104">
        <f>IFERROR((_xlfn.XLOOKUP(YEAR(BF$5),'Price projections'!$D$6:$X$6,'Price projections'!$D$53:$X$53,"",0)*'Financial Analysis'!$C$54)+((1+Dashboard!$C$33)*'Financial Analysis'!$C$55),'Financial Analysis'!BE59)</f>
        <v>1.0672721180012654</v>
      </c>
      <c r="BG59" s="104">
        <f>IFERROR((_xlfn.XLOOKUP(YEAR(BG$5),'Price projections'!$D$6:$X$6,'Price projections'!$D$53:$X$53,"",0)*'Financial Analysis'!$C$54)+((1+Dashboard!$C$33)*'Financial Analysis'!$C$55),'Financial Analysis'!BF59)</f>
        <v>1.0672721180012654</v>
      </c>
      <c r="BH59" s="104">
        <f>IFERROR((_xlfn.XLOOKUP(YEAR(BH$5),'Price projections'!$D$6:$X$6,'Price projections'!$D$53:$X$53,"",0)*'Financial Analysis'!$C$54)+((1+Dashboard!$C$33)*'Financial Analysis'!$C$55),'Financial Analysis'!BG59)</f>
        <v>1.0672721180012654</v>
      </c>
      <c r="BI59" s="104">
        <f>IFERROR((_xlfn.XLOOKUP(YEAR(BI$5),'Price projections'!$D$6:$X$6,'Price projections'!$D$53:$X$53,"",0)*'Financial Analysis'!$C$54)+((1+Dashboard!$C$33)*'Financial Analysis'!$C$55),'Financial Analysis'!BH59)</f>
        <v>1.0672721180012654</v>
      </c>
      <c r="BJ59" s="104">
        <f>IFERROR((_xlfn.XLOOKUP(YEAR(BJ$5),'Price projections'!$D$6:$X$6,'Price projections'!$D$53:$X$53,"",0)*'Financial Analysis'!$C$54)+((1+Dashboard!$C$33)*'Financial Analysis'!$C$55),'Financial Analysis'!BI59)</f>
        <v>1.0672721180012654</v>
      </c>
      <c r="BK59" s="104">
        <f>IFERROR((_xlfn.XLOOKUP(YEAR(BK$5),'Price projections'!$D$6:$X$6,'Price projections'!$D$53:$X$53,"",0)*'Financial Analysis'!$C$54)+((1+Dashboard!$C$33)*'Financial Analysis'!$C$55),'Financial Analysis'!BJ59)</f>
        <v>1.0672721180012654</v>
      </c>
      <c r="BL59" s="104">
        <f>IFERROR((_xlfn.XLOOKUP(YEAR(BL$5),'Price projections'!$D$6:$X$6,'Price projections'!$D$53:$X$53,"",0)*'Financial Analysis'!$C$54)+((1+Dashboard!$C$33)*'Financial Analysis'!$C$55),'Financial Analysis'!BK59)</f>
        <v>1.0672721180012654</v>
      </c>
    </row>
    <row r="60" spans="2:64">
      <c r="B60" s="146" t="s">
        <v>440</v>
      </c>
      <c r="E60" s="104">
        <f>IFERROR((_xlfn.XLOOKUP(YEAR(E$5),'Price projections'!$D$6:$X$6,'Price projections'!$D$54:$X$54,"",0)*'Financial Analysis'!$C$54)+((1+Dashboard!$C$33)*'Financial Analysis'!$C$55),'Financial Analysis'!D60)</f>
        <v>1.0831260205070705</v>
      </c>
      <c r="F60" s="104">
        <f>IFERROR((_xlfn.XLOOKUP(YEAR(F$5),'Price projections'!$D$6:$X$6,'Price projections'!$D$54:$X$54,"",0)*'Financial Analysis'!$C$54)+((1+Dashboard!$C$33)*'Financial Analysis'!$C$55),'Financial Analysis'!E60)</f>
        <v>1.0971834702417418</v>
      </c>
      <c r="G60" s="104">
        <f>IFERROR((_xlfn.XLOOKUP(YEAR(G$5),'Price projections'!$D$6:$X$6,'Price projections'!$D$54:$X$54,"",0)*'Financial Analysis'!$C$54)+((1+Dashboard!$C$33)*'Financial Analysis'!$C$55),'Financial Analysis'!F60)</f>
        <v>1.11158956124825</v>
      </c>
      <c r="H60" s="104">
        <f>IFERROR((_xlfn.XLOOKUP(YEAR(H$5),'Price projections'!$D$6:$X$6,'Price projections'!$D$54:$X$54,"",0)*'Financial Analysis'!$C$54)+((1+Dashboard!$C$33)*'Financial Analysis'!$C$55),'Financial Analysis'!G60)</f>
        <v>1.1251085580662108</v>
      </c>
      <c r="I60" s="104">
        <f>IFERROR((_xlfn.XLOOKUP(YEAR(I$5),'Price projections'!$D$6:$X$6,'Price projections'!$D$54:$X$54,"",0)*'Financial Analysis'!$C$54)+((1+Dashboard!$C$33)*'Financial Analysis'!$C$55),'Financial Analysis'!H60)</f>
        <v>1.1386715844602942</v>
      </c>
      <c r="J60" s="104">
        <f>IFERROR((_xlfn.XLOOKUP(YEAR(J$5),'Price projections'!$D$6:$X$6,'Price projections'!$D$54:$X$54,"",0)*'Financial Analysis'!$C$54)+((1+Dashboard!$C$33)*'Financial Analysis'!$C$55),'Financial Analysis'!I60)</f>
        <v>1.1522530977998215</v>
      </c>
      <c r="K60" s="104">
        <f>IFERROR((_xlfn.XLOOKUP(YEAR(K$5),'Price projections'!$D$6:$X$6,'Price projections'!$D$54:$X$54,"",0)*'Financial Analysis'!$C$54)+((1+Dashboard!$C$33)*'Financial Analysis'!$C$55),'Financial Analysis'!J60)</f>
        <v>1.1658366880403557</v>
      </c>
      <c r="L60" s="104">
        <f>IFERROR((_xlfn.XLOOKUP(YEAR(L$5),'Price projections'!$D$6:$X$6,'Price projections'!$D$54:$X$54,"",0)*'Financial Analysis'!$C$54)+((1+Dashboard!$C$33)*'Financial Analysis'!$C$55),'Financial Analysis'!K60)</f>
        <v>1.1794292116834744</v>
      </c>
      <c r="M60" s="104">
        <f>IFERROR((_xlfn.XLOOKUP(YEAR(M$5),'Price projections'!$D$6:$X$6,'Price projections'!$D$54:$X$54,"",0)*'Financial Analysis'!$C$54)+((1+Dashboard!$C$33)*'Financial Analysis'!$C$55),'Financial Analysis'!L60)</f>
        <v>1.1930307923445107</v>
      </c>
      <c r="N60" s="104">
        <f>IFERROR((_xlfn.XLOOKUP(YEAR(N$5),'Price projections'!$D$6:$X$6,'Price projections'!$D$54:$X$54,"",0)*'Financial Analysis'!$C$54)+((1+Dashboard!$C$33)*'Financial Analysis'!$C$55),'Financial Analysis'!M60)</f>
        <v>1.192782703989431</v>
      </c>
      <c r="O60" s="104">
        <f>IFERROR((_xlfn.XLOOKUP(YEAR(O$5),'Price projections'!$D$6:$X$6,'Price projections'!$D$54:$X$54,"",0)*'Financial Analysis'!$C$54)+((1+Dashboard!$C$33)*'Financial Analysis'!$C$55),'Financial Analysis'!N60)</f>
        <v>1.1925302379454259</v>
      </c>
      <c r="P60" s="104">
        <f>IFERROR((_xlfn.XLOOKUP(YEAR(P$5),'Price projections'!$D$6:$X$6,'Price projections'!$D$54:$X$54,"",0)*'Financial Analysis'!$C$54)+((1+Dashboard!$C$33)*'Financial Analysis'!$C$55),'Financial Analysis'!O60)</f>
        <v>1.1922841891640918</v>
      </c>
      <c r="Q60" s="104">
        <f>IFERROR((_xlfn.XLOOKUP(YEAR(Q$5),'Price projections'!$D$6:$X$6,'Price projections'!$D$54:$X$54,"",0)*'Financial Analysis'!$C$54)+((1+Dashboard!$C$33)*'Financial Analysis'!$C$55),'Financial Analysis'!P60)</f>
        <v>1.1920506121917998</v>
      </c>
      <c r="R60" s="104">
        <f>IFERROR((_xlfn.XLOOKUP(YEAR(R$5),'Price projections'!$D$6:$X$6,'Price projections'!$D$54:$X$54,"",0)*'Financial Analysis'!$C$54)+((1+Dashboard!$C$33)*'Financial Analysis'!$C$55),'Financial Analysis'!Q60)</f>
        <v>1.1918217082824747</v>
      </c>
      <c r="S60" s="104">
        <f>IFERROR((_xlfn.XLOOKUP(YEAR(S$5),'Price projections'!$D$6:$X$6,'Price projections'!$D$54:$X$54,"",0)*'Financial Analysis'!$C$54)+((1+Dashboard!$C$33)*'Financial Analysis'!$C$55),'Financial Analysis'!R60)</f>
        <v>1.1918217082824747</v>
      </c>
      <c r="T60" s="104">
        <f>IFERROR((_xlfn.XLOOKUP(YEAR(T$5),'Price projections'!$D$6:$X$6,'Price projections'!$D$54:$X$54,"",0)*'Financial Analysis'!$C$54)+((1+Dashboard!$C$33)*'Financial Analysis'!$C$55),'Financial Analysis'!S60)</f>
        <v>1.1918217082824747</v>
      </c>
      <c r="U60" s="104">
        <f>IFERROR((_xlfn.XLOOKUP(YEAR(U$5),'Price projections'!$D$6:$X$6,'Price projections'!$D$54:$X$54,"",0)*'Financial Analysis'!$C$54)+((1+Dashboard!$C$33)*'Financial Analysis'!$C$55),'Financial Analysis'!T60)</f>
        <v>1.1918217082824747</v>
      </c>
      <c r="V60" s="104">
        <f>IFERROR((_xlfn.XLOOKUP(YEAR(V$5),'Price projections'!$D$6:$X$6,'Price projections'!$D$54:$X$54,"",0)*'Financial Analysis'!$C$54)+((1+Dashboard!$C$33)*'Financial Analysis'!$C$55),'Financial Analysis'!U60)</f>
        <v>1.1918217082824747</v>
      </c>
      <c r="W60" s="104">
        <f>IFERROR((_xlfn.XLOOKUP(YEAR(W$5),'Price projections'!$D$6:$X$6,'Price projections'!$D$54:$X$54,"",0)*'Financial Analysis'!$C$54)+((1+Dashboard!$C$33)*'Financial Analysis'!$C$55),'Financial Analysis'!V60)</f>
        <v>1.1918217082824747</v>
      </c>
      <c r="X60" s="104">
        <f>IFERROR((_xlfn.XLOOKUP(YEAR(X$5),'Price projections'!$D$6:$X$6,'Price projections'!$D$54:$X$54,"",0)*'Financial Analysis'!$C$54)+((1+Dashboard!$C$33)*'Financial Analysis'!$C$55),'Financial Analysis'!W60)</f>
        <v>1.1918217082824747</v>
      </c>
      <c r="Y60" s="104">
        <f>IFERROR((_xlfn.XLOOKUP(YEAR(Y$5),'Price projections'!$D$6:$X$6,'Price projections'!$D$54:$X$54,"",0)*'Financial Analysis'!$C$54)+((1+Dashboard!$C$33)*'Financial Analysis'!$C$55),'Financial Analysis'!X60)</f>
        <v>1.1918217082824747</v>
      </c>
      <c r="Z60" s="104">
        <f>IFERROR((_xlfn.XLOOKUP(YEAR(Z$5),'Price projections'!$D$6:$X$6,'Price projections'!$D$54:$X$54,"",0)*'Financial Analysis'!$C$54)+((1+Dashboard!$C$33)*'Financial Analysis'!$C$55),'Financial Analysis'!Y60)</f>
        <v>1.1918217082824747</v>
      </c>
      <c r="AA60" s="104">
        <f>IFERROR((_xlfn.XLOOKUP(YEAR(AA$5),'Price projections'!$D$6:$X$6,'Price projections'!$D$54:$X$54,"",0)*'Financial Analysis'!$C$54)+((1+Dashboard!$C$33)*'Financial Analysis'!$C$55),'Financial Analysis'!Z60)</f>
        <v>1.1918217082824747</v>
      </c>
      <c r="AB60" s="104">
        <f>IFERROR((_xlfn.XLOOKUP(YEAR(AB$5),'Price projections'!$D$6:$X$6,'Price projections'!$D$54:$X$54,"",0)*'Financial Analysis'!$C$54)+((1+Dashboard!$C$33)*'Financial Analysis'!$C$55),'Financial Analysis'!AA60)</f>
        <v>1.1918217082824747</v>
      </c>
      <c r="AC60" s="104">
        <f>IFERROR((_xlfn.XLOOKUP(YEAR(AC$5),'Price projections'!$D$6:$X$6,'Price projections'!$D$54:$X$54,"",0)*'Financial Analysis'!$C$54)+((1+Dashboard!$C$33)*'Financial Analysis'!$C$55),'Financial Analysis'!AB60)</f>
        <v>1.1918217082824747</v>
      </c>
      <c r="AD60" s="104">
        <f>IFERROR((_xlfn.XLOOKUP(YEAR(AD$5),'Price projections'!$D$6:$X$6,'Price projections'!$D$54:$X$54,"",0)*'Financial Analysis'!$C$54)+((1+Dashboard!$C$33)*'Financial Analysis'!$C$55),'Financial Analysis'!AC60)</f>
        <v>1.1918217082824747</v>
      </c>
      <c r="AE60" s="104">
        <f>IFERROR((_xlfn.XLOOKUP(YEAR(AE$5),'Price projections'!$D$6:$X$6,'Price projections'!$D$54:$X$54,"",0)*'Financial Analysis'!$C$54)+((1+Dashboard!$C$33)*'Financial Analysis'!$C$55),'Financial Analysis'!AD60)</f>
        <v>1.1918217082824747</v>
      </c>
      <c r="AF60" s="104">
        <f>IFERROR((_xlfn.XLOOKUP(YEAR(AF$5),'Price projections'!$D$6:$X$6,'Price projections'!$D$54:$X$54,"",0)*'Financial Analysis'!$C$54)+((1+Dashboard!$C$33)*'Financial Analysis'!$C$55),'Financial Analysis'!AE60)</f>
        <v>1.1918217082824747</v>
      </c>
      <c r="AG60" s="104">
        <f>IFERROR((_xlfn.XLOOKUP(YEAR(AG$5),'Price projections'!$D$6:$X$6,'Price projections'!$D$54:$X$54,"",0)*'Financial Analysis'!$C$54)+((1+Dashboard!$C$33)*'Financial Analysis'!$C$55),'Financial Analysis'!AF60)</f>
        <v>1.1918217082824747</v>
      </c>
      <c r="AH60" s="104">
        <f>IFERROR((_xlfn.XLOOKUP(YEAR(AH$5),'Price projections'!$D$6:$X$6,'Price projections'!$D$54:$X$54,"",0)*'Financial Analysis'!$C$54)+((1+Dashboard!$C$33)*'Financial Analysis'!$C$55),'Financial Analysis'!AG60)</f>
        <v>1.1918217082824747</v>
      </c>
      <c r="AI60" s="104">
        <f>IFERROR((_xlfn.XLOOKUP(YEAR(AI$5),'Price projections'!$D$6:$X$6,'Price projections'!$D$54:$X$54,"",0)*'Financial Analysis'!$C$54)+((1+Dashboard!$C$33)*'Financial Analysis'!$C$55),'Financial Analysis'!AH60)</f>
        <v>1.1918217082824747</v>
      </c>
      <c r="AJ60" s="104">
        <f>IFERROR((_xlfn.XLOOKUP(YEAR(AJ$5),'Price projections'!$D$6:$X$6,'Price projections'!$D$54:$X$54,"",0)*'Financial Analysis'!$C$54)+((1+Dashboard!$C$33)*'Financial Analysis'!$C$55),'Financial Analysis'!AI60)</f>
        <v>1.1918217082824747</v>
      </c>
      <c r="AK60" s="104">
        <f>IFERROR((_xlfn.XLOOKUP(YEAR(AK$5),'Price projections'!$D$6:$X$6,'Price projections'!$D$54:$X$54,"",0)*'Financial Analysis'!$C$54)+((1+Dashboard!$C$33)*'Financial Analysis'!$C$55),'Financial Analysis'!AJ60)</f>
        <v>1.1918217082824747</v>
      </c>
      <c r="AL60" s="104">
        <f>IFERROR((_xlfn.XLOOKUP(YEAR(AL$5),'Price projections'!$D$6:$X$6,'Price projections'!$D$54:$X$54,"",0)*'Financial Analysis'!$C$54)+((1+Dashboard!$C$33)*'Financial Analysis'!$C$55),'Financial Analysis'!AK60)</f>
        <v>1.1918217082824747</v>
      </c>
      <c r="AM60" s="104">
        <f>IFERROR((_xlfn.XLOOKUP(YEAR(AM$5),'Price projections'!$D$6:$X$6,'Price projections'!$D$54:$X$54,"",0)*'Financial Analysis'!$C$54)+((1+Dashboard!$C$33)*'Financial Analysis'!$C$55),'Financial Analysis'!AL60)</f>
        <v>1.1918217082824747</v>
      </c>
      <c r="AN60" s="104">
        <f>IFERROR((_xlfn.XLOOKUP(YEAR(AN$5),'Price projections'!$D$6:$X$6,'Price projections'!$D$54:$X$54,"",0)*'Financial Analysis'!$C$54)+((1+Dashboard!$C$33)*'Financial Analysis'!$C$55),'Financial Analysis'!AM60)</f>
        <v>1.1918217082824747</v>
      </c>
      <c r="AO60" s="104">
        <f>IFERROR((_xlfn.XLOOKUP(YEAR(AO$5),'Price projections'!$D$6:$X$6,'Price projections'!$D$54:$X$54,"",0)*'Financial Analysis'!$C$54)+((1+Dashboard!$C$33)*'Financial Analysis'!$C$55),'Financial Analysis'!AN60)</f>
        <v>1.1918217082824747</v>
      </c>
      <c r="AP60" s="104">
        <f>IFERROR((_xlfn.XLOOKUP(YEAR(AP$5),'Price projections'!$D$6:$X$6,'Price projections'!$D$54:$X$54,"",0)*'Financial Analysis'!$C$54)+((1+Dashboard!$C$33)*'Financial Analysis'!$C$55),'Financial Analysis'!AO60)</f>
        <v>1.1918217082824747</v>
      </c>
      <c r="AQ60" s="104">
        <f>IFERROR((_xlfn.XLOOKUP(YEAR(AQ$5),'Price projections'!$D$6:$X$6,'Price projections'!$D$54:$X$54,"",0)*'Financial Analysis'!$C$54)+((1+Dashboard!$C$33)*'Financial Analysis'!$C$55),'Financial Analysis'!AP60)</f>
        <v>1.1918217082824747</v>
      </c>
      <c r="AR60" s="104">
        <f>IFERROR((_xlfn.XLOOKUP(YEAR(AR$5),'Price projections'!$D$6:$X$6,'Price projections'!$D$54:$X$54,"",0)*'Financial Analysis'!$C$54)+((1+Dashboard!$C$33)*'Financial Analysis'!$C$55),'Financial Analysis'!AQ60)</f>
        <v>1.1918217082824747</v>
      </c>
      <c r="AS60" s="104">
        <f>IFERROR((_xlfn.XLOOKUP(YEAR(AS$5),'Price projections'!$D$6:$X$6,'Price projections'!$D$54:$X$54,"",0)*'Financial Analysis'!$C$54)+((1+Dashboard!$C$33)*'Financial Analysis'!$C$55),'Financial Analysis'!AR60)</f>
        <v>1.1918217082824747</v>
      </c>
      <c r="AT60" s="104">
        <f>IFERROR((_xlfn.XLOOKUP(YEAR(AT$5),'Price projections'!$D$6:$X$6,'Price projections'!$D$54:$X$54,"",0)*'Financial Analysis'!$C$54)+((1+Dashboard!$C$33)*'Financial Analysis'!$C$55),'Financial Analysis'!AS60)</f>
        <v>1.1918217082824747</v>
      </c>
      <c r="AU60" s="104">
        <f>IFERROR((_xlfn.XLOOKUP(YEAR(AU$5),'Price projections'!$D$6:$X$6,'Price projections'!$D$54:$X$54,"",0)*'Financial Analysis'!$C$54)+((1+Dashboard!$C$33)*'Financial Analysis'!$C$55),'Financial Analysis'!AT60)</f>
        <v>1.1918217082824747</v>
      </c>
      <c r="AV60" s="104">
        <f>IFERROR((_xlfn.XLOOKUP(YEAR(AV$5),'Price projections'!$D$6:$X$6,'Price projections'!$D$54:$X$54,"",0)*'Financial Analysis'!$C$54)+((1+Dashboard!$C$33)*'Financial Analysis'!$C$55),'Financial Analysis'!AU60)</f>
        <v>1.1918217082824747</v>
      </c>
      <c r="AW60" s="104">
        <f>IFERROR((_xlfn.XLOOKUP(YEAR(AW$5),'Price projections'!$D$6:$X$6,'Price projections'!$D$54:$X$54,"",0)*'Financial Analysis'!$C$54)+((1+Dashboard!$C$33)*'Financial Analysis'!$C$55),'Financial Analysis'!AV60)</f>
        <v>1.1918217082824747</v>
      </c>
      <c r="AX60" s="104">
        <f>IFERROR((_xlfn.XLOOKUP(YEAR(AX$5),'Price projections'!$D$6:$X$6,'Price projections'!$D$54:$X$54,"",0)*'Financial Analysis'!$C$54)+((1+Dashboard!$C$33)*'Financial Analysis'!$C$55),'Financial Analysis'!AW60)</f>
        <v>1.1918217082824747</v>
      </c>
      <c r="AY60" s="104">
        <f>IFERROR((_xlfn.XLOOKUP(YEAR(AY$5),'Price projections'!$D$6:$X$6,'Price projections'!$D$54:$X$54,"",0)*'Financial Analysis'!$C$54)+((1+Dashboard!$C$33)*'Financial Analysis'!$C$55),'Financial Analysis'!AX60)</f>
        <v>1.1918217082824747</v>
      </c>
      <c r="AZ60" s="104">
        <f>IFERROR((_xlfn.XLOOKUP(YEAR(AZ$5),'Price projections'!$D$6:$X$6,'Price projections'!$D$54:$X$54,"",0)*'Financial Analysis'!$C$54)+((1+Dashboard!$C$33)*'Financial Analysis'!$C$55),'Financial Analysis'!AY60)</f>
        <v>1.1918217082824747</v>
      </c>
      <c r="BA60" s="104">
        <f>IFERROR((_xlfn.XLOOKUP(YEAR(BA$5),'Price projections'!$D$6:$X$6,'Price projections'!$D$54:$X$54,"",0)*'Financial Analysis'!$C$54)+((1+Dashboard!$C$33)*'Financial Analysis'!$C$55),'Financial Analysis'!AZ60)</f>
        <v>1.1918217082824747</v>
      </c>
      <c r="BB60" s="104">
        <f>IFERROR((_xlfn.XLOOKUP(YEAR(BB$5),'Price projections'!$D$6:$X$6,'Price projections'!$D$54:$X$54,"",0)*'Financial Analysis'!$C$54)+((1+Dashboard!$C$33)*'Financial Analysis'!$C$55),'Financial Analysis'!BA60)</f>
        <v>1.1918217082824747</v>
      </c>
      <c r="BC60" s="104">
        <f>IFERROR((_xlfn.XLOOKUP(YEAR(BC$5),'Price projections'!$D$6:$X$6,'Price projections'!$D$54:$X$54,"",0)*'Financial Analysis'!$C$54)+((1+Dashboard!$C$33)*'Financial Analysis'!$C$55),'Financial Analysis'!BB60)</f>
        <v>1.1918217082824747</v>
      </c>
      <c r="BD60" s="104">
        <f>IFERROR((_xlfn.XLOOKUP(YEAR(BD$5),'Price projections'!$D$6:$X$6,'Price projections'!$D$54:$X$54,"",0)*'Financial Analysis'!$C$54)+((1+Dashboard!$C$33)*'Financial Analysis'!$C$55),'Financial Analysis'!BC60)</f>
        <v>1.1918217082824747</v>
      </c>
      <c r="BE60" s="104">
        <f>IFERROR((_xlfn.XLOOKUP(YEAR(BE$5),'Price projections'!$D$6:$X$6,'Price projections'!$D$54:$X$54,"",0)*'Financial Analysis'!$C$54)+((1+Dashboard!$C$33)*'Financial Analysis'!$C$55),'Financial Analysis'!BD60)</f>
        <v>1.1918217082824747</v>
      </c>
      <c r="BF60" s="104">
        <f>IFERROR((_xlfn.XLOOKUP(YEAR(BF$5),'Price projections'!$D$6:$X$6,'Price projections'!$D$54:$X$54,"",0)*'Financial Analysis'!$C$54)+((1+Dashboard!$C$33)*'Financial Analysis'!$C$55),'Financial Analysis'!BE60)</f>
        <v>1.1918217082824747</v>
      </c>
      <c r="BG60" s="104">
        <f>IFERROR((_xlfn.XLOOKUP(YEAR(BG$5),'Price projections'!$D$6:$X$6,'Price projections'!$D$54:$X$54,"",0)*'Financial Analysis'!$C$54)+((1+Dashboard!$C$33)*'Financial Analysis'!$C$55),'Financial Analysis'!BF60)</f>
        <v>1.1918217082824747</v>
      </c>
      <c r="BH60" s="104">
        <f>IFERROR((_xlfn.XLOOKUP(YEAR(BH$5),'Price projections'!$D$6:$X$6,'Price projections'!$D$54:$X$54,"",0)*'Financial Analysis'!$C$54)+((1+Dashboard!$C$33)*'Financial Analysis'!$C$55),'Financial Analysis'!BG60)</f>
        <v>1.1918217082824747</v>
      </c>
      <c r="BI60" s="104">
        <f>IFERROR((_xlfn.XLOOKUP(YEAR(BI$5),'Price projections'!$D$6:$X$6,'Price projections'!$D$54:$X$54,"",0)*'Financial Analysis'!$C$54)+((1+Dashboard!$C$33)*'Financial Analysis'!$C$55),'Financial Analysis'!BH60)</f>
        <v>1.1918217082824747</v>
      </c>
      <c r="BJ60" s="104">
        <f>IFERROR((_xlfn.XLOOKUP(YEAR(BJ$5),'Price projections'!$D$6:$X$6,'Price projections'!$D$54:$X$54,"",0)*'Financial Analysis'!$C$54)+((1+Dashboard!$C$33)*'Financial Analysis'!$C$55),'Financial Analysis'!BI60)</f>
        <v>1.1918217082824747</v>
      </c>
      <c r="BK60" s="104">
        <f>IFERROR((_xlfn.XLOOKUP(YEAR(BK$5),'Price projections'!$D$6:$X$6,'Price projections'!$D$54:$X$54,"",0)*'Financial Analysis'!$C$54)+((1+Dashboard!$C$33)*'Financial Analysis'!$C$55),'Financial Analysis'!BJ60)</f>
        <v>1.1918217082824747</v>
      </c>
      <c r="BL60" s="104">
        <f>IFERROR((_xlfn.XLOOKUP(YEAR(BL$5),'Price projections'!$D$6:$X$6,'Price projections'!$D$54:$X$54,"",0)*'Financial Analysis'!$C$54)+((1+Dashboard!$C$33)*'Financial Analysis'!$C$55),'Financial Analysis'!BK60)</f>
        <v>1.1918217082824747</v>
      </c>
    </row>
    <row r="61" spans="2:64">
      <c r="B61" s="146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104"/>
      <c r="P61" s="104"/>
      <c r="Q61" s="104"/>
      <c r="R61" s="104"/>
      <c r="S61" s="104"/>
      <c r="T61" s="104"/>
      <c r="U61" s="104"/>
      <c r="V61" s="104"/>
      <c r="W61" s="104"/>
      <c r="X61" s="104"/>
      <c r="Y61" s="104"/>
      <c r="Z61" s="104"/>
      <c r="AA61" s="104"/>
      <c r="AB61" s="104"/>
      <c r="AC61" s="104"/>
      <c r="AD61" s="104"/>
      <c r="AE61" s="104"/>
      <c r="AF61" s="104"/>
      <c r="AG61" s="104"/>
      <c r="AH61" s="104"/>
      <c r="AI61" s="104"/>
      <c r="AJ61" s="104"/>
      <c r="AK61" s="104"/>
      <c r="AL61" s="104"/>
      <c r="AM61" s="104"/>
      <c r="AN61" s="104"/>
      <c r="AO61" s="104"/>
      <c r="AP61" s="104"/>
      <c r="AQ61" s="104"/>
      <c r="AR61" s="104"/>
      <c r="AS61" s="104"/>
      <c r="AT61" s="104"/>
      <c r="AU61" s="104"/>
      <c r="AV61" s="104"/>
      <c r="AW61" s="104"/>
      <c r="AX61" s="104"/>
      <c r="AY61" s="104"/>
      <c r="AZ61" s="104"/>
      <c r="BA61" s="104"/>
      <c r="BB61" s="104"/>
      <c r="BC61" s="104"/>
      <c r="BD61" s="104"/>
      <c r="BE61" s="104"/>
      <c r="BF61" s="104"/>
      <c r="BG61" s="104"/>
      <c r="BH61" s="104"/>
      <c r="BI61" s="104"/>
      <c r="BJ61" s="104"/>
      <c r="BK61" s="104"/>
      <c r="BL61" s="104"/>
    </row>
    <row r="62" spans="2:64">
      <c r="B62" s="212" t="s">
        <v>441</v>
      </c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104"/>
      <c r="P62" s="104"/>
      <c r="Q62" s="104"/>
      <c r="R62" s="104"/>
      <c r="S62" s="104"/>
      <c r="T62" s="104"/>
      <c r="U62" s="104"/>
      <c r="V62" s="104"/>
      <c r="W62" s="104"/>
      <c r="X62" s="104"/>
      <c r="Y62" s="104"/>
      <c r="Z62" s="104"/>
      <c r="AA62" s="104"/>
      <c r="AB62" s="104"/>
      <c r="AC62" s="104"/>
      <c r="AD62" s="104"/>
      <c r="AE62" s="104"/>
      <c r="AF62" s="104"/>
      <c r="AG62" s="104"/>
      <c r="AH62" s="104"/>
      <c r="AI62" s="104"/>
      <c r="AJ62" s="104"/>
      <c r="AK62" s="104"/>
      <c r="AL62" s="104"/>
      <c r="AM62" s="104"/>
      <c r="AN62" s="104"/>
      <c r="AO62" s="104"/>
      <c r="AP62" s="104"/>
      <c r="AQ62" s="104"/>
      <c r="AR62" s="104"/>
      <c r="AS62" s="104"/>
      <c r="AT62" s="104"/>
      <c r="AU62" s="104"/>
      <c r="AV62" s="104"/>
      <c r="AW62" s="104"/>
      <c r="AX62" s="104"/>
      <c r="AY62" s="104"/>
      <c r="AZ62" s="104"/>
      <c r="BA62" s="104"/>
      <c r="BB62" s="104"/>
      <c r="BC62" s="104"/>
      <c r="BD62" s="104"/>
      <c r="BE62" s="104"/>
      <c r="BF62" s="104"/>
      <c r="BG62" s="104"/>
      <c r="BH62" s="104"/>
      <c r="BI62" s="104"/>
      <c r="BJ62" s="104"/>
      <c r="BK62" s="104"/>
      <c r="BL62" s="104"/>
    </row>
    <row r="63" spans="2:64">
      <c r="B63" s="146" t="s">
        <v>438</v>
      </c>
      <c r="E63" s="104">
        <f>IFERROR((_xlfn.XLOOKUP(YEAR(E$5),'Price projections'!$D$6:$X$6,'Price projections'!$D$57:$X$57,"",0)*'Financial Analysis'!$C$54)+((1+Dashboard!$C$33)*'Financial Analysis'!$C$55),'Financial Analysis'!D63)</f>
        <v>1.0065951231287553</v>
      </c>
      <c r="F63" s="104">
        <f>IFERROR((_xlfn.XLOOKUP(YEAR(F$5),'Price projections'!$D$6:$X$6,'Price projections'!$D$57:$X$57,"",0)*'Financial Analysis'!$C$54)+((1+Dashboard!$C$33)*'Financial Analysis'!$C$55),'Financial Analysis'!E63)</f>
        <v>0.98234460943997282</v>
      </c>
      <c r="G63" s="104">
        <f>IFERROR((_xlfn.XLOOKUP(YEAR(G$5),'Price projections'!$D$6:$X$6,'Price projections'!$D$57:$X$57,"",0)*'Financial Analysis'!$C$54)+((1+Dashboard!$C$33)*'Financial Analysis'!$C$55),'Financial Analysis'!F63)</f>
        <v>0.97185232075064143</v>
      </c>
      <c r="H63" s="104">
        <f>IFERROR((_xlfn.XLOOKUP(YEAR(H$5),'Price projections'!$D$6:$X$6,'Price projections'!$D$57:$X$57,"",0)*'Financial Analysis'!$C$54)+((1+Dashboard!$C$33)*'Financial Analysis'!$C$55),'Financial Analysis'!G63)</f>
        <v>0.98032163196508537</v>
      </c>
      <c r="I63" s="104">
        <f>IFERROR((_xlfn.XLOOKUP(YEAR(I$5),'Price projections'!$D$6:$X$6,'Price projections'!$D$57:$X$57,"",0)*'Financial Analysis'!$C$54)+((1+Dashboard!$C$33)*'Financial Analysis'!$C$55),'Financial Analysis'!H63)</f>
        <v>0.95831975992460638</v>
      </c>
      <c r="J63" s="104">
        <f>IFERROR((_xlfn.XLOOKUP(YEAR(J$5),'Price projections'!$D$6:$X$6,'Price projections'!$D$57:$X$57,"",0)*'Financial Analysis'!$C$54)+((1+Dashboard!$C$33)*'Financial Analysis'!$C$55),'Financial Analysis'!I63)</f>
        <v>0.94900407716997304</v>
      </c>
      <c r="K63" s="104">
        <f>IFERROR((_xlfn.XLOOKUP(YEAR(K$5),'Price projections'!$D$6:$X$6,'Price projections'!$D$57:$X$57,"",0)*'Financial Analysis'!$C$54)+((1+Dashboard!$C$33)*'Financial Analysis'!$C$55),'Financial Analysis'!J63)</f>
        <v>0.93200189999812033</v>
      </c>
      <c r="L63" s="104">
        <f>IFERROR((_xlfn.XLOOKUP(YEAR(L$5),'Price projections'!$D$6:$X$6,'Price projections'!$D$57:$X$57,"",0)*'Financial Analysis'!$C$54)+((1+Dashboard!$C$33)*'Financial Analysis'!$C$55),'Financial Analysis'!K63)</f>
        <v>0.91467218431818575</v>
      </c>
      <c r="M63" s="104">
        <f>IFERROR((_xlfn.XLOOKUP(YEAR(M$5),'Price projections'!$D$6:$X$6,'Price projections'!$D$57:$X$57,"",0)*'Financial Analysis'!$C$54)+((1+Dashboard!$C$33)*'Financial Analysis'!$C$55),'Financial Analysis'!L63)</f>
        <v>0.9079585725008007</v>
      </c>
      <c r="N63" s="104">
        <f>IFERROR((_xlfn.XLOOKUP(YEAR(N$5),'Price projections'!$D$6:$X$6,'Price projections'!$D$57:$X$57,"",0)*'Financial Analysis'!$C$54)+((1+Dashboard!$C$33)*'Financial Analysis'!$C$55),'Financial Analysis'!M63)</f>
        <v>0.91025134999427681</v>
      </c>
      <c r="O63" s="104">
        <f>IFERROR((_xlfn.XLOOKUP(YEAR(O$5),'Price projections'!$D$6:$X$6,'Price projections'!$D$57:$X$57,"",0)*'Financial Analysis'!$C$54)+((1+Dashboard!$C$33)*'Financial Analysis'!$C$55),'Financial Analysis'!N63)</f>
        <v>0.9117349132456356</v>
      </c>
      <c r="P63" s="104">
        <f>IFERROR((_xlfn.XLOOKUP(YEAR(P$5),'Price projections'!$D$6:$X$6,'Price projections'!$D$57:$X$57,"",0)*'Financial Analysis'!$C$54)+((1+Dashboard!$C$33)*'Financial Analysis'!$C$55),'Financial Analysis'!O63)</f>
        <v>0.92453324361506284</v>
      </c>
      <c r="Q63" s="104">
        <f>IFERROR((_xlfn.XLOOKUP(YEAR(Q$5),'Price projections'!$D$6:$X$6,'Price projections'!$D$57:$X$57,"",0)*'Financial Analysis'!$C$54)+((1+Dashboard!$C$33)*'Financial Analysis'!$C$55),'Financial Analysis'!P63)</f>
        <v>0.92179281630566512</v>
      </c>
      <c r="R63" s="104">
        <f>IFERROR((_xlfn.XLOOKUP(YEAR(R$5),'Price projections'!$D$6:$X$6,'Price projections'!$D$57:$X$57,"",0)*'Financial Analysis'!$C$54)+((1+Dashboard!$C$33)*'Financial Analysis'!$C$55),'Financial Analysis'!Q63)</f>
        <v>0.91557823315388187</v>
      </c>
      <c r="S63" s="104">
        <f>IFERROR((_xlfn.XLOOKUP(YEAR(S$5),'Price projections'!$D$6:$X$6,'Price projections'!$D$57:$X$57,"",0)*'Financial Analysis'!$C$54)+((1+Dashboard!$C$33)*'Financial Analysis'!$C$55),'Financial Analysis'!R63)</f>
        <v>0.91557823315388187</v>
      </c>
      <c r="T63" s="104">
        <f>IFERROR((_xlfn.XLOOKUP(YEAR(T$5),'Price projections'!$D$6:$X$6,'Price projections'!$D$57:$X$57,"",0)*'Financial Analysis'!$C$54)+((1+Dashboard!$C$33)*'Financial Analysis'!$C$55),'Financial Analysis'!S63)</f>
        <v>0.91557823315388187</v>
      </c>
      <c r="U63" s="104">
        <f>IFERROR((_xlfn.XLOOKUP(YEAR(U$5),'Price projections'!$D$6:$X$6,'Price projections'!$D$57:$X$57,"",0)*'Financial Analysis'!$C$54)+((1+Dashboard!$C$33)*'Financial Analysis'!$C$55),'Financial Analysis'!T63)</f>
        <v>0.91557823315388187</v>
      </c>
      <c r="V63" s="104">
        <f>IFERROR((_xlfn.XLOOKUP(YEAR(V$5),'Price projections'!$D$6:$X$6,'Price projections'!$D$57:$X$57,"",0)*'Financial Analysis'!$C$54)+((1+Dashboard!$C$33)*'Financial Analysis'!$C$55),'Financial Analysis'!U63)</f>
        <v>0.91557823315388187</v>
      </c>
      <c r="W63" s="104">
        <f>IFERROR((_xlfn.XLOOKUP(YEAR(W$5),'Price projections'!$D$6:$X$6,'Price projections'!$D$57:$X$57,"",0)*'Financial Analysis'!$C$54)+((1+Dashboard!$C$33)*'Financial Analysis'!$C$55),'Financial Analysis'!V63)</f>
        <v>0.91557823315388187</v>
      </c>
      <c r="X63" s="104">
        <f>IFERROR((_xlfn.XLOOKUP(YEAR(X$5),'Price projections'!$D$6:$X$6,'Price projections'!$D$57:$X$57,"",0)*'Financial Analysis'!$C$54)+((1+Dashboard!$C$33)*'Financial Analysis'!$C$55),'Financial Analysis'!W63)</f>
        <v>0.91557823315388187</v>
      </c>
      <c r="Y63" s="104">
        <f>IFERROR((_xlfn.XLOOKUP(YEAR(Y$5),'Price projections'!$D$6:$X$6,'Price projections'!$D$57:$X$57,"",0)*'Financial Analysis'!$C$54)+((1+Dashboard!$C$33)*'Financial Analysis'!$C$55),'Financial Analysis'!X63)</f>
        <v>0.91557823315388187</v>
      </c>
      <c r="Z63" s="104">
        <f>IFERROR((_xlfn.XLOOKUP(YEAR(Z$5),'Price projections'!$D$6:$X$6,'Price projections'!$D$57:$X$57,"",0)*'Financial Analysis'!$C$54)+((1+Dashboard!$C$33)*'Financial Analysis'!$C$55),'Financial Analysis'!Y63)</f>
        <v>0.91557823315388187</v>
      </c>
      <c r="AA63" s="104">
        <f>IFERROR((_xlfn.XLOOKUP(YEAR(AA$5),'Price projections'!$D$6:$X$6,'Price projections'!$D$57:$X$57,"",0)*'Financial Analysis'!$C$54)+((1+Dashboard!$C$33)*'Financial Analysis'!$C$55),'Financial Analysis'!Z63)</f>
        <v>0.91557823315388187</v>
      </c>
      <c r="AB63" s="104">
        <f>IFERROR((_xlfn.XLOOKUP(YEAR(AB$5),'Price projections'!$D$6:$X$6,'Price projections'!$D$57:$X$57,"",0)*'Financial Analysis'!$C$54)+((1+Dashboard!$C$33)*'Financial Analysis'!$C$55),'Financial Analysis'!AA63)</f>
        <v>0.91557823315388187</v>
      </c>
      <c r="AC63" s="104">
        <f>IFERROR((_xlfn.XLOOKUP(YEAR(AC$5),'Price projections'!$D$6:$X$6,'Price projections'!$D$57:$X$57,"",0)*'Financial Analysis'!$C$54)+((1+Dashboard!$C$33)*'Financial Analysis'!$C$55),'Financial Analysis'!AB63)</f>
        <v>0.91557823315388187</v>
      </c>
      <c r="AD63" s="104">
        <f>IFERROR((_xlfn.XLOOKUP(YEAR(AD$5),'Price projections'!$D$6:$X$6,'Price projections'!$D$57:$X$57,"",0)*'Financial Analysis'!$C$54)+((1+Dashboard!$C$33)*'Financial Analysis'!$C$55),'Financial Analysis'!AC63)</f>
        <v>0.91557823315388187</v>
      </c>
      <c r="AE63" s="104">
        <f>IFERROR((_xlfn.XLOOKUP(YEAR(AE$5),'Price projections'!$D$6:$X$6,'Price projections'!$D$57:$X$57,"",0)*'Financial Analysis'!$C$54)+((1+Dashboard!$C$33)*'Financial Analysis'!$C$55),'Financial Analysis'!AD63)</f>
        <v>0.91557823315388187</v>
      </c>
      <c r="AF63" s="104">
        <f>IFERROR((_xlfn.XLOOKUP(YEAR(AF$5),'Price projections'!$D$6:$X$6,'Price projections'!$D$57:$X$57,"",0)*'Financial Analysis'!$C$54)+((1+Dashboard!$C$33)*'Financial Analysis'!$C$55),'Financial Analysis'!AE63)</f>
        <v>0.91557823315388187</v>
      </c>
      <c r="AG63" s="104">
        <f>IFERROR((_xlfn.XLOOKUP(YEAR(AG$5),'Price projections'!$D$6:$X$6,'Price projections'!$D$57:$X$57,"",0)*'Financial Analysis'!$C$54)+((1+Dashboard!$C$33)*'Financial Analysis'!$C$55),'Financial Analysis'!AF63)</f>
        <v>0.91557823315388187</v>
      </c>
      <c r="AH63" s="104">
        <f>IFERROR((_xlfn.XLOOKUP(YEAR(AH$5),'Price projections'!$D$6:$X$6,'Price projections'!$D$57:$X$57,"",0)*'Financial Analysis'!$C$54)+((1+Dashboard!$C$33)*'Financial Analysis'!$C$55),'Financial Analysis'!AG63)</f>
        <v>0.91557823315388187</v>
      </c>
      <c r="AI63" s="104">
        <f>IFERROR((_xlfn.XLOOKUP(YEAR(AI$5),'Price projections'!$D$6:$X$6,'Price projections'!$D$57:$X$57,"",0)*'Financial Analysis'!$C$54)+((1+Dashboard!$C$33)*'Financial Analysis'!$C$55),'Financial Analysis'!AH63)</f>
        <v>0.91557823315388187</v>
      </c>
      <c r="AJ63" s="104">
        <f>IFERROR((_xlfn.XLOOKUP(YEAR(AJ$5),'Price projections'!$D$6:$X$6,'Price projections'!$D$57:$X$57,"",0)*'Financial Analysis'!$C$54)+((1+Dashboard!$C$33)*'Financial Analysis'!$C$55),'Financial Analysis'!AI63)</f>
        <v>0.91557823315388187</v>
      </c>
      <c r="AK63" s="104">
        <f>IFERROR((_xlfn.XLOOKUP(YEAR(AK$5),'Price projections'!$D$6:$X$6,'Price projections'!$D$57:$X$57,"",0)*'Financial Analysis'!$C$54)+((1+Dashboard!$C$33)*'Financial Analysis'!$C$55),'Financial Analysis'!AJ63)</f>
        <v>0.91557823315388187</v>
      </c>
      <c r="AL63" s="104">
        <f>IFERROR((_xlfn.XLOOKUP(YEAR(AL$5),'Price projections'!$D$6:$X$6,'Price projections'!$D$57:$X$57,"",0)*'Financial Analysis'!$C$54)+((1+Dashboard!$C$33)*'Financial Analysis'!$C$55),'Financial Analysis'!AK63)</f>
        <v>0.91557823315388187</v>
      </c>
      <c r="AM63" s="104">
        <f>IFERROR((_xlfn.XLOOKUP(YEAR(AM$5),'Price projections'!$D$6:$X$6,'Price projections'!$D$57:$X$57,"",0)*'Financial Analysis'!$C$54)+((1+Dashboard!$C$33)*'Financial Analysis'!$C$55),'Financial Analysis'!AL63)</f>
        <v>0.91557823315388187</v>
      </c>
      <c r="AN63" s="104">
        <f>IFERROR((_xlfn.XLOOKUP(YEAR(AN$5),'Price projections'!$D$6:$X$6,'Price projections'!$D$57:$X$57,"",0)*'Financial Analysis'!$C$54)+((1+Dashboard!$C$33)*'Financial Analysis'!$C$55),'Financial Analysis'!AM63)</f>
        <v>0.91557823315388187</v>
      </c>
      <c r="AO63" s="104">
        <f>IFERROR((_xlfn.XLOOKUP(YEAR(AO$5),'Price projections'!$D$6:$X$6,'Price projections'!$D$57:$X$57,"",0)*'Financial Analysis'!$C$54)+((1+Dashboard!$C$33)*'Financial Analysis'!$C$55),'Financial Analysis'!AN63)</f>
        <v>0.91557823315388187</v>
      </c>
      <c r="AP63" s="104">
        <f>IFERROR((_xlfn.XLOOKUP(YEAR(AP$5),'Price projections'!$D$6:$X$6,'Price projections'!$D$57:$X$57,"",0)*'Financial Analysis'!$C$54)+((1+Dashboard!$C$33)*'Financial Analysis'!$C$55),'Financial Analysis'!AO63)</f>
        <v>0.91557823315388187</v>
      </c>
      <c r="AQ63" s="104">
        <f>IFERROR((_xlfn.XLOOKUP(YEAR(AQ$5),'Price projections'!$D$6:$X$6,'Price projections'!$D$57:$X$57,"",0)*'Financial Analysis'!$C$54)+((1+Dashboard!$C$33)*'Financial Analysis'!$C$55),'Financial Analysis'!AP63)</f>
        <v>0.91557823315388187</v>
      </c>
      <c r="AR63" s="104">
        <f>IFERROR((_xlfn.XLOOKUP(YEAR(AR$5),'Price projections'!$D$6:$X$6,'Price projections'!$D$57:$X$57,"",0)*'Financial Analysis'!$C$54)+((1+Dashboard!$C$33)*'Financial Analysis'!$C$55),'Financial Analysis'!AQ63)</f>
        <v>0.91557823315388187</v>
      </c>
      <c r="AS63" s="104">
        <f>IFERROR((_xlfn.XLOOKUP(YEAR(AS$5),'Price projections'!$D$6:$X$6,'Price projections'!$D$57:$X$57,"",0)*'Financial Analysis'!$C$54)+((1+Dashboard!$C$33)*'Financial Analysis'!$C$55),'Financial Analysis'!AR63)</f>
        <v>0.91557823315388187</v>
      </c>
      <c r="AT63" s="104">
        <f>IFERROR((_xlfn.XLOOKUP(YEAR(AT$5),'Price projections'!$D$6:$X$6,'Price projections'!$D$57:$X$57,"",0)*'Financial Analysis'!$C$54)+((1+Dashboard!$C$33)*'Financial Analysis'!$C$55),'Financial Analysis'!AS63)</f>
        <v>0.91557823315388187</v>
      </c>
      <c r="AU63" s="104">
        <f>IFERROR((_xlfn.XLOOKUP(YEAR(AU$5),'Price projections'!$D$6:$X$6,'Price projections'!$D$57:$X$57,"",0)*'Financial Analysis'!$C$54)+((1+Dashboard!$C$33)*'Financial Analysis'!$C$55),'Financial Analysis'!AT63)</f>
        <v>0.91557823315388187</v>
      </c>
      <c r="AV63" s="104">
        <f>IFERROR((_xlfn.XLOOKUP(YEAR(AV$5),'Price projections'!$D$6:$X$6,'Price projections'!$D$57:$X$57,"",0)*'Financial Analysis'!$C$54)+((1+Dashboard!$C$33)*'Financial Analysis'!$C$55),'Financial Analysis'!AU63)</f>
        <v>0.91557823315388187</v>
      </c>
      <c r="AW63" s="104">
        <f>IFERROR((_xlfn.XLOOKUP(YEAR(AW$5),'Price projections'!$D$6:$X$6,'Price projections'!$D$57:$X$57,"",0)*'Financial Analysis'!$C$54)+((1+Dashboard!$C$33)*'Financial Analysis'!$C$55),'Financial Analysis'!AV63)</f>
        <v>0.91557823315388187</v>
      </c>
      <c r="AX63" s="104">
        <f>IFERROR((_xlfn.XLOOKUP(YEAR(AX$5),'Price projections'!$D$6:$X$6,'Price projections'!$D$57:$X$57,"",0)*'Financial Analysis'!$C$54)+((1+Dashboard!$C$33)*'Financial Analysis'!$C$55),'Financial Analysis'!AW63)</f>
        <v>0.91557823315388187</v>
      </c>
      <c r="AY63" s="104">
        <f>IFERROR((_xlfn.XLOOKUP(YEAR(AY$5),'Price projections'!$D$6:$X$6,'Price projections'!$D$57:$X$57,"",0)*'Financial Analysis'!$C$54)+((1+Dashboard!$C$33)*'Financial Analysis'!$C$55),'Financial Analysis'!AX63)</f>
        <v>0.91557823315388187</v>
      </c>
      <c r="AZ63" s="104">
        <f>IFERROR((_xlfn.XLOOKUP(YEAR(AZ$5),'Price projections'!$D$6:$X$6,'Price projections'!$D$57:$X$57,"",0)*'Financial Analysis'!$C$54)+((1+Dashboard!$C$33)*'Financial Analysis'!$C$55),'Financial Analysis'!AY63)</f>
        <v>0.91557823315388187</v>
      </c>
      <c r="BA63" s="104">
        <f>IFERROR((_xlfn.XLOOKUP(YEAR(BA$5),'Price projections'!$D$6:$X$6,'Price projections'!$D$57:$X$57,"",0)*'Financial Analysis'!$C$54)+((1+Dashboard!$C$33)*'Financial Analysis'!$C$55),'Financial Analysis'!AZ63)</f>
        <v>0.91557823315388187</v>
      </c>
      <c r="BB63" s="104">
        <f>IFERROR((_xlfn.XLOOKUP(YEAR(BB$5),'Price projections'!$D$6:$X$6,'Price projections'!$D$57:$X$57,"",0)*'Financial Analysis'!$C$54)+((1+Dashboard!$C$33)*'Financial Analysis'!$C$55),'Financial Analysis'!BA63)</f>
        <v>0.91557823315388187</v>
      </c>
      <c r="BC63" s="104">
        <f>IFERROR((_xlfn.XLOOKUP(YEAR(BC$5),'Price projections'!$D$6:$X$6,'Price projections'!$D$57:$X$57,"",0)*'Financial Analysis'!$C$54)+((1+Dashboard!$C$33)*'Financial Analysis'!$C$55),'Financial Analysis'!BB63)</f>
        <v>0.91557823315388187</v>
      </c>
      <c r="BD63" s="104">
        <f>IFERROR((_xlfn.XLOOKUP(YEAR(BD$5),'Price projections'!$D$6:$X$6,'Price projections'!$D$57:$X$57,"",0)*'Financial Analysis'!$C$54)+((1+Dashboard!$C$33)*'Financial Analysis'!$C$55),'Financial Analysis'!BC63)</f>
        <v>0.91557823315388187</v>
      </c>
      <c r="BE63" s="104">
        <f>IFERROR((_xlfn.XLOOKUP(YEAR(BE$5),'Price projections'!$D$6:$X$6,'Price projections'!$D$57:$X$57,"",0)*'Financial Analysis'!$C$54)+((1+Dashboard!$C$33)*'Financial Analysis'!$C$55),'Financial Analysis'!BD63)</f>
        <v>0.91557823315388187</v>
      </c>
      <c r="BF63" s="104">
        <f>IFERROR((_xlfn.XLOOKUP(YEAR(BF$5),'Price projections'!$D$6:$X$6,'Price projections'!$D$57:$X$57,"",0)*'Financial Analysis'!$C$54)+((1+Dashboard!$C$33)*'Financial Analysis'!$C$55),'Financial Analysis'!BE63)</f>
        <v>0.91557823315388187</v>
      </c>
      <c r="BG63" s="104">
        <f>IFERROR((_xlfn.XLOOKUP(YEAR(BG$5),'Price projections'!$D$6:$X$6,'Price projections'!$D$57:$X$57,"",0)*'Financial Analysis'!$C$54)+((1+Dashboard!$C$33)*'Financial Analysis'!$C$55),'Financial Analysis'!BF63)</f>
        <v>0.91557823315388187</v>
      </c>
      <c r="BH63" s="104">
        <f>IFERROR((_xlfn.XLOOKUP(YEAR(BH$5),'Price projections'!$D$6:$X$6,'Price projections'!$D$57:$X$57,"",0)*'Financial Analysis'!$C$54)+((1+Dashboard!$C$33)*'Financial Analysis'!$C$55),'Financial Analysis'!BG63)</f>
        <v>0.91557823315388187</v>
      </c>
      <c r="BI63" s="104">
        <f>IFERROR((_xlfn.XLOOKUP(YEAR(BI$5),'Price projections'!$D$6:$X$6,'Price projections'!$D$57:$X$57,"",0)*'Financial Analysis'!$C$54)+((1+Dashboard!$C$33)*'Financial Analysis'!$C$55),'Financial Analysis'!BH63)</f>
        <v>0.91557823315388187</v>
      </c>
      <c r="BJ63" s="104">
        <f>IFERROR((_xlfn.XLOOKUP(YEAR(BJ$5),'Price projections'!$D$6:$X$6,'Price projections'!$D$57:$X$57,"",0)*'Financial Analysis'!$C$54)+((1+Dashboard!$C$33)*'Financial Analysis'!$C$55),'Financial Analysis'!BI63)</f>
        <v>0.91557823315388187</v>
      </c>
      <c r="BK63" s="104">
        <f>IFERROR((_xlfn.XLOOKUP(YEAR(BK$5),'Price projections'!$D$6:$X$6,'Price projections'!$D$57:$X$57,"",0)*'Financial Analysis'!$C$54)+((1+Dashboard!$C$33)*'Financial Analysis'!$C$55),'Financial Analysis'!BJ63)</f>
        <v>0.91557823315388187</v>
      </c>
      <c r="BL63" s="104">
        <f>IFERROR((_xlfn.XLOOKUP(YEAR(BL$5),'Price projections'!$D$6:$X$6,'Price projections'!$D$57:$X$57,"",0)*'Financial Analysis'!$C$54)+((1+Dashboard!$C$33)*'Financial Analysis'!$C$55),'Financial Analysis'!BK63)</f>
        <v>0.91557823315388187</v>
      </c>
    </row>
    <row r="64" spans="2:64">
      <c r="B64" s="146" t="s">
        <v>439</v>
      </c>
      <c r="E64" s="104">
        <f>IFERROR((_xlfn.XLOOKUP(YEAR(E$5),'Price projections'!$D$6:$X$6,'Price projections'!$D$58:$X$58,"",0)*'Financial Analysis'!$C$54)+((1+Dashboard!$C$33)*'Financial Analysis'!$C$55),'Financial Analysis'!D64)</f>
        <v>1.0005031741825721</v>
      </c>
      <c r="F64" s="104">
        <f>IFERROR((_xlfn.XLOOKUP(YEAR(F$5),'Price projections'!$D$6:$X$6,'Price projections'!$D$58:$X$58,"",0)*'Financial Analysis'!$C$54)+((1+Dashboard!$C$33)*'Financial Analysis'!$C$55),'Financial Analysis'!E64)</f>
        <v>0.99776181055833113</v>
      </c>
      <c r="G64" s="104">
        <f>IFERROR((_xlfn.XLOOKUP(YEAR(G$5),'Price projections'!$D$6:$X$6,'Price projections'!$D$58:$X$58,"",0)*'Financial Analysis'!$C$54)+((1+Dashboard!$C$33)*'Financial Analysis'!$C$55),'Financial Analysis'!F64)</f>
        <v>0.9898937708027562</v>
      </c>
      <c r="H64" s="104">
        <f>IFERROR((_xlfn.XLOOKUP(YEAR(H$5),'Price projections'!$D$6:$X$6,'Price projections'!$D$58:$X$58,"",0)*'Financial Analysis'!$C$54)+((1+Dashboard!$C$33)*'Financial Analysis'!$C$55),'Financial Analysis'!G64)</f>
        <v>1.0084606946101653</v>
      </c>
      <c r="I64" s="104">
        <f>IFERROR((_xlfn.XLOOKUP(YEAR(I$5),'Price projections'!$D$6:$X$6,'Price projections'!$D$58:$X$58,"",0)*'Financial Analysis'!$C$54)+((1+Dashboard!$C$33)*'Financial Analysis'!$C$55),'Financial Analysis'!H64)</f>
        <v>1.0055629671277362</v>
      </c>
      <c r="J64" s="104">
        <f>IFERROR((_xlfn.XLOOKUP(YEAR(J$5),'Price projections'!$D$6:$X$6,'Price projections'!$D$58:$X$58,"",0)*'Financial Analysis'!$C$54)+((1+Dashboard!$C$33)*'Financial Analysis'!$C$55),'Financial Analysis'!I64)</f>
        <v>0.98332665458266411</v>
      </c>
      <c r="K64" s="104">
        <f>IFERROR((_xlfn.XLOOKUP(YEAR(K$5),'Price projections'!$D$6:$X$6,'Price projections'!$D$58:$X$58,"",0)*'Financial Analysis'!$C$54)+((1+Dashboard!$C$33)*'Financial Analysis'!$C$55),'Financial Analysis'!J64)</f>
        <v>0.95810150409050221</v>
      </c>
      <c r="L64" s="104">
        <f>IFERROR((_xlfn.XLOOKUP(YEAR(L$5),'Price projections'!$D$6:$X$6,'Price projections'!$D$58:$X$58,"",0)*'Financial Analysis'!$C$54)+((1+Dashboard!$C$33)*'Financial Analysis'!$C$55),'Financial Analysis'!K64)</f>
        <v>0.9446954730149939</v>
      </c>
      <c r="M64" s="104">
        <f>IFERROR((_xlfn.XLOOKUP(YEAR(M$5),'Price projections'!$D$6:$X$6,'Price projections'!$D$58:$X$58,"",0)*'Financial Analysis'!$C$54)+((1+Dashboard!$C$33)*'Financial Analysis'!$C$55),'Financial Analysis'!L64)</f>
        <v>0.93105387479207913</v>
      </c>
      <c r="N64" s="104">
        <f>IFERROR((_xlfn.XLOOKUP(YEAR(N$5),'Price projections'!$D$6:$X$6,'Price projections'!$D$58:$X$58,"",0)*'Financial Analysis'!$C$54)+((1+Dashboard!$C$33)*'Financial Analysis'!$C$55),'Financial Analysis'!M64)</f>
        <v>0.92458420578550971</v>
      </c>
      <c r="O64" s="104">
        <f>IFERROR((_xlfn.XLOOKUP(YEAR(O$5),'Price projections'!$D$6:$X$6,'Price projections'!$D$58:$X$58,"",0)*'Financial Analysis'!$C$54)+((1+Dashboard!$C$33)*'Financial Analysis'!$C$55),'Financial Analysis'!N64)</f>
        <v>0.922202584015402</v>
      </c>
      <c r="P64" s="104">
        <f>IFERROR((_xlfn.XLOOKUP(YEAR(P$5),'Price projections'!$D$6:$X$6,'Price projections'!$D$58:$X$58,"",0)*'Financial Analysis'!$C$54)+((1+Dashboard!$C$33)*'Financial Analysis'!$C$55),'Financial Analysis'!O64)</f>
        <v>0.91430532321563718</v>
      </c>
      <c r="Q64" s="104">
        <f>IFERROR((_xlfn.XLOOKUP(YEAR(Q$5),'Price projections'!$D$6:$X$6,'Price projections'!$D$58:$X$58,"",0)*'Financial Analysis'!$C$54)+((1+Dashboard!$C$33)*'Financial Analysis'!$C$55),'Financial Analysis'!P64)</f>
        <v>0.92757635128141069</v>
      </c>
      <c r="R64" s="104">
        <f>IFERROR((_xlfn.XLOOKUP(YEAR(R$5),'Price projections'!$D$6:$X$6,'Price projections'!$D$58:$X$58,"",0)*'Financial Analysis'!$C$54)+((1+Dashboard!$C$33)*'Financial Analysis'!$C$55),'Financial Analysis'!Q64)</f>
        <v>0.91354776401679139</v>
      </c>
      <c r="S64" s="104">
        <f>IFERROR((_xlfn.XLOOKUP(YEAR(S$5),'Price projections'!$D$6:$X$6,'Price projections'!$D$58:$X$58,"",0)*'Financial Analysis'!$C$54)+((1+Dashboard!$C$33)*'Financial Analysis'!$C$55),'Financial Analysis'!R64)</f>
        <v>0.91354776401679139</v>
      </c>
      <c r="T64" s="104">
        <f>IFERROR((_xlfn.XLOOKUP(YEAR(T$5),'Price projections'!$D$6:$X$6,'Price projections'!$D$58:$X$58,"",0)*'Financial Analysis'!$C$54)+((1+Dashboard!$C$33)*'Financial Analysis'!$C$55),'Financial Analysis'!S64)</f>
        <v>0.91354776401679139</v>
      </c>
      <c r="U64" s="104">
        <f>IFERROR((_xlfn.XLOOKUP(YEAR(U$5),'Price projections'!$D$6:$X$6,'Price projections'!$D$58:$X$58,"",0)*'Financial Analysis'!$C$54)+((1+Dashboard!$C$33)*'Financial Analysis'!$C$55),'Financial Analysis'!T64)</f>
        <v>0.91354776401679139</v>
      </c>
      <c r="V64" s="104">
        <f>IFERROR((_xlfn.XLOOKUP(YEAR(V$5),'Price projections'!$D$6:$X$6,'Price projections'!$D$58:$X$58,"",0)*'Financial Analysis'!$C$54)+((1+Dashboard!$C$33)*'Financial Analysis'!$C$55),'Financial Analysis'!U64)</f>
        <v>0.91354776401679139</v>
      </c>
      <c r="W64" s="104">
        <f>IFERROR((_xlfn.XLOOKUP(YEAR(W$5),'Price projections'!$D$6:$X$6,'Price projections'!$D$58:$X$58,"",0)*'Financial Analysis'!$C$54)+((1+Dashboard!$C$33)*'Financial Analysis'!$C$55),'Financial Analysis'!V64)</f>
        <v>0.91354776401679139</v>
      </c>
      <c r="X64" s="104">
        <f>IFERROR((_xlfn.XLOOKUP(YEAR(X$5),'Price projections'!$D$6:$X$6,'Price projections'!$D$58:$X$58,"",0)*'Financial Analysis'!$C$54)+((1+Dashboard!$C$33)*'Financial Analysis'!$C$55),'Financial Analysis'!W64)</f>
        <v>0.91354776401679139</v>
      </c>
      <c r="Y64" s="104">
        <f>IFERROR((_xlfn.XLOOKUP(YEAR(Y$5),'Price projections'!$D$6:$X$6,'Price projections'!$D$58:$X$58,"",0)*'Financial Analysis'!$C$54)+((1+Dashboard!$C$33)*'Financial Analysis'!$C$55),'Financial Analysis'!X64)</f>
        <v>0.91354776401679139</v>
      </c>
      <c r="Z64" s="104">
        <f>IFERROR((_xlfn.XLOOKUP(YEAR(Z$5),'Price projections'!$D$6:$X$6,'Price projections'!$D$58:$X$58,"",0)*'Financial Analysis'!$C$54)+((1+Dashboard!$C$33)*'Financial Analysis'!$C$55),'Financial Analysis'!Y64)</f>
        <v>0.91354776401679139</v>
      </c>
      <c r="AA64" s="104">
        <f>IFERROR((_xlfn.XLOOKUP(YEAR(AA$5),'Price projections'!$D$6:$X$6,'Price projections'!$D$58:$X$58,"",0)*'Financial Analysis'!$C$54)+((1+Dashboard!$C$33)*'Financial Analysis'!$C$55),'Financial Analysis'!Z64)</f>
        <v>0.91354776401679139</v>
      </c>
      <c r="AB64" s="104">
        <f>IFERROR((_xlfn.XLOOKUP(YEAR(AB$5),'Price projections'!$D$6:$X$6,'Price projections'!$D$58:$X$58,"",0)*'Financial Analysis'!$C$54)+((1+Dashboard!$C$33)*'Financial Analysis'!$C$55),'Financial Analysis'!AA64)</f>
        <v>0.91354776401679139</v>
      </c>
      <c r="AC64" s="104">
        <f>IFERROR((_xlfn.XLOOKUP(YEAR(AC$5),'Price projections'!$D$6:$X$6,'Price projections'!$D$58:$X$58,"",0)*'Financial Analysis'!$C$54)+((1+Dashboard!$C$33)*'Financial Analysis'!$C$55),'Financial Analysis'!AB64)</f>
        <v>0.91354776401679139</v>
      </c>
      <c r="AD64" s="104">
        <f>IFERROR((_xlfn.XLOOKUP(YEAR(AD$5),'Price projections'!$D$6:$X$6,'Price projections'!$D$58:$X$58,"",0)*'Financial Analysis'!$C$54)+((1+Dashboard!$C$33)*'Financial Analysis'!$C$55),'Financial Analysis'!AC64)</f>
        <v>0.91354776401679139</v>
      </c>
      <c r="AE64" s="104">
        <f>IFERROR((_xlfn.XLOOKUP(YEAR(AE$5),'Price projections'!$D$6:$X$6,'Price projections'!$D$58:$X$58,"",0)*'Financial Analysis'!$C$54)+((1+Dashboard!$C$33)*'Financial Analysis'!$C$55),'Financial Analysis'!AD64)</f>
        <v>0.91354776401679139</v>
      </c>
      <c r="AF64" s="104">
        <f>IFERROR((_xlfn.XLOOKUP(YEAR(AF$5),'Price projections'!$D$6:$X$6,'Price projections'!$D$58:$X$58,"",0)*'Financial Analysis'!$C$54)+((1+Dashboard!$C$33)*'Financial Analysis'!$C$55),'Financial Analysis'!AE64)</f>
        <v>0.91354776401679139</v>
      </c>
      <c r="AG64" s="104">
        <f>IFERROR((_xlfn.XLOOKUP(YEAR(AG$5),'Price projections'!$D$6:$X$6,'Price projections'!$D$58:$X$58,"",0)*'Financial Analysis'!$C$54)+((1+Dashboard!$C$33)*'Financial Analysis'!$C$55),'Financial Analysis'!AF64)</f>
        <v>0.91354776401679139</v>
      </c>
      <c r="AH64" s="104">
        <f>IFERROR((_xlfn.XLOOKUP(YEAR(AH$5),'Price projections'!$D$6:$X$6,'Price projections'!$D$58:$X$58,"",0)*'Financial Analysis'!$C$54)+((1+Dashboard!$C$33)*'Financial Analysis'!$C$55),'Financial Analysis'!AG64)</f>
        <v>0.91354776401679139</v>
      </c>
      <c r="AI64" s="104">
        <f>IFERROR((_xlfn.XLOOKUP(YEAR(AI$5),'Price projections'!$D$6:$X$6,'Price projections'!$D$58:$X$58,"",0)*'Financial Analysis'!$C$54)+((1+Dashboard!$C$33)*'Financial Analysis'!$C$55),'Financial Analysis'!AH64)</f>
        <v>0.91354776401679139</v>
      </c>
      <c r="AJ64" s="104">
        <f>IFERROR((_xlfn.XLOOKUP(YEAR(AJ$5),'Price projections'!$D$6:$X$6,'Price projections'!$D$58:$X$58,"",0)*'Financial Analysis'!$C$54)+((1+Dashboard!$C$33)*'Financial Analysis'!$C$55),'Financial Analysis'!AI64)</f>
        <v>0.91354776401679139</v>
      </c>
      <c r="AK64" s="104">
        <f>IFERROR((_xlfn.XLOOKUP(YEAR(AK$5),'Price projections'!$D$6:$X$6,'Price projections'!$D$58:$X$58,"",0)*'Financial Analysis'!$C$54)+((1+Dashboard!$C$33)*'Financial Analysis'!$C$55),'Financial Analysis'!AJ64)</f>
        <v>0.91354776401679139</v>
      </c>
      <c r="AL64" s="104">
        <f>IFERROR((_xlfn.XLOOKUP(YEAR(AL$5),'Price projections'!$D$6:$X$6,'Price projections'!$D$58:$X$58,"",0)*'Financial Analysis'!$C$54)+((1+Dashboard!$C$33)*'Financial Analysis'!$C$55),'Financial Analysis'!AK64)</f>
        <v>0.91354776401679139</v>
      </c>
      <c r="AM64" s="104">
        <f>IFERROR((_xlfn.XLOOKUP(YEAR(AM$5),'Price projections'!$D$6:$X$6,'Price projections'!$D$58:$X$58,"",0)*'Financial Analysis'!$C$54)+((1+Dashboard!$C$33)*'Financial Analysis'!$C$55),'Financial Analysis'!AL64)</f>
        <v>0.91354776401679139</v>
      </c>
      <c r="AN64" s="104">
        <f>IFERROR((_xlfn.XLOOKUP(YEAR(AN$5),'Price projections'!$D$6:$X$6,'Price projections'!$D$58:$X$58,"",0)*'Financial Analysis'!$C$54)+((1+Dashboard!$C$33)*'Financial Analysis'!$C$55),'Financial Analysis'!AM64)</f>
        <v>0.91354776401679139</v>
      </c>
      <c r="AO64" s="104">
        <f>IFERROR((_xlfn.XLOOKUP(YEAR(AO$5),'Price projections'!$D$6:$X$6,'Price projections'!$D$58:$X$58,"",0)*'Financial Analysis'!$C$54)+((1+Dashboard!$C$33)*'Financial Analysis'!$C$55),'Financial Analysis'!AN64)</f>
        <v>0.91354776401679139</v>
      </c>
      <c r="AP64" s="104">
        <f>IFERROR((_xlfn.XLOOKUP(YEAR(AP$5),'Price projections'!$D$6:$X$6,'Price projections'!$D$58:$X$58,"",0)*'Financial Analysis'!$C$54)+((1+Dashboard!$C$33)*'Financial Analysis'!$C$55),'Financial Analysis'!AO64)</f>
        <v>0.91354776401679139</v>
      </c>
      <c r="AQ64" s="104">
        <f>IFERROR((_xlfn.XLOOKUP(YEAR(AQ$5),'Price projections'!$D$6:$X$6,'Price projections'!$D$58:$X$58,"",0)*'Financial Analysis'!$C$54)+((1+Dashboard!$C$33)*'Financial Analysis'!$C$55),'Financial Analysis'!AP64)</f>
        <v>0.91354776401679139</v>
      </c>
      <c r="AR64" s="104">
        <f>IFERROR((_xlfn.XLOOKUP(YEAR(AR$5),'Price projections'!$D$6:$X$6,'Price projections'!$D$58:$X$58,"",0)*'Financial Analysis'!$C$54)+((1+Dashboard!$C$33)*'Financial Analysis'!$C$55),'Financial Analysis'!AQ64)</f>
        <v>0.91354776401679139</v>
      </c>
      <c r="AS64" s="104">
        <f>IFERROR((_xlfn.XLOOKUP(YEAR(AS$5),'Price projections'!$D$6:$X$6,'Price projections'!$D$58:$X$58,"",0)*'Financial Analysis'!$C$54)+((1+Dashboard!$C$33)*'Financial Analysis'!$C$55),'Financial Analysis'!AR64)</f>
        <v>0.91354776401679139</v>
      </c>
      <c r="AT64" s="104">
        <f>IFERROR((_xlfn.XLOOKUP(YEAR(AT$5),'Price projections'!$D$6:$X$6,'Price projections'!$D$58:$X$58,"",0)*'Financial Analysis'!$C$54)+((1+Dashboard!$C$33)*'Financial Analysis'!$C$55),'Financial Analysis'!AS64)</f>
        <v>0.91354776401679139</v>
      </c>
      <c r="AU64" s="104">
        <f>IFERROR((_xlfn.XLOOKUP(YEAR(AU$5),'Price projections'!$D$6:$X$6,'Price projections'!$D$58:$X$58,"",0)*'Financial Analysis'!$C$54)+((1+Dashboard!$C$33)*'Financial Analysis'!$C$55),'Financial Analysis'!AT64)</f>
        <v>0.91354776401679139</v>
      </c>
      <c r="AV64" s="104">
        <f>IFERROR((_xlfn.XLOOKUP(YEAR(AV$5),'Price projections'!$D$6:$X$6,'Price projections'!$D$58:$X$58,"",0)*'Financial Analysis'!$C$54)+((1+Dashboard!$C$33)*'Financial Analysis'!$C$55),'Financial Analysis'!AU64)</f>
        <v>0.91354776401679139</v>
      </c>
      <c r="AW64" s="104">
        <f>IFERROR((_xlfn.XLOOKUP(YEAR(AW$5),'Price projections'!$D$6:$X$6,'Price projections'!$D$58:$X$58,"",0)*'Financial Analysis'!$C$54)+((1+Dashboard!$C$33)*'Financial Analysis'!$C$55),'Financial Analysis'!AV64)</f>
        <v>0.91354776401679139</v>
      </c>
      <c r="AX64" s="104">
        <f>IFERROR((_xlfn.XLOOKUP(YEAR(AX$5),'Price projections'!$D$6:$X$6,'Price projections'!$D$58:$X$58,"",0)*'Financial Analysis'!$C$54)+((1+Dashboard!$C$33)*'Financial Analysis'!$C$55),'Financial Analysis'!AW64)</f>
        <v>0.91354776401679139</v>
      </c>
      <c r="AY64" s="104">
        <f>IFERROR((_xlfn.XLOOKUP(YEAR(AY$5),'Price projections'!$D$6:$X$6,'Price projections'!$D$58:$X$58,"",0)*'Financial Analysis'!$C$54)+((1+Dashboard!$C$33)*'Financial Analysis'!$C$55),'Financial Analysis'!AX64)</f>
        <v>0.91354776401679139</v>
      </c>
      <c r="AZ64" s="104">
        <f>IFERROR((_xlfn.XLOOKUP(YEAR(AZ$5),'Price projections'!$D$6:$X$6,'Price projections'!$D$58:$X$58,"",0)*'Financial Analysis'!$C$54)+((1+Dashboard!$C$33)*'Financial Analysis'!$C$55),'Financial Analysis'!AY64)</f>
        <v>0.91354776401679139</v>
      </c>
      <c r="BA64" s="104">
        <f>IFERROR((_xlfn.XLOOKUP(YEAR(BA$5),'Price projections'!$D$6:$X$6,'Price projections'!$D$58:$X$58,"",0)*'Financial Analysis'!$C$54)+((1+Dashboard!$C$33)*'Financial Analysis'!$C$55),'Financial Analysis'!AZ64)</f>
        <v>0.91354776401679139</v>
      </c>
      <c r="BB64" s="104">
        <f>IFERROR((_xlfn.XLOOKUP(YEAR(BB$5),'Price projections'!$D$6:$X$6,'Price projections'!$D$58:$X$58,"",0)*'Financial Analysis'!$C$54)+((1+Dashboard!$C$33)*'Financial Analysis'!$C$55),'Financial Analysis'!BA64)</f>
        <v>0.91354776401679139</v>
      </c>
      <c r="BC64" s="104">
        <f>IFERROR((_xlfn.XLOOKUP(YEAR(BC$5),'Price projections'!$D$6:$X$6,'Price projections'!$D$58:$X$58,"",0)*'Financial Analysis'!$C$54)+((1+Dashboard!$C$33)*'Financial Analysis'!$C$55),'Financial Analysis'!BB64)</f>
        <v>0.91354776401679139</v>
      </c>
      <c r="BD64" s="104">
        <f>IFERROR((_xlfn.XLOOKUP(YEAR(BD$5),'Price projections'!$D$6:$X$6,'Price projections'!$D$58:$X$58,"",0)*'Financial Analysis'!$C$54)+((1+Dashboard!$C$33)*'Financial Analysis'!$C$55),'Financial Analysis'!BC64)</f>
        <v>0.91354776401679139</v>
      </c>
      <c r="BE64" s="104">
        <f>IFERROR((_xlfn.XLOOKUP(YEAR(BE$5),'Price projections'!$D$6:$X$6,'Price projections'!$D$58:$X$58,"",0)*'Financial Analysis'!$C$54)+((1+Dashboard!$C$33)*'Financial Analysis'!$C$55),'Financial Analysis'!BD64)</f>
        <v>0.91354776401679139</v>
      </c>
      <c r="BF64" s="104">
        <f>IFERROR((_xlfn.XLOOKUP(YEAR(BF$5),'Price projections'!$D$6:$X$6,'Price projections'!$D$58:$X$58,"",0)*'Financial Analysis'!$C$54)+((1+Dashboard!$C$33)*'Financial Analysis'!$C$55),'Financial Analysis'!BE64)</f>
        <v>0.91354776401679139</v>
      </c>
      <c r="BG64" s="104">
        <f>IFERROR((_xlfn.XLOOKUP(YEAR(BG$5),'Price projections'!$D$6:$X$6,'Price projections'!$D$58:$X$58,"",0)*'Financial Analysis'!$C$54)+((1+Dashboard!$C$33)*'Financial Analysis'!$C$55),'Financial Analysis'!BF64)</f>
        <v>0.91354776401679139</v>
      </c>
      <c r="BH64" s="104">
        <f>IFERROR((_xlfn.XLOOKUP(YEAR(BH$5),'Price projections'!$D$6:$X$6,'Price projections'!$D$58:$X$58,"",0)*'Financial Analysis'!$C$54)+((1+Dashboard!$C$33)*'Financial Analysis'!$C$55),'Financial Analysis'!BG64)</f>
        <v>0.91354776401679139</v>
      </c>
      <c r="BI64" s="104">
        <f>IFERROR((_xlfn.XLOOKUP(YEAR(BI$5),'Price projections'!$D$6:$X$6,'Price projections'!$D$58:$X$58,"",0)*'Financial Analysis'!$C$54)+((1+Dashboard!$C$33)*'Financial Analysis'!$C$55),'Financial Analysis'!BH64)</f>
        <v>0.91354776401679139</v>
      </c>
      <c r="BJ64" s="104">
        <f>IFERROR((_xlfn.XLOOKUP(YEAR(BJ$5),'Price projections'!$D$6:$X$6,'Price projections'!$D$58:$X$58,"",0)*'Financial Analysis'!$C$54)+((1+Dashboard!$C$33)*'Financial Analysis'!$C$55),'Financial Analysis'!BI64)</f>
        <v>0.91354776401679139</v>
      </c>
      <c r="BK64" s="104">
        <f>IFERROR((_xlfn.XLOOKUP(YEAR(BK$5),'Price projections'!$D$6:$X$6,'Price projections'!$D$58:$X$58,"",0)*'Financial Analysis'!$C$54)+((1+Dashboard!$C$33)*'Financial Analysis'!$C$55),'Financial Analysis'!BJ64)</f>
        <v>0.91354776401679139</v>
      </c>
      <c r="BL64" s="104">
        <f>IFERROR((_xlfn.XLOOKUP(YEAR(BL$5),'Price projections'!$D$6:$X$6,'Price projections'!$D$58:$X$58,"",0)*'Financial Analysis'!$C$54)+((1+Dashboard!$C$33)*'Financial Analysis'!$C$55),'Financial Analysis'!BK64)</f>
        <v>0.91354776401679139</v>
      </c>
    </row>
    <row r="65" spans="2:64">
      <c r="B65" s="146" t="s">
        <v>440</v>
      </c>
      <c r="E65" s="104">
        <f>IFERROR((_xlfn.XLOOKUP(YEAR(E$5),'Price projections'!$D$6:$X$6,'Price projections'!$D$59:$X$59,"",0)*'Financial Analysis'!$C$54)+((1+Dashboard!$C$33)*'Financial Analysis'!$C$55),'Financial Analysis'!D65)</f>
        <v>1.001646025301185</v>
      </c>
      <c r="F65" s="104">
        <f>IFERROR((_xlfn.XLOOKUP(YEAR(F$5),'Price projections'!$D$6:$X$6,'Price projections'!$D$59:$X$59,"",0)*'Financial Analysis'!$C$54)+((1+Dashboard!$C$33)*'Financial Analysis'!$C$55),'Financial Analysis'!E65)</f>
        <v>0.97825340616518364</v>
      </c>
      <c r="G65" s="104">
        <f>IFERROR((_xlfn.XLOOKUP(YEAR(G$5),'Price projections'!$D$6:$X$6,'Price projections'!$D$59:$X$59,"",0)*'Financial Analysis'!$C$54)+((1+Dashboard!$C$33)*'Financial Analysis'!$C$55),'Financial Analysis'!F65)</f>
        <v>0.96964720704013363</v>
      </c>
      <c r="H65" s="104">
        <f>IFERROR((_xlfn.XLOOKUP(YEAR(H$5),'Price projections'!$D$6:$X$6,'Price projections'!$D$59:$X$59,"",0)*'Financial Analysis'!$C$54)+((1+Dashboard!$C$33)*'Financial Analysis'!$C$55),'Financial Analysis'!G65)</f>
        <v>0.98215539337602242</v>
      </c>
      <c r="I65" s="104">
        <f>IFERROR((_xlfn.XLOOKUP(YEAR(I$5),'Price projections'!$D$6:$X$6,'Price projections'!$D$59:$X$59,"",0)*'Financial Analysis'!$C$54)+((1+Dashboard!$C$33)*'Financial Analysis'!$C$55),'Financial Analysis'!H65)</f>
        <v>0.98771250152416956</v>
      </c>
      <c r="J65" s="104">
        <f>IFERROR((_xlfn.XLOOKUP(YEAR(J$5),'Price projections'!$D$6:$X$6,'Price projections'!$D$59:$X$59,"",0)*'Financial Analysis'!$C$54)+((1+Dashboard!$C$33)*'Financial Analysis'!$C$55),'Financial Analysis'!I65)</f>
        <v>0.97356428501398595</v>
      </c>
      <c r="K65" s="104">
        <f>IFERROR((_xlfn.XLOOKUP(YEAR(K$5),'Price projections'!$D$6:$X$6,'Price projections'!$D$59:$X$59,"",0)*'Financial Analysis'!$C$54)+((1+Dashboard!$C$33)*'Financial Analysis'!$C$55),'Financial Analysis'!J65)</f>
        <v>0.95141163182544131</v>
      </c>
      <c r="L65" s="104">
        <f>IFERROR((_xlfn.XLOOKUP(YEAR(L$5),'Price projections'!$D$6:$X$6,'Price projections'!$D$59:$X$59,"",0)*'Financial Analysis'!$C$54)+((1+Dashboard!$C$33)*'Financial Analysis'!$C$55),'Financial Analysis'!K65)</f>
        <v>0.93106072525573325</v>
      </c>
      <c r="M65" s="104">
        <f>IFERROR((_xlfn.XLOOKUP(YEAR(M$5),'Price projections'!$D$6:$X$6,'Price projections'!$D$59:$X$59,"",0)*'Financial Analysis'!$C$54)+((1+Dashboard!$C$33)*'Financial Analysis'!$C$55),'Financial Analysis'!L65)</f>
        <v>0.92188436127049844</v>
      </c>
      <c r="N65" s="104">
        <f>IFERROR((_xlfn.XLOOKUP(YEAR(N$5),'Price projections'!$D$6:$X$6,'Price projections'!$D$59:$X$59,"",0)*'Financial Analysis'!$C$54)+((1+Dashboard!$C$33)*'Financial Analysis'!$C$55),'Financial Analysis'!M65)</f>
        <v>0.91564220566455767</v>
      </c>
      <c r="O65" s="104">
        <f>IFERROR((_xlfn.XLOOKUP(YEAR(O$5),'Price projections'!$D$6:$X$6,'Price projections'!$D$59:$X$59,"",0)*'Financial Analysis'!$C$54)+((1+Dashboard!$C$33)*'Financial Analysis'!$C$55),'Financial Analysis'!N65)</f>
        <v>0.902598551885197</v>
      </c>
      <c r="P65" s="104">
        <f>IFERROR((_xlfn.XLOOKUP(YEAR(P$5),'Price projections'!$D$6:$X$6,'Price projections'!$D$59:$X$59,"",0)*'Financial Analysis'!$C$54)+((1+Dashboard!$C$33)*'Financial Analysis'!$C$55),'Financial Analysis'!O65)</f>
        <v>0.90979839543802188</v>
      </c>
      <c r="Q65" s="104">
        <f>IFERROR((_xlfn.XLOOKUP(YEAR(Q$5),'Price projections'!$D$6:$X$6,'Price projections'!$D$59:$X$59,"",0)*'Financial Analysis'!$C$54)+((1+Dashboard!$C$33)*'Financial Analysis'!$C$55),'Financial Analysis'!P65)</f>
        <v>0.90577087012549284</v>
      </c>
      <c r="R65" s="104">
        <f>IFERROR((_xlfn.XLOOKUP(YEAR(R$5),'Price projections'!$D$6:$X$6,'Price projections'!$D$59:$X$59,"",0)*'Financial Analysis'!$C$54)+((1+Dashboard!$C$33)*'Financial Analysis'!$C$55),'Financial Analysis'!Q65)</f>
        <v>0.89716178579190076</v>
      </c>
      <c r="S65" s="104">
        <f>IFERROR((_xlfn.XLOOKUP(YEAR(S$5),'Price projections'!$D$6:$X$6,'Price projections'!$D$59:$X$59,"",0)*'Financial Analysis'!$C$54)+((1+Dashboard!$C$33)*'Financial Analysis'!$C$55),'Financial Analysis'!R65)</f>
        <v>0.89716178579190076</v>
      </c>
      <c r="T65" s="104">
        <f>IFERROR((_xlfn.XLOOKUP(YEAR(T$5),'Price projections'!$D$6:$X$6,'Price projections'!$D$59:$X$59,"",0)*'Financial Analysis'!$C$54)+((1+Dashboard!$C$33)*'Financial Analysis'!$C$55),'Financial Analysis'!S65)</f>
        <v>0.89716178579190076</v>
      </c>
      <c r="U65" s="104">
        <f>IFERROR((_xlfn.XLOOKUP(YEAR(U$5),'Price projections'!$D$6:$X$6,'Price projections'!$D$59:$X$59,"",0)*'Financial Analysis'!$C$54)+((1+Dashboard!$C$33)*'Financial Analysis'!$C$55),'Financial Analysis'!T65)</f>
        <v>0.89716178579190076</v>
      </c>
      <c r="V65" s="104">
        <f>IFERROR((_xlfn.XLOOKUP(YEAR(V$5),'Price projections'!$D$6:$X$6,'Price projections'!$D$59:$X$59,"",0)*'Financial Analysis'!$C$54)+((1+Dashboard!$C$33)*'Financial Analysis'!$C$55),'Financial Analysis'!U65)</f>
        <v>0.89716178579190076</v>
      </c>
      <c r="W65" s="104">
        <f>IFERROR((_xlfn.XLOOKUP(YEAR(W$5),'Price projections'!$D$6:$X$6,'Price projections'!$D$59:$X$59,"",0)*'Financial Analysis'!$C$54)+((1+Dashboard!$C$33)*'Financial Analysis'!$C$55),'Financial Analysis'!V65)</f>
        <v>0.89716178579190076</v>
      </c>
      <c r="X65" s="104">
        <f>IFERROR((_xlfn.XLOOKUP(YEAR(X$5),'Price projections'!$D$6:$X$6,'Price projections'!$D$59:$X$59,"",0)*'Financial Analysis'!$C$54)+((1+Dashboard!$C$33)*'Financial Analysis'!$C$55),'Financial Analysis'!W65)</f>
        <v>0.89716178579190076</v>
      </c>
      <c r="Y65" s="104">
        <f>IFERROR((_xlfn.XLOOKUP(YEAR(Y$5),'Price projections'!$D$6:$X$6,'Price projections'!$D$59:$X$59,"",0)*'Financial Analysis'!$C$54)+((1+Dashboard!$C$33)*'Financial Analysis'!$C$55),'Financial Analysis'!X65)</f>
        <v>0.89716178579190076</v>
      </c>
      <c r="Z65" s="104">
        <f>IFERROR((_xlfn.XLOOKUP(YEAR(Z$5),'Price projections'!$D$6:$X$6,'Price projections'!$D$59:$X$59,"",0)*'Financial Analysis'!$C$54)+((1+Dashboard!$C$33)*'Financial Analysis'!$C$55),'Financial Analysis'!Y65)</f>
        <v>0.89716178579190076</v>
      </c>
      <c r="AA65" s="104">
        <f>IFERROR((_xlfn.XLOOKUP(YEAR(AA$5),'Price projections'!$D$6:$X$6,'Price projections'!$D$59:$X$59,"",0)*'Financial Analysis'!$C$54)+((1+Dashboard!$C$33)*'Financial Analysis'!$C$55),'Financial Analysis'!Z65)</f>
        <v>0.89716178579190076</v>
      </c>
      <c r="AB65" s="104">
        <f>IFERROR((_xlfn.XLOOKUP(YEAR(AB$5),'Price projections'!$D$6:$X$6,'Price projections'!$D$59:$X$59,"",0)*'Financial Analysis'!$C$54)+((1+Dashboard!$C$33)*'Financial Analysis'!$C$55),'Financial Analysis'!AA65)</f>
        <v>0.89716178579190076</v>
      </c>
      <c r="AC65" s="104">
        <f>IFERROR((_xlfn.XLOOKUP(YEAR(AC$5),'Price projections'!$D$6:$X$6,'Price projections'!$D$59:$X$59,"",0)*'Financial Analysis'!$C$54)+((1+Dashboard!$C$33)*'Financial Analysis'!$C$55),'Financial Analysis'!AB65)</f>
        <v>0.89716178579190076</v>
      </c>
      <c r="AD65" s="104">
        <f>IFERROR((_xlfn.XLOOKUP(YEAR(AD$5),'Price projections'!$D$6:$X$6,'Price projections'!$D$59:$X$59,"",0)*'Financial Analysis'!$C$54)+((1+Dashboard!$C$33)*'Financial Analysis'!$C$55),'Financial Analysis'!AC65)</f>
        <v>0.89716178579190076</v>
      </c>
      <c r="AE65" s="104">
        <f>IFERROR((_xlfn.XLOOKUP(YEAR(AE$5),'Price projections'!$D$6:$X$6,'Price projections'!$D$59:$X$59,"",0)*'Financial Analysis'!$C$54)+((1+Dashboard!$C$33)*'Financial Analysis'!$C$55),'Financial Analysis'!AD65)</f>
        <v>0.89716178579190076</v>
      </c>
      <c r="AF65" s="104">
        <f>IFERROR((_xlfn.XLOOKUP(YEAR(AF$5),'Price projections'!$D$6:$X$6,'Price projections'!$D$59:$X$59,"",0)*'Financial Analysis'!$C$54)+((1+Dashboard!$C$33)*'Financial Analysis'!$C$55),'Financial Analysis'!AE65)</f>
        <v>0.89716178579190076</v>
      </c>
      <c r="AG65" s="104">
        <f>IFERROR((_xlfn.XLOOKUP(YEAR(AG$5),'Price projections'!$D$6:$X$6,'Price projections'!$D$59:$X$59,"",0)*'Financial Analysis'!$C$54)+((1+Dashboard!$C$33)*'Financial Analysis'!$C$55),'Financial Analysis'!AF65)</f>
        <v>0.89716178579190076</v>
      </c>
      <c r="AH65" s="104">
        <f>IFERROR((_xlfn.XLOOKUP(YEAR(AH$5),'Price projections'!$D$6:$X$6,'Price projections'!$D$59:$X$59,"",0)*'Financial Analysis'!$C$54)+((1+Dashboard!$C$33)*'Financial Analysis'!$C$55),'Financial Analysis'!AG65)</f>
        <v>0.89716178579190076</v>
      </c>
      <c r="AI65" s="104">
        <f>IFERROR((_xlfn.XLOOKUP(YEAR(AI$5),'Price projections'!$D$6:$X$6,'Price projections'!$D$59:$X$59,"",0)*'Financial Analysis'!$C$54)+((1+Dashboard!$C$33)*'Financial Analysis'!$C$55),'Financial Analysis'!AH65)</f>
        <v>0.89716178579190076</v>
      </c>
      <c r="AJ65" s="104">
        <f>IFERROR((_xlfn.XLOOKUP(YEAR(AJ$5),'Price projections'!$D$6:$X$6,'Price projections'!$D$59:$X$59,"",0)*'Financial Analysis'!$C$54)+((1+Dashboard!$C$33)*'Financial Analysis'!$C$55),'Financial Analysis'!AI65)</f>
        <v>0.89716178579190076</v>
      </c>
      <c r="AK65" s="104">
        <f>IFERROR((_xlfn.XLOOKUP(YEAR(AK$5),'Price projections'!$D$6:$X$6,'Price projections'!$D$59:$X$59,"",0)*'Financial Analysis'!$C$54)+((1+Dashboard!$C$33)*'Financial Analysis'!$C$55),'Financial Analysis'!AJ65)</f>
        <v>0.89716178579190076</v>
      </c>
      <c r="AL65" s="104">
        <f>IFERROR((_xlfn.XLOOKUP(YEAR(AL$5),'Price projections'!$D$6:$X$6,'Price projections'!$D$59:$X$59,"",0)*'Financial Analysis'!$C$54)+((1+Dashboard!$C$33)*'Financial Analysis'!$C$55),'Financial Analysis'!AK65)</f>
        <v>0.89716178579190076</v>
      </c>
      <c r="AM65" s="104">
        <f>IFERROR((_xlfn.XLOOKUP(YEAR(AM$5),'Price projections'!$D$6:$X$6,'Price projections'!$D$59:$X$59,"",0)*'Financial Analysis'!$C$54)+((1+Dashboard!$C$33)*'Financial Analysis'!$C$55),'Financial Analysis'!AL65)</f>
        <v>0.89716178579190076</v>
      </c>
      <c r="AN65" s="104">
        <f>IFERROR((_xlfn.XLOOKUP(YEAR(AN$5),'Price projections'!$D$6:$X$6,'Price projections'!$D$59:$X$59,"",0)*'Financial Analysis'!$C$54)+((1+Dashboard!$C$33)*'Financial Analysis'!$C$55),'Financial Analysis'!AM65)</f>
        <v>0.89716178579190076</v>
      </c>
      <c r="AO65" s="104">
        <f>IFERROR((_xlfn.XLOOKUP(YEAR(AO$5),'Price projections'!$D$6:$X$6,'Price projections'!$D$59:$X$59,"",0)*'Financial Analysis'!$C$54)+((1+Dashboard!$C$33)*'Financial Analysis'!$C$55),'Financial Analysis'!AN65)</f>
        <v>0.89716178579190076</v>
      </c>
      <c r="AP65" s="104">
        <f>IFERROR((_xlfn.XLOOKUP(YEAR(AP$5),'Price projections'!$D$6:$X$6,'Price projections'!$D$59:$X$59,"",0)*'Financial Analysis'!$C$54)+((1+Dashboard!$C$33)*'Financial Analysis'!$C$55),'Financial Analysis'!AO65)</f>
        <v>0.89716178579190076</v>
      </c>
      <c r="AQ65" s="104">
        <f>IFERROR((_xlfn.XLOOKUP(YEAR(AQ$5),'Price projections'!$D$6:$X$6,'Price projections'!$D$59:$X$59,"",0)*'Financial Analysis'!$C$54)+((1+Dashboard!$C$33)*'Financial Analysis'!$C$55),'Financial Analysis'!AP65)</f>
        <v>0.89716178579190076</v>
      </c>
      <c r="AR65" s="104">
        <f>IFERROR((_xlfn.XLOOKUP(YEAR(AR$5),'Price projections'!$D$6:$X$6,'Price projections'!$D$59:$X$59,"",0)*'Financial Analysis'!$C$54)+((1+Dashboard!$C$33)*'Financial Analysis'!$C$55),'Financial Analysis'!AQ65)</f>
        <v>0.89716178579190076</v>
      </c>
      <c r="AS65" s="104">
        <f>IFERROR((_xlfn.XLOOKUP(YEAR(AS$5),'Price projections'!$D$6:$X$6,'Price projections'!$D$59:$X$59,"",0)*'Financial Analysis'!$C$54)+((1+Dashboard!$C$33)*'Financial Analysis'!$C$55),'Financial Analysis'!AR65)</f>
        <v>0.89716178579190076</v>
      </c>
      <c r="AT65" s="104">
        <f>IFERROR((_xlfn.XLOOKUP(YEAR(AT$5),'Price projections'!$D$6:$X$6,'Price projections'!$D$59:$X$59,"",0)*'Financial Analysis'!$C$54)+((1+Dashboard!$C$33)*'Financial Analysis'!$C$55),'Financial Analysis'!AS65)</f>
        <v>0.89716178579190076</v>
      </c>
      <c r="AU65" s="104">
        <f>IFERROR((_xlfn.XLOOKUP(YEAR(AU$5),'Price projections'!$D$6:$X$6,'Price projections'!$D$59:$X$59,"",0)*'Financial Analysis'!$C$54)+((1+Dashboard!$C$33)*'Financial Analysis'!$C$55),'Financial Analysis'!AT65)</f>
        <v>0.89716178579190076</v>
      </c>
      <c r="AV65" s="104">
        <f>IFERROR((_xlfn.XLOOKUP(YEAR(AV$5),'Price projections'!$D$6:$X$6,'Price projections'!$D$59:$X$59,"",0)*'Financial Analysis'!$C$54)+((1+Dashboard!$C$33)*'Financial Analysis'!$C$55),'Financial Analysis'!AU65)</f>
        <v>0.89716178579190076</v>
      </c>
      <c r="AW65" s="104">
        <f>IFERROR((_xlfn.XLOOKUP(YEAR(AW$5),'Price projections'!$D$6:$X$6,'Price projections'!$D$59:$X$59,"",0)*'Financial Analysis'!$C$54)+((1+Dashboard!$C$33)*'Financial Analysis'!$C$55),'Financial Analysis'!AV65)</f>
        <v>0.89716178579190076</v>
      </c>
      <c r="AX65" s="104">
        <f>IFERROR((_xlfn.XLOOKUP(YEAR(AX$5),'Price projections'!$D$6:$X$6,'Price projections'!$D$59:$X$59,"",0)*'Financial Analysis'!$C$54)+((1+Dashboard!$C$33)*'Financial Analysis'!$C$55),'Financial Analysis'!AW65)</f>
        <v>0.89716178579190076</v>
      </c>
      <c r="AY65" s="104">
        <f>IFERROR((_xlfn.XLOOKUP(YEAR(AY$5),'Price projections'!$D$6:$X$6,'Price projections'!$D$59:$X$59,"",0)*'Financial Analysis'!$C$54)+((1+Dashboard!$C$33)*'Financial Analysis'!$C$55),'Financial Analysis'!AX65)</f>
        <v>0.89716178579190076</v>
      </c>
      <c r="AZ65" s="104">
        <f>IFERROR((_xlfn.XLOOKUP(YEAR(AZ$5),'Price projections'!$D$6:$X$6,'Price projections'!$D$59:$X$59,"",0)*'Financial Analysis'!$C$54)+((1+Dashboard!$C$33)*'Financial Analysis'!$C$55),'Financial Analysis'!AY65)</f>
        <v>0.89716178579190076</v>
      </c>
      <c r="BA65" s="104">
        <f>IFERROR((_xlfn.XLOOKUP(YEAR(BA$5),'Price projections'!$D$6:$X$6,'Price projections'!$D$59:$X$59,"",0)*'Financial Analysis'!$C$54)+((1+Dashboard!$C$33)*'Financial Analysis'!$C$55),'Financial Analysis'!AZ65)</f>
        <v>0.89716178579190076</v>
      </c>
      <c r="BB65" s="104">
        <f>IFERROR((_xlfn.XLOOKUP(YEAR(BB$5),'Price projections'!$D$6:$X$6,'Price projections'!$D$59:$X$59,"",0)*'Financial Analysis'!$C$54)+((1+Dashboard!$C$33)*'Financial Analysis'!$C$55),'Financial Analysis'!BA65)</f>
        <v>0.89716178579190076</v>
      </c>
      <c r="BC65" s="104">
        <f>IFERROR((_xlfn.XLOOKUP(YEAR(BC$5),'Price projections'!$D$6:$X$6,'Price projections'!$D$59:$X$59,"",0)*'Financial Analysis'!$C$54)+((1+Dashboard!$C$33)*'Financial Analysis'!$C$55),'Financial Analysis'!BB65)</f>
        <v>0.89716178579190076</v>
      </c>
      <c r="BD65" s="104">
        <f>IFERROR((_xlfn.XLOOKUP(YEAR(BD$5),'Price projections'!$D$6:$X$6,'Price projections'!$D$59:$X$59,"",0)*'Financial Analysis'!$C$54)+((1+Dashboard!$C$33)*'Financial Analysis'!$C$55),'Financial Analysis'!BC65)</f>
        <v>0.89716178579190076</v>
      </c>
      <c r="BE65" s="104">
        <f>IFERROR((_xlfn.XLOOKUP(YEAR(BE$5),'Price projections'!$D$6:$X$6,'Price projections'!$D$59:$X$59,"",0)*'Financial Analysis'!$C$54)+((1+Dashboard!$C$33)*'Financial Analysis'!$C$55),'Financial Analysis'!BD65)</f>
        <v>0.89716178579190076</v>
      </c>
      <c r="BF65" s="104">
        <f>IFERROR((_xlfn.XLOOKUP(YEAR(BF$5),'Price projections'!$D$6:$X$6,'Price projections'!$D$59:$X$59,"",0)*'Financial Analysis'!$C$54)+((1+Dashboard!$C$33)*'Financial Analysis'!$C$55),'Financial Analysis'!BE65)</f>
        <v>0.89716178579190076</v>
      </c>
      <c r="BG65" s="104">
        <f>IFERROR((_xlfn.XLOOKUP(YEAR(BG$5),'Price projections'!$D$6:$X$6,'Price projections'!$D$59:$X$59,"",0)*'Financial Analysis'!$C$54)+((1+Dashboard!$C$33)*'Financial Analysis'!$C$55),'Financial Analysis'!BF65)</f>
        <v>0.89716178579190076</v>
      </c>
      <c r="BH65" s="104">
        <f>IFERROR((_xlfn.XLOOKUP(YEAR(BH$5),'Price projections'!$D$6:$X$6,'Price projections'!$D$59:$X$59,"",0)*'Financial Analysis'!$C$54)+((1+Dashboard!$C$33)*'Financial Analysis'!$C$55),'Financial Analysis'!BG65)</f>
        <v>0.89716178579190076</v>
      </c>
      <c r="BI65" s="104">
        <f>IFERROR((_xlfn.XLOOKUP(YEAR(BI$5),'Price projections'!$D$6:$X$6,'Price projections'!$D$59:$X$59,"",0)*'Financial Analysis'!$C$54)+((1+Dashboard!$C$33)*'Financial Analysis'!$C$55),'Financial Analysis'!BH65)</f>
        <v>0.89716178579190076</v>
      </c>
      <c r="BJ65" s="104">
        <f>IFERROR((_xlfn.XLOOKUP(YEAR(BJ$5),'Price projections'!$D$6:$X$6,'Price projections'!$D$59:$X$59,"",0)*'Financial Analysis'!$C$54)+((1+Dashboard!$C$33)*'Financial Analysis'!$C$55),'Financial Analysis'!BI65)</f>
        <v>0.89716178579190076</v>
      </c>
      <c r="BK65" s="104">
        <f>IFERROR((_xlfn.XLOOKUP(YEAR(BK$5),'Price projections'!$D$6:$X$6,'Price projections'!$D$59:$X$59,"",0)*'Financial Analysis'!$C$54)+((1+Dashboard!$C$33)*'Financial Analysis'!$C$55),'Financial Analysis'!BJ65)</f>
        <v>0.89716178579190076</v>
      </c>
      <c r="BL65" s="104">
        <f>IFERROR((_xlfn.XLOOKUP(YEAR(BL$5),'Price projections'!$D$6:$X$6,'Price projections'!$D$59:$X$59,"",0)*'Financial Analysis'!$C$54)+((1+Dashboard!$C$33)*'Financial Analysis'!$C$55),'Financial Analysis'!BK65)</f>
        <v>0.89716178579190076</v>
      </c>
    </row>
    <row r="68" spans="2:64">
      <c r="B68" s="145" t="s">
        <v>442</v>
      </c>
    </row>
    <row r="69" spans="2:64">
      <c r="B69" s="146" t="s">
        <v>45</v>
      </c>
      <c r="D69" s="214">
        <f>IF(D3&lt;30,Dashboard!$C$24,3%)</f>
        <v>3.5000000000000003E-2</v>
      </c>
      <c r="E69" s="214">
        <f>IF(E3&lt;30,Dashboard!$C$24,3%)</f>
        <v>3.5000000000000003E-2</v>
      </c>
      <c r="F69" s="214">
        <f>IF(F3&lt;30,Dashboard!$C$24,3%)</f>
        <v>3.5000000000000003E-2</v>
      </c>
      <c r="G69" s="214">
        <f>IF(G3&lt;30,Dashboard!$C$24,3%)</f>
        <v>3.5000000000000003E-2</v>
      </c>
      <c r="H69" s="214">
        <f>IF(H3&lt;30,Dashboard!$C$24,3%)</f>
        <v>3.5000000000000003E-2</v>
      </c>
      <c r="I69" s="214">
        <f>IF(I3&lt;30,Dashboard!$C$24,3%)</f>
        <v>3.5000000000000003E-2</v>
      </c>
      <c r="J69" s="214">
        <f>IF(J3&lt;30,Dashboard!$C$24,3%)</f>
        <v>3.5000000000000003E-2</v>
      </c>
      <c r="K69" s="214">
        <f>IF(K3&lt;30,Dashboard!$C$24,3%)</f>
        <v>3.5000000000000003E-2</v>
      </c>
      <c r="L69" s="214">
        <f>IF(L3&lt;30,Dashboard!$C$24,3%)</f>
        <v>3.5000000000000003E-2</v>
      </c>
      <c r="M69" s="214">
        <f>IF(M3&lt;30,Dashboard!$C$24,3%)</f>
        <v>3.5000000000000003E-2</v>
      </c>
      <c r="N69" s="214">
        <f>IF(N3&lt;30,Dashboard!$C$24,3%)</f>
        <v>3.5000000000000003E-2</v>
      </c>
      <c r="O69" s="214">
        <f>IF(O3&lt;30,Dashboard!$C$24,3%)</f>
        <v>3.5000000000000003E-2</v>
      </c>
      <c r="P69" s="214">
        <f>IF(P3&lt;30,Dashboard!$C$24,3%)</f>
        <v>3.5000000000000003E-2</v>
      </c>
      <c r="Q69" s="214">
        <f>IF(Q3&lt;30,Dashboard!$C$24,3%)</f>
        <v>3.5000000000000003E-2</v>
      </c>
      <c r="R69" s="214">
        <f>IF(R3&lt;30,Dashboard!$C$24,3%)</f>
        <v>3.5000000000000003E-2</v>
      </c>
      <c r="S69" s="214">
        <f>IF(S3&lt;30,Dashboard!$C$24,3%)</f>
        <v>3.5000000000000003E-2</v>
      </c>
      <c r="T69" s="214">
        <f>IF(T3&lt;30,Dashboard!$C$24,3%)</f>
        <v>3.5000000000000003E-2</v>
      </c>
      <c r="U69" s="214">
        <f>IF(U3&lt;30,Dashboard!$C$24,3%)</f>
        <v>3.5000000000000003E-2</v>
      </c>
      <c r="V69" s="214">
        <f>IF(V3&lt;30,Dashboard!$C$24,3%)</f>
        <v>3.5000000000000003E-2</v>
      </c>
      <c r="W69" s="214">
        <f>IF(W3&lt;30,Dashboard!$C$24,3%)</f>
        <v>3.5000000000000003E-2</v>
      </c>
      <c r="X69" s="214">
        <f>IF(X3&lt;30,Dashboard!$C$24,3%)</f>
        <v>3.5000000000000003E-2</v>
      </c>
      <c r="Y69" s="214">
        <f>IF(Y3&lt;30,Dashboard!$C$24,3%)</f>
        <v>3.5000000000000003E-2</v>
      </c>
      <c r="Z69" s="214">
        <f>IF(Z3&lt;30,Dashboard!$C$24,3%)</f>
        <v>3.5000000000000003E-2</v>
      </c>
      <c r="AA69" s="214">
        <f>IF(AA3&lt;30,Dashboard!$C$24,3%)</f>
        <v>3.5000000000000003E-2</v>
      </c>
      <c r="AB69" s="214">
        <f>IF(AB3&lt;30,Dashboard!$C$24,3%)</f>
        <v>3.5000000000000003E-2</v>
      </c>
      <c r="AC69" s="214">
        <f>IF(AC3&lt;30,Dashboard!$C$24,3%)</f>
        <v>3.5000000000000003E-2</v>
      </c>
      <c r="AD69" s="214">
        <f>IF(AD3&lt;30,Dashboard!$C$24,3%)</f>
        <v>3.5000000000000003E-2</v>
      </c>
      <c r="AE69" s="214">
        <f>IF(AE3&lt;30,Dashboard!$C$24,3%)</f>
        <v>3.5000000000000003E-2</v>
      </c>
      <c r="AF69" s="214">
        <f>IF(AF3&lt;30,Dashboard!$C$24,3%)</f>
        <v>3.5000000000000003E-2</v>
      </c>
      <c r="AG69" s="214">
        <f>IF(AG3&lt;30,Dashboard!$C$24,3%)</f>
        <v>3.5000000000000003E-2</v>
      </c>
      <c r="AH69" s="214">
        <f>IF(AH3&lt;30,Dashboard!$C$24,3%)</f>
        <v>0.03</v>
      </c>
      <c r="AI69" s="214">
        <f>IF(AI3&lt;30,Dashboard!$C$24,3%)</f>
        <v>0.03</v>
      </c>
      <c r="AJ69" s="214">
        <f>IF(AJ3&lt;30,Dashboard!$C$24,3%)</f>
        <v>0.03</v>
      </c>
      <c r="AK69" s="214">
        <f>IF(AK3&lt;30,Dashboard!$C$24,3%)</f>
        <v>0.03</v>
      </c>
      <c r="AL69" s="214">
        <f>IF(AL3&lt;30,Dashboard!$C$24,3%)</f>
        <v>0.03</v>
      </c>
      <c r="AM69" s="214">
        <f>IF(AM3&lt;30,Dashboard!$C$24,3%)</f>
        <v>0.03</v>
      </c>
      <c r="AN69" s="214">
        <f>IF(AN3&lt;30,Dashboard!$C$24,3%)</f>
        <v>0.03</v>
      </c>
      <c r="AO69" s="214">
        <f>IF(AO3&lt;30,Dashboard!$C$24,3%)</f>
        <v>0.03</v>
      </c>
      <c r="AP69" s="214">
        <f>IF(AP3&lt;30,Dashboard!$C$24,3%)</f>
        <v>0.03</v>
      </c>
      <c r="AQ69" s="214">
        <f>IF(AQ3&lt;30,Dashboard!$C$24,3%)</f>
        <v>0.03</v>
      </c>
      <c r="AR69" s="214">
        <f>IF(AR3&lt;30,Dashboard!$C$24,3%)</f>
        <v>0.03</v>
      </c>
      <c r="AS69" s="214">
        <f>IF(AS3&lt;30,Dashboard!$C$24,3%)</f>
        <v>0.03</v>
      </c>
      <c r="AT69" s="214">
        <f>IF(AT3&lt;30,Dashboard!$C$24,3%)</f>
        <v>0.03</v>
      </c>
      <c r="AU69" s="214">
        <f>IF(AU3&lt;30,Dashboard!$C$24,3%)</f>
        <v>0.03</v>
      </c>
      <c r="AV69" s="214">
        <f>IF(AV3&lt;30,Dashboard!$C$24,3%)</f>
        <v>0.03</v>
      </c>
      <c r="AW69" s="214">
        <f>IF(AW3&lt;30,Dashboard!$C$24,3%)</f>
        <v>0.03</v>
      </c>
      <c r="AX69" s="214">
        <f>IF(AX3&lt;30,Dashboard!$C$24,3%)</f>
        <v>0.03</v>
      </c>
      <c r="AY69" s="214">
        <f>IF(AY3&lt;30,Dashboard!$C$24,3%)</f>
        <v>0.03</v>
      </c>
      <c r="AZ69" s="214">
        <f>IF(AZ3&lt;30,Dashboard!$C$24,3%)</f>
        <v>0.03</v>
      </c>
      <c r="BA69" s="214">
        <f>IF(BA3&lt;30,Dashboard!$C$24,3%)</f>
        <v>0.03</v>
      </c>
      <c r="BB69" s="214">
        <f>IF(BB3&lt;30,Dashboard!$C$24,3%)</f>
        <v>0.03</v>
      </c>
      <c r="BC69" s="214">
        <f>IF(BC3&lt;30,Dashboard!$C$24,3%)</f>
        <v>0.03</v>
      </c>
      <c r="BD69" s="214">
        <f>IF(BD3&lt;30,Dashboard!$C$24,3%)</f>
        <v>0.03</v>
      </c>
      <c r="BE69" s="214">
        <f>IF(BE3&lt;30,Dashboard!$C$24,3%)</f>
        <v>0.03</v>
      </c>
      <c r="BF69" s="214">
        <f>IF(BF3&lt;30,Dashboard!$C$24,3%)</f>
        <v>0.03</v>
      </c>
      <c r="BG69" s="214">
        <f>IF(BG3&lt;30,Dashboard!$C$24,3%)</f>
        <v>0.03</v>
      </c>
      <c r="BH69" s="214">
        <f>IF(BH3&lt;30,Dashboard!$C$24,3%)</f>
        <v>0.03</v>
      </c>
      <c r="BI69" s="214">
        <f>IF(BI3&lt;30,Dashboard!$C$24,3%)</f>
        <v>0.03</v>
      </c>
      <c r="BJ69" s="214">
        <f>IF(BJ3&lt;30,Dashboard!$C$24,3%)</f>
        <v>0.03</v>
      </c>
      <c r="BK69" s="214">
        <f>IF(BK3&lt;30,Dashboard!$C$24,3%)</f>
        <v>0.03</v>
      </c>
      <c r="BL69" s="214">
        <f>IF(BL3&lt;30,Dashboard!$C$24,3%)</f>
        <v>0.03</v>
      </c>
    </row>
    <row r="70" spans="2:64">
      <c r="B70" s="146" t="s">
        <v>443</v>
      </c>
      <c r="D70" s="104">
        <f>1/(1+D69)^D3</f>
        <v>1</v>
      </c>
      <c r="E70" s="104">
        <f>1/(1+E69)^E3</f>
        <v>0.96618357487922713</v>
      </c>
      <c r="F70" s="104">
        <f>1/(1+F69)^F3</f>
        <v>0.93351070036640305</v>
      </c>
      <c r="G70" s="104">
        <f>1/(1+G69)^G3</f>
        <v>0.90194270566802237</v>
      </c>
      <c r="H70" s="104">
        <f>1/(1+H69)^H3</f>
        <v>0.87144222769857238</v>
      </c>
      <c r="I70" s="104">
        <f>1/(1+I69)^I3</f>
        <v>0.84197316685852419</v>
      </c>
      <c r="J70" s="104">
        <f>1/(1+J69)^J3</f>
        <v>0.81350064430775282</v>
      </c>
      <c r="K70" s="104">
        <f>1/(1+K69)^K3</f>
        <v>0.78599096068381913</v>
      </c>
      <c r="L70" s="104">
        <f>1/(1+L69)^L3</f>
        <v>0.75941155621625056</v>
      </c>
      <c r="M70" s="104">
        <f>1/(1+M69)^M3</f>
        <v>0.73373097218961414</v>
      </c>
      <c r="N70" s="104">
        <f>1/(1+N69)^N3</f>
        <v>0.70891881370977217</v>
      </c>
      <c r="O70" s="104">
        <f>1/(1+O69)^O3</f>
        <v>0.68494571372924851</v>
      </c>
      <c r="P70" s="104">
        <f>1/(1+P69)^P3</f>
        <v>0.66178329828912896</v>
      </c>
      <c r="Q70" s="104">
        <f>1/(1+Q69)^Q3</f>
        <v>0.63940415293635666</v>
      </c>
      <c r="R70" s="104">
        <f>1/(1+R69)^R3</f>
        <v>0.61778179027667302</v>
      </c>
      <c r="S70" s="104">
        <f>1/(1+S69)^S3</f>
        <v>0.59689061862480497</v>
      </c>
      <c r="T70" s="104">
        <f>1/(1+T69)^T3</f>
        <v>0.57670591171478747</v>
      </c>
      <c r="U70" s="104">
        <f>1/(1+U69)^U3</f>
        <v>0.55720377943457733</v>
      </c>
      <c r="V70" s="104">
        <f>1/(1+V69)^V3</f>
        <v>0.53836113955031628</v>
      </c>
      <c r="W70" s="104">
        <f>1/(1+W69)^W3</f>
        <v>0.52015569038677911</v>
      </c>
      <c r="X70" s="104">
        <f>1/(1+X69)^X3</f>
        <v>0.50256588443167061</v>
      </c>
      <c r="Y70" s="104">
        <f>1/(1+Y69)^Y3</f>
        <v>0.48557090283253213</v>
      </c>
      <c r="Z70" s="104">
        <f>1/(1+Z69)^Z3</f>
        <v>0.46915063075606966</v>
      </c>
      <c r="AA70" s="104">
        <f>1/(1+AA69)^AA3</f>
        <v>0.45328563358074364</v>
      </c>
      <c r="AB70" s="104">
        <f>1/(1+AB69)^AB3</f>
        <v>0.43795713389443841</v>
      </c>
      <c r="AC70" s="104">
        <f>1/(1+AC69)^AC3</f>
        <v>0.42314698926998884</v>
      </c>
      <c r="AD70" s="104">
        <f>1/(1+AD69)^AD3</f>
        <v>0.40883767079225974</v>
      </c>
      <c r="AE70" s="104">
        <f>1/(1+AE69)^AE3</f>
        <v>0.39501224231136206</v>
      </c>
      <c r="AF70" s="104">
        <f>1/(1+AF69)^AF3</f>
        <v>0.38165434039745127</v>
      </c>
      <c r="AG70" s="104">
        <f>1/(1+AG69)^AG3</f>
        <v>0.36874815497338298</v>
      </c>
      <c r="AH70" s="104">
        <f>1/(1+AH69)^AH3</f>
        <v>0.41198675951590691</v>
      </c>
      <c r="AI70" s="104">
        <f>1/(1+AI69)^AI3</f>
        <v>0.39998714516107459</v>
      </c>
      <c r="AJ70" s="104">
        <f>1/(1+AJ69)^AJ3</f>
        <v>0.38833703413696569</v>
      </c>
      <c r="AK70" s="104">
        <f>1/(1+AK69)^AK3</f>
        <v>0.37702624673491814</v>
      </c>
      <c r="AL70" s="104">
        <f>1/(1+AL69)^AL3</f>
        <v>0.36604489974263904</v>
      </c>
      <c r="AM70" s="104">
        <f>1/(1+AM69)^AM3</f>
        <v>0.35538339780838735</v>
      </c>
      <c r="AN70" s="104">
        <f>1/(1+AN69)^AN3</f>
        <v>0.34503242505668674</v>
      </c>
      <c r="AO70" s="104">
        <f>1/(1+AO69)^AO3</f>
        <v>0.33498293694823961</v>
      </c>
      <c r="AP70" s="104">
        <f>1/(1+AP69)^AP3</f>
        <v>0.3252261523769317</v>
      </c>
      <c r="AQ70" s="104">
        <f>1/(1+AQ69)^AQ3</f>
        <v>0.31575354599702099</v>
      </c>
      <c r="AR70" s="104">
        <f>1/(1+AR69)^AR3</f>
        <v>0.30655684077380685</v>
      </c>
      <c r="AS70" s="104">
        <f>1/(1+AS69)^AS3</f>
        <v>0.29762800075126877</v>
      </c>
      <c r="AT70" s="104">
        <f>1/(1+AT69)^AT3</f>
        <v>0.28895922403035801</v>
      </c>
      <c r="AU70" s="104">
        <f>1/(1+AU69)^AU3</f>
        <v>0.28054293595180391</v>
      </c>
      <c r="AV70" s="104">
        <f>1/(1+AV69)^AV3</f>
        <v>0.27237178247747956</v>
      </c>
      <c r="AW70" s="104">
        <f>1/(1+AW69)^AW3</f>
        <v>0.26443862376454325</v>
      </c>
      <c r="AX70" s="104">
        <f>1/(1+AX69)^AX3</f>
        <v>0.25673652792674101</v>
      </c>
      <c r="AY70" s="104">
        <f>1/(1+AY69)^AY3</f>
        <v>0.24925876497741845</v>
      </c>
      <c r="AZ70" s="104">
        <f>1/(1+AZ69)^AZ3</f>
        <v>0.24199880094894996</v>
      </c>
      <c r="BA70" s="104">
        <f>1/(1+BA69)^BA3</f>
        <v>0.2349502921834466</v>
      </c>
      <c r="BB70" s="104">
        <f>1/(1+BB69)^BB3</f>
        <v>0.22810707978975397</v>
      </c>
      <c r="BC70" s="104">
        <f>1/(1+BC69)^BC3</f>
        <v>0.22146318426189707</v>
      </c>
      <c r="BD70" s="104">
        <f>1/(1+BD69)^BD3</f>
        <v>0.215012800254269</v>
      </c>
      <c r="BE70" s="104">
        <f>1/(1+BE69)^BE3</f>
        <v>0.20875029150899907</v>
      </c>
      <c r="BF70" s="104">
        <f>1/(1+BF69)^BF3</f>
        <v>0.20267018593106703</v>
      </c>
      <c r="BG70" s="104">
        <f>1/(1+BG69)^BG3</f>
        <v>0.19676717080686118</v>
      </c>
      <c r="BH70" s="104">
        <f>1/(1+BH69)^BH3</f>
        <v>0.19103608816200118</v>
      </c>
      <c r="BI70" s="104">
        <f>1/(1+BI69)^BI3</f>
        <v>0.18547193025437006</v>
      </c>
      <c r="BJ70" s="104">
        <f>1/(1+BJ69)^BJ3</f>
        <v>0.18006983519841754</v>
      </c>
      <c r="BK70" s="104">
        <f>1/(1+BK69)^BK3</f>
        <v>0.17482508271691022</v>
      </c>
      <c r="BL70" s="104">
        <f>1/(1+BL69)^BL3</f>
        <v>0.1697330900164177</v>
      </c>
    </row>
    <row r="73" spans="2:64">
      <c r="B73" s="145" t="s">
        <v>444</v>
      </c>
    </row>
    <row r="74" spans="2:64">
      <c r="B74" s="212" t="s">
        <v>224</v>
      </c>
    </row>
    <row r="75" spans="2:64">
      <c r="B75" s="146" t="s">
        <v>328</v>
      </c>
      <c r="E75" s="69">
        <f>OPEX!$C$8*('Financial Analysis'!E$6-'Financial Analysis'!E$7)+OPEX!$D$8*('Financial Analysis'!E$7-'Financial Analysis'!E$8)+OPEX!$E$8*'Financial Analysis'!E$8</f>
        <v>0</v>
      </c>
      <c r="F75" s="69">
        <f>OPEX!$C$8*('Financial Analysis'!F$6-'Financial Analysis'!F$7)+OPEX!$D$8*('Financial Analysis'!F$7-'Financial Analysis'!F$8)+OPEX!$E$8*'Financial Analysis'!F$8</f>
        <v>0</v>
      </c>
      <c r="G75" s="69">
        <f>OPEX!$C$8*('Financial Analysis'!G$6-'Financial Analysis'!G$7)+OPEX!$D$8*('Financial Analysis'!G$7-'Financial Analysis'!G$8)+OPEX!$E$8*'Financial Analysis'!G$8</f>
        <v>0</v>
      </c>
      <c r="H75" s="69">
        <f>OPEX!$C$8*('Financial Analysis'!H$6-'Financial Analysis'!H$7)+OPEX!$D$8*('Financial Analysis'!H$7-'Financial Analysis'!H$8)+OPEX!$E$8*'Financial Analysis'!H$8</f>
        <v>0</v>
      </c>
      <c r="I75" s="69">
        <f>OPEX!$C$8*('Financial Analysis'!I$6-'Financial Analysis'!I$7)+OPEX!$D$8*('Financial Analysis'!I$7-'Financial Analysis'!I$8)+OPEX!$E$8*'Financial Analysis'!I$8</f>
        <v>0</v>
      </c>
      <c r="J75" s="69">
        <f>OPEX!$C$8*('Financial Analysis'!J$6-'Financial Analysis'!J$7)+OPEX!$D$8*('Financial Analysis'!J$7-'Financial Analysis'!J$8)+OPEX!$E$8*'Financial Analysis'!J$8</f>
        <v>0</v>
      </c>
      <c r="K75" s="69">
        <f>OPEX!$C$8*('Financial Analysis'!K$6-'Financial Analysis'!K$7)+OPEX!$D$8*('Financial Analysis'!K$7-'Financial Analysis'!K$8)+OPEX!$E$8*'Financial Analysis'!K$8</f>
        <v>0</v>
      </c>
      <c r="L75" s="69">
        <f>OPEX!$C$8*('Financial Analysis'!L$6-'Financial Analysis'!L$7)+OPEX!$D$8*('Financial Analysis'!L$7-'Financial Analysis'!L$8)+OPEX!$E$8*'Financial Analysis'!L$8</f>
        <v>0</v>
      </c>
      <c r="M75" s="69">
        <f>OPEX!$C$8*('Financial Analysis'!M$6-'Financial Analysis'!M$7)+OPEX!$D$8*('Financial Analysis'!M$7-'Financial Analysis'!M$8)+OPEX!$E$8*'Financial Analysis'!M$8</f>
        <v>0</v>
      </c>
      <c r="N75" s="69">
        <f>OPEX!$C$8*('Financial Analysis'!N$6-'Financial Analysis'!N$7)+OPEX!$D$8*('Financial Analysis'!N$7-'Financial Analysis'!N$8)+OPEX!$E$8*'Financial Analysis'!N$8</f>
        <v>0</v>
      </c>
      <c r="O75" s="69">
        <f>OPEX!$C$8*('Financial Analysis'!O$6-'Financial Analysis'!O$7)+OPEX!$D$8*('Financial Analysis'!O$7-'Financial Analysis'!O$8)+OPEX!$E$8*'Financial Analysis'!O$8</f>
        <v>0</v>
      </c>
      <c r="P75" s="69">
        <f>OPEX!$C$8*('Financial Analysis'!P$6-'Financial Analysis'!P$7)+OPEX!$D$8*('Financial Analysis'!P$7-'Financial Analysis'!P$8)+OPEX!$E$8*'Financial Analysis'!P$8</f>
        <v>0</v>
      </c>
      <c r="Q75" s="69">
        <f>OPEX!$C$8*('Financial Analysis'!Q$6-'Financial Analysis'!Q$7)+OPEX!$D$8*('Financial Analysis'!Q$7-'Financial Analysis'!Q$8)+OPEX!$E$8*'Financial Analysis'!Q$8</f>
        <v>0</v>
      </c>
      <c r="R75" s="69">
        <f>OPEX!$C$8*('Financial Analysis'!R$6-'Financial Analysis'!R$7)+OPEX!$D$8*('Financial Analysis'!R$7-'Financial Analysis'!R$8)+OPEX!$E$8*'Financial Analysis'!R$8</f>
        <v>0</v>
      </c>
      <c r="S75" s="69">
        <f>OPEX!$C$8*('Financial Analysis'!S$6-'Financial Analysis'!S$7)+OPEX!$D$8*('Financial Analysis'!S$7-'Financial Analysis'!S$8)+OPEX!$E$8*'Financial Analysis'!S$8</f>
        <v>0</v>
      </c>
      <c r="T75" s="69">
        <f>OPEX!$C$8*('Financial Analysis'!T$6-'Financial Analysis'!T$7)+OPEX!$D$8*('Financial Analysis'!T$7-'Financial Analysis'!T$8)+OPEX!$E$8*'Financial Analysis'!T$8</f>
        <v>0</v>
      </c>
      <c r="U75" s="69">
        <f>OPEX!$C$8*('Financial Analysis'!U$6-'Financial Analysis'!U$7)+OPEX!$D$8*('Financial Analysis'!U$7-'Financial Analysis'!U$8)+OPEX!$E$8*'Financial Analysis'!U$8</f>
        <v>0</v>
      </c>
      <c r="V75" s="69">
        <f>OPEX!$C$8*('Financial Analysis'!V$6-'Financial Analysis'!V$7)+OPEX!$D$8*('Financial Analysis'!V$7-'Financial Analysis'!V$8)+OPEX!$E$8*'Financial Analysis'!V$8</f>
        <v>0</v>
      </c>
      <c r="W75" s="69">
        <f>OPEX!$C$8*('Financial Analysis'!W$6-'Financial Analysis'!W$7)+OPEX!$D$8*('Financial Analysis'!W$7-'Financial Analysis'!W$8)+OPEX!$E$8*'Financial Analysis'!W$8</f>
        <v>0</v>
      </c>
      <c r="X75" s="69">
        <f>OPEX!$C$8*('Financial Analysis'!X$6-'Financial Analysis'!X$7)+OPEX!$D$8*('Financial Analysis'!X$7-'Financial Analysis'!X$8)+OPEX!$E$8*'Financial Analysis'!X$8</f>
        <v>0</v>
      </c>
      <c r="Y75" s="69">
        <f>OPEX!$C$8*('Financial Analysis'!Y$6-'Financial Analysis'!Y$7)+OPEX!$D$8*('Financial Analysis'!Y$7-'Financial Analysis'!Y$8)+OPEX!$E$8*'Financial Analysis'!Y$8</f>
        <v>0</v>
      </c>
      <c r="Z75" s="69">
        <f>OPEX!$C$8*('Financial Analysis'!Z$6-'Financial Analysis'!Z$7)+OPEX!$D$8*('Financial Analysis'!Z$7-'Financial Analysis'!Z$8)+OPEX!$E$8*'Financial Analysis'!Z$8</f>
        <v>0</v>
      </c>
      <c r="AA75" s="69">
        <f>OPEX!$C$8*('Financial Analysis'!AA$6-'Financial Analysis'!AA$7)+OPEX!$D$8*('Financial Analysis'!AA$7-'Financial Analysis'!AA$8)+OPEX!$E$8*'Financial Analysis'!AA$8</f>
        <v>0</v>
      </c>
      <c r="AB75" s="69">
        <f>OPEX!$C$8*('Financial Analysis'!AB$6-'Financial Analysis'!AB$7)+OPEX!$D$8*('Financial Analysis'!AB$7-'Financial Analysis'!AB$8)+OPEX!$E$8*'Financial Analysis'!AB$8</f>
        <v>0</v>
      </c>
      <c r="AC75" s="69">
        <f>OPEX!$C$8*('Financial Analysis'!AC$6-'Financial Analysis'!AC$7)+OPEX!$D$8*('Financial Analysis'!AC$7-'Financial Analysis'!AC$8)+OPEX!$E$8*'Financial Analysis'!AC$8</f>
        <v>0</v>
      </c>
      <c r="AD75" s="69">
        <f>OPEX!$C$8*('Financial Analysis'!AD$6-'Financial Analysis'!AD$7)+OPEX!$D$8*('Financial Analysis'!AD$7-'Financial Analysis'!AD$8)+OPEX!$E$8*'Financial Analysis'!AD$8</f>
        <v>0</v>
      </c>
      <c r="AE75" s="69">
        <f>OPEX!$C$8*('Financial Analysis'!AE$6-'Financial Analysis'!AE$7)+OPEX!$D$8*('Financial Analysis'!AE$7-'Financial Analysis'!AE$8)+OPEX!$E$8*'Financial Analysis'!AE$8</f>
        <v>0</v>
      </c>
      <c r="AF75" s="69">
        <f>OPEX!$C$8*('Financial Analysis'!AF$6-'Financial Analysis'!AF$7)+OPEX!$D$8*('Financial Analysis'!AF$7-'Financial Analysis'!AF$8)+OPEX!$E$8*'Financial Analysis'!AF$8</f>
        <v>0</v>
      </c>
      <c r="AG75" s="69">
        <f>OPEX!$C$8*('Financial Analysis'!AG$6-'Financial Analysis'!AG$7)+OPEX!$D$8*('Financial Analysis'!AG$7-'Financial Analysis'!AG$8)+OPEX!$E$8*'Financial Analysis'!AG$8</f>
        <v>0</v>
      </c>
      <c r="AH75" s="69">
        <f>OPEX!$C$8*('Financial Analysis'!AH$6-'Financial Analysis'!AH$7)+OPEX!$D$8*('Financial Analysis'!AH$7-'Financial Analysis'!AH$8)+OPEX!$E$8*'Financial Analysis'!AH$8</f>
        <v>0</v>
      </c>
      <c r="AI75" s="69">
        <f>OPEX!$C$8*('Financial Analysis'!AI$6-'Financial Analysis'!AI$7)+OPEX!$D$8*('Financial Analysis'!AI$7-'Financial Analysis'!AI$8)+OPEX!$E$8*'Financial Analysis'!AI$8</f>
        <v>0</v>
      </c>
      <c r="AJ75" s="69">
        <f>OPEX!$C$8*('Financial Analysis'!AJ$6-'Financial Analysis'!AJ$7)+OPEX!$D$8*('Financial Analysis'!AJ$7-'Financial Analysis'!AJ$8)+OPEX!$E$8*'Financial Analysis'!AJ$8</f>
        <v>0</v>
      </c>
      <c r="AK75" s="69">
        <f>OPEX!$C$8*('Financial Analysis'!AK$6-'Financial Analysis'!AK$7)+OPEX!$D$8*('Financial Analysis'!AK$7-'Financial Analysis'!AK$8)+OPEX!$E$8*'Financial Analysis'!AK$8</f>
        <v>0</v>
      </c>
      <c r="AL75" s="69">
        <f>OPEX!$C$8*('Financial Analysis'!AL$6-'Financial Analysis'!AL$7)+OPEX!$D$8*('Financial Analysis'!AL$7-'Financial Analysis'!AL$8)+OPEX!$E$8*'Financial Analysis'!AL$8</f>
        <v>0</v>
      </c>
      <c r="AM75" s="69">
        <f>OPEX!$C$8*('Financial Analysis'!AM$6-'Financial Analysis'!AM$7)+OPEX!$D$8*('Financial Analysis'!AM$7-'Financial Analysis'!AM$8)+OPEX!$E$8*'Financial Analysis'!AM$8</f>
        <v>0</v>
      </c>
      <c r="AN75" s="69">
        <f>OPEX!$C$8*('Financial Analysis'!AN$6-'Financial Analysis'!AN$7)+OPEX!$D$8*('Financial Analysis'!AN$7-'Financial Analysis'!AN$8)+OPEX!$E$8*'Financial Analysis'!AN$8</f>
        <v>0</v>
      </c>
      <c r="AO75" s="69">
        <f>OPEX!$C$8*('Financial Analysis'!AO$6-'Financial Analysis'!AO$7)+OPEX!$D$8*('Financial Analysis'!AO$7-'Financial Analysis'!AO$8)+OPEX!$E$8*'Financial Analysis'!AO$8</f>
        <v>0</v>
      </c>
      <c r="AP75" s="69">
        <f>OPEX!$C$8*('Financial Analysis'!AP$6-'Financial Analysis'!AP$7)+OPEX!$D$8*('Financial Analysis'!AP$7-'Financial Analysis'!AP$8)+OPEX!$E$8*'Financial Analysis'!AP$8</f>
        <v>0</v>
      </c>
      <c r="AQ75" s="69">
        <f>OPEX!$C$8*('Financial Analysis'!AQ$6-'Financial Analysis'!AQ$7)+OPEX!$D$8*('Financial Analysis'!AQ$7-'Financial Analysis'!AQ$8)+OPEX!$E$8*'Financial Analysis'!AQ$8</f>
        <v>0</v>
      </c>
      <c r="AR75" s="69">
        <f>OPEX!$C$8*('Financial Analysis'!AR$6-'Financial Analysis'!AR$7)+OPEX!$D$8*('Financial Analysis'!AR$7-'Financial Analysis'!AR$8)+OPEX!$E$8*'Financial Analysis'!AR$8</f>
        <v>0</v>
      </c>
      <c r="AS75" s="69">
        <f>OPEX!$C$8*('Financial Analysis'!AS$6-'Financial Analysis'!AS$7)+OPEX!$D$8*('Financial Analysis'!AS$7-'Financial Analysis'!AS$8)+OPEX!$E$8*'Financial Analysis'!AS$8</f>
        <v>0</v>
      </c>
      <c r="AT75" s="69">
        <f>OPEX!$C$8*('Financial Analysis'!AT$6-'Financial Analysis'!AT$7)+OPEX!$D$8*('Financial Analysis'!AT$7-'Financial Analysis'!AT$8)+OPEX!$E$8*'Financial Analysis'!AT$8</f>
        <v>0</v>
      </c>
      <c r="AU75" s="69">
        <f>OPEX!$C$8*('Financial Analysis'!AU$6-'Financial Analysis'!AU$7)+OPEX!$D$8*('Financial Analysis'!AU$7-'Financial Analysis'!AU$8)+OPEX!$E$8*'Financial Analysis'!AU$8</f>
        <v>0</v>
      </c>
      <c r="AV75" s="69">
        <f>OPEX!$C$8*('Financial Analysis'!AV$6-'Financial Analysis'!AV$7)+OPEX!$D$8*('Financial Analysis'!AV$7-'Financial Analysis'!AV$8)+OPEX!$E$8*'Financial Analysis'!AV$8</f>
        <v>0</v>
      </c>
      <c r="AW75" s="69">
        <f>OPEX!$C$8*('Financial Analysis'!AW$6-'Financial Analysis'!AW$7)+OPEX!$D$8*('Financial Analysis'!AW$7-'Financial Analysis'!AW$8)+OPEX!$E$8*'Financial Analysis'!AW$8</f>
        <v>0</v>
      </c>
      <c r="AX75" s="69">
        <f>OPEX!$C$8*('Financial Analysis'!AX$6-'Financial Analysis'!AX$7)+OPEX!$D$8*('Financial Analysis'!AX$7-'Financial Analysis'!AX$8)+OPEX!$E$8*'Financial Analysis'!AX$8</f>
        <v>0</v>
      </c>
      <c r="AY75" s="69">
        <f>OPEX!$C$8*('Financial Analysis'!AY$6-'Financial Analysis'!AY$7)+OPEX!$D$8*('Financial Analysis'!AY$7-'Financial Analysis'!AY$8)+OPEX!$E$8*'Financial Analysis'!AY$8</f>
        <v>0</v>
      </c>
      <c r="AZ75" s="69">
        <f>OPEX!$C$8*('Financial Analysis'!AZ$6-'Financial Analysis'!AZ$7)+OPEX!$D$8*('Financial Analysis'!AZ$7-'Financial Analysis'!AZ$8)+OPEX!$E$8*'Financial Analysis'!AZ$8</f>
        <v>0</v>
      </c>
      <c r="BA75" s="69">
        <f>OPEX!$C$8*('Financial Analysis'!BA$6-'Financial Analysis'!BA$7)+OPEX!$D$8*('Financial Analysis'!BA$7-'Financial Analysis'!BA$8)+OPEX!$E$8*'Financial Analysis'!BA$8</f>
        <v>0</v>
      </c>
      <c r="BB75" s="69">
        <f>OPEX!$C$8*('Financial Analysis'!BB$6-'Financial Analysis'!BB$7)+OPEX!$D$8*('Financial Analysis'!BB$7-'Financial Analysis'!BB$8)+OPEX!$E$8*'Financial Analysis'!BB$8</f>
        <v>0</v>
      </c>
      <c r="BC75" s="69">
        <f>OPEX!$C$8*('Financial Analysis'!BC$6-'Financial Analysis'!BC$7)+OPEX!$D$8*('Financial Analysis'!BC$7-'Financial Analysis'!BC$8)+OPEX!$E$8*'Financial Analysis'!BC$8</f>
        <v>0</v>
      </c>
      <c r="BD75" s="69">
        <f>OPEX!$C$8*('Financial Analysis'!BD$6-'Financial Analysis'!BD$7)+OPEX!$D$8*('Financial Analysis'!BD$7-'Financial Analysis'!BD$8)+OPEX!$E$8*'Financial Analysis'!BD$8</f>
        <v>0</v>
      </c>
      <c r="BE75" s="69">
        <f>OPEX!$C$8*('Financial Analysis'!BE$6-'Financial Analysis'!BE$7)+OPEX!$D$8*('Financial Analysis'!BE$7-'Financial Analysis'!BE$8)+OPEX!$E$8*'Financial Analysis'!BE$8</f>
        <v>0</v>
      </c>
      <c r="BF75" s="69">
        <f>OPEX!$C$8*('Financial Analysis'!BF$6-'Financial Analysis'!BF$7)+OPEX!$D$8*('Financial Analysis'!BF$7-'Financial Analysis'!BF$8)+OPEX!$E$8*'Financial Analysis'!BF$8</f>
        <v>0</v>
      </c>
      <c r="BG75" s="69">
        <f>OPEX!$C$8*('Financial Analysis'!BG$6-'Financial Analysis'!BG$7)+OPEX!$D$8*('Financial Analysis'!BG$7-'Financial Analysis'!BG$8)+OPEX!$E$8*'Financial Analysis'!BG$8</f>
        <v>0</v>
      </c>
      <c r="BH75" s="69">
        <f>OPEX!$C$8*('Financial Analysis'!BH$6-'Financial Analysis'!BH$7)+OPEX!$D$8*('Financial Analysis'!BH$7-'Financial Analysis'!BH$8)+OPEX!$E$8*'Financial Analysis'!BH$8</f>
        <v>0</v>
      </c>
      <c r="BI75" s="69">
        <f>OPEX!$C$8*('Financial Analysis'!BI$6-'Financial Analysis'!BI$7)+OPEX!$D$8*('Financial Analysis'!BI$7-'Financial Analysis'!BI$8)+OPEX!$E$8*'Financial Analysis'!BI$8</f>
        <v>0</v>
      </c>
      <c r="BJ75" s="69">
        <f>OPEX!$C$8*('Financial Analysis'!BJ$6-'Financial Analysis'!BJ$7)+OPEX!$D$8*('Financial Analysis'!BJ$7-'Financial Analysis'!BJ$8)+OPEX!$E$8*'Financial Analysis'!BJ$8</f>
        <v>0</v>
      </c>
      <c r="BK75" s="69">
        <f>OPEX!$C$8*('Financial Analysis'!BK$6-'Financial Analysis'!BK$7)+OPEX!$D$8*('Financial Analysis'!BK$7-'Financial Analysis'!BK$8)+OPEX!$E$8*'Financial Analysis'!BK$8</f>
        <v>0</v>
      </c>
      <c r="BL75" s="69">
        <f>OPEX!$C$8*('Financial Analysis'!BL$6-'Financial Analysis'!BL$7)+OPEX!$D$8*('Financial Analysis'!BL$7-'Financial Analysis'!BL$8)+OPEX!$E$8*'Financial Analysis'!BL$8</f>
        <v>0</v>
      </c>
    </row>
    <row r="76" spans="2:64">
      <c r="B76" s="146" t="s">
        <v>329</v>
      </c>
      <c r="E76" s="69">
        <f>OPEX!$C$9*('Financial Analysis'!E$6-'Financial Analysis'!E$7)+OPEX!$D$9*('Financial Analysis'!E$7-'Financial Analysis'!E$8)+OPEX!$E$9*'Financial Analysis'!E$8</f>
        <v>0</v>
      </c>
      <c r="F76" s="69">
        <f>OPEX!$C$9*('Financial Analysis'!F$6-'Financial Analysis'!F$7)+OPEX!$D$9*('Financial Analysis'!F$7-'Financial Analysis'!F$8)+OPEX!$E$9*'Financial Analysis'!F$8</f>
        <v>0</v>
      </c>
      <c r="G76" s="69">
        <f>OPEX!$C$9*('Financial Analysis'!G$6-'Financial Analysis'!G$7)+OPEX!$D$9*('Financial Analysis'!G$7-'Financial Analysis'!G$8)+OPEX!$E$9*'Financial Analysis'!G$8</f>
        <v>0</v>
      </c>
      <c r="H76" s="69">
        <f>OPEX!$C$9*('Financial Analysis'!H$6-'Financial Analysis'!H$7)+OPEX!$D$9*('Financial Analysis'!H$7-'Financial Analysis'!H$8)+OPEX!$E$9*'Financial Analysis'!H$8</f>
        <v>0</v>
      </c>
      <c r="I76" s="69">
        <f>OPEX!$C$9*('Financial Analysis'!I$6-'Financial Analysis'!I$7)+OPEX!$D$9*('Financial Analysis'!I$7-'Financial Analysis'!I$8)+OPEX!$E$9*'Financial Analysis'!I$8</f>
        <v>0</v>
      </c>
      <c r="J76" s="69">
        <f>OPEX!$C$9*('Financial Analysis'!J$6-'Financial Analysis'!J$7)+OPEX!$D$9*('Financial Analysis'!J$7-'Financial Analysis'!J$8)+OPEX!$E$9*'Financial Analysis'!J$8</f>
        <v>0</v>
      </c>
      <c r="K76" s="69">
        <f>OPEX!$C$9*('Financial Analysis'!K$6-'Financial Analysis'!K$7)+OPEX!$D$9*('Financial Analysis'!K$7-'Financial Analysis'!K$8)+OPEX!$E$9*'Financial Analysis'!K$8</f>
        <v>0</v>
      </c>
      <c r="L76" s="69">
        <f>OPEX!$C$9*('Financial Analysis'!L$6-'Financial Analysis'!L$7)+OPEX!$D$9*('Financial Analysis'!L$7-'Financial Analysis'!L$8)+OPEX!$E$9*'Financial Analysis'!L$8</f>
        <v>0</v>
      </c>
      <c r="M76" s="69">
        <f>OPEX!$C$9*('Financial Analysis'!M$6-'Financial Analysis'!M$7)+OPEX!$D$9*('Financial Analysis'!M$7-'Financial Analysis'!M$8)+OPEX!$E$9*'Financial Analysis'!M$8</f>
        <v>0</v>
      </c>
      <c r="N76" s="69">
        <f>OPEX!$C$9*('Financial Analysis'!N$6-'Financial Analysis'!N$7)+OPEX!$D$9*('Financial Analysis'!N$7-'Financial Analysis'!N$8)+OPEX!$E$9*'Financial Analysis'!N$8</f>
        <v>0</v>
      </c>
      <c r="O76" s="69">
        <f>OPEX!$C$9*('Financial Analysis'!O$6-'Financial Analysis'!O$7)+OPEX!$D$9*('Financial Analysis'!O$7-'Financial Analysis'!O$8)+OPEX!$E$9*'Financial Analysis'!O$8</f>
        <v>0</v>
      </c>
      <c r="P76" s="69">
        <f>OPEX!$C$9*('Financial Analysis'!P$6-'Financial Analysis'!P$7)+OPEX!$D$9*('Financial Analysis'!P$7-'Financial Analysis'!P$8)+OPEX!$E$9*'Financial Analysis'!P$8</f>
        <v>0</v>
      </c>
      <c r="Q76" s="69">
        <f>OPEX!$C$9*('Financial Analysis'!Q$6-'Financial Analysis'!Q$7)+OPEX!$D$9*('Financial Analysis'!Q$7-'Financial Analysis'!Q$8)+OPEX!$E$9*'Financial Analysis'!Q$8</f>
        <v>0</v>
      </c>
      <c r="R76" s="69">
        <f>OPEX!$C$9*('Financial Analysis'!R$6-'Financial Analysis'!R$7)+OPEX!$D$9*('Financial Analysis'!R$7-'Financial Analysis'!R$8)+OPEX!$E$9*'Financial Analysis'!R$8</f>
        <v>0</v>
      </c>
      <c r="S76" s="69">
        <f>OPEX!$C$9*('Financial Analysis'!S$6-'Financial Analysis'!S$7)+OPEX!$D$9*('Financial Analysis'!S$7-'Financial Analysis'!S$8)+OPEX!$E$9*'Financial Analysis'!S$8</f>
        <v>0</v>
      </c>
      <c r="T76" s="69">
        <f>OPEX!$C$9*('Financial Analysis'!T$6-'Financial Analysis'!T$7)+OPEX!$D$9*('Financial Analysis'!T$7-'Financial Analysis'!T$8)+OPEX!$E$9*'Financial Analysis'!T$8</f>
        <v>0</v>
      </c>
      <c r="U76" s="69">
        <f>OPEX!$C$9*('Financial Analysis'!U$6-'Financial Analysis'!U$7)+OPEX!$D$9*('Financial Analysis'!U$7-'Financial Analysis'!U$8)+OPEX!$E$9*'Financial Analysis'!U$8</f>
        <v>0</v>
      </c>
      <c r="V76" s="69">
        <f>OPEX!$C$9*('Financial Analysis'!V$6-'Financial Analysis'!V$7)+OPEX!$D$9*('Financial Analysis'!V$7-'Financial Analysis'!V$8)+OPEX!$E$9*'Financial Analysis'!V$8</f>
        <v>0</v>
      </c>
      <c r="W76" s="69">
        <f>OPEX!$C$9*('Financial Analysis'!W$6-'Financial Analysis'!W$7)+OPEX!$D$9*('Financial Analysis'!W$7-'Financial Analysis'!W$8)+OPEX!$E$9*'Financial Analysis'!W$8</f>
        <v>0</v>
      </c>
      <c r="X76" s="69">
        <f>OPEX!$C$9*('Financial Analysis'!X$6-'Financial Analysis'!X$7)+OPEX!$D$9*('Financial Analysis'!X$7-'Financial Analysis'!X$8)+OPEX!$E$9*'Financial Analysis'!X$8</f>
        <v>0</v>
      </c>
      <c r="Y76" s="69">
        <f>OPEX!$C$9*('Financial Analysis'!Y$6-'Financial Analysis'!Y$7)+OPEX!$D$9*('Financial Analysis'!Y$7-'Financial Analysis'!Y$8)+OPEX!$E$9*'Financial Analysis'!Y$8</f>
        <v>0</v>
      </c>
      <c r="Z76" s="69">
        <f>OPEX!$C$9*('Financial Analysis'!Z$6-'Financial Analysis'!Z$7)+OPEX!$D$9*('Financial Analysis'!Z$7-'Financial Analysis'!Z$8)+OPEX!$E$9*'Financial Analysis'!Z$8</f>
        <v>0</v>
      </c>
      <c r="AA76" s="69">
        <f>OPEX!$C$9*('Financial Analysis'!AA$6-'Financial Analysis'!AA$7)+OPEX!$D$9*('Financial Analysis'!AA$7-'Financial Analysis'!AA$8)+OPEX!$E$9*'Financial Analysis'!AA$8</f>
        <v>0</v>
      </c>
      <c r="AB76" s="69">
        <f>OPEX!$C$9*('Financial Analysis'!AB$6-'Financial Analysis'!AB$7)+OPEX!$D$9*('Financial Analysis'!AB$7-'Financial Analysis'!AB$8)+OPEX!$E$9*'Financial Analysis'!AB$8</f>
        <v>0</v>
      </c>
      <c r="AC76" s="69">
        <f>OPEX!$C$9*('Financial Analysis'!AC$6-'Financial Analysis'!AC$7)+OPEX!$D$9*('Financial Analysis'!AC$7-'Financial Analysis'!AC$8)+OPEX!$E$9*'Financial Analysis'!AC$8</f>
        <v>0</v>
      </c>
      <c r="AD76" s="69">
        <f>OPEX!$C$9*('Financial Analysis'!AD$6-'Financial Analysis'!AD$7)+OPEX!$D$9*('Financial Analysis'!AD$7-'Financial Analysis'!AD$8)+OPEX!$E$9*'Financial Analysis'!AD$8</f>
        <v>0</v>
      </c>
      <c r="AE76" s="69">
        <f>OPEX!$C$9*('Financial Analysis'!AE$6-'Financial Analysis'!AE$7)+OPEX!$D$9*('Financial Analysis'!AE$7-'Financial Analysis'!AE$8)+OPEX!$E$9*'Financial Analysis'!AE$8</f>
        <v>0</v>
      </c>
      <c r="AF76" s="69">
        <f>OPEX!$C$9*('Financial Analysis'!AF$6-'Financial Analysis'!AF$7)+OPEX!$D$9*('Financial Analysis'!AF$7-'Financial Analysis'!AF$8)+OPEX!$E$9*'Financial Analysis'!AF$8</f>
        <v>0</v>
      </c>
      <c r="AG76" s="69">
        <f>OPEX!$C$9*('Financial Analysis'!AG$6-'Financial Analysis'!AG$7)+OPEX!$D$9*('Financial Analysis'!AG$7-'Financial Analysis'!AG$8)+OPEX!$E$9*'Financial Analysis'!AG$8</f>
        <v>0</v>
      </c>
      <c r="AH76" s="69">
        <f>OPEX!$C$9*('Financial Analysis'!AH$6-'Financial Analysis'!AH$7)+OPEX!$D$9*('Financial Analysis'!AH$7-'Financial Analysis'!AH$8)+OPEX!$E$9*'Financial Analysis'!AH$8</f>
        <v>0</v>
      </c>
      <c r="AI76" s="69">
        <f>OPEX!$C$9*('Financial Analysis'!AI$6-'Financial Analysis'!AI$7)+OPEX!$D$9*('Financial Analysis'!AI$7-'Financial Analysis'!AI$8)+OPEX!$E$9*'Financial Analysis'!AI$8</f>
        <v>0</v>
      </c>
      <c r="AJ76" s="69">
        <f>OPEX!$C$9*('Financial Analysis'!AJ$6-'Financial Analysis'!AJ$7)+OPEX!$D$9*('Financial Analysis'!AJ$7-'Financial Analysis'!AJ$8)+OPEX!$E$9*'Financial Analysis'!AJ$8</f>
        <v>0</v>
      </c>
      <c r="AK76" s="69">
        <f>OPEX!$C$9*('Financial Analysis'!AK$6-'Financial Analysis'!AK$7)+OPEX!$D$9*('Financial Analysis'!AK$7-'Financial Analysis'!AK$8)+OPEX!$E$9*'Financial Analysis'!AK$8</f>
        <v>0</v>
      </c>
      <c r="AL76" s="69">
        <f>OPEX!$C$9*('Financial Analysis'!AL$6-'Financial Analysis'!AL$7)+OPEX!$D$9*('Financial Analysis'!AL$7-'Financial Analysis'!AL$8)+OPEX!$E$9*'Financial Analysis'!AL$8</f>
        <v>0</v>
      </c>
      <c r="AM76" s="69">
        <f>OPEX!$C$9*('Financial Analysis'!AM$6-'Financial Analysis'!AM$7)+OPEX!$D$9*('Financial Analysis'!AM$7-'Financial Analysis'!AM$8)+OPEX!$E$9*'Financial Analysis'!AM$8</f>
        <v>0</v>
      </c>
      <c r="AN76" s="69">
        <f>OPEX!$C$9*('Financial Analysis'!AN$6-'Financial Analysis'!AN$7)+OPEX!$D$9*('Financial Analysis'!AN$7-'Financial Analysis'!AN$8)+OPEX!$E$9*'Financial Analysis'!AN$8</f>
        <v>0</v>
      </c>
      <c r="AO76" s="69">
        <f>OPEX!$C$9*('Financial Analysis'!AO$6-'Financial Analysis'!AO$7)+OPEX!$D$9*('Financial Analysis'!AO$7-'Financial Analysis'!AO$8)+OPEX!$E$9*'Financial Analysis'!AO$8</f>
        <v>0</v>
      </c>
      <c r="AP76" s="69">
        <f>OPEX!$C$9*('Financial Analysis'!AP$6-'Financial Analysis'!AP$7)+OPEX!$D$9*('Financial Analysis'!AP$7-'Financial Analysis'!AP$8)+OPEX!$E$9*'Financial Analysis'!AP$8</f>
        <v>0</v>
      </c>
      <c r="AQ76" s="69">
        <f>OPEX!$C$9*('Financial Analysis'!AQ$6-'Financial Analysis'!AQ$7)+OPEX!$D$9*('Financial Analysis'!AQ$7-'Financial Analysis'!AQ$8)+OPEX!$E$9*'Financial Analysis'!AQ$8</f>
        <v>0</v>
      </c>
      <c r="AR76" s="69">
        <f>OPEX!$C$9*('Financial Analysis'!AR$6-'Financial Analysis'!AR$7)+OPEX!$D$9*('Financial Analysis'!AR$7-'Financial Analysis'!AR$8)+OPEX!$E$9*'Financial Analysis'!AR$8</f>
        <v>0</v>
      </c>
      <c r="AS76" s="69">
        <f>OPEX!$C$9*('Financial Analysis'!AS$6-'Financial Analysis'!AS$7)+OPEX!$D$9*('Financial Analysis'!AS$7-'Financial Analysis'!AS$8)+OPEX!$E$9*'Financial Analysis'!AS$8</f>
        <v>0</v>
      </c>
      <c r="AT76" s="69">
        <f>OPEX!$C$9*('Financial Analysis'!AT$6-'Financial Analysis'!AT$7)+OPEX!$D$9*('Financial Analysis'!AT$7-'Financial Analysis'!AT$8)+OPEX!$E$9*'Financial Analysis'!AT$8</f>
        <v>0</v>
      </c>
      <c r="AU76" s="69">
        <f>OPEX!$C$9*('Financial Analysis'!AU$6-'Financial Analysis'!AU$7)+OPEX!$D$9*('Financial Analysis'!AU$7-'Financial Analysis'!AU$8)+OPEX!$E$9*'Financial Analysis'!AU$8</f>
        <v>0</v>
      </c>
      <c r="AV76" s="69">
        <f>OPEX!$C$9*('Financial Analysis'!AV$6-'Financial Analysis'!AV$7)+OPEX!$D$9*('Financial Analysis'!AV$7-'Financial Analysis'!AV$8)+OPEX!$E$9*'Financial Analysis'!AV$8</f>
        <v>0</v>
      </c>
      <c r="AW76" s="69">
        <f>OPEX!$C$9*('Financial Analysis'!AW$6-'Financial Analysis'!AW$7)+OPEX!$D$9*('Financial Analysis'!AW$7-'Financial Analysis'!AW$8)+OPEX!$E$9*'Financial Analysis'!AW$8</f>
        <v>0</v>
      </c>
      <c r="AX76" s="69">
        <f>OPEX!$C$9*('Financial Analysis'!AX$6-'Financial Analysis'!AX$7)+OPEX!$D$9*('Financial Analysis'!AX$7-'Financial Analysis'!AX$8)+OPEX!$E$9*'Financial Analysis'!AX$8</f>
        <v>0</v>
      </c>
      <c r="AY76" s="69">
        <f>OPEX!$C$9*('Financial Analysis'!AY$6-'Financial Analysis'!AY$7)+OPEX!$D$9*('Financial Analysis'!AY$7-'Financial Analysis'!AY$8)+OPEX!$E$9*'Financial Analysis'!AY$8</f>
        <v>0</v>
      </c>
      <c r="AZ76" s="69">
        <f>OPEX!$C$9*('Financial Analysis'!AZ$6-'Financial Analysis'!AZ$7)+OPEX!$D$9*('Financial Analysis'!AZ$7-'Financial Analysis'!AZ$8)+OPEX!$E$9*'Financial Analysis'!AZ$8</f>
        <v>0</v>
      </c>
      <c r="BA76" s="69">
        <f>OPEX!$C$9*('Financial Analysis'!BA$6-'Financial Analysis'!BA$7)+OPEX!$D$9*('Financial Analysis'!BA$7-'Financial Analysis'!BA$8)+OPEX!$E$9*'Financial Analysis'!BA$8</f>
        <v>0</v>
      </c>
      <c r="BB76" s="69">
        <f>OPEX!$C$9*('Financial Analysis'!BB$6-'Financial Analysis'!BB$7)+OPEX!$D$9*('Financial Analysis'!BB$7-'Financial Analysis'!BB$8)+OPEX!$E$9*'Financial Analysis'!BB$8</f>
        <v>0</v>
      </c>
      <c r="BC76" s="69">
        <f>OPEX!$C$9*('Financial Analysis'!BC$6-'Financial Analysis'!BC$7)+OPEX!$D$9*('Financial Analysis'!BC$7-'Financial Analysis'!BC$8)+OPEX!$E$9*'Financial Analysis'!BC$8</f>
        <v>0</v>
      </c>
      <c r="BD76" s="69">
        <f>OPEX!$C$9*('Financial Analysis'!BD$6-'Financial Analysis'!BD$7)+OPEX!$D$9*('Financial Analysis'!BD$7-'Financial Analysis'!BD$8)+OPEX!$E$9*'Financial Analysis'!BD$8</f>
        <v>0</v>
      </c>
      <c r="BE76" s="69">
        <f>OPEX!$C$9*('Financial Analysis'!BE$6-'Financial Analysis'!BE$7)+OPEX!$D$9*('Financial Analysis'!BE$7-'Financial Analysis'!BE$8)+OPEX!$E$9*'Financial Analysis'!BE$8</f>
        <v>0</v>
      </c>
      <c r="BF76" s="69">
        <f>OPEX!$C$9*('Financial Analysis'!BF$6-'Financial Analysis'!BF$7)+OPEX!$D$9*('Financial Analysis'!BF$7-'Financial Analysis'!BF$8)+OPEX!$E$9*'Financial Analysis'!BF$8</f>
        <v>0</v>
      </c>
      <c r="BG76" s="69">
        <f>OPEX!$C$9*('Financial Analysis'!BG$6-'Financial Analysis'!BG$7)+OPEX!$D$9*('Financial Analysis'!BG$7-'Financial Analysis'!BG$8)+OPEX!$E$9*'Financial Analysis'!BG$8</f>
        <v>0</v>
      </c>
      <c r="BH76" s="69">
        <f>OPEX!$C$9*('Financial Analysis'!BH$6-'Financial Analysis'!BH$7)+OPEX!$D$9*('Financial Analysis'!BH$7-'Financial Analysis'!BH$8)+OPEX!$E$9*'Financial Analysis'!BH$8</f>
        <v>0</v>
      </c>
      <c r="BI76" s="69">
        <f>OPEX!$C$9*('Financial Analysis'!BI$6-'Financial Analysis'!BI$7)+OPEX!$D$9*('Financial Analysis'!BI$7-'Financial Analysis'!BI$8)+OPEX!$E$9*'Financial Analysis'!BI$8</f>
        <v>0</v>
      </c>
      <c r="BJ76" s="69">
        <f>OPEX!$C$9*('Financial Analysis'!BJ$6-'Financial Analysis'!BJ$7)+OPEX!$D$9*('Financial Analysis'!BJ$7-'Financial Analysis'!BJ$8)+OPEX!$E$9*'Financial Analysis'!BJ$8</f>
        <v>0</v>
      </c>
      <c r="BK76" s="69">
        <f>OPEX!$C$9*('Financial Analysis'!BK$6-'Financial Analysis'!BK$7)+OPEX!$D$9*('Financial Analysis'!BK$7-'Financial Analysis'!BK$8)+OPEX!$E$9*'Financial Analysis'!BK$8</f>
        <v>0</v>
      </c>
      <c r="BL76" s="69">
        <f>OPEX!$C$9*('Financial Analysis'!BL$6-'Financial Analysis'!BL$7)+OPEX!$D$9*('Financial Analysis'!BL$7-'Financial Analysis'!BL$8)+OPEX!$E$9*'Financial Analysis'!BL$8</f>
        <v>0</v>
      </c>
    </row>
    <row r="77" spans="2:64">
      <c r="B77" s="146" t="s">
        <v>330</v>
      </c>
      <c r="E77" s="69">
        <f>OPEX!$C$10*('Financial Analysis'!E$6-'Financial Analysis'!E$7)+OPEX!$D$10*('Financial Analysis'!E$7-'Financial Analysis'!E$8)+OPEX!$E$10*'Financial Analysis'!E$8</f>
        <v>0</v>
      </c>
      <c r="F77" s="69">
        <f>OPEX!$C$10*('Financial Analysis'!F$6-'Financial Analysis'!F$7)+OPEX!$D$10*('Financial Analysis'!F$7-'Financial Analysis'!F$8)+OPEX!$E$10*'Financial Analysis'!F$8</f>
        <v>0</v>
      </c>
      <c r="G77" s="69">
        <f>OPEX!$C$10*('Financial Analysis'!G$6-'Financial Analysis'!G$7)+OPEX!$D$10*('Financial Analysis'!G$7-'Financial Analysis'!G$8)+OPEX!$E$10*'Financial Analysis'!G$8</f>
        <v>0</v>
      </c>
      <c r="H77" s="69">
        <f>OPEX!$C$10*('Financial Analysis'!H$6-'Financial Analysis'!H$7)+OPEX!$D$10*('Financial Analysis'!H$7-'Financial Analysis'!H$8)+OPEX!$E$10*'Financial Analysis'!H$8</f>
        <v>0</v>
      </c>
      <c r="I77" s="69">
        <f>OPEX!$C$10*('Financial Analysis'!I$6-'Financial Analysis'!I$7)+OPEX!$D$10*('Financial Analysis'!I$7-'Financial Analysis'!I$8)+OPEX!$E$10*'Financial Analysis'!I$8</f>
        <v>0</v>
      </c>
      <c r="J77" s="69">
        <f>OPEX!$C$10*('Financial Analysis'!J$6-'Financial Analysis'!J$7)+OPEX!$D$10*('Financial Analysis'!J$7-'Financial Analysis'!J$8)+OPEX!$E$10*'Financial Analysis'!J$8</f>
        <v>0</v>
      </c>
      <c r="K77" s="69">
        <f>OPEX!$C$10*('Financial Analysis'!K$6-'Financial Analysis'!K$7)+OPEX!$D$10*('Financial Analysis'!K$7-'Financial Analysis'!K$8)+OPEX!$E$10*'Financial Analysis'!K$8</f>
        <v>0</v>
      </c>
      <c r="L77" s="69">
        <f>OPEX!$C$10*('Financial Analysis'!L$6-'Financial Analysis'!L$7)+OPEX!$D$10*('Financial Analysis'!L$7-'Financial Analysis'!L$8)+OPEX!$E$10*'Financial Analysis'!L$8</f>
        <v>0</v>
      </c>
      <c r="M77" s="69">
        <f>OPEX!$C$10*('Financial Analysis'!M$6-'Financial Analysis'!M$7)+OPEX!$D$10*('Financial Analysis'!M$7-'Financial Analysis'!M$8)+OPEX!$E$10*'Financial Analysis'!M$8</f>
        <v>0</v>
      </c>
      <c r="N77" s="69">
        <f>OPEX!$C$10*('Financial Analysis'!N$6-'Financial Analysis'!N$7)+OPEX!$D$10*('Financial Analysis'!N$7-'Financial Analysis'!N$8)+OPEX!$E$10*'Financial Analysis'!N$8</f>
        <v>0</v>
      </c>
      <c r="O77" s="69">
        <f>OPEX!$C$10*('Financial Analysis'!O$6-'Financial Analysis'!O$7)+OPEX!$D$10*('Financial Analysis'!O$7-'Financial Analysis'!O$8)+OPEX!$E$10*'Financial Analysis'!O$8</f>
        <v>0</v>
      </c>
      <c r="P77" s="69">
        <f>OPEX!$C$10*('Financial Analysis'!P$6-'Financial Analysis'!P$7)+OPEX!$D$10*('Financial Analysis'!P$7-'Financial Analysis'!P$8)+OPEX!$E$10*'Financial Analysis'!P$8</f>
        <v>0</v>
      </c>
      <c r="Q77" s="69">
        <f>OPEX!$C$10*('Financial Analysis'!Q$6-'Financial Analysis'!Q$7)+OPEX!$D$10*('Financial Analysis'!Q$7-'Financial Analysis'!Q$8)+OPEX!$E$10*'Financial Analysis'!Q$8</f>
        <v>0</v>
      </c>
      <c r="R77" s="69">
        <f>OPEX!$C$10*('Financial Analysis'!R$6-'Financial Analysis'!R$7)+OPEX!$D$10*('Financial Analysis'!R$7-'Financial Analysis'!R$8)+OPEX!$E$10*'Financial Analysis'!R$8</f>
        <v>0</v>
      </c>
      <c r="S77" s="69">
        <f>OPEX!$C$10*('Financial Analysis'!S$6-'Financial Analysis'!S$7)+OPEX!$D$10*('Financial Analysis'!S$7-'Financial Analysis'!S$8)+OPEX!$E$10*'Financial Analysis'!S$8</f>
        <v>0</v>
      </c>
      <c r="T77" s="69">
        <f>OPEX!$C$10*('Financial Analysis'!T$6-'Financial Analysis'!T$7)+OPEX!$D$10*('Financial Analysis'!T$7-'Financial Analysis'!T$8)+OPEX!$E$10*'Financial Analysis'!T$8</f>
        <v>0</v>
      </c>
      <c r="U77" s="69">
        <f>OPEX!$C$10*('Financial Analysis'!U$6-'Financial Analysis'!U$7)+OPEX!$D$10*('Financial Analysis'!U$7-'Financial Analysis'!U$8)+OPEX!$E$10*'Financial Analysis'!U$8</f>
        <v>0</v>
      </c>
      <c r="V77" s="69">
        <f>OPEX!$C$10*('Financial Analysis'!V$6-'Financial Analysis'!V$7)+OPEX!$D$10*('Financial Analysis'!V$7-'Financial Analysis'!V$8)+OPEX!$E$10*'Financial Analysis'!V$8</f>
        <v>0</v>
      </c>
      <c r="W77" s="69">
        <f>OPEX!$C$10*('Financial Analysis'!W$6-'Financial Analysis'!W$7)+OPEX!$D$10*('Financial Analysis'!W$7-'Financial Analysis'!W$8)+OPEX!$E$10*'Financial Analysis'!W$8</f>
        <v>0</v>
      </c>
      <c r="X77" s="69">
        <f>OPEX!$C$10*('Financial Analysis'!X$6-'Financial Analysis'!X$7)+OPEX!$D$10*('Financial Analysis'!X$7-'Financial Analysis'!X$8)+OPEX!$E$10*'Financial Analysis'!X$8</f>
        <v>0</v>
      </c>
      <c r="Y77" s="69">
        <f>OPEX!$C$10*('Financial Analysis'!Y$6-'Financial Analysis'!Y$7)+OPEX!$D$10*('Financial Analysis'!Y$7-'Financial Analysis'!Y$8)+OPEX!$E$10*'Financial Analysis'!Y$8</f>
        <v>0</v>
      </c>
      <c r="Z77" s="69">
        <f>OPEX!$C$10*('Financial Analysis'!Z$6-'Financial Analysis'!Z$7)+OPEX!$D$10*('Financial Analysis'!Z$7-'Financial Analysis'!Z$8)+OPEX!$E$10*'Financial Analysis'!Z$8</f>
        <v>0</v>
      </c>
      <c r="AA77" s="69">
        <f>OPEX!$C$10*('Financial Analysis'!AA$6-'Financial Analysis'!AA$7)+OPEX!$D$10*('Financial Analysis'!AA$7-'Financial Analysis'!AA$8)+OPEX!$E$10*'Financial Analysis'!AA$8</f>
        <v>0</v>
      </c>
      <c r="AB77" s="69">
        <f>OPEX!$C$10*('Financial Analysis'!AB$6-'Financial Analysis'!AB$7)+OPEX!$D$10*('Financial Analysis'!AB$7-'Financial Analysis'!AB$8)+OPEX!$E$10*'Financial Analysis'!AB$8</f>
        <v>0</v>
      </c>
      <c r="AC77" s="69">
        <f>OPEX!$C$10*('Financial Analysis'!AC$6-'Financial Analysis'!AC$7)+OPEX!$D$10*('Financial Analysis'!AC$7-'Financial Analysis'!AC$8)+OPEX!$E$10*'Financial Analysis'!AC$8</f>
        <v>0</v>
      </c>
      <c r="AD77" s="69">
        <f>OPEX!$C$10*('Financial Analysis'!AD$6-'Financial Analysis'!AD$7)+OPEX!$D$10*('Financial Analysis'!AD$7-'Financial Analysis'!AD$8)+OPEX!$E$10*'Financial Analysis'!AD$8</f>
        <v>0</v>
      </c>
      <c r="AE77" s="69">
        <f>OPEX!$C$10*('Financial Analysis'!AE$6-'Financial Analysis'!AE$7)+OPEX!$D$10*('Financial Analysis'!AE$7-'Financial Analysis'!AE$8)+OPEX!$E$10*'Financial Analysis'!AE$8</f>
        <v>0</v>
      </c>
      <c r="AF77" s="69">
        <f>OPEX!$C$10*('Financial Analysis'!AF$6-'Financial Analysis'!AF$7)+OPEX!$D$10*('Financial Analysis'!AF$7-'Financial Analysis'!AF$8)+OPEX!$E$10*'Financial Analysis'!AF$8</f>
        <v>0</v>
      </c>
      <c r="AG77" s="69">
        <f>OPEX!$C$10*('Financial Analysis'!AG$6-'Financial Analysis'!AG$7)+OPEX!$D$10*('Financial Analysis'!AG$7-'Financial Analysis'!AG$8)+OPEX!$E$10*'Financial Analysis'!AG$8</f>
        <v>0</v>
      </c>
      <c r="AH77" s="69">
        <f>OPEX!$C$10*('Financial Analysis'!AH$6-'Financial Analysis'!AH$7)+OPEX!$D$10*('Financial Analysis'!AH$7-'Financial Analysis'!AH$8)+OPEX!$E$10*'Financial Analysis'!AH$8</f>
        <v>0</v>
      </c>
      <c r="AI77" s="69">
        <f>OPEX!$C$10*('Financial Analysis'!AI$6-'Financial Analysis'!AI$7)+OPEX!$D$10*('Financial Analysis'!AI$7-'Financial Analysis'!AI$8)+OPEX!$E$10*'Financial Analysis'!AI$8</f>
        <v>0</v>
      </c>
      <c r="AJ77" s="69">
        <f>OPEX!$C$10*('Financial Analysis'!AJ$6-'Financial Analysis'!AJ$7)+OPEX!$D$10*('Financial Analysis'!AJ$7-'Financial Analysis'!AJ$8)+OPEX!$E$10*'Financial Analysis'!AJ$8</f>
        <v>0</v>
      </c>
      <c r="AK77" s="69">
        <f>OPEX!$C$10*('Financial Analysis'!AK$6-'Financial Analysis'!AK$7)+OPEX!$D$10*('Financial Analysis'!AK$7-'Financial Analysis'!AK$8)+OPEX!$E$10*'Financial Analysis'!AK$8</f>
        <v>0</v>
      </c>
      <c r="AL77" s="69">
        <f>OPEX!$C$10*('Financial Analysis'!AL$6-'Financial Analysis'!AL$7)+OPEX!$D$10*('Financial Analysis'!AL$7-'Financial Analysis'!AL$8)+OPEX!$E$10*'Financial Analysis'!AL$8</f>
        <v>0</v>
      </c>
      <c r="AM77" s="69">
        <f>OPEX!$C$10*('Financial Analysis'!AM$6-'Financial Analysis'!AM$7)+OPEX!$D$10*('Financial Analysis'!AM$7-'Financial Analysis'!AM$8)+OPEX!$E$10*'Financial Analysis'!AM$8</f>
        <v>0</v>
      </c>
      <c r="AN77" s="69">
        <f>OPEX!$C$10*('Financial Analysis'!AN$6-'Financial Analysis'!AN$7)+OPEX!$D$10*('Financial Analysis'!AN$7-'Financial Analysis'!AN$8)+OPEX!$E$10*'Financial Analysis'!AN$8</f>
        <v>0</v>
      </c>
      <c r="AO77" s="69">
        <f>OPEX!$C$10*('Financial Analysis'!AO$6-'Financial Analysis'!AO$7)+OPEX!$D$10*('Financial Analysis'!AO$7-'Financial Analysis'!AO$8)+OPEX!$E$10*'Financial Analysis'!AO$8</f>
        <v>0</v>
      </c>
      <c r="AP77" s="69">
        <f>OPEX!$C$10*('Financial Analysis'!AP$6-'Financial Analysis'!AP$7)+OPEX!$D$10*('Financial Analysis'!AP$7-'Financial Analysis'!AP$8)+OPEX!$E$10*'Financial Analysis'!AP$8</f>
        <v>0</v>
      </c>
      <c r="AQ77" s="69">
        <f>OPEX!$C$10*('Financial Analysis'!AQ$6-'Financial Analysis'!AQ$7)+OPEX!$D$10*('Financial Analysis'!AQ$7-'Financial Analysis'!AQ$8)+OPEX!$E$10*'Financial Analysis'!AQ$8</f>
        <v>0</v>
      </c>
      <c r="AR77" s="69">
        <f>OPEX!$C$10*('Financial Analysis'!AR$6-'Financial Analysis'!AR$7)+OPEX!$D$10*('Financial Analysis'!AR$7-'Financial Analysis'!AR$8)+OPEX!$E$10*'Financial Analysis'!AR$8</f>
        <v>0</v>
      </c>
      <c r="AS77" s="69">
        <f>OPEX!$C$10*('Financial Analysis'!AS$6-'Financial Analysis'!AS$7)+OPEX!$D$10*('Financial Analysis'!AS$7-'Financial Analysis'!AS$8)+OPEX!$E$10*'Financial Analysis'!AS$8</f>
        <v>0</v>
      </c>
      <c r="AT77" s="69">
        <f>OPEX!$C$10*('Financial Analysis'!AT$6-'Financial Analysis'!AT$7)+OPEX!$D$10*('Financial Analysis'!AT$7-'Financial Analysis'!AT$8)+OPEX!$E$10*'Financial Analysis'!AT$8</f>
        <v>0</v>
      </c>
      <c r="AU77" s="69">
        <f>OPEX!$C$10*('Financial Analysis'!AU$6-'Financial Analysis'!AU$7)+OPEX!$D$10*('Financial Analysis'!AU$7-'Financial Analysis'!AU$8)+OPEX!$E$10*'Financial Analysis'!AU$8</f>
        <v>0</v>
      </c>
      <c r="AV77" s="69">
        <f>OPEX!$C$10*('Financial Analysis'!AV$6-'Financial Analysis'!AV$7)+OPEX!$D$10*('Financial Analysis'!AV$7-'Financial Analysis'!AV$8)+OPEX!$E$10*'Financial Analysis'!AV$8</f>
        <v>0</v>
      </c>
      <c r="AW77" s="69">
        <f>OPEX!$C$10*('Financial Analysis'!AW$6-'Financial Analysis'!AW$7)+OPEX!$D$10*('Financial Analysis'!AW$7-'Financial Analysis'!AW$8)+OPEX!$E$10*'Financial Analysis'!AW$8</f>
        <v>0</v>
      </c>
      <c r="AX77" s="69">
        <f>OPEX!$C$10*('Financial Analysis'!AX$6-'Financial Analysis'!AX$7)+OPEX!$D$10*('Financial Analysis'!AX$7-'Financial Analysis'!AX$8)+OPEX!$E$10*'Financial Analysis'!AX$8</f>
        <v>0</v>
      </c>
      <c r="AY77" s="69">
        <f>OPEX!$C$10*('Financial Analysis'!AY$6-'Financial Analysis'!AY$7)+OPEX!$D$10*('Financial Analysis'!AY$7-'Financial Analysis'!AY$8)+OPEX!$E$10*'Financial Analysis'!AY$8</f>
        <v>0</v>
      </c>
      <c r="AZ77" s="69">
        <f>OPEX!$C$10*('Financial Analysis'!AZ$6-'Financial Analysis'!AZ$7)+OPEX!$D$10*('Financial Analysis'!AZ$7-'Financial Analysis'!AZ$8)+OPEX!$E$10*'Financial Analysis'!AZ$8</f>
        <v>0</v>
      </c>
      <c r="BA77" s="69">
        <f>OPEX!$C$10*('Financial Analysis'!BA$6-'Financial Analysis'!BA$7)+OPEX!$D$10*('Financial Analysis'!BA$7-'Financial Analysis'!BA$8)+OPEX!$E$10*'Financial Analysis'!BA$8</f>
        <v>0</v>
      </c>
      <c r="BB77" s="69">
        <f>OPEX!$C$10*('Financial Analysis'!BB$6-'Financial Analysis'!BB$7)+OPEX!$D$10*('Financial Analysis'!BB$7-'Financial Analysis'!BB$8)+OPEX!$E$10*'Financial Analysis'!BB$8</f>
        <v>0</v>
      </c>
      <c r="BC77" s="69">
        <f>OPEX!$C$10*('Financial Analysis'!BC$6-'Financial Analysis'!BC$7)+OPEX!$D$10*('Financial Analysis'!BC$7-'Financial Analysis'!BC$8)+OPEX!$E$10*'Financial Analysis'!BC$8</f>
        <v>0</v>
      </c>
      <c r="BD77" s="69">
        <f>OPEX!$C$10*('Financial Analysis'!BD$6-'Financial Analysis'!BD$7)+OPEX!$D$10*('Financial Analysis'!BD$7-'Financial Analysis'!BD$8)+OPEX!$E$10*'Financial Analysis'!BD$8</f>
        <v>0</v>
      </c>
      <c r="BE77" s="69">
        <f>OPEX!$C$10*('Financial Analysis'!BE$6-'Financial Analysis'!BE$7)+OPEX!$D$10*('Financial Analysis'!BE$7-'Financial Analysis'!BE$8)+OPEX!$E$10*'Financial Analysis'!BE$8</f>
        <v>0</v>
      </c>
      <c r="BF77" s="69">
        <f>OPEX!$C$10*('Financial Analysis'!BF$6-'Financial Analysis'!BF$7)+OPEX!$D$10*('Financial Analysis'!BF$7-'Financial Analysis'!BF$8)+OPEX!$E$10*'Financial Analysis'!BF$8</f>
        <v>0</v>
      </c>
      <c r="BG77" s="69">
        <f>OPEX!$C$10*('Financial Analysis'!BG$6-'Financial Analysis'!BG$7)+OPEX!$D$10*('Financial Analysis'!BG$7-'Financial Analysis'!BG$8)+OPEX!$E$10*'Financial Analysis'!BG$8</f>
        <v>0</v>
      </c>
      <c r="BH77" s="69">
        <f>OPEX!$C$10*('Financial Analysis'!BH$6-'Financial Analysis'!BH$7)+OPEX!$D$10*('Financial Analysis'!BH$7-'Financial Analysis'!BH$8)+OPEX!$E$10*'Financial Analysis'!BH$8</f>
        <v>0</v>
      </c>
      <c r="BI77" s="69">
        <f>OPEX!$C$10*('Financial Analysis'!BI$6-'Financial Analysis'!BI$7)+OPEX!$D$10*('Financial Analysis'!BI$7-'Financial Analysis'!BI$8)+OPEX!$E$10*'Financial Analysis'!BI$8</f>
        <v>0</v>
      </c>
      <c r="BJ77" s="69">
        <f>OPEX!$C$10*('Financial Analysis'!BJ$6-'Financial Analysis'!BJ$7)+OPEX!$D$10*('Financial Analysis'!BJ$7-'Financial Analysis'!BJ$8)+OPEX!$E$10*'Financial Analysis'!BJ$8</f>
        <v>0</v>
      </c>
      <c r="BK77" s="69">
        <f>OPEX!$C$10*('Financial Analysis'!BK$6-'Financial Analysis'!BK$7)+OPEX!$D$10*('Financial Analysis'!BK$7-'Financial Analysis'!BK$8)+OPEX!$E$10*'Financial Analysis'!BK$8</f>
        <v>0</v>
      </c>
      <c r="BL77" s="69">
        <f>OPEX!$C$10*('Financial Analysis'!BL$6-'Financial Analysis'!BL$7)+OPEX!$D$10*('Financial Analysis'!BL$7-'Financial Analysis'!BL$8)+OPEX!$E$10*'Financial Analysis'!BL$8</f>
        <v>0</v>
      </c>
    </row>
    <row r="78" spans="2:64">
      <c r="B78" s="146" t="s">
        <v>445</v>
      </c>
      <c r="E78" s="69" t="e">
        <f>OPEX!$C$11*('Financial Analysis'!E$6-'Financial Analysis'!E$7)+OPEX!$D$11*('Financial Analysis'!E$7-'Financial Analysis'!E$8)+OPEX!$E$11*'Financial Analysis'!E$8</f>
        <v>#REF!</v>
      </c>
      <c r="F78" s="69" t="e">
        <f>OPEX!$C$11*('Financial Analysis'!F$6-'Financial Analysis'!F$7)+OPEX!$D$11*('Financial Analysis'!F$7-'Financial Analysis'!F$8)+OPEX!$E$11*'Financial Analysis'!F$8</f>
        <v>#REF!</v>
      </c>
      <c r="G78" s="69" t="e">
        <f>OPEX!$C$11*('Financial Analysis'!G$6-'Financial Analysis'!G$7)+OPEX!$D$11*('Financial Analysis'!G$7-'Financial Analysis'!G$8)+OPEX!$E$11*'Financial Analysis'!G$8</f>
        <v>#REF!</v>
      </c>
      <c r="H78" s="69" t="e">
        <f>OPEX!$C$11*('Financial Analysis'!H$6-'Financial Analysis'!H$7)+OPEX!$D$11*('Financial Analysis'!H$7-'Financial Analysis'!H$8)+OPEX!$E$11*'Financial Analysis'!H$8</f>
        <v>#REF!</v>
      </c>
      <c r="I78" s="69" t="e">
        <f>OPEX!$C$11*('Financial Analysis'!I$6-'Financial Analysis'!I$7)+OPEX!$D$11*('Financial Analysis'!I$7-'Financial Analysis'!I$8)+OPEX!$E$11*'Financial Analysis'!I$8</f>
        <v>#REF!</v>
      </c>
      <c r="J78" s="69" t="e">
        <f>OPEX!$C$11*('Financial Analysis'!J$6-'Financial Analysis'!J$7)+OPEX!$D$11*('Financial Analysis'!J$7-'Financial Analysis'!J$8)+OPEX!$E$11*'Financial Analysis'!J$8</f>
        <v>#REF!</v>
      </c>
      <c r="K78" s="69" t="e">
        <f>OPEX!$C$11*('Financial Analysis'!K$6-'Financial Analysis'!K$7)+OPEX!$D$11*('Financial Analysis'!K$7-'Financial Analysis'!K$8)+OPEX!$E$11*'Financial Analysis'!K$8</f>
        <v>#REF!</v>
      </c>
      <c r="L78" s="69" t="e">
        <f>OPEX!$C$11*('Financial Analysis'!L$6-'Financial Analysis'!L$7)+OPEX!$D$11*('Financial Analysis'!L$7-'Financial Analysis'!L$8)+OPEX!$E$11*'Financial Analysis'!L$8</f>
        <v>#REF!</v>
      </c>
      <c r="M78" s="69" t="e">
        <f>OPEX!$C$11*('Financial Analysis'!M$6-'Financial Analysis'!M$7)+OPEX!$D$11*('Financial Analysis'!M$7-'Financial Analysis'!M$8)+OPEX!$E$11*'Financial Analysis'!M$8</f>
        <v>#REF!</v>
      </c>
      <c r="N78" s="69" t="e">
        <f>OPEX!$C$11*('Financial Analysis'!N$6-'Financial Analysis'!N$7)+OPEX!$D$11*('Financial Analysis'!N$7-'Financial Analysis'!N$8)+OPEX!$E$11*'Financial Analysis'!N$8</f>
        <v>#REF!</v>
      </c>
      <c r="O78" s="69" t="e">
        <f>OPEX!$C$11*('Financial Analysis'!O$6-'Financial Analysis'!O$7)+OPEX!$D$11*('Financial Analysis'!O$7-'Financial Analysis'!O$8)+OPEX!$E$11*'Financial Analysis'!O$8</f>
        <v>#REF!</v>
      </c>
      <c r="P78" s="69" t="e">
        <f>OPEX!$C$11*('Financial Analysis'!P$6-'Financial Analysis'!P$7)+OPEX!$D$11*('Financial Analysis'!P$7-'Financial Analysis'!P$8)+OPEX!$E$11*'Financial Analysis'!P$8</f>
        <v>#REF!</v>
      </c>
      <c r="Q78" s="69" t="e">
        <f>OPEX!$C$11*('Financial Analysis'!Q$6-'Financial Analysis'!Q$7)+OPEX!$D$11*('Financial Analysis'!Q$7-'Financial Analysis'!Q$8)+OPEX!$E$11*'Financial Analysis'!Q$8</f>
        <v>#REF!</v>
      </c>
      <c r="R78" s="69" t="e">
        <f>OPEX!$C$11*('Financial Analysis'!R$6-'Financial Analysis'!R$7)+OPEX!$D$11*('Financial Analysis'!R$7-'Financial Analysis'!R$8)+OPEX!$E$11*'Financial Analysis'!R$8</f>
        <v>#REF!</v>
      </c>
      <c r="S78" s="69" t="e">
        <f>OPEX!$C$11*('Financial Analysis'!S$6-'Financial Analysis'!S$7)+OPEX!$D$11*('Financial Analysis'!S$7-'Financial Analysis'!S$8)+OPEX!$E$11*'Financial Analysis'!S$8</f>
        <v>#REF!</v>
      </c>
      <c r="T78" s="69" t="e">
        <f>OPEX!$C$11*('Financial Analysis'!T$6-'Financial Analysis'!T$7)+OPEX!$D$11*('Financial Analysis'!T$7-'Financial Analysis'!T$8)+OPEX!$E$11*'Financial Analysis'!T$8</f>
        <v>#REF!</v>
      </c>
      <c r="U78" s="69" t="e">
        <f>OPEX!$C$11*('Financial Analysis'!U$6-'Financial Analysis'!U$7)+OPEX!$D$11*('Financial Analysis'!U$7-'Financial Analysis'!U$8)+OPEX!$E$11*'Financial Analysis'!U$8</f>
        <v>#REF!</v>
      </c>
      <c r="V78" s="69" t="e">
        <f>OPEX!$C$11*('Financial Analysis'!V$6-'Financial Analysis'!V$7)+OPEX!$D$11*('Financial Analysis'!V$7-'Financial Analysis'!V$8)+OPEX!$E$11*'Financial Analysis'!V$8</f>
        <v>#REF!</v>
      </c>
      <c r="W78" s="69" t="e">
        <f>OPEX!$C$11*('Financial Analysis'!W$6-'Financial Analysis'!W$7)+OPEX!$D$11*('Financial Analysis'!W$7-'Financial Analysis'!W$8)+OPEX!$E$11*'Financial Analysis'!W$8</f>
        <v>#REF!</v>
      </c>
      <c r="X78" s="69" t="e">
        <f>OPEX!$C$11*('Financial Analysis'!X$6-'Financial Analysis'!X$7)+OPEX!$D$11*('Financial Analysis'!X$7-'Financial Analysis'!X$8)+OPEX!$E$11*'Financial Analysis'!X$8</f>
        <v>#REF!</v>
      </c>
      <c r="Y78" s="69" t="e">
        <f>OPEX!$C$11*('Financial Analysis'!Y$6-'Financial Analysis'!Y$7)+OPEX!$D$11*('Financial Analysis'!Y$7-'Financial Analysis'!Y$8)+OPEX!$E$11*'Financial Analysis'!Y$8</f>
        <v>#REF!</v>
      </c>
      <c r="Z78" s="69" t="e">
        <f>OPEX!$C$11*('Financial Analysis'!Z$6-'Financial Analysis'!Z$7)+OPEX!$D$11*('Financial Analysis'!Z$7-'Financial Analysis'!Z$8)+OPEX!$E$11*'Financial Analysis'!Z$8</f>
        <v>#REF!</v>
      </c>
      <c r="AA78" s="69" t="e">
        <f>OPEX!$C$11*('Financial Analysis'!AA$6-'Financial Analysis'!AA$7)+OPEX!$D$11*('Financial Analysis'!AA$7-'Financial Analysis'!AA$8)+OPEX!$E$11*'Financial Analysis'!AA$8</f>
        <v>#REF!</v>
      </c>
      <c r="AB78" s="69" t="e">
        <f>OPEX!$C$11*('Financial Analysis'!AB$6-'Financial Analysis'!AB$7)+OPEX!$D$11*('Financial Analysis'!AB$7-'Financial Analysis'!AB$8)+OPEX!$E$11*'Financial Analysis'!AB$8</f>
        <v>#REF!</v>
      </c>
      <c r="AC78" s="69" t="e">
        <f>OPEX!$C$11*('Financial Analysis'!AC$6-'Financial Analysis'!AC$7)+OPEX!$D$11*('Financial Analysis'!AC$7-'Financial Analysis'!AC$8)+OPEX!$E$11*'Financial Analysis'!AC$8</f>
        <v>#REF!</v>
      </c>
      <c r="AD78" s="69" t="e">
        <f>OPEX!$C$11*('Financial Analysis'!AD$6-'Financial Analysis'!AD$7)+OPEX!$D$11*('Financial Analysis'!AD$7-'Financial Analysis'!AD$8)+OPEX!$E$11*'Financial Analysis'!AD$8</f>
        <v>#REF!</v>
      </c>
      <c r="AE78" s="69" t="e">
        <f>OPEX!$C$11*('Financial Analysis'!AE$6-'Financial Analysis'!AE$7)+OPEX!$D$11*('Financial Analysis'!AE$7-'Financial Analysis'!AE$8)+OPEX!$E$11*'Financial Analysis'!AE$8</f>
        <v>#REF!</v>
      </c>
      <c r="AF78" s="69" t="e">
        <f>OPEX!$C$11*('Financial Analysis'!AF$6-'Financial Analysis'!AF$7)+OPEX!$D$11*('Financial Analysis'!AF$7-'Financial Analysis'!AF$8)+OPEX!$E$11*'Financial Analysis'!AF$8</f>
        <v>#REF!</v>
      </c>
      <c r="AG78" s="69" t="e">
        <f>OPEX!$C$11*('Financial Analysis'!AG$6-'Financial Analysis'!AG$7)+OPEX!$D$11*('Financial Analysis'!AG$7-'Financial Analysis'!AG$8)+OPEX!$E$11*'Financial Analysis'!AG$8</f>
        <v>#REF!</v>
      </c>
      <c r="AH78" s="69" t="e">
        <f>OPEX!$C$11*('Financial Analysis'!AH$6-'Financial Analysis'!AH$7)+OPEX!$D$11*('Financial Analysis'!AH$7-'Financial Analysis'!AH$8)+OPEX!$E$11*'Financial Analysis'!AH$8</f>
        <v>#REF!</v>
      </c>
      <c r="AI78" s="69" t="e">
        <f>OPEX!$C$11*('Financial Analysis'!AI$6-'Financial Analysis'!AI$7)+OPEX!$D$11*('Financial Analysis'!AI$7-'Financial Analysis'!AI$8)+OPEX!$E$11*'Financial Analysis'!AI$8</f>
        <v>#REF!</v>
      </c>
      <c r="AJ78" s="69" t="e">
        <f>OPEX!$C$11*('Financial Analysis'!AJ$6-'Financial Analysis'!AJ$7)+OPEX!$D$11*('Financial Analysis'!AJ$7-'Financial Analysis'!AJ$8)+OPEX!$E$11*'Financial Analysis'!AJ$8</f>
        <v>#REF!</v>
      </c>
      <c r="AK78" s="69" t="e">
        <f>OPEX!$C$11*('Financial Analysis'!AK$6-'Financial Analysis'!AK$7)+OPEX!$D$11*('Financial Analysis'!AK$7-'Financial Analysis'!AK$8)+OPEX!$E$11*'Financial Analysis'!AK$8</f>
        <v>#REF!</v>
      </c>
      <c r="AL78" s="69" t="e">
        <f>OPEX!$C$11*('Financial Analysis'!AL$6-'Financial Analysis'!AL$7)+OPEX!$D$11*('Financial Analysis'!AL$7-'Financial Analysis'!AL$8)+OPEX!$E$11*'Financial Analysis'!AL$8</f>
        <v>#REF!</v>
      </c>
      <c r="AM78" s="69" t="e">
        <f>OPEX!$C$11*('Financial Analysis'!AM$6-'Financial Analysis'!AM$7)+OPEX!$D$11*('Financial Analysis'!AM$7-'Financial Analysis'!AM$8)+OPEX!$E$11*'Financial Analysis'!AM$8</f>
        <v>#REF!</v>
      </c>
      <c r="AN78" s="69" t="e">
        <f>OPEX!$C$11*('Financial Analysis'!AN$6-'Financial Analysis'!AN$7)+OPEX!$D$11*('Financial Analysis'!AN$7-'Financial Analysis'!AN$8)+OPEX!$E$11*'Financial Analysis'!AN$8</f>
        <v>#REF!</v>
      </c>
      <c r="AO78" s="69" t="e">
        <f>OPEX!$C$11*('Financial Analysis'!AO$6-'Financial Analysis'!AO$7)+OPEX!$D$11*('Financial Analysis'!AO$7-'Financial Analysis'!AO$8)+OPEX!$E$11*'Financial Analysis'!AO$8</f>
        <v>#REF!</v>
      </c>
      <c r="AP78" s="69" t="e">
        <f>OPEX!$C$11*('Financial Analysis'!AP$6-'Financial Analysis'!AP$7)+OPEX!$D$11*('Financial Analysis'!AP$7-'Financial Analysis'!AP$8)+OPEX!$E$11*'Financial Analysis'!AP$8</f>
        <v>#REF!</v>
      </c>
      <c r="AQ78" s="69" t="e">
        <f>OPEX!$C$11*('Financial Analysis'!AQ$6-'Financial Analysis'!AQ$7)+OPEX!$D$11*('Financial Analysis'!AQ$7-'Financial Analysis'!AQ$8)+OPEX!$E$11*'Financial Analysis'!AQ$8</f>
        <v>#REF!</v>
      </c>
      <c r="AR78" s="69" t="e">
        <f>OPEX!$C$11*('Financial Analysis'!AR$6-'Financial Analysis'!AR$7)+OPEX!$D$11*('Financial Analysis'!AR$7-'Financial Analysis'!AR$8)+OPEX!$E$11*'Financial Analysis'!AR$8</f>
        <v>#REF!</v>
      </c>
      <c r="AS78" s="69" t="e">
        <f>OPEX!$C$11*('Financial Analysis'!AS$6-'Financial Analysis'!AS$7)+OPEX!$D$11*('Financial Analysis'!AS$7-'Financial Analysis'!AS$8)+OPEX!$E$11*'Financial Analysis'!AS$8</f>
        <v>#REF!</v>
      </c>
      <c r="AT78" s="69" t="e">
        <f>OPEX!$C$11*('Financial Analysis'!AT$6-'Financial Analysis'!AT$7)+OPEX!$D$11*('Financial Analysis'!AT$7-'Financial Analysis'!AT$8)+OPEX!$E$11*'Financial Analysis'!AT$8</f>
        <v>#REF!</v>
      </c>
      <c r="AU78" s="69" t="e">
        <f>OPEX!$C$11*('Financial Analysis'!AU$6-'Financial Analysis'!AU$7)+OPEX!$D$11*('Financial Analysis'!AU$7-'Financial Analysis'!AU$8)+OPEX!$E$11*'Financial Analysis'!AU$8</f>
        <v>#REF!</v>
      </c>
      <c r="AV78" s="69" t="e">
        <f>OPEX!$C$11*('Financial Analysis'!AV$6-'Financial Analysis'!AV$7)+OPEX!$D$11*('Financial Analysis'!AV$7-'Financial Analysis'!AV$8)+OPEX!$E$11*'Financial Analysis'!AV$8</f>
        <v>#REF!</v>
      </c>
      <c r="AW78" s="69" t="e">
        <f>OPEX!$C$11*('Financial Analysis'!AW$6-'Financial Analysis'!AW$7)+OPEX!$D$11*('Financial Analysis'!AW$7-'Financial Analysis'!AW$8)+OPEX!$E$11*'Financial Analysis'!AW$8</f>
        <v>#REF!</v>
      </c>
      <c r="AX78" s="69" t="e">
        <f>OPEX!$C$11*('Financial Analysis'!AX$6-'Financial Analysis'!AX$7)+OPEX!$D$11*('Financial Analysis'!AX$7-'Financial Analysis'!AX$8)+OPEX!$E$11*'Financial Analysis'!AX$8</f>
        <v>#REF!</v>
      </c>
      <c r="AY78" s="69" t="e">
        <f>OPEX!$C$11*('Financial Analysis'!AY$6-'Financial Analysis'!AY$7)+OPEX!$D$11*('Financial Analysis'!AY$7-'Financial Analysis'!AY$8)+OPEX!$E$11*'Financial Analysis'!AY$8</f>
        <v>#REF!</v>
      </c>
      <c r="AZ78" s="69" t="e">
        <f>OPEX!$C$11*('Financial Analysis'!AZ$6-'Financial Analysis'!AZ$7)+OPEX!$D$11*('Financial Analysis'!AZ$7-'Financial Analysis'!AZ$8)+OPEX!$E$11*'Financial Analysis'!AZ$8</f>
        <v>#REF!</v>
      </c>
      <c r="BA78" s="69" t="e">
        <f>OPEX!$C$11*('Financial Analysis'!BA$6-'Financial Analysis'!BA$7)+OPEX!$D$11*('Financial Analysis'!BA$7-'Financial Analysis'!BA$8)+OPEX!$E$11*'Financial Analysis'!BA$8</f>
        <v>#REF!</v>
      </c>
      <c r="BB78" s="69" t="e">
        <f>OPEX!$C$11*('Financial Analysis'!BB$6-'Financial Analysis'!BB$7)+OPEX!$D$11*('Financial Analysis'!BB$7-'Financial Analysis'!BB$8)+OPEX!$E$11*'Financial Analysis'!BB$8</f>
        <v>#REF!</v>
      </c>
      <c r="BC78" s="69" t="e">
        <f>OPEX!$C$11*('Financial Analysis'!BC$6-'Financial Analysis'!BC$7)+OPEX!$D$11*('Financial Analysis'!BC$7-'Financial Analysis'!BC$8)+OPEX!$E$11*'Financial Analysis'!BC$8</f>
        <v>#REF!</v>
      </c>
      <c r="BD78" s="69" t="e">
        <f>OPEX!$C$11*('Financial Analysis'!BD$6-'Financial Analysis'!BD$7)+OPEX!$D$11*('Financial Analysis'!BD$7-'Financial Analysis'!BD$8)+OPEX!$E$11*'Financial Analysis'!BD$8</f>
        <v>#REF!</v>
      </c>
      <c r="BE78" s="69" t="e">
        <f>OPEX!$C$11*('Financial Analysis'!BE$6-'Financial Analysis'!BE$7)+OPEX!$D$11*('Financial Analysis'!BE$7-'Financial Analysis'!BE$8)+OPEX!$E$11*'Financial Analysis'!BE$8</f>
        <v>#REF!</v>
      </c>
      <c r="BF78" s="69" t="e">
        <f>OPEX!$C$11*('Financial Analysis'!BF$6-'Financial Analysis'!BF$7)+OPEX!$D$11*('Financial Analysis'!BF$7-'Financial Analysis'!BF$8)+OPEX!$E$11*'Financial Analysis'!BF$8</f>
        <v>#REF!</v>
      </c>
      <c r="BG78" s="69" t="e">
        <f>OPEX!$C$11*('Financial Analysis'!BG$6-'Financial Analysis'!BG$7)+OPEX!$D$11*('Financial Analysis'!BG$7-'Financial Analysis'!BG$8)+OPEX!$E$11*'Financial Analysis'!BG$8</f>
        <v>#REF!</v>
      </c>
      <c r="BH78" s="69" t="e">
        <f>OPEX!$C$11*('Financial Analysis'!BH$6-'Financial Analysis'!BH$7)+OPEX!$D$11*('Financial Analysis'!BH$7-'Financial Analysis'!BH$8)+OPEX!$E$11*'Financial Analysis'!BH$8</f>
        <v>#REF!</v>
      </c>
      <c r="BI78" s="69" t="e">
        <f>OPEX!$C$11*('Financial Analysis'!BI$6-'Financial Analysis'!BI$7)+OPEX!$D$11*('Financial Analysis'!BI$7-'Financial Analysis'!BI$8)+OPEX!$E$11*'Financial Analysis'!BI$8</f>
        <v>#REF!</v>
      </c>
      <c r="BJ78" s="69" t="e">
        <f>OPEX!$C$11*('Financial Analysis'!BJ$6-'Financial Analysis'!BJ$7)+OPEX!$D$11*('Financial Analysis'!BJ$7-'Financial Analysis'!BJ$8)+OPEX!$E$11*'Financial Analysis'!BJ$8</f>
        <v>#REF!</v>
      </c>
      <c r="BK78" s="69" t="e">
        <f>OPEX!$C$11*('Financial Analysis'!BK$6-'Financial Analysis'!BK$7)+OPEX!$D$11*('Financial Analysis'!BK$7-'Financial Analysis'!BK$8)+OPEX!$E$11*'Financial Analysis'!BK$8</f>
        <v>#REF!</v>
      </c>
      <c r="BL78" s="69" t="e">
        <f>OPEX!$C$11*('Financial Analysis'!BL$6-'Financial Analysis'!BL$7)+OPEX!$D$11*('Financial Analysis'!BL$7-'Financial Analysis'!BL$8)+OPEX!$E$11*'Financial Analysis'!BL$8</f>
        <v>#REF!</v>
      </c>
    </row>
    <row r="79" spans="2:64">
      <c r="B79" s="146" t="s">
        <v>446</v>
      </c>
      <c r="E79" s="69" t="e">
        <f>OPEX!$C$12*('Financial Analysis'!E$6-'Financial Analysis'!E$7)+OPEX!$D$12*('Financial Analysis'!E$7-'Financial Analysis'!E$8)+OPEX!$E$12*'Financial Analysis'!E$8</f>
        <v>#REF!</v>
      </c>
      <c r="F79" s="69" t="e">
        <f>OPEX!$C$12*('Financial Analysis'!F$6-'Financial Analysis'!F$7)+OPEX!$D$12*('Financial Analysis'!F$7-'Financial Analysis'!F$8)+OPEX!$E$12*'Financial Analysis'!F$8</f>
        <v>#REF!</v>
      </c>
      <c r="G79" s="69" t="e">
        <f>OPEX!$C$12*('Financial Analysis'!G$6-'Financial Analysis'!G$7)+OPEX!$D$12*('Financial Analysis'!G$7-'Financial Analysis'!G$8)+OPEX!$E$12*'Financial Analysis'!G$8</f>
        <v>#REF!</v>
      </c>
      <c r="H79" s="69" t="e">
        <f>OPEX!$C$12*('Financial Analysis'!H$6-'Financial Analysis'!H$7)+OPEX!$D$12*('Financial Analysis'!H$7-'Financial Analysis'!H$8)+OPEX!$E$12*'Financial Analysis'!H$8</f>
        <v>#REF!</v>
      </c>
      <c r="I79" s="69" t="e">
        <f>OPEX!$C$12*('Financial Analysis'!I$6-'Financial Analysis'!I$7)+OPEX!$D$12*('Financial Analysis'!I$7-'Financial Analysis'!I$8)+OPEX!$E$12*'Financial Analysis'!I$8</f>
        <v>#REF!</v>
      </c>
      <c r="J79" s="69" t="e">
        <f>OPEX!$C$12*('Financial Analysis'!J$6-'Financial Analysis'!J$7)+OPEX!$D$12*('Financial Analysis'!J$7-'Financial Analysis'!J$8)+OPEX!$E$12*'Financial Analysis'!J$8</f>
        <v>#REF!</v>
      </c>
      <c r="K79" s="69" t="e">
        <f>OPEX!$C$12*('Financial Analysis'!K$6-'Financial Analysis'!K$7)+OPEX!$D$12*('Financial Analysis'!K$7-'Financial Analysis'!K$8)+OPEX!$E$12*'Financial Analysis'!K$8</f>
        <v>#REF!</v>
      </c>
      <c r="L79" s="69" t="e">
        <f>OPEX!$C$12*('Financial Analysis'!L$6-'Financial Analysis'!L$7)+OPEX!$D$12*('Financial Analysis'!L$7-'Financial Analysis'!L$8)+OPEX!$E$12*'Financial Analysis'!L$8</f>
        <v>#REF!</v>
      </c>
      <c r="M79" s="69" t="e">
        <f>OPEX!$C$12*('Financial Analysis'!M$6-'Financial Analysis'!M$7)+OPEX!$D$12*('Financial Analysis'!M$7-'Financial Analysis'!M$8)+OPEX!$E$12*'Financial Analysis'!M$8</f>
        <v>#REF!</v>
      </c>
      <c r="N79" s="69" t="e">
        <f>OPEX!$C$12*('Financial Analysis'!N$6-'Financial Analysis'!N$7)+OPEX!$D$12*('Financial Analysis'!N$7-'Financial Analysis'!N$8)+OPEX!$E$12*'Financial Analysis'!N$8</f>
        <v>#REF!</v>
      </c>
      <c r="O79" s="69" t="e">
        <f>OPEX!$C$12*('Financial Analysis'!O$6-'Financial Analysis'!O$7)+OPEX!$D$12*('Financial Analysis'!O$7-'Financial Analysis'!O$8)+OPEX!$E$12*'Financial Analysis'!O$8</f>
        <v>#REF!</v>
      </c>
      <c r="P79" s="69" t="e">
        <f>OPEX!$C$12*('Financial Analysis'!P$6-'Financial Analysis'!P$7)+OPEX!$D$12*('Financial Analysis'!P$7-'Financial Analysis'!P$8)+OPEX!$E$12*'Financial Analysis'!P$8</f>
        <v>#REF!</v>
      </c>
      <c r="Q79" s="69" t="e">
        <f>OPEX!$C$12*('Financial Analysis'!Q$6-'Financial Analysis'!Q$7)+OPEX!$D$12*('Financial Analysis'!Q$7-'Financial Analysis'!Q$8)+OPEX!$E$12*'Financial Analysis'!Q$8</f>
        <v>#REF!</v>
      </c>
      <c r="R79" s="69" t="e">
        <f>OPEX!$C$12*('Financial Analysis'!R$6-'Financial Analysis'!R$7)+OPEX!$D$12*('Financial Analysis'!R$7-'Financial Analysis'!R$8)+OPEX!$E$12*'Financial Analysis'!R$8</f>
        <v>#REF!</v>
      </c>
      <c r="S79" s="69" t="e">
        <f>OPEX!$C$12*('Financial Analysis'!S$6-'Financial Analysis'!S$7)+OPEX!$D$12*('Financial Analysis'!S$7-'Financial Analysis'!S$8)+OPEX!$E$12*'Financial Analysis'!S$8</f>
        <v>#REF!</v>
      </c>
      <c r="T79" s="69" t="e">
        <f>OPEX!$C$12*('Financial Analysis'!T$6-'Financial Analysis'!T$7)+OPEX!$D$12*('Financial Analysis'!T$7-'Financial Analysis'!T$8)+OPEX!$E$12*'Financial Analysis'!T$8</f>
        <v>#REF!</v>
      </c>
      <c r="U79" s="69" t="e">
        <f>OPEX!$C$12*('Financial Analysis'!U$6-'Financial Analysis'!U$7)+OPEX!$D$12*('Financial Analysis'!U$7-'Financial Analysis'!U$8)+OPEX!$E$12*'Financial Analysis'!U$8</f>
        <v>#REF!</v>
      </c>
      <c r="V79" s="69" t="e">
        <f>OPEX!$C$12*('Financial Analysis'!V$6-'Financial Analysis'!V$7)+OPEX!$D$12*('Financial Analysis'!V$7-'Financial Analysis'!V$8)+OPEX!$E$12*'Financial Analysis'!V$8</f>
        <v>#REF!</v>
      </c>
      <c r="W79" s="69" t="e">
        <f>OPEX!$C$12*('Financial Analysis'!W$6-'Financial Analysis'!W$7)+OPEX!$D$12*('Financial Analysis'!W$7-'Financial Analysis'!W$8)+OPEX!$E$12*'Financial Analysis'!W$8</f>
        <v>#REF!</v>
      </c>
      <c r="X79" s="69" t="e">
        <f>OPEX!$C$12*('Financial Analysis'!X$6-'Financial Analysis'!X$7)+OPEX!$D$12*('Financial Analysis'!X$7-'Financial Analysis'!X$8)+OPEX!$E$12*'Financial Analysis'!X$8</f>
        <v>#REF!</v>
      </c>
      <c r="Y79" s="69" t="e">
        <f>OPEX!$C$12*('Financial Analysis'!Y$6-'Financial Analysis'!Y$7)+OPEX!$D$12*('Financial Analysis'!Y$7-'Financial Analysis'!Y$8)+OPEX!$E$12*'Financial Analysis'!Y$8</f>
        <v>#REF!</v>
      </c>
      <c r="Z79" s="69" t="e">
        <f>OPEX!$C$12*('Financial Analysis'!Z$6-'Financial Analysis'!Z$7)+OPEX!$D$12*('Financial Analysis'!Z$7-'Financial Analysis'!Z$8)+OPEX!$E$12*'Financial Analysis'!Z$8</f>
        <v>#REF!</v>
      </c>
      <c r="AA79" s="69" t="e">
        <f>OPEX!$C$12*('Financial Analysis'!AA$6-'Financial Analysis'!AA$7)+OPEX!$D$12*('Financial Analysis'!AA$7-'Financial Analysis'!AA$8)+OPEX!$E$12*'Financial Analysis'!AA$8</f>
        <v>#REF!</v>
      </c>
      <c r="AB79" s="69" t="e">
        <f>OPEX!$C$12*('Financial Analysis'!AB$6-'Financial Analysis'!AB$7)+OPEX!$D$12*('Financial Analysis'!AB$7-'Financial Analysis'!AB$8)+OPEX!$E$12*'Financial Analysis'!AB$8</f>
        <v>#REF!</v>
      </c>
      <c r="AC79" s="69" t="e">
        <f>OPEX!$C$12*('Financial Analysis'!AC$6-'Financial Analysis'!AC$7)+OPEX!$D$12*('Financial Analysis'!AC$7-'Financial Analysis'!AC$8)+OPEX!$E$12*'Financial Analysis'!AC$8</f>
        <v>#REF!</v>
      </c>
      <c r="AD79" s="69" t="e">
        <f>OPEX!$C$12*('Financial Analysis'!AD$6-'Financial Analysis'!AD$7)+OPEX!$D$12*('Financial Analysis'!AD$7-'Financial Analysis'!AD$8)+OPEX!$E$12*'Financial Analysis'!AD$8</f>
        <v>#REF!</v>
      </c>
      <c r="AE79" s="69" t="e">
        <f>OPEX!$C$12*('Financial Analysis'!AE$6-'Financial Analysis'!AE$7)+OPEX!$D$12*('Financial Analysis'!AE$7-'Financial Analysis'!AE$8)+OPEX!$E$12*'Financial Analysis'!AE$8</f>
        <v>#REF!</v>
      </c>
      <c r="AF79" s="69" t="e">
        <f>OPEX!$C$12*('Financial Analysis'!AF$6-'Financial Analysis'!AF$7)+OPEX!$D$12*('Financial Analysis'!AF$7-'Financial Analysis'!AF$8)+OPEX!$E$12*'Financial Analysis'!AF$8</f>
        <v>#REF!</v>
      </c>
      <c r="AG79" s="69" t="e">
        <f>OPEX!$C$12*('Financial Analysis'!AG$6-'Financial Analysis'!AG$7)+OPEX!$D$12*('Financial Analysis'!AG$7-'Financial Analysis'!AG$8)+OPEX!$E$12*'Financial Analysis'!AG$8</f>
        <v>#REF!</v>
      </c>
      <c r="AH79" s="69" t="e">
        <f>OPEX!$C$12*('Financial Analysis'!AH$6-'Financial Analysis'!AH$7)+OPEX!$D$12*('Financial Analysis'!AH$7-'Financial Analysis'!AH$8)+OPEX!$E$12*'Financial Analysis'!AH$8</f>
        <v>#REF!</v>
      </c>
      <c r="AI79" s="69" t="e">
        <f>OPEX!$C$12*('Financial Analysis'!AI$6-'Financial Analysis'!AI$7)+OPEX!$D$12*('Financial Analysis'!AI$7-'Financial Analysis'!AI$8)+OPEX!$E$12*'Financial Analysis'!AI$8</f>
        <v>#REF!</v>
      </c>
      <c r="AJ79" s="69" t="e">
        <f>OPEX!$C$12*('Financial Analysis'!AJ$6-'Financial Analysis'!AJ$7)+OPEX!$D$12*('Financial Analysis'!AJ$7-'Financial Analysis'!AJ$8)+OPEX!$E$12*'Financial Analysis'!AJ$8</f>
        <v>#REF!</v>
      </c>
      <c r="AK79" s="69" t="e">
        <f>OPEX!$C$12*('Financial Analysis'!AK$6-'Financial Analysis'!AK$7)+OPEX!$D$12*('Financial Analysis'!AK$7-'Financial Analysis'!AK$8)+OPEX!$E$12*'Financial Analysis'!AK$8</f>
        <v>#REF!</v>
      </c>
      <c r="AL79" s="69" t="e">
        <f>OPEX!$C$12*('Financial Analysis'!AL$6-'Financial Analysis'!AL$7)+OPEX!$D$12*('Financial Analysis'!AL$7-'Financial Analysis'!AL$8)+OPEX!$E$12*'Financial Analysis'!AL$8</f>
        <v>#REF!</v>
      </c>
      <c r="AM79" s="69" t="e">
        <f>OPEX!$C$12*('Financial Analysis'!AM$6-'Financial Analysis'!AM$7)+OPEX!$D$12*('Financial Analysis'!AM$7-'Financial Analysis'!AM$8)+OPEX!$E$12*'Financial Analysis'!AM$8</f>
        <v>#REF!</v>
      </c>
      <c r="AN79" s="69" t="e">
        <f>OPEX!$C$12*('Financial Analysis'!AN$6-'Financial Analysis'!AN$7)+OPEX!$D$12*('Financial Analysis'!AN$7-'Financial Analysis'!AN$8)+OPEX!$E$12*'Financial Analysis'!AN$8</f>
        <v>#REF!</v>
      </c>
      <c r="AO79" s="69" t="e">
        <f>OPEX!$C$12*('Financial Analysis'!AO$6-'Financial Analysis'!AO$7)+OPEX!$D$12*('Financial Analysis'!AO$7-'Financial Analysis'!AO$8)+OPEX!$E$12*'Financial Analysis'!AO$8</f>
        <v>#REF!</v>
      </c>
      <c r="AP79" s="69" t="e">
        <f>OPEX!$C$12*('Financial Analysis'!AP$6-'Financial Analysis'!AP$7)+OPEX!$D$12*('Financial Analysis'!AP$7-'Financial Analysis'!AP$8)+OPEX!$E$12*'Financial Analysis'!AP$8</f>
        <v>#REF!</v>
      </c>
      <c r="AQ79" s="69" t="e">
        <f>OPEX!$C$12*('Financial Analysis'!AQ$6-'Financial Analysis'!AQ$7)+OPEX!$D$12*('Financial Analysis'!AQ$7-'Financial Analysis'!AQ$8)+OPEX!$E$12*'Financial Analysis'!AQ$8</f>
        <v>#REF!</v>
      </c>
      <c r="AR79" s="69" t="e">
        <f>OPEX!$C$12*('Financial Analysis'!AR$6-'Financial Analysis'!AR$7)+OPEX!$D$12*('Financial Analysis'!AR$7-'Financial Analysis'!AR$8)+OPEX!$E$12*'Financial Analysis'!AR$8</f>
        <v>#REF!</v>
      </c>
      <c r="AS79" s="69" t="e">
        <f>OPEX!$C$12*('Financial Analysis'!AS$6-'Financial Analysis'!AS$7)+OPEX!$D$12*('Financial Analysis'!AS$7-'Financial Analysis'!AS$8)+OPEX!$E$12*'Financial Analysis'!AS$8</f>
        <v>#REF!</v>
      </c>
      <c r="AT79" s="69" t="e">
        <f>OPEX!$C$12*('Financial Analysis'!AT$6-'Financial Analysis'!AT$7)+OPEX!$D$12*('Financial Analysis'!AT$7-'Financial Analysis'!AT$8)+OPEX!$E$12*'Financial Analysis'!AT$8</f>
        <v>#REF!</v>
      </c>
      <c r="AU79" s="69" t="e">
        <f>OPEX!$C$12*('Financial Analysis'!AU$6-'Financial Analysis'!AU$7)+OPEX!$D$12*('Financial Analysis'!AU$7-'Financial Analysis'!AU$8)+OPEX!$E$12*'Financial Analysis'!AU$8</f>
        <v>#REF!</v>
      </c>
      <c r="AV79" s="69" t="e">
        <f>OPEX!$C$12*('Financial Analysis'!AV$6-'Financial Analysis'!AV$7)+OPEX!$D$12*('Financial Analysis'!AV$7-'Financial Analysis'!AV$8)+OPEX!$E$12*'Financial Analysis'!AV$8</f>
        <v>#REF!</v>
      </c>
      <c r="AW79" s="69" t="e">
        <f>OPEX!$C$12*('Financial Analysis'!AW$6-'Financial Analysis'!AW$7)+OPEX!$D$12*('Financial Analysis'!AW$7-'Financial Analysis'!AW$8)+OPEX!$E$12*'Financial Analysis'!AW$8</f>
        <v>#REF!</v>
      </c>
      <c r="AX79" s="69" t="e">
        <f>OPEX!$C$12*('Financial Analysis'!AX$6-'Financial Analysis'!AX$7)+OPEX!$D$12*('Financial Analysis'!AX$7-'Financial Analysis'!AX$8)+OPEX!$E$12*'Financial Analysis'!AX$8</f>
        <v>#REF!</v>
      </c>
      <c r="AY79" s="69" t="e">
        <f>OPEX!$C$12*('Financial Analysis'!AY$6-'Financial Analysis'!AY$7)+OPEX!$D$12*('Financial Analysis'!AY$7-'Financial Analysis'!AY$8)+OPEX!$E$12*'Financial Analysis'!AY$8</f>
        <v>#REF!</v>
      </c>
      <c r="AZ79" s="69" t="e">
        <f>OPEX!$C$12*('Financial Analysis'!AZ$6-'Financial Analysis'!AZ$7)+OPEX!$D$12*('Financial Analysis'!AZ$7-'Financial Analysis'!AZ$8)+OPEX!$E$12*'Financial Analysis'!AZ$8</f>
        <v>#REF!</v>
      </c>
      <c r="BA79" s="69" t="e">
        <f>OPEX!$C$12*('Financial Analysis'!BA$6-'Financial Analysis'!BA$7)+OPEX!$D$12*('Financial Analysis'!BA$7-'Financial Analysis'!BA$8)+OPEX!$E$12*'Financial Analysis'!BA$8</f>
        <v>#REF!</v>
      </c>
      <c r="BB79" s="69" t="e">
        <f>OPEX!$C$12*('Financial Analysis'!BB$6-'Financial Analysis'!BB$7)+OPEX!$D$12*('Financial Analysis'!BB$7-'Financial Analysis'!BB$8)+OPEX!$E$12*'Financial Analysis'!BB$8</f>
        <v>#REF!</v>
      </c>
      <c r="BC79" s="69" t="e">
        <f>OPEX!$C$12*('Financial Analysis'!BC$6-'Financial Analysis'!BC$7)+OPEX!$D$12*('Financial Analysis'!BC$7-'Financial Analysis'!BC$8)+OPEX!$E$12*'Financial Analysis'!BC$8</f>
        <v>#REF!</v>
      </c>
      <c r="BD79" s="69" t="e">
        <f>OPEX!$C$12*('Financial Analysis'!BD$6-'Financial Analysis'!BD$7)+OPEX!$D$12*('Financial Analysis'!BD$7-'Financial Analysis'!BD$8)+OPEX!$E$12*'Financial Analysis'!BD$8</f>
        <v>#REF!</v>
      </c>
      <c r="BE79" s="69" t="e">
        <f>OPEX!$C$12*('Financial Analysis'!BE$6-'Financial Analysis'!BE$7)+OPEX!$D$12*('Financial Analysis'!BE$7-'Financial Analysis'!BE$8)+OPEX!$E$12*'Financial Analysis'!BE$8</f>
        <v>#REF!</v>
      </c>
      <c r="BF79" s="69" t="e">
        <f>OPEX!$C$12*('Financial Analysis'!BF$6-'Financial Analysis'!BF$7)+OPEX!$D$12*('Financial Analysis'!BF$7-'Financial Analysis'!BF$8)+OPEX!$E$12*'Financial Analysis'!BF$8</f>
        <v>#REF!</v>
      </c>
      <c r="BG79" s="69" t="e">
        <f>OPEX!$C$12*('Financial Analysis'!BG$6-'Financial Analysis'!BG$7)+OPEX!$D$12*('Financial Analysis'!BG$7-'Financial Analysis'!BG$8)+OPEX!$E$12*'Financial Analysis'!BG$8</f>
        <v>#REF!</v>
      </c>
      <c r="BH79" s="69" t="e">
        <f>OPEX!$C$12*('Financial Analysis'!BH$6-'Financial Analysis'!BH$7)+OPEX!$D$12*('Financial Analysis'!BH$7-'Financial Analysis'!BH$8)+OPEX!$E$12*'Financial Analysis'!BH$8</f>
        <v>#REF!</v>
      </c>
      <c r="BI79" s="69" t="e">
        <f>OPEX!$C$12*('Financial Analysis'!BI$6-'Financial Analysis'!BI$7)+OPEX!$D$12*('Financial Analysis'!BI$7-'Financial Analysis'!BI$8)+OPEX!$E$12*'Financial Analysis'!BI$8</f>
        <v>#REF!</v>
      </c>
      <c r="BJ79" s="69" t="e">
        <f>OPEX!$C$12*('Financial Analysis'!BJ$6-'Financial Analysis'!BJ$7)+OPEX!$D$12*('Financial Analysis'!BJ$7-'Financial Analysis'!BJ$8)+OPEX!$E$12*'Financial Analysis'!BJ$8</f>
        <v>#REF!</v>
      </c>
      <c r="BK79" s="69" t="e">
        <f>OPEX!$C$12*('Financial Analysis'!BK$6-'Financial Analysis'!BK$7)+OPEX!$D$12*('Financial Analysis'!BK$7-'Financial Analysis'!BK$8)+OPEX!$E$12*'Financial Analysis'!BK$8</f>
        <v>#REF!</v>
      </c>
      <c r="BL79" s="69" t="e">
        <f>OPEX!$C$12*('Financial Analysis'!BL$6-'Financial Analysis'!BL$7)+OPEX!$D$12*('Financial Analysis'!BL$7-'Financial Analysis'!BL$8)+OPEX!$E$12*'Financial Analysis'!BL$8</f>
        <v>#REF!</v>
      </c>
    </row>
    <row r="80" spans="2:64">
      <c r="B80" s="146" t="s">
        <v>333</v>
      </c>
      <c r="E80" s="69">
        <f>OPEX!$C$13*('Financial Analysis'!E$6-'Financial Analysis'!E$7)+OPEX!$D$13*('Financial Analysis'!E$7-'Financial Analysis'!E$8)+OPEX!$E$13*'Financial Analysis'!E$8</f>
        <v>232378.60080178021</v>
      </c>
      <c r="F80" s="69">
        <f>OPEX!$C$13*('Financial Analysis'!F$6-'Financial Analysis'!F$7)+OPEX!$D$13*('Financial Analysis'!F$7-'Financial Analysis'!F$8)+OPEX!$E$13*'Financial Analysis'!F$8</f>
        <v>232378.60080178021</v>
      </c>
      <c r="G80" s="69">
        <f>OPEX!$C$13*('Financial Analysis'!G$6-'Financial Analysis'!G$7)+OPEX!$D$13*('Financial Analysis'!G$7-'Financial Analysis'!G$8)+OPEX!$E$13*'Financial Analysis'!G$8</f>
        <v>232378.60080178021</v>
      </c>
      <c r="H80" s="69">
        <f>OPEX!$C$13*('Financial Analysis'!H$6-'Financial Analysis'!H$7)+OPEX!$D$13*('Financial Analysis'!H$7-'Financial Analysis'!H$8)+OPEX!$E$13*'Financial Analysis'!H$8</f>
        <v>232378.60080178021</v>
      </c>
      <c r="I80" s="69">
        <f>OPEX!$C$13*('Financial Analysis'!I$6-'Financial Analysis'!I$7)+OPEX!$D$13*('Financial Analysis'!I$7-'Financial Analysis'!I$8)+OPEX!$E$13*'Financial Analysis'!I$8</f>
        <v>232378.60080178021</v>
      </c>
      <c r="J80" s="69">
        <f>OPEX!$C$13*('Financial Analysis'!J$6-'Financial Analysis'!J$7)+OPEX!$D$13*('Financial Analysis'!J$7-'Financial Analysis'!J$8)+OPEX!$E$13*'Financial Analysis'!J$8</f>
        <v>259938.06849958247</v>
      </c>
      <c r="K80" s="69">
        <f>OPEX!$C$13*('Financial Analysis'!K$6-'Financial Analysis'!K$7)+OPEX!$D$13*('Financial Analysis'!K$7-'Financial Analysis'!K$8)+OPEX!$E$13*'Financial Analysis'!K$8</f>
        <v>259938.06849958247</v>
      </c>
      <c r="L80" s="69">
        <f>OPEX!$C$13*('Financial Analysis'!L$6-'Financial Analysis'!L$7)+OPEX!$D$13*('Financial Analysis'!L$7-'Financial Analysis'!L$8)+OPEX!$E$13*'Financial Analysis'!L$8</f>
        <v>259938.06849958247</v>
      </c>
      <c r="M80" s="69">
        <f>OPEX!$C$13*('Financial Analysis'!M$6-'Financial Analysis'!M$7)+OPEX!$D$13*('Financial Analysis'!M$7-'Financial Analysis'!M$8)+OPEX!$E$13*'Financial Analysis'!M$8</f>
        <v>259938.06849958247</v>
      </c>
      <c r="N80" s="69">
        <f>OPEX!$C$13*('Financial Analysis'!N$6-'Financial Analysis'!N$7)+OPEX!$D$13*('Financial Analysis'!N$7-'Financial Analysis'!N$8)+OPEX!$E$13*'Financial Analysis'!N$8</f>
        <v>259938.06849958247</v>
      </c>
      <c r="O80" s="69">
        <f>OPEX!$C$13*('Financial Analysis'!O$6-'Financial Analysis'!O$7)+OPEX!$D$13*('Financial Analysis'!O$7-'Financial Analysis'!O$8)+OPEX!$E$13*'Financial Analysis'!O$8</f>
        <v>269324.01267692103</v>
      </c>
      <c r="P80" s="69">
        <f>OPEX!$C$13*('Financial Analysis'!P$6-'Financial Analysis'!P$7)+OPEX!$D$13*('Financial Analysis'!P$7-'Financial Analysis'!P$8)+OPEX!$E$13*'Financial Analysis'!P$8</f>
        <v>269324.01267692103</v>
      </c>
      <c r="Q80" s="69">
        <f>OPEX!$C$13*('Financial Analysis'!Q$6-'Financial Analysis'!Q$7)+OPEX!$D$13*('Financial Analysis'!Q$7-'Financial Analysis'!Q$8)+OPEX!$E$13*'Financial Analysis'!Q$8</f>
        <v>269324.01267692103</v>
      </c>
      <c r="R80" s="69">
        <f>OPEX!$C$13*('Financial Analysis'!R$6-'Financial Analysis'!R$7)+OPEX!$D$13*('Financial Analysis'!R$7-'Financial Analysis'!R$8)+OPEX!$E$13*'Financial Analysis'!R$8</f>
        <v>269324.01267692103</v>
      </c>
      <c r="S80" s="69">
        <f>OPEX!$C$13*('Financial Analysis'!S$6-'Financial Analysis'!S$7)+OPEX!$D$13*('Financial Analysis'!S$7-'Financial Analysis'!S$8)+OPEX!$E$13*'Financial Analysis'!S$8</f>
        <v>269324.01267692103</v>
      </c>
      <c r="T80" s="69">
        <f>OPEX!$C$13*('Financial Analysis'!T$6-'Financial Analysis'!T$7)+OPEX!$D$13*('Financial Analysis'!T$7-'Financial Analysis'!T$8)+OPEX!$E$13*'Financial Analysis'!T$8</f>
        <v>269324.01267692103</v>
      </c>
      <c r="U80" s="69">
        <f>OPEX!$C$13*('Financial Analysis'!U$6-'Financial Analysis'!U$7)+OPEX!$D$13*('Financial Analysis'!U$7-'Financial Analysis'!U$8)+OPEX!$E$13*'Financial Analysis'!U$8</f>
        <v>269324.01267692103</v>
      </c>
      <c r="V80" s="69">
        <f>OPEX!$C$13*('Financial Analysis'!V$6-'Financial Analysis'!V$7)+OPEX!$D$13*('Financial Analysis'!V$7-'Financial Analysis'!V$8)+OPEX!$E$13*'Financial Analysis'!V$8</f>
        <v>269324.01267692103</v>
      </c>
      <c r="W80" s="69">
        <f>OPEX!$C$13*('Financial Analysis'!W$6-'Financial Analysis'!W$7)+OPEX!$D$13*('Financial Analysis'!W$7-'Financial Analysis'!W$8)+OPEX!$E$13*'Financial Analysis'!W$8</f>
        <v>269324.01267692103</v>
      </c>
      <c r="X80" s="69">
        <f>OPEX!$C$13*('Financial Analysis'!X$6-'Financial Analysis'!X$7)+OPEX!$D$13*('Financial Analysis'!X$7-'Financial Analysis'!X$8)+OPEX!$E$13*'Financial Analysis'!X$8</f>
        <v>269324.01267692103</v>
      </c>
      <c r="Y80" s="69">
        <f>OPEX!$C$13*('Financial Analysis'!Y$6-'Financial Analysis'!Y$7)+OPEX!$D$13*('Financial Analysis'!Y$7-'Financial Analysis'!Y$8)+OPEX!$E$13*'Financial Analysis'!Y$8</f>
        <v>269324.01267692103</v>
      </c>
      <c r="Z80" s="69">
        <f>OPEX!$C$13*('Financial Analysis'!Z$6-'Financial Analysis'!Z$7)+OPEX!$D$13*('Financial Analysis'!Z$7-'Financial Analysis'!Z$8)+OPEX!$E$13*'Financial Analysis'!Z$8</f>
        <v>269324.01267692103</v>
      </c>
      <c r="AA80" s="69">
        <f>OPEX!$C$13*('Financial Analysis'!AA$6-'Financial Analysis'!AA$7)+OPEX!$D$13*('Financial Analysis'!AA$7-'Financial Analysis'!AA$8)+OPEX!$E$13*'Financial Analysis'!AA$8</f>
        <v>269324.01267692103</v>
      </c>
      <c r="AB80" s="69">
        <f>OPEX!$C$13*('Financial Analysis'!AB$6-'Financial Analysis'!AB$7)+OPEX!$D$13*('Financial Analysis'!AB$7-'Financial Analysis'!AB$8)+OPEX!$E$13*'Financial Analysis'!AB$8</f>
        <v>269324.01267692103</v>
      </c>
      <c r="AC80" s="69">
        <f>OPEX!$C$13*('Financial Analysis'!AC$6-'Financial Analysis'!AC$7)+OPEX!$D$13*('Financial Analysis'!AC$7-'Financial Analysis'!AC$8)+OPEX!$E$13*'Financial Analysis'!AC$8</f>
        <v>269324.01267692103</v>
      </c>
      <c r="AD80" s="69">
        <f>OPEX!$C$13*('Financial Analysis'!AD$6-'Financial Analysis'!AD$7)+OPEX!$D$13*('Financial Analysis'!AD$7-'Financial Analysis'!AD$8)+OPEX!$E$13*'Financial Analysis'!AD$8</f>
        <v>269324.01267692103</v>
      </c>
      <c r="AE80" s="69">
        <f>OPEX!$C$13*('Financial Analysis'!AE$6-'Financial Analysis'!AE$7)+OPEX!$D$13*('Financial Analysis'!AE$7-'Financial Analysis'!AE$8)+OPEX!$E$13*'Financial Analysis'!AE$8</f>
        <v>269324.01267692103</v>
      </c>
      <c r="AF80" s="69">
        <f>OPEX!$C$13*('Financial Analysis'!AF$6-'Financial Analysis'!AF$7)+OPEX!$D$13*('Financial Analysis'!AF$7-'Financial Analysis'!AF$8)+OPEX!$E$13*'Financial Analysis'!AF$8</f>
        <v>269324.01267692103</v>
      </c>
      <c r="AG80" s="69">
        <f>OPEX!$C$13*('Financial Analysis'!AG$6-'Financial Analysis'!AG$7)+OPEX!$D$13*('Financial Analysis'!AG$7-'Financial Analysis'!AG$8)+OPEX!$E$13*'Financial Analysis'!AG$8</f>
        <v>269324.01267692103</v>
      </c>
      <c r="AH80" s="69">
        <f>OPEX!$C$13*('Financial Analysis'!AH$6-'Financial Analysis'!AH$7)+OPEX!$D$13*('Financial Analysis'!AH$7-'Financial Analysis'!AH$8)+OPEX!$E$13*'Financial Analysis'!AH$8</f>
        <v>269324.01267692103</v>
      </c>
      <c r="AI80" s="69">
        <f>OPEX!$C$13*('Financial Analysis'!AI$6-'Financial Analysis'!AI$7)+OPEX!$D$13*('Financial Analysis'!AI$7-'Financial Analysis'!AI$8)+OPEX!$E$13*'Financial Analysis'!AI$8</f>
        <v>269324.01267692103</v>
      </c>
      <c r="AJ80" s="69">
        <f>OPEX!$C$13*('Financial Analysis'!AJ$6-'Financial Analysis'!AJ$7)+OPEX!$D$13*('Financial Analysis'!AJ$7-'Financial Analysis'!AJ$8)+OPEX!$E$13*'Financial Analysis'!AJ$8</f>
        <v>269324.01267692103</v>
      </c>
      <c r="AK80" s="69">
        <f>OPEX!$C$13*('Financial Analysis'!AK$6-'Financial Analysis'!AK$7)+OPEX!$D$13*('Financial Analysis'!AK$7-'Financial Analysis'!AK$8)+OPEX!$E$13*'Financial Analysis'!AK$8</f>
        <v>269324.01267692103</v>
      </c>
      <c r="AL80" s="69">
        <f>OPEX!$C$13*('Financial Analysis'!AL$6-'Financial Analysis'!AL$7)+OPEX!$D$13*('Financial Analysis'!AL$7-'Financial Analysis'!AL$8)+OPEX!$E$13*'Financial Analysis'!AL$8</f>
        <v>269324.01267692103</v>
      </c>
      <c r="AM80" s="69">
        <f>OPEX!$C$13*('Financial Analysis'!AM$6-'Financial Analysis'!AM$7)+OPEX!$D$13*('Financial Analysis'!AM$7-'Financial Analysis'!AM$8)+OPEX!$E$13*'Financial Analysis'!AM$8</f>
        <v>269324.01267692103</v>
      </c>
      <c r="AN80" s="69">
        <f>OPEX!$C$13*('Financial Analysis'!AN$6-'Financial Analysis'!AN$7)+OPEX!$D$13*('Financial Analysis'!AN$7-'Financial Analysis'!AN$8)+OPEX!$E$13*'Financial Analysis'!AN$8</f>
        <v>269324.01267692103</v>
      </c>
      <c r="AO80" s="69">
        <f>OPEX!$C$13*('Financial Analysis'!AO$6-'Financial Analysis'!AO$7)+OPEX!$D$13*('Financial Analysis'!AO$7-'Financial Analysis'!AO$8)+OPEX!$E$13*'Financial Analysis'!AO$8</f>
        <v>269324.01267692103</v>
      </c>
      <c r="AP80" s="69">
        <f>OPEX!$C$13*('Financial Analysis'!AP$6-'Financial Analysis'!AP$7)+OPEX!$D$13*('Financial Analysis'!AP$7-'Financial Analysis'!AP$8)+OPEX!$E$13*'Financial Analysis'!AP$8</f>
        <v>269324.01267692103</v>
      </c>
      <c r="AQ80" s="69">
        <f>OPEX!$C$13*('Financial Analysis'!AQ$6-'Financial Analysis'!AQ$7)+OPEX!$D$13*('Financial Analysis'!AQ$7-'Financial Analysis'!AQ$8)+OPEX!$E$13*'Financial Analysis'!AQ$8</f>
        <v>269324.01267692103</v>
      </c>
      <c r="AR80" s="69">
        <f>OPEX!$C$13*('Financial Analysis'!AR$6-'Financial Analysis'!AR$7)+OPEX!$D$13*('Financial Analysis'!AR$7-'Financial Analysis'!AR$8)+OPEX!$E$13*'Financial Analysis'!AR$8</f>
        <v>269324.01267692103</v>
      </c>
      <c r="AS80" s="69">
        <f>OPEX!$C$13*('Financial Analysis'!AS$6-'Financial Analysis'!AS$7)+OPEX!$D$13*('Financial Analysis'!AS$7-'Financial Analysis'!AS$8)+OPEX!$E$13*'Financial Analysis'!AS$8</f>
        <v>269324.01267692103</v>
      </c>
      <c r="AT80" s="69">
        <f>OPEX!$C$13*('Financial Analysis'!AT$6-'Financial Analysis'!AT$7)+OPEX!$D$13*('Financial Analysis'!AT$7-'Financial Analysis'!AT$8)+OPEX!$E$13*'Financial Analysis'!AT$8</f>
        <v>269324.01267692103</v>
      </c>
      <c r="AU80" s="69">
        <f>OPEX!$C$13*('Financial Analysis'!AU$6-'Financial Analysis'!AU$7)+OPEX!$D$13*('Financial Analysis'!AU$7-'Financial Analysis'!AU$8)+OPEX!$E$13*'Financial Analysis'!AU$8</f>
        <v>269324.01267692103</v>
      </c>
      <c r="AV80" s="69">
        <f>OPEX!$C$13*('Financial Analysis'!AV$6-'Financial Analysis'!AV$7)+OPEX!$D$13*('Financial Analysis'!AV$7-'Financial Analysis'!AV$8)+OPEX!$E$13*'Financial Analysis'!AV$8</f>
        <v>269324.01267692103</v>
      </c>
      <c r="AW80" s="69">
        <f>OPEX!$C$13*('Financial Analysis'!AW$6-'Financial Analysis'!AW$7)+OPEX!$D$13*('Financial Analysis'!AW$7-'Financial Analysis'!AW$8)+OPEX!$E$13*'Financial Analysis'!AW$8</f>
        <v>269324.01267692103</v>
      </c>
      <c r="AX80" s="69">
        <f>OPEX!$C$13*('Financial Analysis'!AX$6-'Financial Analysis'!AX$7)+OPEX!$D$13*('Financial Analysis'!AX$7-'Financial Analysis'!AX$8)+OPEX!$E$13*'Financial Analysis'!AX$8</f>
        <v>269324.01267692103</v>
      </c>
      <c r="AY80" s="69">
        <f>OPEX!$C$13*('Financial Analysis'!AY$6-'Financial Analysis'!AY$7)+OPEX!$D$13*('Financial Analysis'!AY$7-'Financial Analysis'!AY$8)+OPEX!$E$13*'Financial Analysis'!AY$8</f>
        <v>269324.01267692103</v>
      </c>
      <c r="AZ80" s="69">
        <f>OPEX!$C$13*('Financial Analysis'!AZ$6-'Financial Analysis'!AZ$7)+OPEX!$D$13*('Financial Analysis'!AZ$7-'Financial Analysis'!AZ$8)+OPEX!$E$13*'Financial Analysis'!AZ$8</f>
        <v>269324.01267692103</v>
      </c>
      <c r="BA80" s="69">
        <f>OPEX!$C$13*('Financial Analysis'!BA$6-'Financial Analysis'!BA$7)+OPEX!$D$13*('Financial Analysis'!BA$7-'Financial Analysis'!BA$8)+OPEX!$E$13*'Financial Analysis'!BA$8</f>
        <v>269324.01267692103</v>
      </c>
      <c r="BB80" s="69">
        <f>OPEX!$C$13*('Financial Analysis'!BB$6-'Financial Analysis'!BB$7)+OPEX!$D$13*('Financial Analysis'!BB$7-'Financial Analysis'!BB$8)+OPEX!$E$13*'Financial Analysis'!BB$8</f>
        <v>269324.01267692103</v>
      </c>
      <c r="BC80" s="69">
        <f>OPEX!$C$13*('Financial Analysis'!BC$6-'Financial Analysis'!BC$7)+OPEX!$D$13*('Financial Analysis'!BC$7-'Financial Analysis'!BC$8)+OPEX!$E$13*'Financial Analysis'!BC$8</f>
        <v>269324.01267692103</v>
      </c>
      <c r="BD80" s="69">
        <f>OPEX!$C$13*('Financial Analysis'!BD$6-'Financial Analysis'!BD$7)+OPEX!$D$13*('Financial Analysis'!BD$7-'Financial Analysis'!BD$8)+OPEX!$E$13*'Financial Analysis'!BD$8</f>
        <v>269324.01267692103</v>
      </c>
      <c r="BE80" s="69">
        <f>OPEX!$C$13*('Financial Analysis'!BE$6-'Financial Analysis'!BE$7)+OPEX!$D$13*('Financial Analysis'!BE$7-'Financial Analysis'!BE$8)+OPEX!$E$13*'Financial Analysis'!BE$8</f>
        <v>269324.01267692103</v>
      </c>
      <c r="BF80" s="69">
        <f>OPEX!$C$13*('Financial Analysis'!BF$6-'Financial Analysis'!BF$7)+OPEX!$D$13*('Financial Analysis'!BF$7-'Financial Analysis'!BF$8)+OPEX!$E$13*'Financial Analysis'!BF$8</f>
        <v>269324.01267692103</v>
      </c>
      <c r="BG80" s="69">
        <f>OPEX!$C$13*('Financial Analysis'!BG$6-'Financial Analysis'!BG$7)+OPEX!$D$13*('Financial Analysis'!BG$7-'Financial Analysis'!BG$8)+OPEX!$E$13*'Financial Analysis'!BG$8</f>
        <v>269324.01267692103</v>
      </c>
      <c r="BH80" s="69">
        <f>OPEX!$C$13*('Financial Analysis'!BH$6-'Financial Analysis'!BH$7)+OPEX!$D$13*('Financial Analysis'!BH$7-'Financial Analysis'!BH$8)+OPEX!$E$13*'Financial Analysis'!BH$8</f>
        <v>269324.01267692103</v>
      </c>
      <c r="BI80" s="69">
        <f>OPEX!$C$13*('Financial Analysis'!BI$6-'Financial Analysis'!BI$7)+OPEX!$D$13*('Financial Analysis'!BI$7-'Financial Analysis'!BI$8)+OPEX!$E$13*'Financial Analysis'!BI$8</f>
        <v>269324.01267692103</v>
      </c>
      <c r="BJ80" s="69">
        <f>OPEX!$C$13*('Financial Analysis'!BJ$6-'Financial Analysis'!BJ$7)+OPEX!$D$13*('Financial Analysis'!BJ$7-'Financial Analysis'!BJ$8)+OPEX!$E$13*'Financial Analysis'!BJ$8</f>
        <v>269324.01267692103</v>
      </c>
      <c r="BK80" s="69">
        <f>OPEX!$C$13*('Financial Analysis'!BK$6-'Financial Analysis'!BK$7)+OPEX!$D$13*('Financial Analysis'!BK$7-'Financial Analysis'!BK$8)+OPEX!$E$13*'Financial Analysis'!BK$8</f>
        <v>269324.01267692103</v>
      </c>
      <c r="BL80" s="69">
        <f>OPEX!$C$13*('Financial Analysis'!BL$6-'Financial Analysis'!BL$7)+OPEX!$D$13*('Financial Analysis'!BL$7-'Financial Analysis'!BL$8)+OPEX!$E$13*'Financial Analysis'!BL$8</f>
        <v>269324.01267692103</v>
      </c>
    </row>
    <row r="81" spans="2:64" ht="6" customHeight="1">
      <c r="B81" s="146"/>
      <c r="E81" s="69"/>
      <c r="F81" s="69"/>
      <c r="G81" s="69"/>
      <c r="H81" s="69"/>
      <c r="I81" s="69"/>
      <c r="J81" s="69"/>
      <c r="K81" s="69"/>
      <c r="L81" s="69"/>
      <c r="M81" s="69"/>
      <c r="N81" s="69"/>
      <c r="O81" s="69"/>
      <c r="P81" s="69"/>
      <c r="Q81" s="69"/>
      <c r="R81" s="69"/>
      <c r="S81" s="69"/>
      <c r="T81" s="69"/>
      <c r="U81" s="69"/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/>
      <c r="AN81" s="69"/>
      <c r="AO81" s="69"/>
      <c r="AP81" s="69"/>
      <c r="AQ81" s="69"/>
      <c r="AR81" s="69"/>
      <c r="AS81" s="69"/>
      <c r="AT81" s="69"/>
      <c r="AU81" s="69"/>
      <c r="AV81" s="69"/>
      <c r="AW81" s="69"/>
      <c r="AX81" s="69"/>
      <c r="AY81" s="69"/>
      <c r="AZ81" s="69"/>
      <c r="BA81" s="69"/>
      <c r="BB81" s="69"/>
      <c r="BC81" s="69"/>
      <c r="BD81" s="69"/>
      <c r="BE81" s="69"/>
      <c r="BF81" s="69"/>
      <c r="BG81" s="69"/>
      <c r="BH81" s="69"/>
      <c r="BI81" s="69"/>
      <c r="BJ81" s="69"/>
      <c r="BK81" s="69"/>
      <c r="BL81" s="69"/>
    </row>
    <row r="82" spans="2:64">
      <c r="B82" s="146" t="s">
        <v>334</v>
      </c>
      <c r="E82" s="69" t="e">
        <f>OPEX!$C$15*('Financial Analysis'!E$6-'Financial Analysis'!E$7)+OPEX!$D$15*('Financial Analysis'!E$7-'Financial Analysis'!E$8)+OPEX!$E$15*'Financial Analysis'!E$8</f>
        <v>#REF!</v>
      </c>
      <c r="F82" s="69" t="e">
        <f>OPEX!$C$15*('Financial Analysis'!F$6-'Financial Analysis'!F$7)+OPEX!$D$15*('Financial Analysis'!F$7-'Financial Analysis'!F$8)+OPEX!$E$15*'Financial Analysis'!F$8</f>
        <v>#REF!</v>
      </c>
      <c r="G82" s="69" t="e">
        <f>OPEX!$C$15*('Financial Analysis'!G$6-'Financial Analysis'!G$7)+OPEX!$D$15*('Financial Analysis'!G$7-'Financial Analysis'!G$8)+OPEX!$E$15*'Financial Analysis'!G$8</f>
        <v>#REF!</v>
      </c>
      <c r="H82" s="69" t="e">
        <f>OPEX!$C$15*('Financial Analysis'!H$6-'Financial Analysis'!H$7)+OPEX!$D$15*('Financial Analysis'!H$7-'Financial Analysis'!H$8)+OPEX!$E$15*'Financial Analysis'!H$8</f>
        <v>#REF!</v>
      </c>
      <c r="I82" s="69" t="e">
        <f>OPEX!$C$15*('Financial Analysis'!I$6-'Financial Analysis'!I$7)+OPEX!$D$15*('Financial Analysis'!I$7-'Financial Analysis'!I$8)+OPEX!$E$15*'Financial Analysis'!I$8</f>
        <v>#REF!</v>
      </c>
      <c r="J82" s="69" t="e">
        <f>OPEX!$C$15*('Financial Analysis'!J$6-'Financial Analysis'!J$7)+OPEX!$D$15*('Financial Analysis'!J$7-'Financial Analysis'!J$8)+OPEX!$E$15*'Financial Analysis'!J$8</f>
        <v>#REF!</v>
      </c>
      <c r="K82" s="69" t="e">
        <f>OPEX!$C$15*('Financial Analysis'!K$6-'Financial Analysis'!K$7)+OPEX!$D$15*('Financial Analysis'!K$7-'Financial Analysis'!K$8)+OPEX!$E$15*'Financial Analysis'!K$8</f>
        <v>#REF!</v>
      </c>
      <c r="L82" s="69" t="e">
        <f>OPEX!$C$15*('Financial Analysis'!L$6-'Financial Analysis'!L$7)+OPEX!$D$15*('Financial Analysis'!L$7-'Financial Analysis'!L$8)+OPEX!$E$15*'Financial Analysis'!L$8</f>
        <v>#REF!</v>
      </c>
      <c r="M82" s="69" t="e">
        <f>OPEX!$C$15*('Financial Analysis'!M$6-'Financial Analysis'!M$7)+OPEX!$D$15*('Financial Analysis'!M$7-'Financial Analysis'!M$8)+OPEX!$E$15*'Financial Analysis'!M$8</f>
        <v>#REF!</v>
      </c>
      <c r="N82" s="69" t="e">
        <f>OPEX!$C$15*('Financial Analysis'!N$6-'Financial Analysis'!N$7)+OPEX!$D$15*('Financial Analysis'!N$7-'Financial Analysis'!N$8)+OPEX!$E$15*'Financial Analysis'!N$8</f>
        <v>#REF!</v>
      </c>
      <c r="O82" s="69" t="e">
        <f>OPEX!$C$15*('Financial Analysis'!O$6-'Financial Analysis'!O$7)+OPEX!$D$15*('Financial Analysis'!O$7-'Financial Analysis'!O$8)+OPEX!$E$15*'Financial Analysis'!O$8</f>
        <v>#REF!</v>
      </c>
      <c r="P82" s="69" t="e">
        <f>OPEX!$C$15*('Financial Analysis'!P$6-'Financial Analysis'!P$7)+OPEX!$D$15*('Financial Analysis'!P$7-'Financial Analysis'!P$8)+OPEX!$E$15*'Financial Analysis'!P$8</f>
        <v>#REF!</v>
      </c>
      <c r="Q82" s="69" t="e">
        <f>OPEX!$C$15*('Financial Analysis'!Q$6-'Financial Analysis'!Q$7)+OPEX!$D$15*('Financial Analysis'!Q$7-'Financial Analysis'!Q$8)+OPEX!$E$15*'Financial Analysis'!Q$8</f>
        <v>#REF!</v>
      </c>
      <c r="R82" s="69" t="e">
        <f>OPEX!$C$15*('Financial Analysis'!R$6-'Financial Analysis'!R$7)+OPEX!$D$15*('Financial Analysis'!R$7-'Financial Analysis'!R$8)+OPEX!$E$15*'Financial Analysis'!R$8</f>
        <v>#REF!</v>
      </c>
      <c r="S82" s="69" t="e">
        <f>OPEX!$C$15*('Financial Analysis'!S$6-'Financial Analysis'!S$7)+OPEX!$D$15*('Financial Analysis'!S$7-'Financial Analysis'!S$8)+OPEX!$E$15*'Financial Analysis'!S$8</f>
        <v>#REF!</v>
      </c>
      <c r="T82" s="69" t="e">
        <f>OPEX!$C$15*('Financial Analysis'!T$6-'Financial Analysis'!T$7)+OPEX!$D$15*('Financial Analysis'!T$7-'Financial Analysis'!T$8)+OPEX!$E$15*'Financial Analysis'!T$8</f>
        <v>#REF!</v>
      </c>
      <c r="U82" s="69" t="e">
        <f>OPEX!$C$15*('Financial Analysis'!U$6-'Financial Analysis'!U$7)+OPEX!$D$15*('Financial Analysis'!U$7-'Financial Analysis'!U$8)+OPEX!$E$15*'Financial Analysis'!U$8</f>
        <v>#REF!</v>
      </c>
      <c r="V82" s="69" t="e">
        <f>OPEX!$C$15*('Financial Analysis'!V$6-'Financial Analysis'!V$7)+OPEX!$D$15*('Financial Analysis'!V$7-'Financial Analysis'!V$8)+OPEX!$E$15*'Financial Analysis'!V$8</f>
        <v>#REF!</v>
      </c>
      <c r="W82" s="69" t="e">
        <f>OPEX!$C$15*('Financial Analysis'!W$6-'Financial Analysis'!W$7)+OPEX!$D$15*('Financial Analysis'!W$7-'Financial Analysis'!W$8)+OPEX!$E$15*'Financial Analysis'!W$8</f>
        <v>#REF!</v>
      </c>
      <c r="X82" s="69" t="e">
        <f>OPEX!$C$15*('Financial Analysis'!X$6-'Financial Analysis'!X$7)+OPEX!$D$15*('Financial Analysis'!X$7-'Financial Analysis'!X$8)+OPEX!$E$15*'Financial Analysis'!X$8</f>
        <v>#REF!</v>
      </c>
      <c r="Y82" s="69" t="e">
        <f>OPEX!$C$15*('Financial Analysis'!Y$6-'Financial Analysis'!Y$7)+OPEX!$D$15*('Financial Analysis'!Y$7-'Financial Analysis'!Y$8)+OPEX!$E$15*'Financial Analysis'!Y$8</f>
        <v>#REF!</v>
      </c>
      <c r="Z82" s="69" t="e">
        <f>OPEX!$C$15*('Financial Analysis'!Z$6-'Financial Analysis'!Z$7)+OPEX!$D$15*('Financial Analysis'!Z$7-'Financial Analysis'!Z$8)+OPEX!$E$15*'Financial Analysis'!Z$8</f>
        <v>#REF!</v>
      </c>
      <c r="AA82" s="69" t="e">
        <f>OPEX!$C$15*('Financial Analysis'!AA$6-'Financial Analysis'!AA$7)+OPEX!$D$15*('Financial Analysis'!AA$7-'Financial Analysis'!AA$8)+OPEX!$E$15*'Financial Analysis'!AA$8</f>
        <v>#REF!</v>
      </c>
      <c r="AB82" s="69" t="e">
        <f>OPEX!$C$15*('Financial Analysis'!AB$6-'Financial Analysis'!AB$7)+OPEX!$D$15*('Financial Analysis'!AB$7-'Financial Analysis'!AB$8)+OPEX!$E$15*'Financial Analysis'!AB$8</f>
        <v>#REF!</v>
      </c>
      <c r="AC82" s="69" t="e">
        <f>OPEX!$C$15*('Financial Analysis'!AC$6-'Financial Analysis'!AC$7)+OPEX!$D$15*('Financial Analysis'!AC$7-'Financial Analysis'!AC$8)+OPEX!$E$15*'Financial Analysis'!AC$8</f>
        <v>#REF!</v>
      </c>
      <c r="AD82" s="69" t="e">
        <f>OPEX!$C$15*('Financial Analysis'!AD$6-'Financial Analysis'!AD$7)+OPEX!$D$15*('Financial Analysis'!AD$7-'Financial Analysis'!AD$8)+OPEX!$E$15*'Financial Analysis'!AD$8</f>
        <v>#REF!</v>
      </c>
      <c r="AE82" s="69" t="e">
        <f>OPEX!$C$15*('Financial Analysis'!AE$6-'Financial Analysis'!AE$7)+OPEX!$D$15*('Financial Analysis'!AE$7-'Financial Analysis'!AE$8)+OPEX!$E$15*'Financial Analysis'!AE$8</f>
        <v>#REF!</v>
      </c>
      <c r="AF82" s="69" t="e">
        <f>OPEX!$C$15*('Financial Analysis'!AF$6-'Financial Analysis'!AF$7)+OPEX!$D$15*('Financial Analysis'!AF$7-'Financial Analysis'!AF$8)+OPEX!$E$15*'Financial Analysis'!AF$8</f>
        <v>#REF!</v>
      </c>
      <c r="AG82" s="69" t="e">
        <f>OPEX!$C$15*('Financial Analysis'!AG$6-'Financial Analysis'!AG$7)+OPEX!$D$15*('Financial Analysis'!AG$7-'Financial Analysis'!AG$8)+OPEX!$E$15*'Financial Analysis'!AG$8</f>
        <v>#REF!</v>
      </c>
      <c r="AH82" s="69" t="e">
        <f>OPEX!$C$15*('Financial Analysis'!AH$6-'Financial Analysis'!AH$7)+OPEX!$D$15*('Financial Analysis'!AH$7-'Financial Analysis'!AH$8)+OPEX!$E$15*'Financial Analysis'!AH$8</f>
        <v>#REF!</v>
      </c>
      <c r="AI82" s="69" t="e">
        <f>OPEX!$C$15*('Financial Analysis'!AI$6-'Financial Analysis'!AI$7)+OPEX!$D$15*('Financial Analysis'!AI$7-'Financial Analysis'!AI$8)+OPEX!$E$15*'Financial Analysis'!AI$8</f>
        <v>#REF!</v>
      </c>
      <c r="AJ82" s="69" t="e">
        <f>OPEX!$C$15*('Financial Analysis'!AJ$6-'Financial Analysis'!AJ$7)+OPEX!$D$15*('Financial Analysis'!AJ$7-'Financial Analysis'!AJ$8)+OPEX!$E$15*'Financial Analysis'!AJ$8</f>
        <v>#REF!</v>
      </c>
      <c r="AK82" s="69" t="e">
        <f>OPEX!$C$15*('Financial Analysis'!AK$6-'Financial Analysis'!AK$7)+OPEX!$D$15*('Financial Analysis'!AK$7-'Financial Analysis'!AK$8)+OPEX!$E$15*'Financial Analysis'!AK$8</f>
        <v>#REF!</v>
      </c>
      <c r="AL82" s="69" t="e">
        <f>OPEX!$C$15*('Financial Analysis'!AL$6-'Financial Analysis'!AL$7)+OPEX!$D$15*('Financial Analysis'!AL$7-'Financial Analysis'!AL$8)+OPEX!$E$15*'Financial Analysis'!AL$8</f>
        <v>#REF!</v>
      </c>
      <c r="AM82" s="69" t="e">
        <f>OPEX!$C$15*('Financial Analysis'!AM$6-'Financial Analysis'!AM$7)+OPEX!$D$15*('Financial Analysis'!AM$7-'Financial Analysis'!AM$8)+OPEX!$E$15*'Financial Analysis'!AM$8</f>
        <v>#REF!</v>
      </c>
      <c r="AN82" s="69" t="e">
        <f>OPEX!$C$15*('Financial Analysis'!AN$6-'Financial Analysis'!AN$7)+OPEX!$D$15*('Financial Analysis'!AN$7-'Financial Analysis'!AN$8)+OPEX!$E$15*'Financial Analysis'!AN$8</f>
        <v>#REF!</v>
      </c>
      <c r="AO82" s="69" t="e">
        <f>OPEX!$C$15*('Financial Analysis'!AO$6-'Financial Analysis'!AO$7)+OPEX!$D$15*('Financial Analysis'!AO$7-'Financial Analysis'!AO$8)+OPEX!$E$15*'Financial Analysis'!AO$8</f>
        <v>#REF!</v>
      </c>
      <c r="AP82" s="69" t="e">
        <f>OPEX!$C$15*('Financial Analysis'!AP$6-'Financial Analysis'!AP$7)+OPEX!$D$15*('Financial Analysis'!AP$7-'Financial Analysis'!AP$8)+OPEX!$E$15*'Financial Analysis'!AP$8</f>
        <v>#REF!</v>
      </c>
      <c r="AQ82" s="69" t="e">
        <f>OPEX!$C$15*('Financial Analysis'!AQ$6-'Financial Analysis'!AQ$7)+OPEX!$D$15*('Financial Analysis'!AQ$7-'Financial Analysis'!AQ$8)+OPEX!$E$15*'Financial Analysis'!AQ$8</f>
        <v>#REF!</v>
      </c>
      <c r="AR82" s="69" t="e">
        <f>OPEX!$C$15*('Financial Analysis'!AR$6-'Financial Analysis'!AR$7)+OPEX!$D$15*('Financial Analysis'!AR$7-'Financial Analysis'!AR$8)+OPEX!$E$15*'Financial Analysis'!AR$8</f>
        <v>#REF!</v>
      </c>
      <c r="AS82" s="69" t="e">
        <f>OPEX!$C$15*('Financial Analysis'!AS$6-'Financial Analysis'!AS$7)+OPEX!$D$15*('Financial Analysis'!AS$7-'Financial Analysis'!AS$8)+OPEX!$E$15*'Financial Analysis'!AS$8</f>
        <v>#REF!</v>
      </c>
      <c r="AT82" s="69" t="e">
        <f>OPEX!$C$15*('Financial Analysis'!AT$6-'Financial Analysis'!AT$7)+OPEX!$D$15*('Financial Analysis'!AT$7-'Financial Analysis'!AT$8)+OPEX!$E$15*'Financial Analysis'!AT$8</f>
        <v>#REF!</v>
      </c>
      <c r="AU82" s="69" t="e">
        <f>OPEX!$C$15*('Financial Analysis'!AU$6-'Financial Analysis'!AU$7)+OPEX!$D$15*('Financial Analysis'!AU$7-'Financial Analysis'!AU$8)+OPEX!$E$15*'Financial Analysis'!AU$8</f>
        <v>#REF!</v>
      </c>
      <c r="AV82" s="69" t="e">
        <f>OPEX!$C$15*('Financial Analysis'!AV$6-'Financial Analysis'!AV$7)+OPEX!$D$15*('Financial Analysis'!AV$7-'Financial Analysis'!AV$8)+OPEX!$E$15*'Financial Analysis'!AV$8</f>
        <v>#REF!</v>
      </c>
      <c r="AW82" s="69" t="e">
        <f>OPEX!$C$15*('Financial Analysis'!AW$6-'Financial Analysis'!AW$7)+OPEX!$D$15*('Financial Analysis'!AW$7-'Financial Analysis'!AW$8)+OPEX!$E$15*'Financial Analysis'!AW$8</f>
        <v>#REF!</v>
      </c>
      <c r="AX82" s="69" t="e">
        <f>OPEX!$C$15*('Financial Analysis'!AX$6-'Financial Analysis'!AX$7)+OPEX!$D$15*('Financial Analysis'!AX$7-'Financial Analysis'!AX$8)+OPEX!$E$15*'Financial Analysis'!AX$8</f>
        <v>#REF!</v>
      </c>
      <c r="AY82" s="69" t="e">
        <f>OPEX!$C$15*('Financial Analysis'!AY$6-'Financial Analysis'!AY$7)+OPEX!$D$15*('Financial Analysis'!AY$7-'Financial Analysis'!AY$8)+OPEX!$E$15*'Financial Analysis'!AY$8</f>
        <v>#REF!</v>
      </c>
      <c r="AZ82" s="69" t="e">
        <f>OPEX!$C$15*('Financial Analysis'!AZ$6-'Financial Analysis'!AZ$7)+OPEX!$D$15*('Financial Analysis'!AZ$7-'Financial Analysis'!AZ$8)+OPEX!$E$15*'Financial Analysis'!AZ$8</f>
        <v>#REF!</v>
      </c>
      <c r="BA82" s="69" t="e">
        <f>OPEX!$C$15*('Financial Analysis'!BA$6-'Financial Analysis'!BA$7)+OPEX!$D$15*('Financial Analysis'!BA$7-'Financial Analysis'!BA$8)+OPEX!$E$15*'Financial Analysis'!BA$8</f>
        <v>#REF!</v>
      </c>
      <c r="BB82" s="69" t="e">
        <f>OPEX!$C$15*('Financial Analysis'!BB$6-'Financial Analysis'!BB$7)+OPEX!$D$15*('Financial Analysis'!BB$7-'Financial Analysis'!BB$8)+OPEX!$E$15*'Financial Analysis'!BB$8</f>
        <v>#REF!</v>
      </c>
      <c r="BC82" s="69" t="e">
        <f>OPEX!$C$15*('Financial Analysis'!BC$6-'Financial Analysis'!BC$7)+OPEX!$D$15*('Financial Analysis'!BC$7-'Financial Analysis'!BC$8)+OPEX!$E$15*'Financial Analysis'!BC$8</f>
        <v>#REF!</v>
      </c>
      <c r="BD82" s="69" t="e">
        <f>OPEX!$C$15*('Financial Analysis'!BD$6-'Financial Analysis'!BD$7)+OPEX!$D$15*('Financial Analysis'!BD$7-'Financial Analysis'!BD$8)+OPEX!$E$15*'Financial Analysis'!BD$8</f>
        <v>#REF!</v>
      </c>
      <c r="BE82" s="69" t="e">
        <f>OPEX!$C$15*('Financial Analysis'!BE$6-'Financial Analysis'!BE$7)+OPEX!$D$15*('Financial Analysis'!BE$7-'Financial Analysis'!BE$8)+OPEX!$E$15*'Financial Analysis'!BE$8</f>
        <v>#REF!</v>
      </c>
      <c r="BF82" s="69" t="e">
        <f>OPEX!$C$15*('Financial Analysis'!BF$6-'Financial Analysis'!BF$7)+OPEX!$D$15*('Financial Analysis'!BF$7-'Financial Analysis'!BF$8)+OPEX!$E$15*'Financial Analysis'!BF$8</f>
        <v>#REF!</v>
      </c>
      <c r="BG82" s="69" t="e">
        <f>OPEX!$C$15*('Financial Analysis'!BG$6-'Financial Analysis'!BG$7)+OPEX!$D$15*('Financial Analysis'!BG$7-'Financial Analysis'!BG$8)+OPEX!$E$15*'Financial Analysis'!BG$8</f>
        <v>#REF!</v>
      </c>
      <c r="BH82" s="69" t="e">
        <f>OPEX!$C$15*('Financial Analysis'!BH$6-'Financial Analysis'!BH$7)+OPEX!$D$15*('Financial Analysis'!BH$7-'Financial Analysis'!BH$8)+OPEX!$E$15*'Financial Analysis'!BH$8</f>
        <v>#REF!</v>
      </c>
      <c r="BI82" s="69" t="e">
        <f>OPEX!$C$15*('Financial Analysis'!BI$6-'Financial Analysis'!BI$7)+OPEX!$D$15*('Financial Analysis'!BI$7-'Financial Analysis'!BI$8)+OPEX!$E$15*'Financial Analysis'!BI$8</f>
        <v>#REF!</v>
      </c>
      <c r="BJ82" s="69" t="e">
        <f>OPEX!$C$15*('Financial Analysis'!BJ$6-'Financial Analysis'!BJ$7)+OPEX!$D$15*('Financial Analysis'!BJ$7-'Financial Analysis'!BJ$8)+OPEX!$E$15*'Financial Analysis'!BJ$8</f>
        <v>#REF!</v>
      </c>
      <c r="BK82" s="69" t="e">
        <f>OPEX!$C$15*('Financial Analysis'!BK$6-'Financial Analysis'!BK$7)+OPEX!$D$15*('Financial Analysis'!BK$7-'Financial Analysis'!BK$8)+OPEX!$E$15*'Financial Analysis'!BK$8</f>
        <v>#REF!</v>
      </c>
      <c r="BL82" s="69" t="e">
        <f>OPEX!$C$15*('Financial Analysis'!BL$6-'Financial Analysis'!BL$7)+OPEX!$D$15*('Financial Analysis'!BL$7-'Financial Analysis'!BL$8)+OPEX!$E$15*'Financial Analysis'!BL$8</f>
        <v>#REF!</v>
      </c>
    </row>
    <row r="83" spans="2:64">
      <c r="B83" s="146" t="s">
        <v>447</v>
      </c>
      <c r="E83" s="69">
        <f>OPEX!$C$16*('Financial Analysis'!E$6-'Financial Analysis'!E$7)+OPEX!$D$16*('Financial Analysis'!E$7-'Financial Analysis'!E$8)+OPEX!$E$16*'Financial Analysis'!E$8</f>
        <v>0</v>
      </c>
      <c r="F83" s="69">
        <f>OPEX!$C$16*('Financial Analysis'!F$6-'Financial Analysis'!F$7)+OPEX!$D$16*('Financial Analysis'!F$7-'Financial Analysis'!F$8)+OPEX!$E$16*'Financial Analysis'!F$8</f>
        <v>0</v>
      </c>
      <c r="G83" s="69">
        <f>OPEX!$C$16*('Financial Analysis'!G$6-'Financial Analysis'!G$7)+OPEX!$D$16*('Financial Analysis'!G$7-'Financial Analysis'!G$8)+OPEX!$E$16*'Financial Analysis'!G$8</f>
        <v>0</v>
      </c>
      <c r="H83" s="69">
        <f>OPEX!$C$16*('Financial Analysis'!H$6-'Financial Analysis'!H$7)+OPEX!$D$16*('Financial Analysis'!H$7-'Financial Analysis'!H$8)+OPEX!$E$16*'Financial Analysis'!H$8</f>
        <v>0</v>
      </c>
      <c r="I83" s="69">
        <f>OPEX!$C$16*('Financial Analysis'!I$6-'Financial Analysis'!I$7)+OPEX!$D$16*('Financial Analysis'!I$7-'Financial Analysis'!I$8)+OPEX!$E$16*'Financial Analysis'!I$8</f>
        <v>0</v>
      </c>
      <c r="J83" s="69">
        <f>OPEX!$C$16*('Financial Analysis'!J$6-'Financial Analysis'!J$7)+OPEX!$D$16*('Financial Analysis'!J$7-'Financial Analysis'!J$8)+OPEX!$E$16*'Financial Analysis'!J$8</f>
        <v>0</v>
      </c>
      <c r="K83" s="69">
        <f>OPEX!$C$16*('Financial Analysis'!K$6-'Financial Analysis'!K$7)+OPEX!$D$16*('Financial Analysis'!K$7-'Financial Analysis'!K$8)+OPEX!$E$16*'Financial Analysis'!K$8</f>
        <v>0</v>
      </c>
      <c r="L83" s="69">
        <f>OPEX!$C$16*('Financial Analysis'!L$6-'Financial Analysis'!L$7)+OPEX!$D$16*('Financial Analysis'!L$7-'Financial Analysis'!L$8)+OPEX!$E$16*'Financial Analysis'!L$8</f>
        <v>0</v>
      </c>
      <c r="M83" s="69">
        <f>OPEX!$C$16*('Financial Analysis'!M$6-'Financial Analysis'!M$7)+OPEX!$D$16*('Financial Analysis'!M$7-'Financial Analysis'!M$8)+OPEX!$E$16*'Financial Analysis'!M$8</f>
        <v>0</v>
      </c>
      <c r="N83" s="69">
        <f>OPEX!$C$16*('Financial Analysis'!N$6-'Financial Analysis'!N$7)+OPEX!$D$16*('Financial Analysis'!N$7-'Financial Analysis'!N$8)+OPEX!$E$16*'Financial Analysis'!N$8</f>
        <v>0</v>
      </c>
      <c r="O83" s="69">
        <f>OPEX!$C$16*('Financial Analysis'!O$6-'Financial Analysis'!O$7)+OPEX!$D$16*('Financial Analysis'!O$7-'Financial Analysis'!O$8)+OPEX!$E$16*'Financial Analysis'!O$8</f>
        <v>0</v>
      </c>
      <c r="P83" s="69">
        <f>OPEX!$C$16*('Financial Analysis'!P$6-'Financial Analysis'!P$7)+OPEX!$D$16*('Financial Analysis'!P$7-'Financial Analysis'!P$8)+OPEX!$E$16*'Financial Analysis'!P$8</f>
        <v>0</v>
      </c>
      <c r="Q83" s="69">
        <f>OPEX!$C$16*('Financial Analysis'!Q$6-'Financial Analysis'!Q$7)+OPEX!$D$16*('Financial Analysis'!Q$7-'Financial Analysis'!Q$8)+OPEX!$E$16*'Financial Analysis'!Q$8</f>
        <v>0</v>
      </c>
      <c r="R83" s="69">
        <f>OPEX!$C$16*('Financial Analysis'!R$6-'Financial Analysis'!R$7)+OPEX!$D$16*('Financial Analysis'!R$7-'Financial Analysis'!R$8)+OPEX!$E$16*'Financial Analysis'!R$8</f>
        <v>0</v>
      </c>
      <c r="S83" s="69">
        <f>OPEX!$C$16*('Financial Analysis'!S$6-'Financial Analysis'!S$7)+OPEX!$D$16*('Financial Analysis'!S$7-'Financial Analysis'!S$8)+OPEX!$E$16*'Financial Analysis'!S$8</f>
        <v>0</v>
      </c>
      <c r="T83" s="69">
        <f>OPEX!$C$16*('Financial Analysis'!T$6-'Financial Analysis'!T$7)+OPEX!$D$16*('Financial Analysis'!T$7-'Financial Analysis'!T$8)+OPEX!$E$16*'Financial Analysis'!T$8</f>
        <v>0</v>
      </c>
      <c r="U83" s="69">
        <f>OPEX!$C$16*('Financial Analysis'!U$6-'Financial Analysis'!U$7)+OPEX!$D$16*('Financial Analysis'!U$7-'Financial Analysis'!U$8)+OPEX!$E$16*'Financial Analysis'!U$8</f>
        <v>0</v>
      </c>
      <c r="V83" s="69">
        <f>OPEX!$C$16*('Financial Analysis'!V$6-'Financial Analysis'!V$7)+OPEX!$D$16*('Financial Analysis'!V$7-'Financial Analysis'!V$8)+OPEX!$E$16*'Financial Analysis'!V$8</f>
        <v>0</v>
      </c>
      <c r="W83" s="69">
        <f>OPEX!$C$16*('Financial Analysis'!W$6-'Financial Analysis'!W$7)+OPEX!$D$16*('Financial Analysis'!W$7-'Financial Analysis'!W$8)+OPEX!$E$16*'Financial Analysis'!W$8</f>
        <v>0</v>
      </c>
      <c r="X83" s="69">
        <f>OPEX!$C$16*('Financial Analysis'!X$6-'Financial Analysis'!X$7)+OPEX!$D$16*('Financial Analysis'!X$7-'Financial Analysis'!X$8)+OPEX!$E$16*'Financial Analysis'!X$8</f>
        <v>0</v>
      </c>
      <c r="Y83" s="69">
        <f>OPEX!$C$16*('Financial Analysis'!Y$6-'Financial Analysis'!Y$7)+OPEX!$D$16*('Financial Analysis'!Y$7-'Financial Analysis'!Y$8)+OPEX!$E$16*'Financial Analysis'!Y$8</f>
        <v>0</v>
      </c>
      <c r="Z83" s="69">
        <f>OPEX!$C$16*('Financial Analysis'!Z$6-'Financial Analysis'!Z$7)+OPEX!$D$16*('Financial Analysis'!Z$7-'Financial Analysis'!Z$8)+OPEX!$E$16*'Financial Analysis'!Z$8</f>
        <v>0</v>
      </c>
      <c r="AA83" s="69">
        <f>OPEX!$C$16*('Financial Analysis'!AA$6-'Financial Analysis'!AA$7)+OPEX!$D$16*('Financial Analysis'!AA$7-'Financial Analysis'!AA$8)+OPEX!$E$16*'Financial Analysis'!AA$8</f>
        <v>0</v>
      </c>
      <c r="AB83" s="69">
        <f>OPEX!$C$16*('Financial Analysis'!AB$6-'Financial Analysis'!AB$7)+OPEX!$D$16*('Financial Analysis'!AB$7-'Financial Analysis'!AB$8)+OPEX!$E$16*'Financial Analysis'!AB$8</f>
        <v>0</v>
      </c>
      <c r="AC83" s="69">
        <f>OPEX!$C$16*('Financial Analysis'!AC$6-'Financial Analysis'!AC$7)+OPEX!$D$16*('Financial Analysis'!AC$7-'Financial Analysis'!AC$8)+OPEX!$E$16*'Financial Analysis'!AC$8</f>
        <v>0</v>
      </c>
      <c r="AD83" s="69">
        <f>OPEX!$C$16*('Financial Analysis'!AD$6-'Financial Analysis'!AD$7)+OPEX!$D$16*('Financial Analysis'!AD$7-'Financial Analysis'!AD$8)+OPEX!$E$16*'Financial Analysis'!AD$8</f>
        <v>0</v>
      </c>
      <c r="AE83" s="69">
        <f>OPEX!$C$16*('Financial Analysis'!AE$6-'Financial Analysis'!AE$7)+OPEX!$D$16*('Financial Analysis'!AE$7-'Financial Analysis'!AE$8)+OPEX!$E$16*'Financial Analysis'!AE$8</f>
        <v>0</v>
      </c>
      <c r="AF83" s="69">
        <f>OPEX!$C$16*('Financial Analysis'!AF$6-'Financial Analysis'!AF$7)+OPEX!$D$16*('Financial Analysis'!AF$7-'Financial Analysis'!AF$8)+OPEX!$E$16*'Financial Analysis'!AF$8</f>
        <v>0</v>
      </c>
      <c r="AG83" s="69">
        <f>OPEX!$C$16*('Financial Analysis'!AG$6-'Financial Analysis'!AG$7)+OPEX!$D$16*('Financial Analysis'!AG$7-'Financial Analysis'!AG$8)+OPEX!$E$16*'Financial Analysis'!AG$8</f>
        <v>0</v>
      </c>
      <c r="AH83" s="69">
        <f>OPEX!$C$16*('Financial Analysis'!AH$6-'Financial Analysis'!AH$7)+OPEX!$D$16*('Financial Analysis'!AH$7-'Financial Analysis'!AH$8)+OPEX!$E$16*'Financial Analysis'!AH$8</f>
        <v>0</v>
      </c>
      <c r="AI83" s="69">
        <f>OPEX!$C$16*('Financial Analysis'!AI$6-'Financial Analysis'!AI$7)+OPEX!$D$16*('Financial Analysis'!AI$7-'Financial Analysis'!AI$8)+OPEX!$E$16*'Financial Analysis'!AI$8</f>
        <v>0</v>
      </c>
      <c r="AJ83" s="69">
        <f>OPEX!$C$16*('Financial Analysis'!AJ$6-'Financial Analysis'!AJ$7)+OPEX!$D$16*('Financial Analysis'!AJ$7-'Financial Analysis'!AJ$8)+OPEX!$E$16*'Financial Analysis'!AJ$8</f>
        <v>0</v>
      </c>
      <c r="AK83" s="69">
        <f>OPEX!$C$16*('Financial Analysis'!AK$6-'Financial Analysis'!AK$7)+OPEX!$D$16*('Financial Analysis'!AK$7-'Financial Analysis'!AK$8)+OPEX!$E$16*'Financial Analysis'!AK$8</f>
        <v>0</v>
      </c>
      <c r="AL83" s="69">
        <f>OPEX!$C$16*('Financial Analysis'!AL$6-'Financial Analysis'!AL$7)+OPEX!$D$16*('Financial Analysis'!AL$7-'Financial Analysis'!AL$8)+OPEX!$E$16*'Financial Analysis'!AL$8</f>
        <v>0</v>
      </c>
      <c r="AM83" s="69">
        <f>OPEX!$C$16*('Financial Analysis'!AM$6-'Financial Analysis'!AM$7)+OPEX!$D$16*('Financial Analysis'!AM$7-'Financial Analysis'!AM$8)+OPEX!$E$16*'Financial Analysis'!AM$8</f>
        <v>0</v>
      </c>
      <c r="AN83" s="69">
        <f>OPEX!$C$16*('Financial Analysis'!AN$6-'Financial Analysis'!AN$7)+OPEX!$D$16*('Financial Analysis'!AN$7-'Financial Analysis'!AN$8)+OPEX!$E$16*'Financial Analysis'!AN$8</f>
        <v>0</v>
      </c>
      <c r="AO83" s="69">
        <f>OPEX!$C$16*('Financial Analysis'!AO$6-'Financial Analysis'!AO$7)+OPEX!$D$16*('Financial Analysis'!AO$7-'Financial Analysis'!AO$8)+OPEX!$E$16*'Financial Analysis'!AO$8</f>
        <v>0</v>
      </c>
      <c r="AP83" s="69">
        <f>OPEX!$C$16*('Financial Analysis'!AP$6-'Financial Analysis'!AP$7)+OPEX!$D$16*('Financial Analysis'!AP$7-'Financial Analysis'!AP$8)+OPEX!$E$16*'Financial Analysis'!AP$8</f>
        <v>0</v>
      </c>
      <c r="AQ83" s="69">
        <f>OPEX!$C$16*('Financial Analysis'!AQ$6-'Financial Analysis'!AQ$7)+OPEX!$D$16*('Financial Analysis'!AQ$7-'Financial Analysis'!AQ$8)+OPEX!$E$16*'Financial Analysis'!AQ$8</f>
        <v>0</v>
      </c>
      <c r="AR83" s="69">
        <f>OPEX!$C$16*('Financial Analysis'!AR$6-'Financial Analysis'!AR$7)+OPEX!$D$16*('Financial Analysis'!AR$7-'Financial Analysis'!AR$8)+OPEX!$E$16*'Financial Analysis'!AR$8</f>
        <v>0</v>
      </c>
      <c r="AS83" s="69">
        <f>OPEX!$C$16*('Financial Analysis'!AS$6-'Financial Analysis'!AS$7)+OPEX!$D$16*('Financial Analysis'!AS$7-'Financial Analysis'!AS$8)+OPEX!$E$16*'Financial Analysis'!AS$8</f>
        <v>0</v>
      </c>
      <c r="AT83" s="69">
        <f>OPEX!$C$16*('Financial Analysis'!AT$6-'Financial Analysis'!AT$7)+OPEX!$D$16*('Financial Analysis'!AT$7-'Financial Analysis'!AT$8)+OPEX!$E$16*'Financial Analysis'!AT$8</f>
        <v>0</v>
      </c>
      <c r="AU83" s="69">
        <f>OPEX!$C$16*('Financial Analysis'!AU$6-'Financial Analysis'!AU$7)+OPEX!$D$16*('Financial Analysis'!AU$7-'Financial Analysis'!AU$8)+OPEX!$E$16*'Financial Analysis'!AU$8</f>
        <v>0</v>
      </c>
      <c r="AV83" s="69">
        <f>OPEX!$C$16*('Financial Analysis'!AV$6-'Financial Analysis'!AV$7)+OPEX!$D$16*('Financial Analysis'!AV$7-'Financial Analysis'!AV$8)+OPEX!$E$16*'Financial Analysis'!AV$8</f>
        <v>0</v>
      </c>
      <c r="AW83" s="69">
        <f>OPEX!$C$16*('Financial Analysis'!AW$6-'Financial Analysis'!AW$7)+OPEX!$D$16*('Financial Analysis'!AW$7-'Financial Analysis'!AW$8)+OPEX!$E$16*'Financial Analysis'!AW$8</f>
        <v>0</v>
      </c>
      <c r="AX83" s="69">
        <f>OPEX!$C$16*('Financial Analysis'!AX$6-'Financial Analysis'!AX$7)+OPEX!$D$16*('Financial Analysis'!AX$7-'Financial Analysis'!AX$8)+OPEX!$E$16*'Financial Analysis'!AX$8</f>
        <v>0</v>
      </c>
      <c r="AY83" s="69">
        <f>OPEX!$C$16*('Financial Analysis'!AY$6-'Financial Analysis'!AY$7)+OPEX!$D$16*('Financial Analysis'!AY$7-'Financial Analysis'!AY$8)+OPEX!$E$16*'Financial Analysis'!AY$8</f>
        <v>0</v>
      </c>
      <c r="AZ83" s="69">
        <f>OPEX!$C$16*('Financial Analysis'!AZ$6-'Financial Analysis'!AZ$7)+OPEX!$D$16*('Financial Analysis'!AZ$7-'Financial Analysis'!AZ$8)+OPEX!$E$16*'Financial Analysis'!AZ$8</f>
        <v>0</v>
      </c>
      <c r="BA83" s="69">
        <f>OPEX!$C$16*('Financial Analysis'!BA$6-'Financial Analysis'!BA$7)+OPEX!$D$16*('Financial Analysis'!BA$7-'Financial Analysis'!BA$8)+OPEX!$E$16*'Financial Analysis'!BA$8</f>
        <v>0</v>
      </c>
      <c r="BB83" s="69">
        <f>OPEX!$C$16*('Financial Analysis'!BB$6-'Financial Analysis'!BB$7)+OPEX!$D$16*('Financial Analysis'!BB$7-'Financial Analysis'!BB$8)+OPEX!$E$16*'Financial Analysis'!BB$8</f>
        <v>0</v>
      </c>
      <c r="BC83" s="69">
        <f>OPEX!$C$16*('Financial Analysis'!BC$6-'Financial Analysis'!BC$7)+OPEX!$D$16*('Financial Analysis'!BC$7-'Financial Analysis'!BC$8)+OPEX!$E$16*'Financial Analysis'!BC$8</f>
        <v>0</v>
      </c>
      <c r="BD83" s="69">
        <f>OPEX!$C$16*('Financial Analysis'!BD$6-'Financial Analysis'!BD$7)+OPEX!$D$16*('Financial Analysis'!BD$7-'Financial Analysis'!BD$8)+OPEX!$E$16*'Financial Analysis'!BD$8</f>
        <v>0</v>
      </c>
      <c r="BE83" s="69">
        <f>OPEX!$C$16*('Financial Analysis'!BE$6-'Financial Analysis'!BE$7)+OPEX!$D$16*('Financial Analysis'!BE$7-'Financial Analysis'!BE$8)+OPEX!$E$16*'Financial Analysis'!BE$8</f>
        <v>0</v>
      </c>
      <c r="BF83" s="69">
        <f>OPEX!$C$16*('Financial Analysis'!BF$6-'Financial Analysis'!BF$7)+OPEX!$D$16*('Financial Analysis'!BF$7-'Financial Analysis'!BF$8)+OPEX!$E$16*'Financial Analysis'!BF$8</f>
        <v>0</v>
      </c>
      <c r="BG83" s="69">
        <f>OPEX!$C$16*('Financial Analysis'!BG$6-'Financial Analysis'!BG$7)+OPEX!$D$16*('Financial Analysis'!BG$7-'Financial Analysis'!BG$8)+OPEX!$E$16*'Financial Analysis'!BG$8</f>
        <v>0</v>
      </c>
      <c r="BH83" s="69">
        <f>OPEX!$C$16*('Financial Analysis'!BH$6-'Financial Analysis'!BH$7)+OPEX!$D$16*('Financial Analysis'!BH$7-'Financial Analysis'!BH$8)+OPEX!$E$16*'Financial Analysis'!BH$8</f>
        <v>0</v>
      </c>
      <c r="BI83" s="69">
        <f>OPEX!$C$16*('Financial Analysis'!BI$6-'Financial Analysis'!BI$7)+OPEX!$D$16*('Financial Analysis'!BI$7-'Financial Analysis'!BI$8)+OPEX!$E$16*'Financial Analysis'!BI$8</f>
        <v>0</v>
      </c>
      <c r="BJ83" s="69">
        <f>OPEX!$C$16*('Financial Analysis'!BJ$6-'Financial Analysis'!BJ$7)+OPEX!$D$16*('Financial Analysis'!BJ$7-'Financial Analysis'!BJ$8)+OPEX!$E$16*'Financial Analysis'!BJ$8</f>
        <v>0</v>
      </c>
      <c r="BK83" s="69">
        <f>OPEX!$C$16*('Financial Analysis'!BK$6-'Financial Analysis'!BK$7)+OPEX!$D$16*('Financial Analysis'!BK$7-'Financial Analysis'!BK$8)+OPEX!$E$16*'Financial Analysis'!BK$8</f>
        <v>0</v>
      </c>
      <c r="BL83" s="69">
        <f>OPEX!$C$16*('Financial Analysis'!BL$6-'Financial Analysis'!BL$7)+OPEX!$D$16*('Financial Analysis'!BL$7-'Financial Analysis'!BL$8)+OPEX!$E$16*'Financial Analysis'!BL$8</f>
        <v>0</v>
      </c>
    </row>
    <row r="84" spans="2:64">
      <c r="B84" s="146" t="s">
        <v>336</v>
      </c>
      <c r="E84" s="69">
        <f>OPEX!$C$17*('Financial Analysis'!E$6-'Financial Analysis'!E$7)+OPEX!$D$17*('Financial Analysis'!E$7-'Financial Analysis'!E$8)+OPEX!$E$17*'Financial Analysis'!E$8</f>
        <v>0</v>
      </c>
      <c r="F84" s="69">
        <f>OPEX!$C$17*('Financial Analysis'!F$6-'Financial Analysis'!F$7)+OPEX!$D$17*('Financial Analysis'!F$7-'Financial Analysis'!F$8)+OPEX!$E$17*'Financial Analysis'!F$8</f>
        <v>0</v>
      </c>
      <c r="G84" s="69">
        <f>OPEX!$C$17*('Financial Analysis'!G$6-'Financial Analysis'!G$7)+OPEX!$D$17*('Financial Analysis'!G$7-'Financial Analysis'!G$8)+OPEX!$E$17*'Financial Analysis'!G$8</f>
        <v>0</v>
      </c>
      <c r="H84" s="69">
        <f>OPEX!$C$17*('Financial Analysis'!H$6-'Financial Analysis'!H$7)+OPEX!$D$17*('Financial Analysis'!H$7-'Financial Analysis'!H$8)+OPEX!$E$17*'Financial Analysis'!H$8</f>
        <v>0</v>
      </c>
      <c r="I84" s="69">
        <f>OPEX!$C$17*('Financial Analysis'!I$6-'Financial Analysis'!I$7)+OPEX!$D$17*('Financial Analysis'!I$7-'Financial Analysis'!I$8)+OPEX!$E$17*'Financial Analysis'!I$8</f>
        <v>0</v>
      </c>
      <c r="J84" s="69">
        <f>OPEX!$C$17*('Financial Analysis'!J$6-'Financial Analysis'!J$7)+OPEX!$D$17*('Financial Analysis'!J$7-'Financial Analysis'!J$8)+OPEX!$E$17*'Financial Analysis'!J$8</f>
        <v>0</v>
      </c>
      <c r="K84" s="69">
        <f>OPEX!$C$17*('Financial Analysis'!K$6-'Financial Analysis'!K$7)+OPEX!$D$17*('Financial Analysis'!K$7-'Financial Analysis'!K$8)+OPEX!$E$17*'Financial Analysis'!K$8</f>
        <v>0</v>
      </c>
      <c r="L84" s="69">
        <f>OPEX!$C$17*('Financial Analysis'!L$6-'Financial Analysis'!L$7)+OPEX!$D$17*('Financial Analysis'!L$7-'Financial Analysis'!L$8)+OPEX!$E$17*'Financial Analysis'!L$8</f>
        <v>0</v>
      </c>
      <c r="M84" s="69">
        <f>OPEX!$C$17*('Financial Analysis'!M$6-'Financial Analysis'!M$7)+OPEX!$D$17*('Financial Analysis'!M$7-'Financial Analysis'!M$8)+OPEX!$E$17*'Financial Analysis'!M$8</f>
        <v>0</v>
      </c>
      <c r="N84" s="69">
        <f>OPEX!$C$17*('Financial Analysis'!N$6-'Financial Analysis'!N$7)+OPEX!$D$17*('Financial Analysis'!N$7-'Financial Analysis'!N$8)+OPEX!$E$17*'Financial Analysis'!N$8</f>
        <v>0</v>
      </c>
      <c r="O84" s="69">
        <f>OPEX!$C$17*('Financial Analysis'!O$6-'Financial Analysis'!O$7)+OPEX!$D$17*('Financial Analysis'!O$7-'Financial Analysis'!O$8)+OPEX!$E$17*'Financial Analysis'!O$8</f>
        <v>0</v>
      </c>
      <c r="P84" s="69">
        <f>OPEX!$C$17*('Financial Analysis'!P$6-'Financial Analysis'!P$7)+OPEX!$D$17*('Financial Analysis'!P$7-'Financial Analysis'!P$8)+OPEX!$E$17*'Financial Analysis'!P$8</f>
        <v>0</v>
      </c>
      <c r="Q84" s="69">
        <f>OPEX!$C$17*('Financial Analysis'!Q$6-'Financial Analysis'!Q$7)+OPEX!$D$17*('Financial Analysis'!Q$7-'Financial Analysis'!Q$8)+OPEX!$E$17*'Financial Analysis'!Q$8</f>
        <v>0</v>
      </c>
      <c r="R84" s="69">
        <f>OPEX!$C$17*('Financial Analysis'!R$6-'Financial Analysis'!R$7)+OPEX!$D$17*('Financial Analysis'!R$7-'Financial Analysis'!R$8)+OPEX!$E$17*'Financial Analysis'!R$8</f>
        <v>0</v>
      </c>
      <c r="S84" s="69">
        <f>OPEX!$C$17*('Financial Analysis'!S$6-'Financial Analysis'!S$7)+OPEX!$D$17*('Financial Analysis'!S$7-'Financial Analysis'!S$8)+OPEX!$E$17*'Financial Analysis'!S$8</f>
        <v>0</v>
      </c>
      <c r="T84" s="69">
        <f>OPEX!$C$17*('Financial Analysis'!T$6-'Financial Analysis'!T$7)+OPEX!$D$17*('Financial Analysis'!T$7-'Financial Analysis'!T$8)+OPEX!$E$17*'Financial Analysis'!T$8</f>
        <v>0</v>
      </c>
      <c r="U84" s="69">
        <f>OPEX!$C$17*('Financial Analysis'!U$6-'Financial Analysis'!U$7)+OPEX!$D$17*('Financial Analysis'!U$7-'Financial Analysis'!U$8)+OPEX!$E$17*'Financial Analysis'!U$8</f>
        <v>0</v>
      </c>
      <c r="V84" s="69">
        <f>OPEX!$C$17*('Financial Analysis'!V$6-'Financial Analysis'!V$7)+OPEX!$D$17*('Financial Analysis'!V$7-'Financial Analysis'!V$8)+OPEX!$E$17*'Financial Analysis'!V$8</f>
        <v>0</v>
      </c>
      <c r="W84" s="69">
        <f>OPEX!$C$17*('Financial Analysis'!W$6-'Financial Analysis'!W$7)+OPEX!$D$17*('Financial Analysis'!W$7-'Financial Analysis'!W$8)+OPEX!$E$17*'Financial Analysis'!W$8</f>
        <v>0</v>
      </c>
      <c r="X84" s="69">
        <f>OPEX!$C$17*('Financial Analysis'!X$6-'Financial Analysis'!X$7)+OPEX!$D$17*('Financial Analysis'!X$7-'Financial Analysis'!X$8)+OPEX!$E$17*'Financial Analysis'!X$8</f>
        <v>0</v>
      </c>
      <c r="Y84" s="69">
        <f>OPEX!$C$17*('Financial Analysis'!Y$6-'Financial Analysis'!Y$7)+OPEX!$D$17*('Financial Analysis'!Y$7-'Financial Analysis'!Y$8)+OPEX!$E$17*'Financial Analysis'!Y$8</f>
        <v>0</v>
      </c>
      <c r="Z84" s="69">
        <f>OPEX!$C$17*('Financial Analysis'!Z$6-'Financial Analysis'!Z$7)+OPEX!$D$17*('Financial Analysis'!Z$7-'Financial Analysis'!Z$8)+OPEX!$E$17*'Financial Analysis'!Z$8</f>
        <v>0</v>
      </c>
      <c r="AA84" s="69">
        <f>OPEX!$C$17*('Financial Analysis'!AA$6-'Financial Analysis'!AA$7)+OPEX!$D$17*('Financial Analysis'!AA$7-'Financial Analysis'!AA$8)+OPEX!$E$17*'Financial Analysis'!AA$8</f>
        <v>0</v>
      </c>
      <c r="AB84" s="69">
        <f>OPEX!$C$17*('Financial Analysis'!AB$6-'Financial Analysis'!AB$7)+OPEX!$D$17*('Financial Analysis'!AB$7-'Financial Analysis'!AB$8)+OPEX!$E$17*'Financial Analysis'!AB$8</f>
        <v>0</v>
      </c>
      <c r="AC84" s="69">
        <f>OPEX!$C$17*('Financial Analysis'!AC$6-'Financial Analysis'!AC$7)+OPEX!$D$17*('Financial Analysis'!AC$7-'Financial Analysis'!AC$8)+OPEX!$E$17*'Financial Analysis'!AC$8</f>
        <v>0</v>
      </c>
      <c r="AD84" s="69">
        <f>OPEX!$C$17*('Financial Analysis'!AD$6-'Financial Analysis'!AD$7)+OPEX!$D$17*('Financial Analysis'!AD$7-'Financial Analysis'!AD$8)+OPEX!$E$17*'Financial Analysis'!AD$8</f>
        <v>0</v>
      </c>
      <c r="AE84" s="69">
        <f>OPEX!$C$17*('Financial Analysis'!AE$6-'Financial Analysis'!AE$7)+OPEX!$D$17*('Financial Analysis'!AE$7-'Financial Analysis'!AE$8)+OPEX!$E$17*'Financial Analysis'!AE$8</f>
        <v>0</v>
      </c>
      <c r="AF84" s="69">
        <f>OPEX!$C$17*('Financial Analysis'!AF$6-'Financial Analysis'!AF$7)+OPEX!$D$17*('Financial Analysis'!AF$7-'Financial Analysis'!AF$8)+OPEX!$E$17*'Financial Analysis'!AF$8</f>
        <v>0</v>
      </c>
      <c r="AG84" s="69">
        <f>OPEX!$C$17*('Financial Analysis'!AG$6-'Financial Analysis'!AG$7)+OPEX!$D$17*('Financial Analysis'!AG$7-'Financial Analysis'!AG$8)+OPEX!$E$17*'Financial Analysis'!AG$8</f>
        <v>0</v>
      </c>
      <c r="AH84" s="69">
        <f>OPEX!$C$17*('Financial Analysis'!AH$6-'Financial Analysis'!AH$7)+OPEX!$D$17*('Financial Analysis'!AH$7-'Financial Analysis'!AH$8)+OPEX!$E$17*'Financial Analysis'!AH$8</f>
        <v>0</v>
      </c>
      <c r="AI84" s="69">
        <f>OPEX!$C$17*('Financial Analysis'!AI$6-'Financial Analysis'!AI$7)+OPEX!$D$17*('Financial Analysis'!AI$7-'Financial Analysis'!AI$8)+OPEX!$E$17*'Financial Analysis'!AI$8</f>
        <v>0</v>
      </c>
      <c r="AJ84" s="69">
        <f>OPEX!$C$17*('Financial Analysis'!AJ$6-'Financial Analysis'!AJ$7)+OPEX!$D$17*('Financial Analysis'!AJ$7-'Financial Analysis'!AJ$8)+OPEX!$E$17*'Financial Analysis'!AJ$8</f>
        <v>0</v>
      </c>
      <c r="AK84" s="69">
        <f>OPEX!$C$17*('Financial Analysis'!AK$6-'Financial Analysis'!AK$7)+OPEX!$D$17*('Financial Analysis'!AK$7-'Financial Analysis'!AK$8)+OPEX!$E$17*'Financial Analysis'!AK$8</f>
        <v>0</v>
      </c>
      <c r="AL84" s="69">
        <f>OPEX!$C$17*('Financial Analysis'!AL$6-'Financial Analysis'!AL$7)+OPEX!$D$17*('Financial Analysis'!AL$7-'Financial Analysis'!AL$8)+OPEX!$E$17*'Financial Analysis'!AL$8</f>
        <v>0</v>
      </c>
      <c r="AM84" s="69">
        <f>OPEX!$C$17*('Financial Analysis'!AM$6-'Financial Analysis'!AM$7)+OPEX!$D$17*('Financial Analysis'!AM$7-'Financial Analysis'!AM$8)+OPEX!$E$17*'Financial Analysis'!AM$8</f>
        <v>0</v>
      </c>
      <c r="AN84" s="69">
        <f>OPEX!$C$17*('Financial Analysis'!AN$6-'Financial Analysis'!AN$7)+OPEX!$D$17*('Financial Analysis'!AN$7-'Financial Analysis'!AN$8)+OPEX!$E$17*'Financial Analysis'!AN$8</f>
        <v>0</v>
      </c>
      <c r="AO84" s="69">
        <f>OPEX!$C$17*('Financial Analysis'!AO$6-'Financial Analysis'!AO$7)+OPEX!$D$17*('Financial Analysis'!AO$7-'Financial Analysis'!AO$8)+OPEX!$E$17*'Financial Analysis'!AO$8</f>
        <v>0</v>
      </c>
      <c r="AP84" s="69">
        <f>OPEX!$C$17*('Financial Analysis'!AP$6-'Financial Analysis'!AP$7)+OPEX!$D$17*('Financial Analysis'!AP$7-'Financial Analysis'!AP$8)+OPEX!$E$17*'Financial Analysis'!AP$8</f>
        <v>0</v>
      </c>
      <c r="AQ84" s="69">
        <f>OPEX!$C$17*('Financial Analysis'!AQ$6-'Financial Analysis'!AQ$7)+OPEX!$D$17*('Financial Analysis'!AQ$7-'Financial Analysis'!AQ$8)+OPEX!$E$17*'Financial Analysis'!AQ$8</f>
        <v>0</v>
      </c>
      <c r="AR84" s="69">
        <f>OPEX!$C$17*('Financial Analysis'!AR$6-'Financial Analysis'!AR$7)+OPEX!$D$17*('Financial Analysis'!AR$7-'Financial Analysis'!AR$8)+OPEX!$E$17*'Financial Analysis'!AR$8</f>
        <v>0</v>
      </c>
      <c r="AS84" s="69">
        <f>OPEX!$C$17*('Financial Analysis'!AS$6-'Financial Analysis'!AS$7)+OPEX!$D$17*('Financial Analysis'!AS$7-'Financial Analysis'!AS$8)+OPEX!$E$17*'Financial Analysis'!AS$8</f>
        <v>0</v>
      </c>
      <c r="AT84" s="69">
        <f>OPEX!$C$17*('Financial Analysis'!AT$6-'Financial Analysis'!AT$7)+OPEX!$D$17*('Financial Analysis'!AT$7-'Financial Analysis'!AT$8)+OPEX!$E$17*'Financial Analysis'!AT$8</f>
        <v>0</v>
      </c>
      <c r="AU84" s="69">
        <f>OPEX!$C$17*('Financial Analysis'!AU$6-'Financial Analysis'!AU$7)+OPEX!$D$17*('Financial Analysis'!AU$7-'Financial Analysis'!AU$8)+OPEX!$E$17*'Financial Analysis'!AU$8</f>
        <v>0</v>
      </c>
      <c r="AV84" s="69">
        <f>OPEX!$C$17*('Financial Analysis'!AV$6-'Financial Analysis'!AV$7)+OPEX!$D$17*('Financial Analysis'!AV$7-'Financial Analysis'!AV$8)+OPEX!$E$17*'Financial Analysis'!AV$8</f>
        <v>0</v>
      </c>
      <c r="AW84" s="69">
        <f>OPEX!$C$17*('Financial Analysis'!AW$6-'Financial Analysis'!AW$7)+OPEX!$D$17*('Financial Analysis'!AW$7-'Financial Analysis'!AW$8)+OPEX!$E$17*'Financial Analysis'!AW$8</f>
        <v>0</v>
      </c>
      <c r="AX84" s="69">
        <f>OPEX!$C$17*('Financial Analysis'!AX$6-'Financial Analysis'!AX$7)+OPEX!$D$17*('Financial Analysis'!AX$7-'Financial Analysis'!AX$8)+OPEX!$E$17*'Financial Analysis'!AX$8</f>
        <v>0</v>
      </c>
      <c r="AY84" s="69">
        <f>OPEX!$C$17*('Financial Analysis'!AY$6-'Financial Analysis'!AY$7)+OPEX!$D$17*('Financial Analysis'!AY$7-'Financial Analysis'!AY$8)+OPEX!$E$17*'Financial Analysis'!AY$8</f>
        <v>0</v>
      </c>
      <c r="AZ84" s="69">
        <f>OPEX!$C$17*('Financial Analysis'!AZ$6-'Financial Analysis'!AZ$7)+OPEX!$D$17*('Financial Analysis'!AZ$7-'Financial Analysis'!AZ$8)+OPEX!$E$17*'Financial Analysis'!AZ$8</f>
        <v>0</v>
      </c>
      <c r="BA84" s="69">
        <f>OPEX!$C$17*('Financial Analysis'!BA$6-'Financial Analysis'!BA$7)+OPEX!$D$17*('Financial Analysis'!BA$7-'Financial Analysis'!BA$8)+OPEX!$E$17*'Financial Analysis'!BA$8</f>
        <v>0</v>
      </c>
      <c r="BB84" s="69">
        <f>OPEX!$C$17*('Financial Analysis'!BB$6-'Financial Analysis'!BB$7)+OPEX!$D$17*('Financial Analysis'!BB$7-'Financial Analysis'!BB$8)+OPEX!$E$17*'Financial Analysis'!BB$8</f>
        <v>0</v>
      </c>
      <c r="BC84" s="69">
        <f>OPEX!$C$17*('Financial Analysis'!BC$6-'Financial Analysis'!BC$7)+OPEX!$D$17*('Financial Analysis'!BC$7-'Financial Analysis'!BC$8)+OPEX!$E$17*'Financial Analysis'!BC$8</f>
        <v>0</v>
      </c>
      <c r="BD84" s="69">
        <f>OPEX!$C$17*('Financial Analysis'!BD$6-'Financial Analysis'!BD$7)+OPEX!$D$17*('Financial Analysis'!BD$7-'Financial Analysis'!BD$8)+OPEX!$E$17*'Financial Analysis'!BD$8</f>
        <v>0</v>
      </c>
      <c r="BE84" s="69">
        <f>OPEX!$C$17*('Financial Analysis'!BE$6-'Financial Analysis'!BE$7)+OPEX!$D$17*('Financial Analysis'!BE$7-'Financial Analysis'!BE$8)+OPEX!$E$17*'Financial Analysis'!BE$8</f>
        <v>0</v>
      </c>
      <c r="BF84" s="69">
        <f>OPEX!$C$17*('Financial Analysis'!BF$6-'Financial Analysis'!BF$7)+OPEX!$D$17*('Financial Analysis'!BF$7-'Financial Analysis'!BF$8)+OPEX!$E$17*'Financial Analysis'!BF$8</f>
        <v>0</v>
      </c>
      <c r="BG84" s="69">
        <f>OPEX!$C$17*('Financial Analysis'!BG$6-'Financial Analysis'!BG$7)+OPEX!$D$17*('Financial Analysis'!BG$7-'Financial Analysis'!BG$8)+OPEX!$E$17*'Financial Analysis'!BG$8</f>
        <v>0</v>
      </c>
      <c r="BH84" s="69">
        <f>OPEX!$C$17*('Financial Analysis'!BH$6-'Financial Analysis'!BH$7)+OPEX!$D$17*('Financial Analysis'!BH$7-'Financial Analysis'!BH$8)+OPEX!$E$17*'Financial Analysis'!BH$8</f>
        <v>0</v>
      </c>
      <c r="BI84" s="69">
        <f>OPEX!$C$17*('Financial Analysis'!BI$6-'Financial Analysis'!BI$7)+OPEX!$D$17*('Financial Analysis'!BI$7-'Financial Analysis'!BI$8)+OPEX!$E$17*'Financial Analysis'!BI$8</f>
        <v>0</v>
      </c>
      <c r="BJ84" s="69">
        <f>OPEX!$C$17*('Financial Analysis'!BJ$6-'Financial Analysis'!BJ$7)+OPEX!$D$17*('Financial Analysis'!BJ$7-'Financial Analysis'!BJ$8)+OPEX!$E$17*'Financial Analysis'!BJ$8</f>
        <v>0</v>
      </c>
      <c r="BK84" s="69">
        <f>OPEX!$C$17*('Financial Analysis'!BK$6-'Financial Analysis'!BK$7)+OPEX!$D$17*('Financial Analysis'!BK$7-'Financial Analysis'!BK$8)+OPEX!$E$17*'Financial Analysis'!BK$8</f>
        <v>0</v>
      </c>
      <c r="BL84" s="69">
        <f>OPEX!$C$17*('Financial Analysis'!BL$6-'Financial Analysis'!BL$7)+OPEX!$D$17*('Financial Analysis'!BL$7-'Financial Analysis'!BL$8)+OPEX!$E$17*'Financial Analysis'!BL$8</f>
        <v>0</v>
      </c>
    </row>
    <row r="85" spans="2:64">
      <c r="B85" s="146" t="s">
        <v>337</v>
      </c>
      <c r="E85" s="69">
        <f>OPEX!$C$18*('Financial Analysis'!E$6-'Financial Analysis'!E$7)+OPEX!$D$18*('Financial Analysis'!E$7-'Financial Analysis'!E$8)+OPEX!$E$18*'Financial Analysis'!E$8</f>
        <v>1008.1863425707829</v>
      </c>
      <c r="F85" s="69">
        <f>OPEX!$C$18*('Financial Analysis'!F$6-'Financial Analysis'!F$7)+OPEX!$D$18*('Financial Analysis'!F$7-'Financial Analysis'!F$8)+OPEX!$E$18*'Financial Analysis'!F$8</f>
        <v>1008.1863425707829</v>
      </c>
      <c r="G85" s="69">
        <f>OPEX!$C$18*('Financial Analysis'!G$6-'Financial Analysis'!G$7)+OPEX!$D$18*('Financial Analysis'!G$7-'Financial Analysis'!G$8)+OPEX!$E$18*'Financial Analysis'!G$8</f>
        <v>1008.1863425707829</v>
      </c>
      <c r="H85" s="69">
        <f>OPEX!$C$18*('Financial Analysis'!H$6-'Financial Analysis'!H$7)+OPEX!$D$18*('Financial Analysis'!H$7-'Financial Analysis'!H$8)+OPEX!$E$18*'Financial Analysis'!H$8</f>
        <v>1008.1863425707829</v>
      </c>
      <c r="I85" s="69">
        <f>OPEX!$C$18*('Financial Analysis'!I$6-'Financial Analysis'!I$7)+OPEX!$D$18*('Financial Analysis'!I$7-'Financial Analysis'!I$8)+OPEX!$E$18*'Financial Analysis'!I$8</f>
        <v>1008.1863425707829</v>
      </c>
      <c r="J85" s="69">
        <f>OPEX!$C$18*('Financial Analysis'!J$6-'Financial Analysis'!J$7)+OPEX!$D$18*('Financial Analysis'!J$7-'Financial Analysis'!J$8)+OPEX!$E$18*'Financial Analysis'!J$8</f>
        <v>1009.7928402506315</v>
      </c>
      <c r="K85" s="69">
        <f>OPEX!$C$18*('Financial Analysis'!K$6-'Financial Analysis'!K$7)+OPEX!$D$18*('Financial Analysis'!K$7-'Financial Analysis'!K$8)+OPEX!$E$18*'Financial Analysis'!K$8</f>
        <v>1009.7928402506315</v>
      </c>
      <c r="L85" s="69">
        <f>OPEX!$C$18*('Financial Analysis'!L$6-'Financial Analysis'!L$7)+OPEX!$D$18*('Financial Analysis'!L$7-'Financial Analysis'!L$8)+OPEX!$E$18*'Financial Analysis'!L$8</f>
        <v>1009.7928402506315</v>
      </c>
      <c r="M85" s="69">
        <f>OPEX!$C$18*('Financial Analysis'!M$6-'Financial Analysis'!M$7)+OPEX!$D$18*('Financial Analysis'!M$7-'Financial Analysis'!M$8)+OPEX!$E$18*'Financial Analysis'!M$8</f>
        <v>1009.7928402506315</v>
      </c>
      <c r="N85" s="69">
        <f>OPEX!$C$18*('Financial Analysis'!N$6-'Financial Analysis'!N$7)+OPEX!$D$18*('Financial Analysis'!N$7-'Financial Analysis'!N$8)+OPEX!$E$18*'Financial Analysis'!N$8</f>
        <v>1009.7928402506315</v>
      </c>
      <c r="O85" s="69">
        <f>OPEX!$C$18*('Financial Analysis'!O$6-'Financial Analysis'!O$7)+OPEX!$D$18*('Financial Analysis'!O$7-'Financial Analysis'!O$8)+OPEX!$E$18*'Financial Analysis'!O$8</f>
        <v>1010.33996611349</v>
      </c>
      <c r="P85" s="69">
        <f>OPEX!$C$18*('Financial Analysis'!P$6-'Financial Analysis'!P$7)+OPEX!$D$18*('Financial Analysis'!P$7-'Financial Analysis'!P$8)+OPEX!$E$18*'Financial Analysis'!P$8</f>
        <v>1010.33996611349</v>
      </c>
      <c r="Q85" s="69">
        <f>OPEX!$C$18*('Financial Analysis'!Q$6-'Financial Analysis'!Q$7)+OPEX!$D$18*('Financial Analysis'!Q$7-'Financial Analysis'!Q$8)+OPEX!$E$18*'Financial Analysis'!Q$8</f>
        <v>1010.33996611349</v>
      </c>
      <c r="R85" s="69">
        <f>OPEX!$C$18*('Financial Analysis'!R$6-'Financial Analysis'!R$7)+OPEX!$D$18*('Financial Analysis'!R$7-'Financial Analysis'!R$8)+OPEX!$E$18*'Financial Analysis'!R$8</f>
        <v>1010.33996611349</v>
      </c>
      <c r="S85" s="69">
        <f>OPEX!$C$18*('Financial Analysis'!S$6-'Financial Analysis'!S$7)+OPEX!$D$18*('Financial Analysis'!S$7-'Financial Analysis'!S$8)+OPEX!$E$18*'Financial Analysis'!S$8</f>
        <v>1010.33996611349</v>
      </c>
      <c r="T85" s="69">
        <f>OPEX!$C$18*('Financial Analysis'!T$6-'Financial Analysis'!T$7)+OPEX!$D$18*('Financial Analysis'!T$7-'Financial Analysis'!T$8)+OPEX!$E$18*'Financial Analysis'!T$8</f>
        <v>1010.33996611349</v>
      </c>
      <c r="U85" s="69">
        <f>OPEX!$C$18*('Financial Analysis'!U$6-'Financial Analysis'!U$7)+OPEX!$D$18*('Financial Analysis'!U$7-'Financial Analysis'!U$8)+OPEX!$E$18*'Financial Analysis'!U$8</f>
        <v>1010.33996611349</v>
      </c>
      <c r="V85" s="69">
        <f>OPEX!$C$18*('Financial Analysis'!V$6-'Financial Analysis'!V$7)+OPEX!$D$18*('Financial Analysis'!V$7-'Financial Analysis'!V$8)+OPEX!$E$18*'Financial Analysis'!V$8</f>
        <v>1010.33996611349</v>
      </c>
      <c r="W85" s="69">
        <f>OPEX!$C$18*('Financial Analysis'!W$6-'Financial Analysis'!W$7)+OPEX!$D$18*('Financial Analysis'!W$7-'Financial Analysis'!W$8)+OPEX!$E$18*'Financial Analysis'!W$8</f>
        <v>1010.33996611349</v>
      </c>
      <c r="X85" s="69">
        <f>OPEX!$C$18*('Financial Analysis'!X$6-'Financial Analysis'!X$7)+OPEX!$D$18*('Financial Analysis'!X$7-'Financial Analysis'!X$8)+OPEX!$E$18*'Financial Analysis'!X$8</f>
        <v>1010.33996611349</v>
      </c>
      <c r="Y85" s="69">
        <f>OPEX!$C$18*('Financial Analysis'!Y$6-'Financial Analysis'!Y$7)+OPEX!$D$18*('Financial Analysis'!Y$7-'Financial Analysis'!Y$8)+OPEX!$E$18*'Financial Analysis'!Y$8</f>
        <v>1010.33996611349</v>
      </c>
      <c r="Z85" s="69">
        <f>OPEX!$C$18*('Financial Analysis'!Z$6-'Financial Analysis'!Z$7)+OPEX!$D$18*('Financial Analysis'!Z$7-'Financial Analysis'!Z$8)+OPEX!$E$18*'Financial Analysis'!Z$8</f>
        <v>1010.33996611349</v>
      </c>
      <c r="AA85" s="69">
        <f>OPEX!$C$18*('Financial Analysis'!AA$6-'Financial Analysis'!AA$7)+OPEX!$D$18*('Financial Analysis'!AA$7-'Financial Analysis'!AA$8)+OPEX!$E$18*'Financial Analysis'!AA$8</f>
        <v>1010.33996611349</v>
      </c>
      <c r="AB85" s="69">
        <f>OPEX!$C$18*('Financial Analysis'!AB$6-'Financial Analysis'!AB$7)+OPEX!$D$18*('Financial Analysis'!AB$7-'Financial Analysis'!AB$8)+OPEX!$E$18*'Financial Analysis'!AB$8</f>
        <v>1010.33996611349</v>
      </c>
      <c r="AC85" s="69">
        <f>OPEX!$C$18*('Financial Analysis'!AC$6-'Financial Analysis'!AC$7)+OPEX!$D$18*('Financial Analysis'!AC$7-'Financial Analysis'!AC$8)+OPEX!$E$18*'Financial Analysis'!AC$8</f>
        <v>1010.33996611349</v>
      </c>
      <c r="AD85" s="69">
        <f>OPEX!$C$18*('Financial Analysis'!AD$6-'Financial Analysis'!AD$7)+OPEX!$D$18*('Financial Analysis'!AD$7-'Financial Analysis'!AD$8)+OPEX!$E$18*'Financial Analysis'!AD$8</f>
        <v>1010.33996611349</v>
      </c>
      <c r="AE85" s="69">
        <f>OPEX!$C$18*('Financial Analysis'!AE$6-'Financial Analysis'!AE$7)+OPEX!$D$18*('Financial Analysis'!AE$7-'Financial Analysis'!AE$8)+OPEX!$E$18*'Financial Analysis'!AE$8</f>
        <v>1010.33996611349</v>
      </c>
      <c r="AF85" s="69">
        <f>OPEX!$C$18*('Financial Analysis'!AF$6-'Financial Analysis'!AF$7)+OPEX!$D$18*('Financial Analysis'!AF$7-'Financial Analysis'!AF$8)+OPEX!$E$18*'Financial Analysis'!AF$8</f>
        <v>1010.33996611349</v>
      </c>
      <c r="AG85" s="69">
        <f>OPEX!$C$18*('Financial Analysis'!AG$6-'Financial Analysis'!AG$7)+OPEX!$D$18*('Financial Analysis'!AG$7-'Financial Analysis'!AG$8)+OPEX!$E$18*'Financial Analysis'!AG$8</f>
        <v>1010.33996611349</v>
      </c>
      <c r="AH85" s="69">
        <f>OPEX!$C$18*('Financial Analysis'!AH$6-'Financial Analysis'!AH$7)+OPEX!$D$18*('Financial Analysis'!AH$7-'Financial Analysis'!AH$8)+OPEX!$E$18*'Financial Analysis'!AH$8</f>
        <v>1010.33996611349</v>
      </c>
      <c r="AI85" s="69">
        <f>OPEX!$C$18*('Financial Analysis'!AI$6-'Financial Analysis'!AI$7)+OPEX!$D$18*('Financial Analysis'!AI$7-'Financial Analysis'!AI$8)+OPEX!$E$18*'Financial Analysis'!AI$8</f>
        <v>1010.33996611349</v>
      </c>
      <c r="AJ85" s="69">
        <f>OPEX!$C$18*('Financial Analysis'!AJ$6-'Financial Analysis'!AJ$7)+OPEX!$D$18*('Financial Analysis'!AJ$7-'Financial Analysis'!AJ$8)+OPEX!$E$18*'Financial Analysis'!AJ$8</f>
        <v>1010.33996611349</v>
      </c>
      <c r="AK85" s="69">
        <f>OPEX!$C$18*('Financial Analysis'!AK$6-'Financial Analysis'!AK$7)+OPEX!$D$18*('Financial Analysis'!AK$7-'Financial Analysis'!AK$8)+OPEX!$E$18*'Financial Analysis'!AK$8</f>
        <v>1010.33996611349</v>
      </c>
      <c r="AL85" s="69">
        <f>OPEX!$C$18*('Financial Analysis'!AL$6-'Financial Analysis'!AL$7)+OPEX!$D$18*('Financial Analysis'!AL$7-'Financial Analysis'!AL$8)+OPEX!$E$18*'Financial Analysis'!AL$8</f>
        <v>1010.33996611349</v>
      </c>
      <c r="AM85" s="69">
        <f>OPEX!$C$18*('Financial Analysis'!AM$6-'Financial Analysis'!AM$7)+OPEX!$D$18*('Financial Analysis'!AM$7-'Financial Analysis'!AM$8)+OPEX!$E$18*'Financial Analysis'!AM$8</f>
        <v>1010.33996611349</v>
      </c>
      <c r="AN85" s="69">
        <f>OPEX!$C$18*('Financial Analysis'!AN$6-'Financial Analysis'!AN$7)+OPEX!$D$18*('Financial Analysis'!AN$7-'Financial Analysis'!AN$8)+OPEX!$E$18*'Financial Analysis'!AN$8</f>
        <v>1010.33996611349</v>
      </c>
      <c r="AO85" s="69">
        <f>OPEX!$C$18*('Financial Analysis'!AO$6-'Financial Analysis'!AO$7)+OPEX!$D$18*('Financial Analysis'!AO$7-'Financial Analysis'!AO$8)+OPEX!$E$18*'Financial Analysis'!AO$8</f>
        <v>1010.33996611349</v>
      </c>
      <c r="AP85" s="69">
        <f>OPEX!$C$18*('Financial Analysis'!AP$6-'Financial Analysis'!AP$7)+OPEX!$D$18*('Financial Analysis'!AP$7-'Financial Analysis'!AP$8)+OPEX!$E$18*'Financial Analysis'!AP$8</f>
        <v>1010.33996611349</v>
      </c>
      <c r="AQ85" s="69">
        <f>OPEX!$C$18*('Financial Analysis'!AQ$6-'Financial Analysis'!AQ$7)+OPEX!$D$18*('Financial Analysis'!AQ$7-'Financial Analysis'!AQ$8)+OPEX!$E$18*'Financial Analysis'!AQ$8</f>
        <v>1010.33996611349</v>
      </c>
      <c r="AR85" s="69">
        <f>OPEX!$C$18*('Financial Analysis'!AR$6-'Financial Analysis'!AR$7)+OPEX!$D$18*('Financial Analysis'!AR$7-'Financial Analysis'!AR$8)+OPEX!$E$18*'Financial Analysis'!AR$8</f>
        <v>1010.33996611349</v>
      </c>
      <c r="AS85" s="69">
        <f>OPEX!$C$18*('Financial Analysis'!AS$6-'Financial Analysis'!AS$7)+OPEX!$D$18*('Financial Analysis'!AS$7-'Financial Analysis'!AS$8)+OPEX!$E$18*'Financial Analysis'!AS$8</f>
        <v>1010.33996611349</v>
      </c>
      <c r="AT85" s="69">
        <f>OPEX!$C$18*('Financial Analysis'!AT$6-'Financial Analysis'!AT$7)+OPEX!$D$18*('Financial Analysis'!AT$7-'Financial Analysis'!AT$8)+OPEX!$E$18*'Financial Analysis'!AT$8</f>
        <v>1010.33996611349</v>
      </c>
      <c r="AU85" s="69">
        <f>OPEX!$C$18*('Financial Analysis'!AU$6-'Financial Analysis'!AU$7)+OPEX!$D$18*('Financial Analysis'!AU$7-'Financial Analysis'!AU$8)+OPEX!$E$18*'Financial Analysis'!AU$8</f>
        <v>1010.33996611349</v>
      </c>
      <c r="AV85" s="69">
        <f>OPEX!$C$18*('Financial Analysis'!AV$6-'Financial Analysis'!AV$7)+OPEX!$D$18*('Financial Analysis'!AV$7-'Financial Analysis'!AV$8)+OPEX!$E$18*'Financial Analysis'!AV$8</f>
        <v>1010.33996611349</v>
      </c>
      <c r="AW85" s="69">
        <f>OPEX!$C$18*('Financial Analysis'!AW$6-'Financial Analysis'!AW$7)+OPEX!$D$18*('Financial Analysis'!AW$7-'Financial Analysis'!AW$8)+OPEX!$E$18*'Financial Analysis'!AW$8</f>
        <v>1010.33996611349</v>
      </c>
      <c r="AX85" s="69">
        <f>OPEX!$C$18*('Financial Analysis'!AX$6-'Financial Analysis'!AX$7)+OPEX!$D$18*('Financial Analysis'!AX$7-'Financial Analysis'!AX$8)+OPEX!$E$18*'Financial Analysis'!AX$8</f>
        <v>1010.33996611349</v>
      </c>
      <c r="AY85" s="69">
        <f>OPEX!$C$18*('Financial Analysis'!AY$6-'Financial Analysis'!AY$7)+OPEX!$D$18*('Financial Analysis'!AY$7-'Financial Analysis'!AY$8)+OPEX!$E$18*'Financial Analysis'!AY$8</f>
        <v>1010.33996611349</v>
      </c>
      <c r="AZ85" s="69">
        <f>OPEX!$C$18*('Financial Analysis'!AZ$6-'Financial Analysis'!AZ$7)+OPEX!$D$18*('Financial Analysis'!AZ$7-'Financial Analysis'!AZ$8)+OPEX!$E$18*'Financial Analysis'!AZ$8</f>
        <v>1010.33996611349</v>
      </c>
      <c r="BA85" s="69">
        <f>OPEX!$C$18*('Financial Analysis'!BA$6-'Financial Analysis'!BA$7)+OPEX!$D$18*('Financial Analysis'!BA$7-'Financial Analysis'!BA$8)+OPEX!$E$18*'Financial Analysis'!BA$8</f>
        <v>1010.33996611349</v>
      </c>
      <c r="BB85" s="69">
        <f>OPEX!$C$18*('Financial Analysis'!BB$6-'Financial Analysis'!BB$7)+OPEX!$D$18*('Financial Analysis'!BB$7-'Financial Analysis'!BB$8)+OPEX!$E$18*'Financial Analysis'!BB$8</f>
        <v>1010.33996611349</v>
      </c>
      <c r="BC85" s="69">
        <f>OPEX!$C$18*('Financial Analysis'!BC$6-'Financial Analysis'!BC$7)+OPEX!$D$18*('Financial Analysis'!BC$7-'Financial Analysis'!BC$8)+OPEX!$E$18*'Financial Analysis'!BC$8</f>
        <v>1010.33996611349</v>
      </c>
      <c r="BD85" s="69">
        <f>OPEX!$C$18*('Financial Analysis'!BD$6-'Financial Analysis'!BD$7)+OPEX!$D$18*('Financial Analysis'!BD$7-'Financial Analysis'!BD$8)+OPEX!$E$18*'Financial Analysis'!BD$8</f>
        <v>1010.33996611349</v>
      </c>
      <c r="BE85" s="69">
        <f>OPEX!$C$18*('Financial Analysis'!BE$6-'Financial Analysis'!BE$7)+OPEX!$D$18*('Financial Analysis'!BE$7-'Financial Analysis'!BE$8)+OPEX!$E$18*'Financial Analysis'!BE$8</f>
        <v>1010.33996611349</v>
      </c>
      <c r="BF85" s="69">
        <f>OPEX!$C$18*('Financial Analysis'!BF$6-'Financial Analysis'!BF$7)+OPEX!$D$18*('Financial Analysis'!BF$7-'Financial Analysis'!BF$8)+OPEX!$E$18*'Financial Analysis'!BF$8</f>
        <v>1010.33996611349</v>
      </c>
      <c r="BG85" s="69">
        <f>OPEX!$C$18*('Financial Analysis'!BG$6-'Financial Analysis'!BG$7)+OPEX!$D$18*('Financial Analysis'!BG$7-'Financial Analysis'!BG$8)+OPEX!$E$18*'Financial Analysis'!BG$8</f>
        <v>1010.33996611349</v>
      </c>
      <c r="BH85" s="69">
        <f>OPEX!$C$18*('Financial Analysis'!BH$6-'Financial Analysis'!BH$7)+OPEX!$D$18*('Financial Analysis'!BH$7-'Financial Analysis'!BH$8)+OPEX!$E$18*'Financial Analysis'!BH$8</f>
        <v>1010.33996611349</v>
      </c>
      <c r="BI85" s="69">
        <f>OPEX!$C$18*('Financial Analysis'!BI$6-'Financial Analysis'!BI$7)+OPEX!$D$18*('Financial Analysis'!BI$7-'Financial Analysis'!BI$8)+OPEX!$E$18*'Financial Analysis'!BI$8</f>
        <v>1010.33996611349</v>
      </c>
      <c r="BJ85" s="69">
        <f>OPEX!$C$18*('Financial Analysis'!BJ$6-'Financial Analysis'!BJ$7)+OPEX!$D$18*('Financial Analysis'!BJ$7-'Financial Analysis'!BJ$8)+OPEX!$E$18*'Financial Analysis'!BJ$8</f>
        <v>1010.33996611349</v>
      </c>
      <c r="BK85" s="69">
        <f>OPEX!$C$18*('Financial Analysis'!BK$6-'Financial Analysis'!BK$7)+OPEX!$D$18*('Financial Analysis'!BK$7-'Financial Analysis'!BK$8)+OPEX!$E$18*'Financial Analysis'!BK$8</f>
        <v>1010.33996611349</v>
      </c>
      <c r="BL85" s="69">
        <f>OPEX!$C$18*('Financial Analysis'!BL$6-'Financial Analysis'!BL$7)+OPEX!$D$18*('Financial Analysis'!BL$7-'Financial Analysis'!BL$8)+OPEX!$E$18*'Financial Analysis'!BL$8</f>
        <v>1010.33996611349</v>
      </c>
    </row>
    <row r="86" spans="2:64">
      <c r="B86" s="146" t="s">
        <v>338</v>
      </c>
      <c r="E86" s="69">
        <f>OPEX!$C$19*('Financial Analysis'!E$6-'Financial Analysis'!E$7)+OPEX!$D$19*('Financial Analysis'!E$7-'Financial Analysis'!E$8)+OPEX!$E$19*'Financial Analysis'!E$8</f>
        <v>7040</v>
      </c>
      <c r="F86" s="69">
        <f>OPEX!$C$19*('Financial Analysis'!F$6-'Financial Analysis'!F$7)+OPEX!$D$19*('Financial Analysis'!F$7-'Financial Analysis'!F$8)+OPEX!$E$19*'Financial Analysis'!F$8</f>
        <v>7040</v>
      </c>
      <c r="G86" s="69">
        <f>OPEX!$C$19*('Financial Analysis'!G$6-'Financial Analysis'!G$7)+OPEX!$D$19*('Financial Analysis'!G$7-'Financial Analysis'!G$8)+OPEX!$E$19*'Financial Analysis'!G$8</f>
        <v>7040</v>
      </c>
      <c r="H86" s="69">
        <f>OPEX!$C$19*('Financial Analysis'!H$6-'Financial Analysis'!H$7)+OPEX!$D$19*('Financial Analysis'!H$7-'Financial Analysis'!H$8)+OPEX!$E$19*'Financial Analysis'!H$8</f>
        <v>7040</v>
      </c>
      <c r="I86" s="69">
        <f>OPEX!$C$19*('Financial Analysis'!I$6-'Financial Analysis'!I$7)+OPEX!$D$19*('Financial Analysis'!I$7-'Financial Analysis'!I$8)+OPEX!$E$19*'Financial Analysis'!I$8</f>
        <v>7040</v>
      </c>
      <c r="J86" s="69">
        <f>OPEX!$C$19*('Financial Analysis'!J$6-'Financial Analysis'!J$7)+OPEX!$D$19*('Financial Analysis'!J$7-'Financial Analysis'!J$8)+OPEX!$E$19*'Financial Analysis'!J$8</f>
        <v>11245</v>
      </c>
      <c r="K86" s="69">
        <f>OPEX!$C$19*('Financial Analysis'!K$6-'Financial Analysis'!K$7)+OPEX!$D$19*('Financial Analysis'!K$7-'Financial Analysis'!K$8)+OPEX!$E$19*'Financial Analysis'!K$8</f>
        <v>11245</v>
      </c>
      <c r="L86" s="69">
        <f>OPEX!$C$19*('Financial Analysis'!L$6-'Financial Analysis'!L$7)+OPEX!$D$19*('Financial Analysis'!L$7-'Financial Analysis'!L$8)+OPEX!$E$19*'Financial Analysis'!L$8</f>
        <v>11245</v>
      </c>
      <c r="M86" s="69">
        <f>OPEX!$C$19*('Financial Analysis'!M$6-'Financial Analysis'!M$7)+OPEX!$D$19*('Financial Analysis'!M$7-'Financial Analysis'!M$8)+OPEX!$E$19*'Financial Analysis'!M$8</f>
        <v>11245</v>
      </c>
      <c r="N86" s="69">
        <f>OPEX!$C$19*('Financial Analysis'!N$6-'Financial Analysis'!N$7)+OPEX!$D$19*('Financial Analysis'!N$7-'Financial Analysis'!N$8)+OPEX!$E$19*'Financial Analysis'!N$8</f>
        <v>11245</v>
      </c>
      <c r="O86" s="69">
        <f>OPEX!$C$19*('Financial Analysis'!O$6-'Financial Analysis'!O$7)+OPEX!$D$19*('Financial Analysis'!O$7-'Financial Analysis'!O$8)+OPEX!$E$19*'Financial Analysis'!O$8</f>
        <v>15605</v>
      </c>
      <c r="P86" s="69">
        <f>OPEX!$C$19*('Financial Analysis'!P$6-'Financial Analysis'!P$7)+OPEX!$D$19*('Financial Analysis'!P$7-'Financial Analysis'!P$8)+OPEX!$E$19*'Financial Analysis'!P$8</f>
        <v>15605</v>
      </c>
      <c r="Q86" s="69">
        <f>OPEX!$C$19*('Financial Analysis'!Q$6-'Financial Analysis'!Q$7)+OPEX!$D$19*('Financial Analysis'!Q$7-'Financial Analysis'!Q$8)+OPEX!$E$19*'Financial Analysis'!Q$8</f>
        <v>15605</v>
      </c>
      <c r="R86" s="69">
        <f>OPEX!$C$19*('Financial Analysis'!R$6-'Financial Analysis'!R$7)+OPEX!$D$19*('Financial Analysis'!R$7-'Financial Analysis'!R$8)+OPEX!$E$19*'Financial Analysis'!R$8</f>
        <v>15605</v>
      </c>
      <c r="S86" s="69">
        <f>OPEX!$C$19*('Financial Analysis'!S$6-'Financial Analysis'!S$7)+OPEX!$D$19*('Financial Analysis'!S$7-'Financial Analysis'!S$8)+OPEX!$E$19*'Financial Analysis'!S$8</f>
        <v>15605</v>
      </c>
      <c r="T86" s="69">
        <f>OPEX!$C$19*('Financial Analysis'!T$6-'Financial Analysis'!T$7)+OPEX!$D$19*('Financial Analysis'!T$7-'Financial Analysis'!T$8)+OPEX!$E$19*'Financial Analysis'!T$8</f>
        <v>15605</v>
      </c>
      <c r="U86" s="69">
        <f>OPEX!$C$19*('Financial Analysis'!U$6-'Financial Analysis'!U$7)+OPEX!$D$19*('Financial Analysis'!U$7-'Financial Analysis'!U$8)+OPEX!$E$19*'Financial Analysis'!U$8</f>
        <v>15605</v>
      </c>
      <c r="V86" s="69">
        <f>OPEX!$C$19*('Financial Analysis'!V$6-'Financial Analysis'!V$7)+OPEX!$D$19*('Financial Analysis'!V$7-'Financial Analysis'!V$8)+OPEX!$E$19*'Financial Analysis'!V$8</f>
        <v>15605</v>
      </c>
      <c r="W86" s="69">
        <f>OPEX!$C$19*('Financial Analysis'!W$6-'Financial Analysis'!W$7)+OPEX!$D$19*('Financial Analysis'!W$7-'Financial Analysis'!W$8)+OPEX!$E$19*'Financial Analysis'!W$8</f>
        <v>15605</v>
      </c>
      <c r="X86" s="69">
        <f>OPEX!$C$19*('Financial Analysis'!X$6-'Financial Analysis'!X$7)+OPEX!$D$19*('Financial Analysis'!X$7-'Financial Analysis'!X$8)+OPEX!$E$19*'Financial Analysis'!X$8</f>
        <v>15605</v>
      </c>
      <c r="Y86" s="69">
        <f>OPEX!$C$19*('Financial Analysis'!Y$6-'Financial Analysis'!Y$7)+OPEX!$D$19*('Financial Analysis'!Y$7-'Financial Analysis'!Y$8)+OPEX!$E$19*'Financial Analysis'!Y$8</f>
        <v>15605</v>
      </c>
      <c r="Z86" s="69">
        <f>OPEX!$C$19*('Financial Analysis'!Z$6-'Financial Analysis'!Z$7)+OPEX!$D$19*('Financial Analysis'!Z$7-'Financial Analysis'!Z$8)+OPEX!$E$19*'Financial Analysis'!Z$8</f>
        <v>15605</v>
      </c>
      <c r="AA86" s="69">
        <f>OPEX!$C$19*('Financial Analysis'!AA$6-'Financial Analysis'!AA$7)+OPEX!$D$19*('Financial Analysis'!AA$7-'Financial Analysis'!AA$8)+OPEX!$E$19*'Financial Analysis'!AA$8</f>
        <v>15605</v>
      </c>
      <c r="AB86" s="69">
        <f>OPEX!$C$19*('Financial Analysis'!AB$6-'Financial Analysis'!AB$7)+OPEX!$D$19*('Financial Analysis'!AB$7-'Financial Analysis'!AB$8)+OPEX!$E$19*'Financial Analysis'!AB$8</f>
        <v>15605</v>
      </c>
      <c r="AC86" s="69">
        <f>OPEX!$C$19*('Financial Analysis'!AC$6-'Financial Analysis'!AC$7)+OPEX!$D$19*('Financial Analysis'!AC$7-'Financial Analysis'!AC$8)+OPEX!$E$19*'Financial Analysis'!AC$8</f>
        <v>15605</v>
      </c>
      <c r="AD86" s="69">
        <f>OPEX!$C$19*('Financial Analysis'!AD$6-'Financial Analysis'!AD$7)+OPEX!$D$19*('Financial Analysis'!AD$7-'Financial Analysis'!AD$8)+OPEX!$E$19*'Financial Analysis'!AD$8</f>
        <v>15605</v>
      </c>
      <c r="AE86" s="69">
        <f>OPEX!$C$19*('Financial Analysis'!AE$6-'Financial Analysis'!AE$7)+OPEX!$D$19*('Financial Analysis'!AE$7-'Financial Analysis'!AE$8)+OPEX!$E$19*'Financial Analysis'!AE$8</f>
        <v>15605</v>
      </c>
      <c r="AF86" s="69">
        <f>OPEX!$C$19*('Financial Analysis'!AF$6-'Financial Analysis'!AF$7)+OPEX!$D$19*('Financial Analysis'!AF$7-'Financial Analysis'!AF$8)+OPEX!$E$19*'Financial Analysis'!AF$8</f>
        <v>15605</v>
      </c>
      <c r="AG86" s="69">
        <f>OPEX!$C$19*('Financial Analysis'!AG$6-'Financial Analysis'!AG$7)+OPEX!$D$19*('Financial Analysis'!AG$7-'Financial Analysis'!AG$8)+OPEX!$E$19*'Financial Analysis'!AG$8</f>
        <v>15605</v>
      </c>
      <c r="AH86" s="69">
        <f>OPEX!$C$19*('Financial Analysis'!AH$6-'Financial Analysis'!AH$7)+OPEX!$D$19*('Financial Analysis'!AH$7-'Financial Analysis'!AH$8)+OPEX!$E$19*'Financial Analysis'!AH$8</f>
        <v>15605</v>
      </c>
      <c r="AI86" s="69">
        <f>OPEX!$C$19*('Financial Analysis'!AI$6-'Financial Analysis'!AI$7)+OPEX!$D$19*('Financial Analysis'!AI$7-'Financial Analysis'!AI$8)+OPEX!$E$19*'Financial Analysis'!AI$8</f>
        <v>15605</v>
      </c>
      <c r="AJ86" s="69">
        <f>OPEX!$C$19*('Financial Analysis'!AJ$6-'Financial Analysis'!AJ$7)+OPEX!$D$19*('Financial Analysis'!AJ$7-'Financial Analysis'!AJ$8)+OPEX!$E$19*'Financial Analysis'!AJ$8</f>
        <v>15605</v>
      </c>
      <c r="AK86" s="69">
        <f>OPEX!$C$19*('Financial Analysis'!AK$6-'Financial Analysis'!AK$7)+OPEX!$D$19*('Financial Analysis'!AK$7-'Financial Analysis'!AK$8)+OPEX!$E$19*'Financial Analysis'!AK$8</f>
        <v>15605</v>
      </c>
      <c r="AL86" s="69">
        <f>OPEX!$C$19*('Financial Analysis'!AL$6-'Financial Analysis'!AL$7)+OPEX!$D$19*('Financial Analysis'!AL$7-'Financial Analysis'!AL$8)+OPEX!$E$19*'Financial Analysis'!AL$8</f>
        <v>15605</v>
      </c>
      <c r="AM86" s="69">
        <f>OPEX!$C$19*('Financial Analysis'!AM$6-'Financial Analysis'!AM$7)+OPEX!$D$19*('Financial Analysis'!AM$7-'Financial Analysis'!AM$8)+OPEX!$E$19*'Financial Analysis'!AM$8</f>
        <v>15605</v>
      </c>
      <c r="AN86" s="69">
        <f>OPEX!$C$19*('Financial Analysis'!AN$6-'Financial Analysis'!AN$7)+OPEX!$D$19*('Financial Analysis'!AN$7-'Financial Analysis'!AN$8)+OPEX!$E$19*'Financial Analysis'!AN$8</f>
        <v>15605</v>
      </c>
      <c r="AO86" s="69">
        <f>OPEX!$C$19*('Financial Analysis'!AO$6-'Financial Analysis'!AO$7)+OPEX!$D$19*('Financial Analysis'!AO$7-'Financial Analysis'!AO$8)+OPEX!$E$19*'Financial Analysis'!AO$8</f>
        <v>15605</v>
      </c>
      <c r="AP86" s="69">
        <f>OPEX!$C$19*('Financial Analysis'!AP$6-'Financial Analysis'!AP$7)+OPEX!$D$19*('Financial Analysis'!AP$7-'Financial Analysis'!AP$8)+OPEX!$E$19*'Financial Analysis'!AP$8</f>
        <v>15605</v>
      </c>
      <c r="AQ86" s="69">
        <f>OPEX!$C$19*('Financial Analysis'!AQ$6-'Financial Analysis'!AQ$7)+OPEX!$D$19*('Financial Analysis'!AQ$7-'Financial Analysis'!AQ$8)+OPEX!$E$19*'Financial Analysis'!AQ$8</f>
        <v>15605</v>
      </c>
      <c r="AR86" s="69">
        <f>OPEX!$C$19*('Financial Analysis'!AR$6-'Financial Analysis'!AR$7)+OPEX!$D$19*('Financial Analysis'!AR$7-'Financial Analysis'!AR$8)+OPEX!$E$19*'Financial Analysis'!AR$8</f>
        <v>15605</v>
      </c>
      <c r="AS86" s="69">
        <f>OPEX!$C$19*('Financial Analysis'!AS$6-'Financial Analysis'!AS$7)+OPEX!$D$19*('Financial Analysis'!AS$7-'Financial Analysis'!AS$8)+OPEX!$E$19*'Financial Analysis'!AS$8</f>
        <v>15605</v>
      </c>
      <c r="AT86" s="69">
        <f>OPEX!$C$19*('Financial Analysis'!AT$6-'Financial Analysis'!AT$7)+OPEX!$D$19*('Financial Analysis'!AT$7-'Financial Analysis'!AT$8)+OPEX!$E$19*'Financial Analysis'!AT$8</f>
        <v>15605</v>
      </c>
      <c r="AU86" s="69">
        <f>OPEX!$C$19*('Financial Analysis'!AU$6-'Financial Analysis'!AU$7)+OPEX!$D$19*('Financial Analysis'!AU$7-'Financial Analysis'!AU$8)+OPEX!$E$19*'Financial Analysis'!AU$8</f>
        <v>15605</v>
      </c>
      <c r="AV86" s="69">
        <f>OPEX!$C$19*('Financial Analysis'!AV$6-'Financial Analysis'!AV$7)+OPEX!$D$19*('Financial Analysis'!AV$7-'Financial Analysis'!AV$8)+OPEX!$E$19*'Financial Analysis'!AV$8</f>
        <v>15605</v>
      </c>
      <c r="AW86" s="69">
        <f>OPEX!$C$19*('Financial Analysis'!AW$6-'Financial Analysis'!AW$7)+OPEX!$D$19*('Financial Analysis'!AW$7-'Financial Analysis'!AW$8)+OPEX!$E$19*'Financial Analysis'!AW$8</f>
        <v>15605</v>
      </c>
      <c r="AX86" s="69">
        <f>OPEX!$C$19*('Financial Analysis'!AX$6-'Financial Analysis'!AX$7)+OPEX!$D$19*('Financial Analysis'!AX$7-'Financial Analysis'!AX$8)+OPEX!$E$19*'Financial Analysis'!AX$8</f>
        <v>15605</v>
      </c>
      <c r="AY86" s="69">
        <f>OPEX!$C$19*('Financial Analysis'!AY$6-'Financial Analysis'!AY$7)+OPEX!$D$19*('Financial Analysis'!AY$7-'Financial Analysis'!AY$8)+OPEX!$E$19*'Financial Analysis'!AY$8</f>
        <v>15605</v>
      </c>
      <c r="AZ86" s="69">
        <f>OPEX!$C$19*('Financial Analysis'!AZ$6-'Financial Analysis'!AZ$7)+OPEX!$D$19*('Financial Analysis'!AZ$7-'Financial Analysis'!AZ$8)+OPEX!$E$19*'Financial Analysis'!AZ$8</f>
        <v>15605</v>
      </c>
      <c r="BA86" s="69">
        <f>OPEX!$C$19*('Financial Analysis'!BA$6-'Financial Analysis'!BA$7)+OPEX!$D$19*('Financial Analysis'!BA$7-'Financial Analysis'!BA$8)+OPEX!$E$19*'Financial Analysis'!BA$8</f>
        <v>15605</v>
      </c>
      <c r="BB86" s="69">
        <f>OPEX!$C$19*('Financial Analysis'!BB$6-'Financial Analysis'!BB$7)+OPEX!$D$19*('Financial Analysis'!BB$7-'Financial Analysis'!BB$8)+OPEX!$E$19*'Financial Analysis'!BB$8</f>
        <v>15605</v>
      </c>
      <c r="BC86" s="69">
        <f>OPEX!$C$19*('Financial Analysis'!BC$6-'Financial Analysis'!BC$7)+OPEX!$D$19*('Financial Analysis'!BC$7-'Financial Analysis'!BC$8)+OPEX!$E$19*'Financial Analysis'!BC$8</f>
        <v>15605</v>
      </c>
      <c r="BD86" s="69">
        <f>OPEX!$C$19*('Financial Analysis'!BD$6-'Financial Analysis'!BD$7)+OPEX!$D$19*('Financial Analysis'!BD$7-'Financial Analysis'!BD$8)+OPEX!$E$19*'Financial Analysis'!BD$8</f>
        <v>15605</v>
      </c>
      <c r="BE86" s="69">
        <f>OPEX!$C$19*('Financial Analysis'!BE$6-'Financial Analysis'!BE$7)+OPEX!$D$19*('Financial Analysis'!BE$7-'Financial Analysis'!BE$8)+OPEX!$E$19*'Financial Analysis'!BE$8</f>
        <v>15605</v>
      </c>
      <c r="BF86" s="69">
        <f>OPEX!$C$19*('Financial Analysis'!BF$6-'Financial Analysis'!BF$7)+OPEX!$D$19*('Financial Analysis'!BF$7-'Financial Analysis'!BF$8)+OPEX!$E$19*'Financial Analysis'!BF$8</f>
        <v>15605</v>
      </c>
      <c r="BG86" s="69">
        <f>OPEX!$C$19*('Financial Analysis'!BG$6-'Financial Analysis'!BG$7)+OPEX!$D$19*('Financial Analysis'!BG$7-'Financial Analysis'!BG$8)+OPEX!$E$19*'Financial Analysis'!BG$8</f>
        <v>15605</v>
      </c>
      <c r="BH86" s="69">
        <f>OPEX!$C$19*('Financial Analysis'!BH$6-'Financial Analysis'!BH$7)+OPEX!$D$19*('Financial Analysis'!BH$7-'Financial Analysis'!BH$8)+OPEX!$E$19*'Financial Analysis'!BH$8</f>
        <v>15605</v>
      </c>
      <c r="BI86" s="69">
        <f>OPEX!$C$19*('Financial Analysis'!BI$6-'Financial Analysis'!BI$7)+OPEX!$D$19*('Financial Analysis'!BI$7-'Financial Analysis'!BI$8)+OPEX!$E$19*'Financial Analysis'!BI$8</f>
        <v>15605</v>
      </c>
      <c r="BJ86" s="69">
        <f>OPEX!$C$19*('Financial Analysis'!BJ$6-'Financial Analysis'!BJ$7)+OPEX!$D$19*('Financial Analysis'!BJ$7-'Financial Analysis'!BJ$8)+OPEX!$E$19*'Financial Analysis'!BJ$8</f>
        <v>15605</v>
      </c>
      <c r="BK86" s="69">
        <f>OPEX!$C$19*('Financial Analysis'!BK$6-'Financial Analysis'!BK$7)+OPEX!$D$19*('Financial Analysis'!BK$7-'Financial Analysis'!BK$8)+OPEX!$E$19*'Financial Analysis'!BK$8</f>
        <v>15605</v>
      </c>
      <c r="BL86" s="69">
        <f>OPEX!$C$19*('Financial Analysis'!BL$6-'Financial Analysis'!BL$7)+OPEX!$D$19*('Financial Analysis'!BL$7-'Financial Analysis'!BL$8)+OPEX!$E$19*'Financial Analysis'!BL$8</f>
        <v>15605</v>
      </c>
    </row>
    <row r="87" spans="2:64">
      <c r="B87" s="164" t="s">
        <v>448</v>
      </c>
      <c r="E87" s="215" t="e">
        <f>SUM(E75:E80)+SUM(E82:E86)</f>
        <v>#REF!</v>
      </c>
      <c r="F87" s="215" t="e">
        <f>SUM(F75:F80)+SUM(F82:F86)</f>
        <v>#REF!</v>
      </c>
      <c r="G87" s="215" t="e">
        <f>SUM(G75:G80)+SUM(G82:G86)</f>
        <v>#REF!</v>
      </c>
      <c r="H87" s="215" t="e">
        <f>SUM(H75:H80)+SUM(H82:H86)</f>
        <v>#REF!</v>
      </c>
      <c r="I87" s="215" t="e">
        <f>SUM(I75:I80)+SUM(I82:I86)</f>
        <v>#REF!</v>
      </c>
      <c r="J87" s="215" t="e">
        <f>SUM(J75:J80)+SUM(J82:J86)</f>
        <v>#REF!</v>
      </c>
      <c r="K87" s="215" t="e">
        <f>SUM(K75:K80)+SUM(K82:K86)</f>
        <v>#REF!</v>
      </c>
      <c r="L87" s="215" t="e">
        <f>SUM(L75:L80)+SUM(L82:L86)</f>
        <v>#REF!</v>
      </c>
      <c r="M87" s="215" t="e">
        <f>SUM(M75:M80)+SUM(M82:M86)</f>
        <v>#REF!</v>
      </c>
      <c r="N87" s="215" t="e">
        <f>SUM(N75:N80)+SUM(N82:N86)</f>
        <v>#REF!</v>
      </c>
      <c r="O87" s="215" t="e">
        <f>SUM(O75:O80)+SUM(O82:O86)</f>
        <v>#REF!</v>
      </c>
      <c r="P87" s="215" t="e">
        <f>SUM(P75:P80)+SUM(P82:P86)</f>
        <v>#REF!</v>
      </c>
      <c r="Q87" s="215" t="e">
        <f>SUM(Q75:Q80)+SUM(Q82:Q86)</f>
        <v>#REF!</v>
      </c>
      <c r="R87" s="215" t="e">
        <f>SUM(R75:R80)+SUM(R82:R86)</f>
        <v>#REF!</v>
      </c>
      <c r="S87" s="215" t="e">
        <f>SUM(S75:S80)+SUM(S82:S86)</f>
        <v>#REF!</v>
      </c>
      <c r="T87" s="215" t="e">
        <f>SUM(T75:T80)+SUM(T82:T86)</f>
        <v>#REF!</v>
      </c>
      <c r="U87" s="215" t="e">
        <f>SUM(U75:U80)+SUM(U82:U86)</f>
        <v>#REF!</v>
      </c>
      <c r="V87" s="215" t="e">
        <f>SUM(V75:V80)+SUM(V82:V86)</f>
        <v>#REF!</v>
      </c>
      <c r="W87" s="215" t="e">
        <f>SUM(W75:W80)+SUM(W82:W86)</f>
        <v>#REF!</v>
      </c>
      <c r="X87" s="215" t="e">
        <f>SUM(X75:X80)+SUM(X82:X86)</f>
        <v>#REF!</v>
      </c>
      <c r="Y87" s="215" t="e">
        <f>SUM(Y75:Y80)+SUM(Y82:Y86)</f>
        <v>#REF!</v>
      </c>
      <c r="Z87" s="215" t="e">
        <f>SUM(Z75:Z80)+SUM(Z82:Z86)</f>
        <v>#REF!</v>
      </c>
      <c r="AA87" s="215" t="e">
        <f>SUM(AA75:AA80)+SUM(AA82:AA86)</f>
        <v>#REF!</v>
      </c>
      <c r="AB87" s="215" t="e">
        <f>SUM(AB75:AB80)+SUM(AB82:AB86)</f>
        <v>#REF!</v>
      </c>
      <c r="AC87" s="215" t="e">
        <f>SUM(AC75:AC80)+SUM(AC82:AC86)</f>
        <v>#REF!</v>
      </c>
      <c r="AD87" s="215" t="e">
        <f>SUM(AD75:AD80)+SUM(AD82:AD86)</f>
        <v>#REF!</v>
      </c>
      <c r="AE87" s="215" t="e">
        <f>SUM(AE75:AE80)+SUM(AE82:AE86)</f>
        <v>#REF!</v>
      </c>
      <c r="AF87" s="215" t="e">
        <f>SUM(AF75:AF80)+SUM(AF82:AF86)</f>
        <v>#REF!</v>
      </c>
      <c r="AG87" s="215" t="e">
        <f>SUM(AG75:AG80)+SUM(AG82:AG86)</f>
        <v>#REF!</v>
      </c>
      <c r="AH87" s="215" t="e">
        <f>SUM(AH75:AH80)+SUM(AH82:AH86)</f>
        <v>#REF!</v>
      </c>
      <c r="AI87" s="215" t="e">
        <f>SUM(AI75:AI80)+SUM(AI82:AI86)</f>
        <v>#REF!</v>
      </c>
      <c r="AJ87" s="215" t="e">
        <f>SUM(AJ75:AJ80)+SUM(AJ82:AJ86)</f>
        <v>#REF!</v>
      </c>
      <c r="AK87" s="215" t="e">
        <f>SUM(AK75:AK80)+SUM(AK82:AK86)</f>
        <v>#REF!</v>
      </c>
      <c r="AL87" s="215" t="e">
        <f>SUM(AL75:AL80)+SUM(AL82:AL86)</f>
        <v>#REF!</v>
      </c>
      <c r="AM87" s="215" t="e">
        <f>SUM(AM75:AM80)+SUM(AM82:AM86)</f>
        <v>#REF!</v>
      </c>
      <c r="AN87" s="215" t="e">
        <f>SUM(AN75:AN80)+SUM(AN82:AN86)</f>
        <v>#REF!</v>
      </c>
      <c r="AO87" s="215" t="e">
        <f>SUM(AO75:AO80)+SUM(AO82:AO86)</f>
        <v>#REF!</v>
      </c>
      <c r="AP87" s="215" t="e">
        <f>SUM(AP75:AP80)+SUM(AP82:AP86)</f>
        <v>#REF!</v>
      </c>
      <c r="AQ87" s="215" t="e">
        <f>SUM(AQ75:AQ80)+SUM(AQ82:AQ86)</f>
        <v>#REF!</v>
      </c>
      <c r="AR87" s="215" t="e">
        <f>SUM(AR75:AR80)+SUM(AR82:AR86)</f>
        <v>#REF!</v>
      </c>
      <c r="AS87" s="215" t="e">
        <f>SUM(AS75:AS80)+SUM(AS82:AS86)</f>
        <v>#REF!</v>
      </c>
      <c r="AT87" s="215" t="e">
        <f>SUM(AT75:AT80)+SUM(AT82:AT86)</f>
        <v>#REF!</v>
      </c>
      <c r="AU87" s="215" t="e">
        <f>SUM(AU75:AU80)+SUM(AU82:AU86)</f>
        <v>#REF!</v>
      </c>
      <c r="AV87" s="215" t="e">
        <f>SUM(AV75:AV80)+SUM(AV82:AV86)</f>
        <v>#REF!</v>
      </c>
      <c r="AW87" s="215" t="e">
        <f>SUM(AW75:AW80)+SUM(AW82:AW86)</f>
        <v>#REF!</v>
      </c>
      <c r="AX87" s="215" t="e">
        <f>SUM(AX75:AX80)+SUM(AX82:AX86)</f>
        <v>#REF!</v>
      </c>
      <c r="AY87" s="215" t="e">
        <f>SUM(AY75:AY80)+SUM(AY82:AY86)</f>
        <v>#REF!</v>
      </c>
      <c r="AZ87" s="215" t="e">
        <f>SUM(AZ75:AZ80)+SUM(AZ82:AZ86)</f>
        <v>#REF!</v>
      </c>
      <c r="BA87" s="215" t="e">
        <f>SUM(BA75:BA80)+SUM(BA82:BA86)</f>
        <v>#REF!</v>
      </c>
      <c r="BB87" s="215" t="e">
        <f>SUM(BB75:BB80)+SUM(BB82:BB86)</f>
        <v>#REF!</v>
      </c>
      <c r="BC87" s="215" t="e">
        <f>SUM(BC75:BC80)+SUM(BC82:BC86)</f>
        <v>#REF!</v>
      </c>
      <c r="BD87" s="215" t="e">
        <f>SUM(BD75:BD80)+SUM(BD82:BD86)</f>
        <v>#REF!</v>
      </c>
      <c r="BE87" s="215" t="e">
        <f>SUM(BE75:BE80)+SUM(BE82:BE86)</f>
        <v>#REF!</v>
      </c>
      <c r="BF87" s="215" t="e">
        <f>SUM(BF75:BF80)+SUM(BF82:BF86)</f>
        <v>#REF!</v>
      </c>
      <c r="BG87" s="215" t="e">
        <f>SUM(BG75:BG80)+SUM(BG82:BG86)</f>
        <v>#REF!</v>
      </c>
      <c r="BH87" s="215" t="e">
        <f>SUM(BH75:BH80)+SUM(BH82:BH86)</f>
        <v>#REF!</v>
      </c>
      <c r="BI87" s="215" t="e">
        <f>SUM(BI75:BI80)+SUM(BI82:BI86)</f>
        <v>#REF!</v>
      </c>
      <c r="BJ87" s="215" t="e">
        <f>SUM(BJ75:BJ80)+SUM(BJ82:BJ86)</f>
        <v>#REF!</v>
      </c>
      <c r="BK87" s="215" t="e">
        <f>SUM(BK75:BK80)+SUM(BK82:BK86)</f>
        <v>#REF!</v>
      </c>
      <c r="BL87" s="215" t="e">
        <f>SUM(BL75:BL80)+SUM(BL82:BL86)</f>
        <v>#REF!</v>
      </c>
    </row>
    <row r="88" spans="2:64">
      <c r="B88" s="146"/>
    </row>
    <row r="89" spans="2:64">
      <c r="B89" s="212" t="s">
        <v>323</v>
      </c>
    </row>
    <row r="90" spans="2:64">
      <c r="B90" s="146" t="s">
        <v>449</v>
      </c>
      <c r="E90" s="69">
        <f>('Financial Analysis'!E40*Dashboard!$C$37/100)+('Financial Analysis'!E41*Dashboard!$C$38/100)</f>
        <v>0</v>
      </c>
      <c r="F90" s="69">
        <f>('Financial Analysis'!F40*Dashboard!$C$37/100)+('Financial Analysis'!F41*Dashboard!$C$38/100)</f>
        <v>0</v>
      </c>
      <c r="G90" s="69">
        <f>('Financial Analysis'!G40*Dashboard!$C$37/100)+('Financial Analysis'!G41*Dashboard!$C$38/100)</f>
        <v>0</v>
      </c>
      <c r="H90" s="69">
        <f>('Financial Analysis'!H40*Dashboard!$C$37/100)+('Financial Analysis'!H41*Dashboard!$C$38/100)</f>
        <v>0</v>
      </c>
      <c r="I90" s="69">
        <f>('Financial Analysis'!I40*Dashboard!$C$37/100)+('Financial Analysis'!I41*Dashboard!$C$38/100)</f>
        <v>0</v>
      </c>
      <c r="J90" s="69">
        <f>('Financial Analysis'!J40*Dashboard!$C$37/100)+('Financial Analysis'!J41*Dashboard!$C$38/100)</f>
        <v>0</v>
      </c>
      <c r="K90" s="69">
        <f>('Financial Analysis'!K40*Dashboard!$C$37/100)+('Financial Analysis'!K41*Dashboard!$C$38/100)</f>
        <v>0</v>
      </c>
      <c r="L90" s="69">
        <f>('Financial Analysis'!L40*Dashboard!$C$37/100)+('Financial Analysis'!L41*Dashboard!$C$38/100)</f>
        <v>0</v>
      </c>
      <c r="M90" s="69">
        <f>('Financial Analysis'!M40*Dashboard!$C$37/100)+('Financial Analysis'!M41*Dashboard!$C$38/100)</f>
        <v>0</v>
      </c>
      <c r="N90" s="69">
        <f>('Financial Analysis'!N40*Dashboard!$C$37/100)+('Financial Analysis'!N41*Dashboard!$C$38/100)</f>
        <v>0</v>
      </c>
      <c r="O90" s="69">
        <f>('Financial Analysis'!O40*Dashboard!$C$37/100)+('Financial Analysis'!O41*Dashboard!$C$38/100)</f>
        <v>0</v>
      </c>
      <c r="P90" s="69">
        <f>('Financial Analysis'!P40*Dashboard!$C$37/100)+('Financial Analysis'!P41*Dashboard!$C$38/100)</f>
        <v>0</v>
      </c>
      <c r="Q90" s="69">
        <f>('Financial Analysis'!Q40*Dashboard!$C$37/100)+('Financial Analysis'!Q41*Dashboard!$C$38/100)</f>
        <v>0</v>
      </c>
      <c r="R90" s="69">
        <f>('Financial Analysis'!R40*Dashboard!$C$37/100)+('Financial Analysis'!R41*Dashboard!$C$38/100)</f>
        <v>0</v>
      </c>
      <c r="S90" s="69">
        <f>('Financial Analysis'!S40*Dashboard!$C$37/100)+('Financial Analysis'!S41*Dashboard!$C$38/100)</f>
        <v>0</v>
      </c>
      <c r="T90" s="69">
        <f>('Financial Analysis'!T40*Dashboard!$C$37/100)+('Financial Analysis'!T41*Dashboard!$C$38/100)</f>
        <v>0</v>
      </c>
      <c r="U90" s="69">
        <f>('Financial Analysis'!U40*Dashboard!$C$37/100)+('Financial Analysis'!U41*Dashboard!$C$38/100)</f>
        <v>0</v>
      </c>
      <c r="V90" s="69">
        <f>('Financial Analysis'!V40*Dashboard!$C$37/100)+('Financial Analysis'!V41*Dashboard!$C$38/100)</f>
        <v>0</v>
      </c>
      <c r="W90" s="69">
        <f>('Financial Analysis'!W40*Dashboard!$C$37/100)+('Financial Analysis'!W41*Dashboard!$C$38/100)</f>
        <v>0</v>
      </c>
      <c r="X90" s="69">
        <f>('Financial Analysis'!X40*Dashboard!$C$37/100)+('Financial Analysis'!X41*Dashboard!$C$38/100)</f>
        <v>0</v>
      </c>
      <c r="Y90" s="69">
        <f>('Financial Analysis'!Y40*Dashboard!$C$37/100)+('Financial Analysis'!Y41*Dashboard!$C$38/100)</f>
        <v>0</v>
      </c>
      <c r="Z90" s="69">
        <f>('Financial Analysis'!Z40*Dashboard!$C$37/100)+('Financial Analysis'!Z41*Dashboard!$C$38/100)</f>
        <v>0</v>
      </c>
      <c r="AA90" s="69">
        <f>('Financial Analysis'!AA40*Dashboard!$C$37/100)+('Financial Analysis'!AA41*Dashboard!$C$38/100)</f>
        <v>0</v>
      </c>
      <c r="AB90" s="69">
        <f>('Financial Analysis'!AB40*Dashboard!$C$37/100)+('Financial Analysis'!AB41*Dashboard!$C$38/100)</f>
        <v>0</v>
      </c>
      <c r="AC90" s="69">
        <f>('Financial Analysis'!AC40*Dashboard!$C$37/100)+('Financial Analysis'!AC41*Dashboard!$C$38/100)</f>
        <v>0</v>
      </c>
      <c r="AD90" s="69">
        <f>('Financial Analysis'!AD40*Dashboard!$C$37/100)+('Financial Analysis'!AD41*Dashboard!$C$38/100)</f>
        <v>0</v>
      </c>
      <c r="AE90" s="69">
        <f>('Financial Analysis'!AE40*Dashboard!$C$37/100)+('Financial Analysis'!AE41*Dashboard!$C$38/100)</f>
        <v>0</v>
      </c>
      <c r="AF90" s="69">
        <f>('Financial Analysis'!AF40*Dashboard!$C$37/100)+('Financial Analysis'!AF41*Dashboard!$C$38/100)</f>
        <v>0</v>
      </c>
      <c r="AG90" s="69">
        <f>('Financial Analysis'!AG40*Dashboard!$C$37/100)+('Financial Analysis'!AG41*Dashboard!$C$38/100)</f>
        <v>0</v>
      </c>
      <c r="AH90" s="69">
        <f>('Financial Analysis'!AH40*Dashboard!$C$37/100)+('Financial Analysis'!AH41*Dashboard!$C$38/100)</f>
        <v>0</v>
      </c>
      <c r="AI90" s="69">
        <f>('Financial Analysis'!AI40*Dashboard!$C$37/100)+('Financial Analysis'!AI41*Dashboard!$C$38/100)</f>
        <v>0</v>
      </c>
      <c r="AJ90" s="69">
        <f>('Financial Analysis'!AJ40*Dashboard!$C$37/100)+('Financial Analysis'!AJ41*Dashboard!$C$38/100)</f>
        <v>0</v>
      </c>
      <c r="AK90" s="69">
        <f>('Financial Analysis'!AK40*Dashboard!$C$37/100)+('Financial Analysis'!AK41*Dashboard!$C$38/100)</f>
        <v>0</v>
      </c>
      <c r="AL90" s="69">
        <f>('Financial Analysis'!AL40*Dashboard!$C$37/100)+('Financial Analysis'!AL41*Dashboard!$C$38/100)</f>
        <v>0</v>
      </c>
      <c r="AM90" s="69">
        <f>('Financial Analysis'!AM40*Dashboard!$C$37/100)+('Financial Analysis'!AM41*Dashboard!$C$38/100)</f>
        <v>0</v>
      </c>
      <c r="AN90" s="69">
        <f>('Financial Analysis'!AN40*Dashboard!$C$37/100)+('Financial Analysis'!AN41*Dashboard!$C$38/100)</f>
        <v>0</v>
      </c>
      <c r="AO90" s="69">
        <f>('Financial Analysis'!AO40*Dashboard!$C$37/100)+('Financial Analysis'!AO41*Dashboard!$C$38/100)</f>
        <v>0</v>
      </c>
      <c r="AP90" s="69">
        <f>('Financial Analysis'!AP40*Dashboard!$C$37/100)+('Financial Analysis'!AP41*Dashboard!$C$38/100)</f>
        <v>0</v>
      </c>
      <c r="AQ90" s="69">
        <f>('Financial Analysis'!AQ40*Dashboard!$C$37/100)+('Financial Analysis'!AQ41*Dashboard!$C$38/100)</f>
        <v>0</v>
      </c>
      <c r="AR90" s="69">
        <f>('Financial Analysis'!AR40*Dashboard!$C$37/100)+('Financial Analysis'!AR41*Dashboard!$C$38/100)</f>
        <v>0</v>
      </c>
      <c r="AS90" s="69">
        <f>('Financial Analysis'!AS40*Dashboard!$C$37/100)+('Financial Analysis'!AS41*Dashboard!$C$38/100)</f>
        <v>0</v>
      </c>
      <c r="AT90" s="69">
        <f>('Financial Analysis'!AT40*Dashboard!$C$37/100)+('Financial Analysis'!AT41*Dashboard!$C$38/100)</f>
        <v>0</v>
      </c>
      <c r="AU90" s="69">
        <f>('Financial Analysis'!AU40*Dashboard!$C$37/100)+('Financial Analysis'!AU41*Dashboard!$C$38/100)</f>
        <v>0</v>
      </c>
      <c r="AV90" s="69">
        <f>('Financial Analysis'!AV40*Dashboard!$C$37/100)+('Financial Analysis'!AV41*Dashboard!$C$38/100)</f>
        <v>0</v>
      </c>
      <c r="AW90" s="69">
        <f>('Financial Analysis'!AW40*Dashboard!$C$37/100)+('Financial Analysis'!AW41*Dashboard!$C$38/100)</f>
        <v>0</v>
      </c>
      <c r="AX90" s="69">
        <f>('Financial Analysis'!AX40*Dashboard!$C$37/100)+('Financial Analysis'!AX41*Dashboard!$C$38/100)</f>
        <v>0</v>
      </c>
      <c r="AY90" s="69">
        <f>('Financial Analysis'!AY40*Dashboard!$C$37/100)+('Financial Analysis'!AY41*Dashboard!$C$38/100)</f>
        <v>0</v>
      </c>
      <c r="AZ90" s="69">
        <f>('Financial Analysis'!AZ40*Dashboard!$C$37/100)+('Financial Analysis'!AZ41*Dashboard!$C$38/100)</f>
        <v>0</v>
      </c>
      <c r="BA90" s="69">
        <f>('Financial Analysis'!BA40*Dashboard!$C$37/100)+('Financial Analysis'!BA41*Dashboard!$C$38/100)</f>
        <v>0</v>
      </c>
      <c r="BB90" s="69">
        <f>('Financial Analysis'!BB40*Dashboard!$C$37/100)+('Financial Analysis'!BB41*Dashboard!$C$38/100)</f>
        <v>0</v>
      </c>
      <c r="BC90" s="69">
        <f>('Financial Analysis'!BC40*Dashboard!$C$37/100)+('Financial Analysis'!BC41*Dashboard!$C$38/100)</f>
        <v>0</v>
      </c>
      <c r="BD90" s="69">
        <f>('Financial Analysis'!BD40*Dashboard!$C$37/100)+('Financial Analysis'!BD41*Dashboard!$C$38/100)</f>
        <v>0</v>
      </c>
      <c r="BE90" s="69">
        <f>('Financial Analysis'!BE40*Dashboard!$C$37/100)+('Financial Analysis'!BE41*Dashboard!$C$38/100)</f>
        <v>0</v>
      </c>
      <c r="BF90" s="69">
        <f>('Financial Analysis'!BF40*Dashboard!$C$37/100)+('Financial Analysis'!BF41*Dashboard!$C$38/100)</f>
        <v>0</v>
      </c>
      <c r="BG90" s="69">
        <f>('Financial Analysis'!BG40*Dashboard!$C$37/100)+('Financial Analysis'!BG41*Dashboard!$C$38/100)</f>
        <v>0</v>
      </c>
      <c r="BH90" s="69">
        <f>('Financial Analysis'!BH40*Dashboard!$C$37/100)+('Financial Analysis'!BH41*Dashboard!$C$38/100)</f>
        <v>0</v>
      </c>
      <c r="BI90" s="69">
        <f>('Financial Analysis'!BI40*Dashboard!$C$37/100)+('Financial Analysis'!BI41*Dashboard!$C$38/100)</f>
        <v>0</v>
      </c>
      <c r="BJ90" s="69">
        <f>('Financial Analysis'!BJ40*Dashboard!$C$37/100)+('Financial Analysis'!BJ41*Dashboard!$C$38/100)</f>
        <v>0</v>
      </c>
      <c r="BK90" s="69">
        <f>('Financial Analysis'!BK40*Dashboard!$C$37/100)+('Financial Analysis'!BK41*Dashboard!$C$38/100)</f>
        <v>0</v>
      </c>
      <c r="BL90" s="69">
        <f>('Financial Analysis'!BL40*Dashboard!$C$37/100)+('Financial Analysis'!BL41*Dashboard!$C$38/100)</f>
        <v>0</v>
      </c>
    </row>
    <row r="91" spans="2:64">
      <c r="B91" s="146" t="s">
        <v>341</v>
      </c>
      <c r="E91" s="53">
        <f>E40*Dashboard!$C$13/100</f>
        <v>0</v>
      </c>
      <c r="F91" s="53">
        <f>F40*Dashboard!$C$13/100</f>
        <v>0</v>
      </c>
      <c r="G91" s="53">
        <f>G40*Dashboard!$C$13/100</f>
        <v>0</v>
      </c>
      <c r="H91" s="53">
        <f>H40*Dashboard!$C$13/100</f>
        <v>0</v>
      </c>
      <c r="I91" s="53">
        <f>I40*Dashboard!$C$13/100</f>
        <v>0</v>
      </c>
      <c r="J91" s="53">
        <f>J40*Dashboard!$C$13/100</f>
        <v>0</v>
      </c>
      <c r="K91" s="53">
        <f>K40*Dashboard!$C$13/100</f>
        <v>0</v>
      </c>
      <c r="L91" s="53">
        <f>L40*Dashboard!$C$13/100</f>
        <v>0</v>
      </c>
      <c r="M91" s="53">
        <f>M40*Dashboard!$C$13/100</f>
        <v>0</v>
      </c>
      <c r="N91" s="53">
        <f>N40*Dashboard!$C$13/100</f>
        <v>0</v>
      </c>
      <c r="O91" s="53">
        <f>O40*Dashboard!$C$13/100</f>
        <v>0</v>
      </c>
      <c r="P91" s="53">
        <f>P40*Dashboard!$C$13/100</f>
        <v>0</v>
      </c>
      <c r="Q91" s="53">
        <f>Q40*Dashboard!$C$13/100</f>
        <v>0</v>
      </c>
      <c r="R91" s="53">
        <f>R40*Dashboard!$C$13/100</f>
        <v>0</v>
      </c>
      <c r="S91" s="53">
        <f>S40*Dashboard!$C$13/100</f>
        <v>0</v>
      </c>
      <c r="T91" s="53">
        <f>T40*Dashboard!$C$13/100</f>
        <v>0</v>
      </c>
      <c r="U91" s="53">
        <f>U40*Dashboard!$C$13/100</f>
        <v>0</v>
      </c>
      <c r="V91" s="53">
        <f>V40*Dashboard!$C$13/100</f>
        <v>0</v>
      </c>
      <c r="W91" s="53">
        <f>W40*Dashboard!$C$13/100</f>
        <v>0</v>
      </c>
      <c r="X91" s="53">
        <f>X40*Dashboard!$C$13/100</f>
        <v>0</v>
      </c>
      <c r="Y91" s="53">
        <f>Y40*Dashboard!$C$13/100</f>
        <v>0</v>
      </c>
      <c r="Z91" s="53">
        <f>Z40*Dashboard!$C$13/100</f>
        <v>0</v>
      </c>
      <c r="AA91" s="53">
        <f>AA40*Dashboard!$C$13/100</f>
        <v>0</v>
      </c>
      <c r="AB91" s="53">
        <f>AB40*Dashboard!$C$13/100</f>
        <v>0</v>
      </c>
      <c r="AC91" s="53">
        <f>AC40*Dashboard!$C$13/100</f>
        <v>0</v>
      </c>
      <c r="AD91" s="53">
        <f>AD40*Dashboard!$C$13/100</f>
        <v>0</v>
      </c>
      <c r="AE91" s="53">
        <f>AE40*Dashboard!$C$13/100</f>
        <v>0</v>
      </c>
      <c r="AF91" s="53">
        <f>AF40*Dashboard!$C$13/100</f>
        <v>0</v>
      </c>
      <c r="AG91" s="53">
        <f>AG40*Dashboard!$C$13/100</f>
        <v>0</v>
      </c>
      <c r="AH91" s="53">
        <f>AH40*Dashboard!$C$13/100</f>
        <v>0</v>
      </c>
      <c r="AI91" s="53">
        <f>AI40*Dashboard!$C$13/100</f>
        <v>0</v>
      </c>
      <c r="AJ91" s="53">
        <f>AJ40*Dashboard!$C$13/100</f>
        <v>0</v>
      </c>
      <c r="AK91" s="53">
        <f>AK40*Dashboard!$C$13/100</f>
        <v>0</v>
      </c>
      <c r="AL91" s="53">
        <f>AL40*Dashboard!$C$13/100</f>
        <v>0</v>
      </c>
      <c r="AM91" s="53">
        <f>AM40*Dashboard!$C$13/100</f>
        <v>0</v>
      </c>
      <c r="AN91" s="53">
        <f>AN40*Dashboard!$C$13/100</f>
        <v>0</v>
      </c>
      <c r="AO91" s="53">
        <f>AO40*Dashboard!$C$13/100</f>
        <v>0</v>
      </c>
      <c r="AP91" s="53">
        <f>AP40*Dashboard!$C$13/100</f>
        <v>0</v>
      </c>
      <c r="AQ91" s="53">
        <f>AQ40*Dashboard!$C$13/100</f>
        <v>0</v>
      </c>
      <c r="AR91" s="53">
        <f>AR40*Dashboard!$C$13/100</f>
        <v>0</v>
      </c>
      <c r="AS91" s="53">
        <f>AS40*Dashboard!$C$13/100</f>
        <v>0</v>
      </c>
      <c r="AT91" s="53">
        <f>AT40*Dashboard!$C$13/100</f>
        <v>0</v>
      </c>
      <c r="AU91" s="53">
        <f>AU40*Dashboard!$C$13/100</f>
        <v>0</v>
      </c>
      <c r="AV91" s="53">
        <f>AV40*Dashboard!$C$13/100</f>
        <v>0</v>
      </c>
      <c r="AW91" s="53">
        <f>AW40*Dashboard!$C$13/100</f>
        <v>0</v>
      </c>
      <c r="AX91" s="53">
        <f>AX40*Dashboard!$C$13/100</f>
        <v>0</v>
      </c>
      <c r="AY91" s="53">
        <f>AY40*Dashboard!$C$13/100</f>
        <v>0</v>
      </c>
      <c r="AZ91" s="53">
        <f>AZ40*Dashboard!$C$13/100</f>
        <v>0</v>
      </c>
      <c r="BA91" s="53">
        <f>BA40*Dashboard!$C$13/100</f>
        <v>0</v>
      </c>
      <c r="BB91" s="53">
        <f>BB40*Dashboard!$C$13/100</f>
        <v>0</v>
      </c>
      <c r="BC91" s="53">
        <f>BC40*Dashboard!$C$13/100</f>
        <v>0</v>
      </c>
      <c r="BD91" s="53">
        <f>BD40*Dashboard!$C$13/100</f>
        <v>0</v>
      </c>
      <c r="BE91" s="53">
        <f>BE40*Dashboard!$C$13/100</f>
        <v>0</v>
      </c>
      <c r="BF91" s="53">
        <f>BF40*Dashboard!$C$13/100</f>
        <v>0</v>
      </c>
      <c r="BG91" s="53">
        <f>BG40*Dashboard!$C$13/100</f>
        <v>0</v>
      </c>
      <c r="BH91" s="53">
        <f>BH40*Dashboard!$C$13/100</f>
        <v>0</v>
      </c>
      <c r="BI91" s="53">
        <f>BI40*Dashboard!$C$13/100</f>
        <v>0</v>
      </c>
      <c r="BJ91" s="53">
        <f>BJ40*Dashboard!$C$13/100</f>
        <v>0</v>
      </c>
      <c r="BK91" s="53">
        <f>BK40*Dashboard!$C$13/100</f>
        <v>0</v>
      </c>
      <c r="BL91" s="53">
        <f>BL40*Dashboard!$C$13/100</f>
        <v>0</v>
      </c>
    </row>
    <row r="92" spans="2:64">
      <c r="B92" s="216" t="s">
        <v>334</v>
      </c>
      <c r="E92" s="53">
        <f>IF(YEAR(E5)=Dashboard!$C$35,OPEX!$C$25,0)*'Financial Analysis'!E12</f>
        <v>0</v>
      </c>
      <c r="F92" s="53">
        <f>IF(YEAR(F5)=Dashboard!$C$35,OPEX!$C$25,0)*'Financial Analysis'!F12</f>
        <v>0</v>
      </c>
      <c r="G92" s="53">
        <f>IF(YEAR(G5)=Dashboard!$C$35,OPEX!$C$25,0)*'Financial Analysis'!G12</f>
        <v>0</v>
      </c>
      <c r="H92" s="53">
        <f>IF(YEAR(H5)=Dashboard!$C$35,OPEX!$C$25,0)*'Financial Analysis'!H12</f>
        <v>0</v>
      </c>
      <c r="I92" s="53">
        <f>IF(YEAR(I5)=Dashboard!$C$35,OPEX!$C$25,0)*'Financial Analysis'!I12</f>
        <v>0</v>
      </c>
      <c r="J92" s="53">
        <f>IF(YEAR(J5)=Dashboard!$C$35,OPEX!$C$25,0)*'Financial Analysis'!J12</f>
        <v>0</v>
      </c>
      <c r="K92" s="53">
        <f>IF(YEAR(K5)=Dashboard!$C$35,OPEX!$C$25,0)*'Financial Analysis'!K12</f>
        <v>0</v>
      </c>
      <c r="L92" s="53">
        <f>IF(YEAR(L5)=Dashboard!$C$35,OPEX!$C$25,0)*'Financial Analysis'!L12</f>
        <v>0</v>
      </c>
      <c r="M92" s="53">
        <f>IF(YEAR(M5)=Dashboard!$C$35,OPEX!$C$25,0)*'Financial Analysis'!M12</f>
        <v>0</v>
      </c>
      <c r="N92" s="53">
        <f>IF(YEAR(N5)=Dashboard!$C$35,OPEX!$C$25,0)*'Financial Analysis'!N12</f>
        <v>0</v>
      </c>
      <c r="O92" s="53">
        <f>IF(YEAR(O5)=Dashboard!$C$35,OPEX!$C$25,0)*'Financial Analysis'!O12</f>
        <v>0</v>
      </c>
      <c r="P92" s="53">
        <f>IF(YEAR(P5)=Dashboard!$C$35,OPEX!$C$25,0)*'Financial Analysis'!P12</f>
        <v>0</v>
      </c>
      <c r="Q92" s="53">
        <f>IF(YEAR(Q5)=Dashboard!$C$35,OPEX!$C$25,0)*'Financial Analysis'!Q12</f>
        <v>0</v>
      </c>
      <c r="R92" s="53">
        <f>IF(YEAR(R5)=Dashboard!$C$35,OPEX!$C$25,0)*'Financial Analysis'!R12</f>
        <v>0</v>
      </c>
      <c r="S92" s="53">
        <f>IF(YEAR(S5)=Dashboard!$C$35,OPEX!$C$25,0)*'Financial Analysis'!S12</f>
        <v>0</v>
      </c>
      <c r="T92" s="53">
        <f>IF(YEAR(T5)=Dashboard!$C$35,OPEX!$C$25,0)*'Financial Analysis'!T12</f>
        <v>0</v>
      </c>
      <c r="U92" s="53">
        <f>IF(YEAR(U5)=Dashboard!$C$35,OPEX!$C$25,0)*'Financial Analysis'!U12</f>
        <v>0</v>
      </c>
      <c r="V92" s="53">
        <f>IF(YEAR(V5)=Dashboard!$C$35,OPEX!$C$25,0)*'Financial Analysis'!V12</f>
        <v>0</v>
      </c>
      <c r="W92" s="53">
        <f>IF(YEAR(W5)=Dashboard!$C$35,OPEX!$C$25,0)*'Financial Analysis'!W12</f>
        <v>0</v>
      </c>
      <c r="X92" s="53">
        <f>IF(YEAR(X5)=Dashboard!$C$35,OPEX!$C$25,0)*'Financial Analysis'!X12</f>
        <v>0</v>
      </c>
      <c r="Y92" s="53">
        <f>IF(YEAR(Y5)=Dashboard!$C$35,OPEX!$C$25,0)*'Financial Analysis'!Y12</f>
        <v>0</v>
      </c>
      <c r="Z92" s="53">
        <f>IF(YEAR(Z5)=Dashboard!$C$35,OPEX!$C$25,0)*'Financial Analysis'!Z12</f>
        <v>0</v>
      </c>
      <c r="AA92" s="53">
        <f>IF(YEAR(AA5)=Dashboard!$C$35,OPEX!$C$25,0)*'Financial Analysis'!AA12</f>
        <v>0</v>
      </c>
      <c r="AB92" s="53">
        <f>IF(YEAR(AB5)=Dashboard!$C$35,OPEX!$C$25,0)*'Financial Analysis'!AB12</f>
        <v>0</v>
      </c>
      <c r="AC92" s="53">
        <f>IF(YEAR(AC5)=Dashboard!$C$35,OPEX!$C$25,0)*'Financial Analysis'!AC12</f>
        <v>0</v>
      </c>
      <c r="AD92" s="53">
        <f>IF(YEAR(AD5)=Dashboard!$C$35,OPEX!$C$25,0)*'Financial Analysis'!AD12</f>
        <v>0</v>
      </c>
      <c r="AE92" s="53">
        <f>IF(YEAR(AE5)=Dashboard!$C$35,OPEX!$C$25,0)*'Financial Analysis'!AE12</f>
        <v>0</v>
      </c>
      <c r="AF92" s="53">
        <f>IF(YEAR(AF5)=Dashboard!$C$35,OPEX!$C$25,0)*'Financial Analysis'!AF12</f>
        <v>0</v>
      </c>
      <c r="AG92" s="53">
        <f>IF(YEAR(AG5)=Dashboard!$C$35,OPEX!$C$25,0)*'Financial Analysis'!AG12</f>
        <v>0</v>
      </c>
      <c r="AH92" s="53">
        <f>IF(YEAR(AH5)=Dashboard!$C$35,OPEX!$C$25,0)*'Financial Analysis'!AH12</f>
        <v>0</v>
      </c>
      <c r="AI92" s="53">
        <f>IF(YEAR(AI5)=Dashboard!$C$35,OPEX!$C$25,0)*'Financial Analysis'!AI12</f>
        <v>0</v>
      </c>
      <c r="AJ92" s="53">
        <f>IF(YEAR(AJ5)=Dashboard!$C$35,OPEX!$C$25,0)*'Financial Analysis'!AJ12</f>
        <v>0</v>
      </c>
      <c r="AK92" s="53">
        <f>IF(YEAR(AK5)=Dashboard!$C$35,OPEX!$C$25,0)*'Financial Analysis'!AK12</f>
        <v>0</v>
      </c>
      <c r="AL92" s="53">
        <f>IF(YEAR(AL5)=Dashboard!$C$35,OPEX!$C$25,0)*'Financial Analysis'!AL12</f>
        <v>0</v>
      </c>
      <c r="AM92" s="53">
        <f>IF(YEAR(AM5)=Dashboard!$C$35,OPEX!$C$25,0)*'Financial Analysis'!AM12</f>
        <v>0</v>
      </c>
      <c r="AN92" s="53">
        <f>IF(YEAR(AN5)=Dashboard!$C$35,OPEX!$C$25,0)*'Financial Analysis'!AN12</f>
        <v>0</v>
      </c>
      <c r="AO92" s="53">
        <f>IF(YEAR(AO5)=Dashboard!$C$35,OPEX!$C$25,0)*'Financial Analysis'!AO12</f>
        <v>0</v>
      </c>
      <c r="AP92" s="53">
        <f>IF(YEAR(AP5)=Dashboard!$C$35,OPEX!$C$25,0)*'Financial Analysis'!AP12</f>
        <v>0</v>
      </c>
      <c r="AQ92" s="53">
        <f>IF(YEAR(AQ5)=Dashboard!$C$35,OPEX!$C$25,0)*'Financial Analysis'!AQ12</f>
        <v>0</v>
      </c>
      <c r="AR92" s="53">
        <f>IF(YEAR(AR5)=Dashboard!$C$35,OPEX!$C$25,0)*'Financial Analysis'!AR12</f>
        <v>0</v>
      </c>
      <c r="AS92" s="53">
        <f>IF(YEAR(AS5)=Dashboard!$C$35,OPEX!$C$25,0)*'Financial Analysis'!AS12</f>
        <v>0</v>
      </c>
      <c r="AT92" s="53">
        <f>IF(YEAR(AT5)=Dashboard!$C$35,OPEX!$C$25,0)*'Financial Analysis'!AT12</f>
        <v>0</v>
      </c>
      <c r="AU92" s="53">
        <f>IF(YEAR(AU5)=Dashboard!$C$35,OPEX!$C$25,0)*'Financial Analysis'!AU12</f>
        <v>0</v>
      </c>
      <c r="AV92" s="53">
        <f>IF(YEAR(AV5)=Dashboard!$C$35,OPEX!$C$25,0)*'Financial Analysis'!AV12</f>
        <v>0</v>
      </c>
      <c r="AW92" s="53">
        <f>IF(YEAR(AW5)=Dashboard!$C$35,OPEX!$C$25,0)*'Financial Analysis'!AW12</f>
        <v>0</v>
      </c>
      <c r="AX92" s="53">
        <f>IF(YEAR(AX5)=Dashboard!$C$35,OPEX!$C$25,0)*'Financial Analysis'!AX12</f>
        <v>0</v>
      </c>
      <c r="AY92" s="53">
        <f>IF(YEAR(AY5)=Dashboard!$C$35,OPEX!$C$25,0)*'Financial Analysis'!AY12</f>
        <v>0</v>
      </c>
      <c r="AZ92" s="53">
        <f>IF(YEAR(AZ5)=Dashboard!$C$35,OPEX!$C$25,0)*'Financial Analysis'!AZ12</f>
        <v>0</v>
      </c>
      <c r="BA92" s="53">
        <f>IF(YEAR(BA5)=Dashboard!$C$35,OPEX!$C$25,0)*'Financial Analysis'!BA12</f>
        <v>0</v>
      </c>
      <c r="BB92" s="53">
        <f>IF(YEAR(BB5)=Dashboard!$C$35,OPEX!$C$25,0)*'Financial Analysis'!BB12</f>
        <v>0</v>
      </c>
      <c r="BC92" s="53">
        <f>IF(YEAR(BC5)=Dashboard!$C$35,OPEX!$C$25,0)*'Financial Analysis'!BC12</f>
        <v>0</v>
      </c>
      <c r="BD92" s="53">
        <f>IF(YEAR(BD5)=Dashboard!$C$35,OPEX!$C$25,0)*'Financial Analysis'!BD12</f>
        <v>0</v>
      </c>
      <c r="BE92" s="53">
        <f>IF(YEAR(BE5)=Dashboard!$C$35,OPEX!$C$25,0)*'Financial Analysis'!BE12</f>
        <v>0</v>
      </c>
      <c r="BF92" s="53">
        <f>IF(YEAR(BF5)=Dashboard!$C$35,OPEX!$C$25,0)*'Financial Analysis'!BF12</f>
        <v>0</v>
      </c>
      <c r="BG92" s="53">
        <f>IF(YEAR(BG5)=Dashboard!$C$35,OPEX!$C$25,0)*'Financial Analysis'!BG12</f>
        <v>0</v>
      </c>
      <c r="BH92" s="53">
        <f>IF(YEAR(BH5)=Dashboard!$C$35,OPEX!$C$25,0)*'Financial Analysis'!BH12</f>
        <v>0</v>
      </c>
      <c r="BI92" s="53">
        <f>IF(YEAR(BI5)=Dashboard!$C$35,OPEX!$C$25,0)*'Financial Analysis'!BI12</f>
        <v>0</v>
      </c>
      <c r="BJ92" s="53">
        <f>IF(YEAR(BJ5)=Dashboard!$C$35,OPEX!$C$25,0)*'Financial Analysis'!BJ12</f>
        <v>0</v>
      </c>
      <c r="BK92" s="53">
        <f>IF(YEAR(BK5)=Dashboard!$C$35,OPEX!$C$25,0)*'Financial Analysis'!BK12</f>
        <v>0</v>
      </c>
      <c r="BL92" s="53">
        <f>IF(YEAR(BL5)=Dashboard!$C$35,OPEX!$C$25,0)*'Financial Analysis'!BL12</f>
        <v>0</v>
      </c>
    </row>
    <row r="93" spans="2:64">
      <c r="B93" s="164" t="s">
        <v>448</v>
      </c>
      <c r="E93" s="215">
        <f>E90+E91+E92</f>
        <v>0</v>
      </c>
      <c r="F93" s="215">
        <f>F90+F91+F92</f>
        <v>0</v>
      </c>
      <c r="G93" s="215">
        <f>G90+G91+G92</f>
        <v>0</v>
      </c>
      <c r="H93" s="215">
        <f>H90+H91+H92</f>
        <v>0</v>
      </c>
      <c r="I93" s="215">
        <f>I90+I91+I92</f>
        <v>0</v>
      </c>
      <c r="J93" s="215">
        <f>J90+J91+J92</f>
        <v>0</v>
      </c>
      <c r="K93" s="215">
        <f>K90+K91+K92</f>
        <v>0</v>
      </c>
      <c r="L93" s="215">
        <f>L90+L91+L92</f>
        <v>0</v>
      </c>
      <c r="M93" s="215">
        <f>M90+M91+M92</f>
        <v>0</v>
      </c>
      <c r="N93" s="215">
        <f>N90+N91+N92</f>
        <v>0</v>
      </c>
      <c r="O93" s="215">
        <f>O90+O91+O92</f>
        <v>0</v>
      </c>
      <c r="P93" s="215">
        <f>P90+P91+P92</f>
        <v>0</v>
      </c>
      <c r="Q93" s="215">
        <f>Q90+Q91+Q92</f>
        <v>0</v>
      </c>
      <c r="R93" s="215">
        <f>R90+R91+R92</f>
        <v>0</v>
      </c>
      <c r="S93" s="215">
        <f>S90+S91+S92</f>
        <v>0</v>
      </c>
      <c r="T93" s="215">
        <f>T90+T91+T92</f>
        <v>0</v>
      </c>
      <c r="U93" s="215">
        <f>U90+U91+U92</f>
        <v>0</v>
      </c>
      <c r="V93" s="215">
        <f>V90+V91+V92</f>
        <v>0</v>
      </c>
      <c r="W93" s="215">
        <f>W90+W91+W92</f>
        <v>0</v>
      </c>
      <c r="X93" s="215">
        <f>X90+X91+X92</f>
        <v>0</v>
      </c>
      <c r="Y93" s="215">
        <f>Y90+Y91+Y92</f>
        <v>0</v>
      </c>
      <c r="Z93" s="215">
        <f>Z90+Z91+Z92</f>
        <v>0</v>
      </c>
      <c r="AA93" s="215">
        <f>AA90+AA91+AA92</f>
        <v>0</v>
      </c>
      <c r="AB93" s="215">
        <f>AB90+AB91+AB92</f>
        <v>0</v>
      </c>
      <c r="AC93" s="215">
        <f>AC90+AC91+AC92</f>
        <v>0</v>
      </c>
      <c r="AD93" s="215">
        <f>AD90+AD91+AD92</f>
        <v>0</v>
      </c>
      <c r="AE93" s="215">
        <f>AE90+AE91+AE92</f>
        <v>0</v>
      </c>
      <c r="AF93" s="215">
        <f>AF90+AF91+AF92</f>
        <v>0</v>
      </c>
      <c r="AG93" s="215">
        <f>AG90+AG91+AG92</f>
        <v>0</v>
      </c>
      <c r="AH93" s="215">
        <f>AH90+AH91+AH92</f>
        <v>0</v>
      </c>
      <c r="AI93" s="215">
        <f>AI90+AI91+AI92</f>
        <v>0</v>
      </c>
      <c r="AJ93" s="215">
        <f>AJ90+AJ91+AJ92</f>
        <v>0</v>
      </c>
      <c r="AK93" s="215">
        <f>AK90+AK91+AK92</f>
        <v>0</v>
      </c>
      <c r="AL93" s="215">
        <f>AL90+AL91+AL92</f>
        <v>0</v>
      </c>
      <c r="AM93" s="215">
        <f>AM90+AM91+AM92</f>
        <v>0</v>
      </c>
      <c r="AN93" s="215">
        <f>AN90+AN91+AN92</f>
        <v>0</v>
      </c>
      <c r="AO93" s="215">
        <f>AO90+AO91+AO92</f>
        <v>0</v>
      </c>
      <c r="AP93" s="215">
        <f>AP90+AP91+AP92</f>
        <v>0</v>
      </c>
      <c r="AQ93" s="215">
        <f>AQ90+AQ91+AQ92</f>
        <v>0</v>
      </c>
      <c r="AR93" s="215">
        <f>AR90+AR91+AR92</f>
        <v>0</v>
      </c>
      <c r="AS93" s="215">
        <f>AS90+AS91+AS92</f>
        <v>0</v>
      </c>
      <c r="AT93" s="215">
        <f>AT90+AT91+AT92</f>
        <v>0</v>
      </c>
      <c r="AU93" s="215">
        <f>AU90+AU91+AU92</f>
        <v>0</v>
      </c>
      <c r="AV93" s="215">
        <f>AV90+AV91+AV92</f>
        <v>0</v>
      </c>
      <c r="AW93" s="215">
        <f>AW90+AW91+AW92</f>
        <v>0</v>
      </c>
      <c r="AX93" s="215">
        <f>AX90+AX91+AX92</f>
        <v>0</v>
      </c>
      <c r="AY93" s="215">
        <f>AY90+AY91+AY92</f>
        <v>0</v>
      </c>
      <c r="AZ93" s="215">
        <f>AZ90+AZ91+AZ92</f>
        <v>0</v>
      </c>
      <c r="BA93" s="215">
        <f>BA90+BA91+BA92</f>
        <v>0</v>
      </c>
      <c r="BB93" s="215">
        <f>BB90+BB91+BB92</f>
        <v>0</v>
      </c>
      <c r="BC93" s="215">
        <f>BC90+BC91+BC92</f>
        <v>0</v>
      </c>
      <c r="BD93" s="215">
        <f>BD90+BD91+BD92</f>
        <v>0</v>
      </c>
      <c r="BE93" s="215">
        <f>BE90+BE91+BE92</f>
        <v>0</v>
      </c>
      <c r="BF93" s="215">
        <f>BF90+BF91+BF92</f>
        <v>0</v>
      </c>
      <c r="BG93" s="215">
        <f>BG90+BG91+BG92</f>
        <v>0</v>
      </c>
      <c r="BH93" s="215">
        <f>BH90+BH91+BH92</f>
        <v>0</v>
      </c>
      <c r="BI93" s="215">
        <f>BI90+BI91+BI92</f>
        <v>0</v>
      </c>
      <c r="BJ93" s="215">
        <f>BJ90+BJ91+BJ92</f>
        <v>0</v>
      </c>
      <c r="BK93" s="215">
        <f>BK90+BK91+BK92</f>
        <v>0</v>
      </c>
      <c r="BL93" s="215">
        <f>BL90+BL91+BL92</f>
        <v>0</v>
      </c>
    </row>
    <row r="94" spans="2:64">
      <c r="B94" s="146"/>
    </row>
    <row r="95" spans="2:64">
      <c r="B95" s="212" t="s">
        <v>256</v>
      </c>
    </row>
    <row r="96" spans="2:64">
      <c r="B96" s="146" t="s">
        <v>450</v>
      </c>
      <c r="E96" s="69" t="e">
        <f>(E48*Dashboard!$C$37/100)+(E49*Dashboard!$C$38/100)</f>
        <v>#REF!</v>
      </c>
      <c r="F96" s="69" t="e">
        <f>(F48*Dashboard!$C$37/100)+(F49*Dashboard!$C$38/100)</f>
        <v>#REF!</v>
      </c>
      <c r="G96" s="69" t="e">
        <f>(G48*Dashboard!$C$37/100)+(G49*Dashboard!$C$38/100)</f>
        <v>#REF!</v>
      </c>
      <c r="H96" s="69" t="e">
        <f>(H48*Dashboard!$C$37/100)+(H49*Dashboard!$C$38/100)</f>
        <v>#REF!</v>
      </c>
      <c r="I96" s="69" t="e">
        <f>(I48*Dashboard!$C$37/100)+(I49*Dashboard!$C$38/100)</f>
        <v>#REF!</v>
      </c>
      <c r="J96" s="69" t="e">
        <f>(J48*Dashboard!$C$37/100)+(J49*Dashboard!$C$38/100)</f>
        <v>#REF!</v>
      </c>
      <c r="K96" s="69" t="e">
        <f>(K48*Dashboard!$C$37/100)+(K49*Dashboard!$C$38/100)</f>
        <v>#REF!</v>
      </c>
      <c r="L96" s="69" t="e">
        <f>(L48*Dashboard!$C$37/100)+(L49*Dashboard!$C$38/100)</f>
        <v>#REF!</v>
      </c>
      <c r="M96" s="69" t="e">
        <f>(M48*Dashboard!$C$37/100)+(M49*Dashboard!$C$38/100)</f>
        <v>#REF!</v>
      </c>
      <c r="N96" s="69" t="e">
        <f>(N48*Dashboard!$C$37/100)+(N49*Dashboard!$C$38/100)</f>
        <v>#REF!</v>
      </c>
      <c r="O96" s="69" t="e">
        <f>(O48*Dashboard!$C$37/100)+(O49*Dashboard!$C$38/100)</f>
        <v>#REF!</v>
      </c>
      <c r="P96" s="69" t="e">
        <f>(P48*Dashboard!$C$37/100)+(P49*Dashboard!$C$38/100)</f>
        <v>#REF!</v>
      </c>
      <c r="Q96" s="69" t="e">
        <f>(Q48*Dashboard!$C$37/100)+(Q49*Dashboard!$C$38/100)</f>
        <v>#REF!</v>
      </c>
      <c r="R96" s="69" t="e">
        <f>(R48*Dashboard!$C$37/100)+(R49*Dashboard!$C$38/100)</f>
        <v>#REF!</v>
      </c>
      <c r="S96" s="69" t="e">
        <f>(S48*Dashboard!$C$37/100)+(S49*Dashboard!$C$38/100)</f>
        <v>#REF!</v>
      </c>
      <c r="T96" s="69" t="e">
        <f>(T48*Dashboard!$C$37/100)+(T49*Dashboard!$C$38/100)</f>
        <v>#REF!</v>
      </c>
      <c r="U96" s="69" t="e">
        <f>(U48*Dashboard!$C$37/100)+(U49*Dashboard!$C$38/100)</f>
        <v>#REF!</v>
      </c>
      <c r="V96" s="69" t="e">
        <f>(V48*Dashboard!$C$37/100)+(V49*Dashboard!$C$38/100)</f>
        <v>#REF!</v>
      </c>
      <c r="W96" s="69" t="e">
        <f>(W48*Dashboard!$C$37/100)+(W49*Dashboard!$C$38/100)</f>
        <v>#REF!</v>
      </c>
      <c r="X96" s="69" t="e">
        <f>(X48*Dashboard!$C$37/100)+(X49*Dashboard!$C$38/100)</f>
        <v>#REF!</v>
      </c>
      <c r="Y96" s="69" t="e">
        <f>(Y48*Dashboard!$C$37/100)+(Y49*Dashboard!$C$38/100)</f>
        <v>#REF!</v>
      </c>
      <c r="Z96" s="69" t="e">
        <f>(Z48*Dashboard!$C$37/100)+(Z49*Dashboard!$C$38/100)</f>
        <v>#REF!</v>
      </c>
      <c r="AA96" s="69" t="e">
        <f>(AA48*Dashboard!$C$37/100)+(AA49*Dashboard!$C$38/100)</f>
        <v>#REF!</v>
      </c>
      <c r="AB96" s="69" t="e">
        <f>(AB48*Dashboard!$C$37/100)+(AB49*Dashboard!$C$38/100)</f>
        <v>#REF!</v>
      </c>
      <c r="AC96" s="69" t="e">
        <f>(AC48*Dashboard!$C$37/100)+(AC49*Dashboard!$C$38/100)</f>
        <v>#REF!</v>
      </c>
      <c r="AD96" s="69" t="e">
        <f>(AD48*Dashboard!$C$37/100)+(AD49*Dashboard!$C$38/100)</f>
        <v>#REF!</v>
      </c>
      <c r="AE96" s="69" t="e">
        <f>(AE48*Dashboard!$C$37/100)+(AE49*Dashboard!$C$38/100)</f>
        <v>#REF!</v>
      </c>
      <c r="AF96" s="69" t="e">
        <f>(AF48*Dashboard!$C$37/100)+(AF49*Dashboard!$C$38/100)</f>
        <v>#REF!</v>
      </c>
      <c r="AG96" s="69" t="e">
        <f>(AG48*Dashboard!$C$37/100)+(AG49*Dashboard!$C$38/100)</f>
        <v>#REF!</v>
      </c>
      <c r="AH96" s="69" t="e">
        <f>(AH48*Dashboard!$C$37/100)+(AH49*Dashboard!$C$38/100)</f>
        <v>#REF!</v>
      </c>
      <c r="AI96" s="69" t="e">
        <f>(AI48*Dashboard!$C$37/100)+(AI49*Dashboard!$C$38/100)</f>
        <v>#REF!</v>
      </c>
      <c r="AJ96" s="69" t="e">
        <f>(AJ48*Dashboard!$C$37/100)+(AJ49*Dashboard!$C$38/100)</f>
        <v>#REF!</v>
      </c>
      <c r="AK96" s="69" t="e">
        <f>(AK48*Dashboard!$C$37/100)+(AK49*Dashboard!$C$38/100)</f>
        <v>#REF!</v>
      </c>
      <c r="AL96" s="69" t="e">
        <f>(AL48*Dashboard!$C$37/100)+(AL49*Dashboard!$C$38/100)</f>
        <v>#REF!</v>
      </c>
      <c r="AM96" s="69" t="e">
        <f>(AM48*Dashboard!$C$37/100)+(AM49*Dashboard!$C$38/100)</f>
        <v>#REF!</v>
      </c>
      <c r="AN96" s="69" t="e">
        <f>(AN48*Dashboard!$C$37/100)+(AN49*Dashboard!$C$38/100)</f>
        <v>#REF!</v>
      </c>
      <c r="AO96" s="69" t="e">
        <f>(AO48*Dashboard!$C$37/100)+(AO49*Dashboard!$C$38/100)</f>
        <v>#REF!</v>
      </c>
      <c r="AP96" s="69" t="e">
        <f>(AP48*Dashboard!$C$37/100)+(AP49*Dashboard!$C$38/100)</f>
        <v>#REF!</v>
      </c>
      <c r="AQ96" s="69" t="e">
        <f>(AQ48*Dashboard!$C$37/100)+(AQ49*Dashboard!$C$38/100)</f>
        <v>#REF!</v>
      </c>
      <c r="AR96" s="69" t="e">
        <f>(AR48*Dashboard!$C$37/100)+(AR49*Dashboard!$C$38/100)</f>
        <v>#REF!</v>
      </c>
      <c r="AS96" s="69" t="e">
        <f>(AS48*Dashboard!$C$37/100)+(AS49*Dashboard!$C$38/100)</f>
        <v>#REF!</v>
      </c>
      <c r="AT96" s="69" t="e">
        <f>(AT48*Dashboard!$C$37/100)+(AT49*Dashboard!$C$38/100)</f>
        <v>#REF!</v>
      </c>
      <c r="AU96" s="69" t="e">
        <f>(AU48*Dashboard!$C$37/100)+(AU49*Dashboard!$C$38/100)</f>
        <v>#REF!</v>
      </c>
      <c r="AV96" s="69" t="e">
        <f>(AV48*Dashboard!$C$37/100)+(AV49*Dashboard!$C$38/100)</f>
        <v>#REF!</v>
      </c>
      <c r="AW96" s="69" t="e">
        <f>(AW48*Dashboard!$C$37/100)+(AW49*Dashboard!$C$38/100)</f>
        <v>#REF!</v>
      </c>
      <c r="AX96" s="69" t="e">
        <f>(AX48*Dashboard!$C$37/100)+(AX49*Dashboard!$C$38/100)</f>
        <v>#REF!</v>
      </c>
      <c r="AY96" s="69" t="e">
        <f>(AY48*Dashboard!$C$37/100)+(AY49*Dashboard!$C$38/100)</f>
        <v>#REF!</v>
      </c>
      <c r="AZ96" s="69" t="e">
        <f>(AZ48*Dashboard!$C$37/100)+(AZ49*Dashboard!$C$38/100)</f>
        <v>#REF!</v>
      </c>
      <c r="BA96" s="69" t="e">
        <f>(BA48*Dashboard!$C$37/100)+(BA49*Dashboard!$C$38/100)</f>
        <v>#REF!</v>
      </c>
      <c r="BB96" s="69" t="e">
        <f>(BB48*Dashboard!$C$37/100)+(BB49*Dashboard!$C$38/100)</f>
        <v>#REF!</v>
      </c>
      <c r="BC96" s="69" t="e">
        <f>(BC48*Dashboard!$C$37/100)+(BC49*Dashboard!$C$38/100)</f>
        <v>#REF!</v>
      </c>
      <c r="BD96" s="69" t="e">
        <f>(BD48*Dashboard!$C$37/100)+(BD49*Dashboard!$C$38/100)</f>
        <v>#REF!</v>
      </c>
      <c r="BE96" s="69" t="e">
        <f>(BE48*Dashboard!$C$37/100)+(BE49*Dashboard!$C$38/100)</f>
        <v>#REF!</v>
      </c>
      <c r="BF96" s="69" t="e">
        <f>(BF48*Dashboard!$C$37/100)+(BF49*Dashboard!$C$38/100)</f>
        <v>#REF!</v>
      </c>
      <c r="BG96" s="69" t="e">
        <f>(BG48*Dashboard!$C$37/100)+(BG49*Dashboard!$C$38/100)</f>
        <v>#REF!</v>
      </c>
      <c r="BH96" s="69" t="e">
        <f>(BH48*Dashboard!$C$37/100)+(BH49*Dashboard!$C$38/100)</f>
        <v>#REF!</v>
      </c>
      <c r="BI96" s="69" t="e">
        <f>(BI48*Dashboard!$C$37/100)+(BI49*Dashboard!$C$38/100)</f>
        <v>#REF!</v>
      </c>
      <c r="BJ96" s="69" t="e">
        <f>(BJ48*Dashboard!$C$37/100)+(BJ49*Dashboard!$C$38/100)</f>
        <v>#REF!</v>
      </c>
      <c r="BK96" s="69" t="e">
        <f>(BK48*Dashboard!$C$37/100)+(BK49*Dashboard!$C$38/100)</f>
        <v>#REF!</v>
      </c>
      <c r="BL96" s="69" t="e">
        <f>(BL48*Dashboard!$C$37/100)+(BL49*Dashboard!$C$38/100)</f>
        <v>#REF!</v>
      </c>
    </row>
    <row r="97" spans="2:64">
      <c r="B97" s="146" t="s">
        <v>341</v>
      </c>
      <c r="E97" s="53" t="e">
        <f>E48*Dashboard!$C$13/100</f>
        <v>#REF!</v>
      </c>
      <c r="F97" s="53" t="e">
        <f>F48*Dashboard!$C$13/100</f>
        <v>#REF!</v>
      </c>
      <c r="G97" s="53" t="e">
        <f>G48*Dashboard!$C$13/100</f>
        <v>#REF!</v>
      </c>
      <c r="H97" s="53" t="e">
        <f>H48*Dashboard!$C$13/100</f>
        <v>#REF!</v>
      </c>
      <c r="I97" s="53" t="e">
        <f>I48*Dashboard!$C$13/100</f>
        <v>#REF!</v>
      </c>
      <c r="J97" s="53" t="e">
        <f>J48*Dashboard!$C$13/100</f>
        <v>#REF!</v>
      </c>
      <c r="K97" s="53" t="e">
        <f>K48*Dashboard!$C$13/100</f>
        <v>#REF!</v>
      </c>
      <c r="L97" s="53" t="e">
        <f>L48*Dashboard!$C$13/100</f>
        <v>#REF!</v>
      </c>
      <c r="M97" s="53" t="e">
        <f>M48*Dashboard!$C$13/100</f>
        <v>#REF!</v>
      </c>
      <c r="N97" s="53" t="e">
        <f>N48*Dashboard!$C$13/100</f>
        <v>#REF!</v>
      </c>
      <c r="O97" s="53" t="e">
        <f>O48*Dashboard!$C$13/100</f>
        <v>#REF!</v>
      </c>
      <c r="P97" s="53" t="e">
        <f>P48*Dashboard!$C$13/100</f>
        <v>#REF!</v>
      </c>
      <c r="Q97" s="53" t="e">
        <f>Q48*Dashboard!$C$13/100</f>
        <v>#REF!</v>
      </c>
      <c r="R97" s="53" t="e">
        <f>R48*Dashboard!$C$13/100</f>
        <v>#REF!</v>
      </c>
      <c r="S97" s="53" t="e">
        <f>S48*Dashboard!$C$13/100</f>
        <v>#REF!</v>
      </c>
      <c r="T97" s="53" t="e">
        <f>T48*Dashboard!$C$13/100</f>
        <v>#REF!</v>
      </c>
      <c r="U97" s="53" t="e">
        <f>U48*Dashboard!$C$13/100</f>
        <v>#REF!</v>
      </c>
      <c r="V97" s="53" t="e">
        <f>V48*Dashboard!$C$13/100</f>
        <v>#REF!</v>
      </c>
      <c r="W97" s="53" t="e">
        <f>W48*Dashboard!$C$13/100</f>
        <v>#REF!</v>
      </c>
      <c r="X97" s="53" t="e">
        <f>X48*Dashboard!$C$13/100</f>
        <v>#REF!</v>
      </c>
      <c r="Y97" s="53" t="e">
        <f>Y48*Dashboard!$C$13/100</f>
        <v>#REF!</v>
      </c>
      <c r="Z97" s="53" t="e">
        <f>Z48*Dashboard!$C$13/100</f>
        <v>#REF!</v>
      </c>
      <c r="AA97" s="53" t="e">
        <f>AA48*Dashboard!$C$13/100</f>
        <v>#REF!</v>
      </c>
      <c r="AB97" s="53" t="e">
        <f>AB48*Dashboard!$C$13/100</f>
        <v>#REF!</v>
      </c>
      <c r="AC97" s="53" t="e">
        <f>AC48*Dashboard!$C$13/100</f>
        <v>#REF!</v>
      </c>
      <c r="AD97" s="53" t="e">
        <f>AD48*Dashboard!$C$13/100</f>
        <v>#REF!</v>
      </c>
      <c r="AE97" s="53" t="e">
        <f>AE48*Dashboard!$C$13/100</f>
        <v>#REF!</v>
      </c>
      <c r="AF97" s="53" t="e">
        <f>AF48*Dashboard!$C$13/100</f>
        <v>#REF!</v>
      </c>
      <c r="AG97" s="53" t="e">
        <f>AG48*Dashboard!$C$13/100</f>
        <v>#REF!</v>
      </c>
      <c r="AH97" s="53" t="e">
        <f>AH48*Dashboard!$C$13/100</f>
        <v>#REF!</v>
      </c>
      <c r="AI97" s="53" t="e">
        <f>AI48*Dashboard!$C$13/100</f>
        <v>#REF!</v>
      </c>
      <c r="AJ97" s="53" t="e">
        <f>AJ48*Dashboard!$C$13/100</f>
        <v>#REF!</v>
      </c>
      <c r="AK97" s="53" t="e">
        <f>AK48*Dashboard!$C$13/100</f>
        <v>#REF!</v>
      </c>
      <c r="AL97" s="53" t="e">
        <f>AL48*Dashboard!$C$13/100</f>
        <v>#REF!</v>
      </c>
      <c r="AM97" s="53" t="e">
        <f>AM48*Dashboard!$C$13/100</f>
        <v>#REF!</v>
      </c>
      <c r="AN97" s="53" t="e">
        <f>AN48*Dashboard!$C$13/100</f>
        <v>#REF!</v>
      </c>
      <c r="AO97" s="53" t="e">
        <f>AO48*Dashboard!$C$13/100</f>
        <v>#REF!</v>
      </c>
      <c r="AP97" s="53" t="e">
        <f>AP48*Dashboard!$C$13/100</f>
        <v>#REF!</v>
      </c>
      <c r="AQ97" s="53" t="e">
        <f>AQ48*Dashboard!$C$13/100</f>
        <v>#REF!</v>
      </c>
      <c r="AR97" s="53" t="e">
        <f>AR48*Dashboard!$C$13/100</f>
        <v>#REF!</v>
      </c>
      <c r="AS97" s="53" t="e">
        <f>AS48*Dashboard!$C$13/100</f>
        <v>#REF!</v>
      </c>
      <c r="AT97" s="53" t="e">
        <f>AT48*Dashboard!$C$13/100</f>
        <v>#REF!</v>
      </c>
      <c r="AU97" s="53" t="e">
        <f>AU48*Dashboard!$C$13/100</f>
        <v>#REF!</v>
      </c>
      <c r="AV97" s="53" t="e">
        <f>AV48*Dashboard!$C$13/100</f>
        <v>#REF!</v>
      </c>
      <c r="AW97" s="53" t="e">
        <f>AW48*Dashboard!$C$13/100</f>
        <v>#REF!</v>
      </c>
      <c r="AX97" s="53" t="e">
        <f>AX48*Dashboard!$C$13/100</f>
        <v>#REF!</v>
      </c>
      <c r="AY97" s="53" t="e">
        <f>AY48*Dashboard!$C$13/100</f>
        <v>#REF!</v>
      </c>
      <c r="AZ97" s="53" t="e">
        <f>AZ48*Dashboard!$C$13/100</f>
        <v>#REF!</v>
      </c>
      <c r="BA97" s="53" t="e">
        <f>BA48*Dashboard!$C$13/100</f>
        <v>#REF!</v>
      </c>
      <c r="BB97" s="53" t="e">
        <f>BB48*Dashboard!$C$13/100</f>
        <v>#REF!</v>
      </c>
      <c r="BC97" s="53" t="e">
        <f>BC48*Dashboard!$C$13/100</f>
        <v>#REF!</v>
      </c>
      <c r="BD97" s="53" t="e">
        <f>BD48*Dashboard!$C$13/100</f>
        <v>#REF!</v>
      </c>
      <c r="BE97" s="53" t="e">
        <f>BE48*Dashboard!$C$13/100</f>
        <v>#REF!</v>
      </c>
      <c r="BF97" s="53" t="e">
        <f>BF48*Dashboard!$C$13/100</f>
        <v>#REF!</v>
      </c>
      <c r="BG97" s="53" t="e">
        <f>BG48*Dashboard!$C$13/100</f>
        <v>#REF!</v>
      </c>
      <c r="BH97" s="53" t="e">
        <f>BH48*Dashboard!$C$13/100</f>
        <v>#REF!</v>
      </c>
      <c r="BI97" s="53" t="e">
        <f>BI48*Dashboard!$C$13/100</f>
        <v>#REF!</v>
      </c>
      <c r="BJ97" s="53" t="e">
        <f>BJ48*Dashboard!$C$13/100</f>
        <v>#REF!</v>
      </c>
      <c r="BK97" s="53" t="e">
        <f>BK48*Dashboard!$C$13/100</f>
        <v>#REF!</v>
      </c>
      <c r="BL97" s="53" t="e">
        <f>BL48*Dashboard!$C$13/100</f>
        <v>#REF!</v>
      </c>
    </row>
    <row r="98" spans="2:64">
      <c r="B98" s="216" t="s">
        <v>334</v>
      </c>
      <c r="E98" s="69" t="e">
        <f>OPEX!$C$28*(E6-E7)+OPEX!$D$28*(E7-E8)+OPEX!$E$28*(E8)</f>
        <v>#REF!</v>
      </c>
      <c r="F98" s="69" t="e">
        <f>OPEX!$C$28*(F6-F7)+OPEX!$D$28*(F7-F8)+OPEX!$E$28*(F8)</f>
        <v>#REF!</v>
      </c>
      <c r="G98" s="69" t="e">
        <f>OPEX!$C$28*(G6-G7)+OPEX!$D$28*(G7-G8)+OPEX!$E$28*(G8)</f>
        <v>#REF!</v>
      </c>
      <c r="H98" s="69" t="e">
        <f>OPEX!$C$28*(H6-H7)+OPEX!$D$28*(H7-H8)+OPEX!$E$28*(H8)</f>
        <v>#REF!</v>
      </c>
      <c r="I98" s="69" t="e">
        <f>OPEX!$C$28*(I6-I7)+OPEX!$D$28*(I7-I8)+OPEX!$E$28*(I8)</f>
        <v>#REF!</v>
      </c>
      <c r="J98" s="69" t="e">
        <f>OPEX!$C$28*(J6-J7)+OPEX!$D$28*(J7-J8)+OPEX!$E$28*(J8)</f>
        <v>#REF!</v>
      </c>
      <c r="K98" s="69" t="e">
        <f>OPEX!$C$28*(K6-K7)+OPEX!$D$28*(K7-K8)+OPEX!$E$28*(K8)</f>
        <v>#REF!</v>
      </c>
      <c r="L98" s="69" t="e">
        <f>OPEX!$C$28*(L6-L7)+OPEX!$D$28*(L7-L8)+OPEX!$E$28*(L8)</f>
        <v>#REF!</v>
      </c>
      <c r="M98" s="69" t="e">
        <f>OPEX!$C$28*(M6-M7)+OPEX!$D$28*(M7-M8)+OPEX!$E$28*(M8)</f>
        <v>#REF!</v>
      </c>
      <c r="N98" s="69" t="e">
        <f>OPEX!$C$28*(N6-N7)+OPEX!$D$28*(N7-N8)+OPEX!$E$28*(N8)</f>
        <v>#REF!</v>
      </c>
      <c r="O98" s="69" t="e">
        <f>OPEX!$C$28*(O6-O7)+OPEX!$D$28*(O7-O8)+OPEX!$E$28*(O8)</f>
        <v>#REF!</v>
      </c>
      <c r="P98" s="69" t="e">
        <f>OPEX!$C$28*(P6-P7)+OPEX!$D$28*(P7-P8)+OPEX!$E$28*(P8)</f>
        <v>#REF!</v>
      </c>
      <c r="Q98" s="69" t="e">
        <f>OPEX!$C$28*(Q6-Q7)+OPEX!$D$28*(Q7-Q8)+OPEX!$E$28*(Q8)</f>
        <v>#REF!</v>
      </c>
      <c r="R98" s="69" t="e">
        <f>OPEX!$C$28*(R6-R7)+OPEX!$D$28*(R7-R8)+OPEX!$E$28*(R8)</f>
        <v>#REF!</v>
      </c>
      <c r="S98" s="69" t="e">
        <f>OPEX!$C$28*(S6-S7)+OPEX!$D$28*(S7-S8)+OPEX!$E$28*(S8)</f>
        <v>#REF!</v>
      </c>
      <c r="T98" s="69" t="e">
        <f>OPEX!$C$28*(T6-T7)+OPEX!$D$28*(T7-T8)+OPEX!$E$28*(T8)</f>
        <v>#REF!</v>
      </c>
      <c r="U98" s="69" t="e">
        <f>OPEX!$C$28*(U6-U7)+OPEX!$D$28*(U7-U8)+OPEX!$E$28*(U8)</f>
        <v>#REF!</v>
      </c>
      <c r="V98" s="69" t="e">
        <f>OPEX!$C$28*(V6-V7)+OPEX!$D$28*(V7-V8)+OPEX!$E$28*(V8)</f>
        <v>#REF!</v>
      </c>
      <c r="W98" s="69" t="e">
        <f>OPEX!$C$28*(W6-W7)+OPEX!$D$28*(W7-W8)+OPEX!$E$28*(W8)</f>
        <v>#REF!</v>
      </c>
      <c r="X98" s="69" t="e">
        <f>OPEX!$C$28*(X6-X7)+OPEX!$D$28*(X7-X8)+OPEX!$E$28*(X8)</f>
        <v>#REF!</v>
      </c>
      <c r="Y98" s="69" t="e">
        <f>OPEX!$C$28*(Y6-Y7)+OPEX!$D$28*(Y7-Y8)+OPEX!$E$28*(Y8)</f>
        <v>#REF!</v>
      </c>
      <c r="Z98" s="69" t="e">
        <f>OPEX!$C$28*(Z6-Z7)+OPEX!$D$28*(Z7-Z8)+OPEX!$E$28*(Z8)</f>
        <v>#REF!</v>
      </c>
      <c r="AA98" s="69" t="e">
        <f>OPEX!$C$28*(AA6-AA7)+OPEX!$D$28*(AA7-AA8)+OPEX!$E$28*(AA8)</f>
        <v>#REF!</v>
      </c>
      <c r="AB98" s="69" t="e">
        <f>OPEX!$C$28*(AB6-AB7)+OPEX!$D$28*(AB7-AB8)+OPEX!$E$28*(AB8)</f>
        <v>#REF!</v>
      </c>
      <c r="AC98" s="69" t="e">
        <f>OPEX!$C$28*(AC6-AC7)+OPEX!$D$28*(AC7-AC8)+OPEX!$E$28*(AC8)</f>
        <v>#REF!</v>
      </c>
      <c r="AD98" s="69" t="e">
        <f>OPEX!$C$28*(AD6-AD7)+OPEX!$D$28*(AD7-AD8)+OPEX!$E$28*(AD8)</f>
        <v>#REF!</v>
      </c>
      <c r="AE98" s="69" t="e">
        <f>OPEX!$C$28*(AE6-AE7)+OPEX!$D$28*(AE7-AE8)+OPEX!$E$28*(AE8)</f>
        <v>#REF!</v>
      </c>
      <c r="AF98" s="69" t="e">
        <f>OPEX!$C$28*(AF6-AF7)+OPEX!$D$28*(AF7-AF8)+OPEX!$E$28*(AF8)</f>
        <v>#REF!</v>
      </c>
      <c r="AG98" s="69" t="e">
        <f>OPEX!$C$28*(AG6-AG7)+OPEX!$D$28*(AG7-AG8)+OPEX!$E$28*(AG8)</f>
        <v>#REF!</v>
      </c>
      <c r="AH98" s="69" t="e">
        <f>OPEX!$C$28*(AH6-AH7)+OPEX!$D$28*(AH7-AH8)+OPEX!$E$28*(AH8)</f>
        <v>#REF!</v>
      </c>
      <c r="AI98" s="69" t="e">
        <f>OPEX!$C$28*(AI6-AI7)+OPEX!$D$28*(AI7-AI8)+OPEX!$E$28*(AI8)</f>
        <v>#REF!</v>
      </c>
      <c r="AJ98" s="69" t="e">
        <f>OPEX!$C$28*(AJ6-AJ7)+OPEX!$D$28*(AJ7-AJ8)+OPEX!$E$28*(AJ8)</f>
        <v>#REF!</v>
      </c>
      <c r="AK98" s="69" t="e">
        <f>OPEX!$C$28*(AK6-AK7)+OPEX!$D$28*(AK7-AK8)+OPEX!$E$28*(AK8)</f>
        <v>#REF!</v>
      </c>
      <c r="AL98" s="69" t="e">
        <f>OPEX!$C$28*(AL6-AL7)+OPEX!$D$28*(AL7-AL8)+OPEX!$E$28*(AL8)</f>
        <v>#REF!</v>
      </c>
      <c r="AM98" s="69" t="e">
        <f>OPEX!$C$28*(AM6-AM7)+OPEX!$D$28*(AM7-AM8)+OPEX!$E$28*(AM8)</f>
        <v>#REF!</v>
      </c>
      <c r="AN98" s="69" t="e">
        <f>OPEX!$C$28*(AN6-AN7)+OPEX!$D$28*(AN7-AN8)+OPEX!$E$28*(AN8)</f>
        <v>#REF!</v>
      </c>
      <c r="AO98" s="69" t="e">
        <f>OPEX!$C$28*(AO6-AO7)+OPEX!$D$28*(AO7-AO8)+OPEX!$E$28*(AO8)</f>
        <v>#REF!</v>
      </c>
      <c r="AP98" s="69" t="e">
        <f>OPEX!$C$28*(AP6-AP7)+OPEX!$D$28*(AP7-AP8)+OPEX!$E$28*(AP8)</f>
        <v>#REF!</v>
      </c>
      <c r="AQ98" s="69" t="e">
        <f>OPEX!$C$28*(AQ6-AQ7)+OPEX!$D$28*(AQ7-AQ8)+OPEX!$E$28*(AQ8)</f>
        <v>#REF!</v>
      </c>
      <c r="AR98" s="69" t="e">
        <f>OPEX!$C$28*(AR6-AR7)+OPEX!$D$28*(AR7-AR8)+OPEX!$E$28*(AR8)</f>
        <v>#REF!</v>
      </c>
      <c r="AS98" s="69" t="e">
        <f>OPEX!$C$28*(AS6-AS7)+OPEX!$D$28*(AS7-AS8)+OPEX!$E$28*(AS8)</f>
        <v>#REF!</v>
      </c>
      <c r="AT98" s="69" t="e">
        <f>OPEX!$C$28*(AT6-AT7)+OPEX!$D$28*(AT7-AT8)+OPEX!$E$28*(AT8)</f>
        <v>#REF!</v>
      </c>
      <c r="AU98" s="69" t="e">
        <f>OPEX!$C$28*(AU6-AU7)+OPEX!$D$28*(AU7-AU8)+OPEX!$E$28*(AU8)</f>
        <v>#REF!</v>
      </c>
      <c r="AV98" s="69" t="e">
        <f>OPEX!$C$28*(AV6-AV7)+OPEX!$D$28*(AV7-AV8)+OPEX!$E$28*(AV8)</f>
        <v>#REF!</v>
      </c>
      <c r="AW98" s="69" t="e">
        <f>OPEX!$C$28*(AW6-AW7)+OPEX!$D$28*(AW7-AW8)+OPEX!$E$28*(AW8)</f>
        <v>#REF!</v>
      </c>
      <c r="AX98" s="69" t="e">
        <f>OPEX!$C$28*(AX6-AX7)+OPEX!$D$28*(AX7-AX8)+OPEX!$E$28*(AX8)</f>
        <v>#REF!</v>
      </c>
      <c r="AY98" s="69" t="e">
        <f>OPEX!$C$28*(AY6-AY7)+OPEX!$D$28*(AY7-AY8)+OPEX!$E$28*(AY8)</f>
        <v>#REF!</v>
      </c>
      <c r="AZ98" s="69" t="e">
        <f>OPEX!$C$28*(AZ6-AZ7)+OPEX!$D$28*(AZ7-AZ8)+OPEX!$E$28*(AZ8)</f>
        <v>#REF!</v>
      </c>
      <c r="BA98" s="69" t="e">
        <f>OPEX!$C$28*(BA6-BA7)+OPEX!$D$28*(BA7-BA8)+OPEX!$E$28*(BA8)</f>
        <v>#REF!</v>
      </c>
      <c r="BB98" s="69" t="e">
        <f>OPEX!$C$28*(BB6-BB7)+OPEX!$D$28*(BB7-BB8)+OPEX!$E$28*(BB8)</f>
        <v>#REF!</v>
      </c>
      <c r="BC98" s="69" t="e">
        <f>OPEX!$C$28*(BC6-BC7)+OPEX!$D$28*(BC7-BC8)+OPEX!$E$28*(BC8)</f>
        <v>#REF!</v>
      </c>
      <c r="BD98" s="69" t="e">
        <f>OPEX!$C$28*(BD6-BD7)+OPEX!$D$28*(BD7-BD8)+OPEX!$E$28*(BD8)</f>
        <v>#REF!</v>
      </c>
      <c r="BE98" s="69" t="e">
        <f>OPEX!$C$28*(BE6-BE7)+OPEX!$D$28*(BE7-BE8)+OPEX!$E$28*(BE8)</f>
        <v>#REF!</v>
      </c>
      <c r="BF98" s="69" t="e">
        <f>OPEX!$C$28*(BF6-BF7)+OPEX!$D$28*(BF7-BF8)+OPEX!$E$28*(BF8)</f>
        <v>#REF!</v>
      </c>
      <c r="BG98" s="69" t="e">
        <f>OPEX!$C$28*(BG6-BG7)+OPEX!$D$28*(BG7-BG8)+OPEX!$E$28*(BG8)</f>
        <v>#REF!</v>
      </c>
      <c r="BH98" s="69" t="e">
        <f>OPEX!$C$28*(BH6-BH7)+OPEX!$D$28*(BH7-BH8)+OPEX!$E$28*(BH8)</f>
        <v>#REF!</v>
      </c>
      <c r="BI98" s="69" t="e">
        <f>OPEX!$C$28*(BI6-BI7)+OPEX!$D$28*(BI7-BI8)+OPEX!$E$28*(BI8)</f>
        <v>#REF!</v>
      </c>
      <c r="BJ98" s="69" t="e">
        <f>OPEX!$C$28*(BJ6-BJ7)+OPEX!$D$28*(BJ7-BJ8)+OPEX!$E$28*(BJ8)</f>
        <v>#REF!</v>
      </c>
      <c r="BK98" s="69" t="e">
        <f>OPEX!$C$28*(BK6-BK7)+OPEX!$D$28*(BK7-BK8)+OPEX!$E$28*(BK8)</f>
        <v>#REF!</v>
      </c>
      <c r="BL98" s="69" t="e">
        <f>OPEX!$C$28*(BL6-BL7)+OPEX!$D$28*(BL7-BL8)+OPEX!$E$28*(BL8)</f>
        <v>#REF!</v>
      </c>
    </row>
    <row r="99" spans="2:64">
      <c r="B99" s="146" t="s">
        <v>451</v>
      </c>
      <c r="C99" s="148"/>
      <c r="E99" s="69">
        <f>E50*Dashboard!$C$10/100+E51*Dashboard!$C$40/100</f>
        <v>0</v>
      </c>
      <c r="F99" s="69">
        <f>F50*Dashboard!$C$10/100+F51*Dashboard!$C$40/100</f>
        <v>0</v>
      </c>
      <c r="G99" s="69">
        <f>G50*Dashboard!$C$10/100+G51*Dashboard!$C$40/100</f>
        <v>0</v>
      </c>
      <c r="H99" s="69">
        <f>H50*Dashboard!$C$10/100+H51*Dashboard!$C$40/100</f>
        <v>0</v>
      </c>
      <c r="I99" s="69">
        <f>I50*Dashboard!$C$10/100+I51*Dashboard!$C$40/100</f>
        <v>0</v>
      </c>
      <c r="J99" s="69">
        <f>J50*Dashboard!$C$10/100+J51*Dashboard!$C$40/100</f>
        <v>0</v>
      </c>
      <c r="K99" s="69">
        <f>K50*Dashboard!$C$10/100+K51*Dashboard!$C$40/100</f>
        <v>0</v>
      </c>
      <c r="L99" s="69">
        <f>L50*Dashboard!$C$10/100+L51*Dashboard!$C$40/100</f>
        <v>0</v>
      </c>
      <c r="M99" s="69">
        <f>M50*Dashboard!$C$10/100+M51*Dashboard!$C$40/100</f>
        <v>0</v>
      </c>
      <c r="N99" s="69">
        <f>N50*Dashboard!$C$10/100+N51*Dashboard!$C$40/100</f>
        <v>0</v>
      </c>
      <c r="O99" s="69">
        <f>O50*Dashboard!$C$10/100+O51*Dashboard!$C$40/100</f>
        <v>0</v>
      </c>
      <c r="P99" s="69">
        <f>P50*Dashboard!$C$10/100+P51*Dashboard!$C$40/100</f>
        <v>0</v>
      </c>
      <c r="Q99" s="69">
        <f>Q50*Dashboard!$C$10/100+Q51*Dashboard!$C$40/100</f>
        <v>0</v>
      </c>
      <c r="R99" s="69">
        <f>R50*Dashboard!$C$10/100+R51*Dashboard!$C$40/100</f>
        <v>0</v>
      </c>
      <c r="S99" s="69">
        <f>S50*Dashboard!$C$10/100+S51*Dashboard!$C$40/100</f>
        <v>0</v>
      </c>
      <c r="T99" s="69">
        <f>T50*Dashboard!$C$10/100+T51*Dashboard!$C$40/100</f>
        <v>0</v>
      </c>
      <c r="U99" s="69">
        <f>U50*Dashboard!$C$10/100+U51*Dashboard!$C$40/100</f>
        <v>0</v>
      </c>
      <c r="V99" s="69">
        <f>V50*Dashboard!$C$10/100+V51*Dashboard!$C$40/100</f>
        <v>0</v>
      </c>
      <c r="W99" s="69">
        <f>W50*Dashboard!$C$10/100+W51*Dashboard!$C$40/100</f>
        <v>0</v>
      </c>
      <c r="X99" s="69">
        <f>X50*Dashboard!$C$10/100+X51*Dashboard!$C$40/100</f>
        <v>0</v>
      </c>
      <c r="Y99" s="69">
        <f>Y50*Dashboard!$C$10/100+Y51*Dashboard!$C$40/100</f>
        <v>0</v>
      </c>
      <c r="Z99" s="69">
        <f>Z50*Dashboard!$C$10/100+Z51*Dashboard!$C$40/100</f>
        <v>0</v>
      </c>
      <c r="AA99" s="69">
        <f>AA50*Dashboard!$C$10/100+AA51*Dashboard!$C$40/100</f>
        <v>0</v>
      </c>
      <c r="AB99" s="69">
        <f>AB50*Dashboard!$C$10/100+AB51*Dashboard!$C$40/100</f>
        <v>0</v>
      </c>
      <c r="AC99" s="69">
        <f>AC50*Dashboard!$C$10/100+AC51*Dashboard!$C$40/100</f>
        <v>0</v>
      </c>
      <c r="AD99" s="69">
        <f>AD50*Dashboard!$C$10/100+AD51*Dashboard!$C$40/100</f>
        <v>0</v>
      </c>
      <c r="AE99" s="69">
        <f>AE50*Dashboard!$C$10/100+AE51*Dashboard!$C$40/100</f>
        <v>0</v>
      </c>
      <c r="AF99" s="69">
        <f>AF50*Dashboard!$C$10/100+AF51*Dashboard!$C$40/100</f>
        <v>0</v>
      </c>
      <c r="AG99" s="69">
        <f>AG50*Dashboard!$C$10/100+AG51*Dashboard!$C$40/100</f>
        <v>0</v>
      </c>
      <c r="AH99" s="69">
        <f>AH50*Dashboard!$C$10/100+AH51*Dashboard!$C$40/100</f>
        <v>0</v>
      </c>
      <c r="AI99" s="69">
        <f>AI50*Dashboard!$C$10/100+AI51*Dashboard!$C$40/100</f>
        <v>0</v>
      </c>
      <c r="AJ99" s="69">
        <f>AJ50*Dashboard!$C$10/100+AJ51*Dashboard!$C$40/100</f>
        <v>0</v>
      </c>
      <c r="AK99" s="69">
        <f>AK50*Dashboard!$C$10/100+AK51*Dashboard!$C$40/100</f>
        <v>0</v>
      </c>
      <c r="AL99" s="69">
        <f>AL50*Dashboard!$C$10/100+AL51*Dashboard!$C$40/100</f>
        <v>0</v>
      </c>
      <c r="AM99" s="69">
        <f>AM50*Dashboard!$C$10/100+AM51*Dashboard!$C$40/100</f>
        <v>0</v>
      </c>
      <c r="AN99" s="69">
        <f>AN50*Dashboard!$C$10/100+AN51*Dashboard!$C$40/100</f>
        <v>0</v>
      </c>
      <c r="AO99" s="69">
        <f>AO50*Dashboard!$C$10/100+AO51*Dashboard!$C$40/100</f>
        <v>0</v>
      </c>
      <c r="AP99" s="69">
        <f>AP50*Dashboard!$C$10/100+AP51*Dashboard!$C$40/100</f>
        <v>0</v>
      </c>
      <c r="AQ99" s="69">
        <f>AQ50*Dashboard!$C$10/100+AQ51*Dashboard!$C$40/100</f>
        <v>0</v>
      </c>
      <c r="AR99" s="69">
        <f>AR50*Dashboard!$C$10/100+AR51*Dashboard!$C$40/100</f>
        <v>0</v>
      </c>
      <c r="AS99" s="69">
        <f>AS50*Dashboard!$C$10/100+AS51*Dashboard!$C$40/100</f>
        <v>0</v>
      </c>
      <c r="AT99" s="69">
        <f>AT50*Dashboard!$C$10/100+AT51*Dashboard!$C$40/100</f>
        <v>0</v>
      </c>
      <c r="AU99" s="69">
        <f>AU50*Dashboard!$C$10/100+AU51*Dashboard!$C$40/100</f>
        <v>0</v>
      </c>
      <c r="AV99" s="69">
        <f>AV50*Dashboard!$C$10/100+AV51*Dashboard!$C$40/100</f>
        <v>0</v>
      </c>
      <c r="AW99" s="69">
        <f>AW50*Dashboard!$C$10/100+AW51*Dashboard!$C$40/100</f>
        <v>0</v>
      </c>
      <c r="AX99" s="69">
        <f>AX50*Dashboard!$C$10/100+AX51*Dashboard!$C$40/100</f>
        <v>0</v>
      </c>
      <c r="AY99" s="69">
        <f>AY50*Dashboard!$C$10/100+AY51*Dashboard!$C$40/100</f>
        <v>0</v>
      </c>
      <c r="AZ99" s="69">
        <f>AZ50*Dashboard!$C$10/100+AZ51*Dashboard!$C$40/100</f>
        <v>0</v>
      </c>
      <c r="BA99" s="69">
        <f>BA50*Dashboard!$C$10/100+BA51*Dashboard!$C$40/100</f>
        <v>0</v>
      </c>
      <c r="BB99" s="69">
        <f>BB50*Dashboard!$C$10/100+BB51*Dashboard!$C$40/100</f>
        <v>0</v>
      </c>
      <c r="BC99" s="69">
        <f>BC50*Dashboard!$C$10/100+BC51*Dashboard!$C$40/100</f>
        <v>0</v>
      </c>
      <c r="BD99" s="69">
        <f>BD50*Dashboard!$C$10/100+BD51*Dashboard!$C$40/100</f>
        <v>0</v>
      </c>
      <c r="BE99" s="69">
        <f>BE50*Dashboard!$C$10/100+BE51*Dashboard!$C$40/100</f>
        <v>0</v>
      </c>
      <c r="BF99" s="69">
        <f>BF50*Dashboard!$C$10/100+BF51*Dashboard!$C$40/100</f>
        <v>0</v>
      </c>
      <c r="BG99" s="69">
        <f>BG50*Dashboard!$C$10/100+BG51*Dashboard!$C$40/100</f>
        <v>0</v>
      </c>
      <c r="BH99" s="69">
        <f>BH50*Dashboard!$C$10/100+BH51*Dashboard!$C$40/100</f>
        <v>0</v>
      </c>
      <c r="BI99" s="69">
        <f>BI50*Dashboard!$C$10/100+BI51*Dashboard!$C$40/100</f>
        <v>0</v>
      </c>
      <c r="BJ99" s="69">
        <f>BJ50*Dashboard!$C$10/100+BJ51*Dashboard!$C$40/100</f>
        <v>0</v>
      </c>
      <c r="BK99" s="69">
        <f>BK50*Dashboard!$C$10/100+BK51*Dashboard!$C$40/100</f>
        <v>0</v>
      </c>
      <c r="BL99" s="69">
        <f>BL50*Dashboard!$C$10/100+BL51*Dashboard!$C$40/100</f>
        <v>0</v>
      </c>
    </row>
    <row r="100" spans="2:64">
      <c r="B100" s="146" t="s">
        <v>452</v>
      </c>
      <c r="C100" s="148"/>
      <c r="E100" s="53">
        <f>E50*Dashboard!$C$12/100</f>
        <v>0</v>
      </c>
      <c r="F100" s="53">
        <f>F50*Dashboard!$C$12/100</f>
        <v>0</v>
      </c>
      <c r="G100" s="53">
        <f>G50*Dashboard!$C$12/100</f>
        <v>0</v>
      </c>
      <c r="H100" s="53">
        <f>H50*Dashboard!$C$12/100</f>
        <v>0</v>
      </c>
      <c r="I100" s="53">
        <f>I50*Dashboard!$C$12/100</f>
        <v>0</v>
      </c>
      <c r="J100" s="53">
        <f>J50*Dashboard!$C$12/100</f>
        <v>0</v>
      </c>
      <c r="K100" s="53">
        <f>K50*Dashboard!$C$12/100</f>
        <v>0</v>
      </c>
      <c r="L100" s="53">
        <f>L50*Dashboard!$C$12/100</f>
        <v>0</v>
      </c>
      <c r="M100" s="53">
        <f>M50*Dashboard!$C$12/100</f>
        <v>0</v>
      </c>
      <c r="N100" s="53">
        <f>N50*Dashboard!$C$12/100</f>
        <v>0</v>
      </c>
      <c r="O100" s="53">
        <f>O50*Dashboard!$C$12/100</f>
        <v>0</v>
      </c>
      <c r="P100" s="53">
        <f>P50*Dashboard!$C$12/100</f>
        <v>0</v>
      </c>
      <c r="Q100" s="53">
        <f>Q50*Dashboard!$C$12/100</f>
        <v>0</v>
      </c>
      <c r="R100" s="53">
        <f>R50*Dashboard!$C$12/100</f>
        <v>0</v>
      </c>
      <c r="S100" s="53">
        <f>S50*Dashboard!$C$12/100</f>
        <v>0</v>
      </c>
      <c r="T100" s="53">
        <f>T50*Dashboard!$C$12/100</f>
        <v>0</v>
      </c>
      <c r="U100" s="53">
        <f>U50*Dashboard!$C$12/100</f>
        <v>0</v>
      </c>
      <c r="V100" s="53">
        <f>V50*Dashboard!$C$12/100</f>
        <v>0</v>
      </c>
      <c r="W100" s="53">
        <f>W50*Dashboard!$C$12/100</f>
        <v>0</v>
      </c>
      <c r="X100" s="53">
        <f>X50*Dashboard!$C$12/100</f>
        <v>0</v>
      </c>
      <c r="Y100" s="53">
        <f>Y50*Dashboard!$C$12/100</f>
        <v>0</v>
      </c>
      <c r="Z100" s="53">
        <f>Z50*Dashboard!$C$12/100</f>
        <v>0</v>
      </c>
      <c r="AA100" s="53">
        <f>AA50*Dashboard!$C$12/100</f>
        <v>0</v>
      </c>
      <c r="AB100" s="53">
        <f>AB50*Dashboard!$C$12/100</f>
        <v>0</v>
      </c>
      <c r="AC100" s="53">
        <f>AC50*Dashboard!$C$12/100</f>
        <v>0</v>
      </c>
      <c r="AD100" s="53">
        <f>AD50*Dashboard!$C$12/100</f>
        <v>0</v>
      </c>
      <c r="AE100" s="53">
        <f>AE50*Dashboard!$C$12/100</f>
        <v>0</v>
      </c>
      <c r="AF100" s="53">
        <f>AF50*Dashboard!$C$12/100</f>
        <v>0</v>
      </c>
      <c r="AG100" s="53">
        <f>AG50*Dashboard!$C$12/100</f>
        <v>0</v>
      </c>
      <c r="AH100" s="53">
        <f>AH50*Dashboard!$C$12/100</f>
        <v>0</v>
      </c>
      <c r="AI100" s="53">
        <f>AI50*Dashboard!$C$12/100</f>
        <v>0</v>
      </c>
      <c r="AJ100" s="53">
        <f>AJ50*Dashboard!$C$12/100</f>
        <v>0</v>
      </c>
      <c r="AK100" s="53">
        <f>AK50*Dashboard!$C$12/100</f>
        <v>0</v>
      </c>
      <c r="AL100" s="53">
        <f>AL50*Dashboard!$C$12/100</f>
        <v>0</v>
      </c>
      <c r="AM100" s="53">
        <f>AM50*Dashboard!$C$12/100</f>
        <v>0</v>
      </c>
      <c r="AN100" s="53">
        <f>AN50*Dashboard!$C$12/100</f>
        <v>0</v>
      </c>
      <c r="AO100" s="53">
        <f>AO50*Dashboard!$C$12/100</f>
        <v>0</v>
      </c>
      <c r="AP100" s="53">
        <f>AP50*Dashboard!$C$12/100</f>
        <v>0</v>
      </c>
      <c r="AQ100" s="53">
        <f>AQ50*Dashboard!$C$12/100</f>
        <v>0</v>
      </c>
      <c r="AR100" s="53">
        <f>AR50*Dashboard!$C$12/100</f>
        <v>0</v>
      </c>
      <c r="AS100" s="53">
        <f>AS50*Dashboard!$C$12/100</f>
        <v>0</v>
      </c>
      <c r="AT100" s="53">
        <f>AT50*Dashboard!$C$12/100</f>
        <v>0</v>
      </c>
      <c r="AU100" s="53">
        <f>AU50*Dashboard!$C$12/100</f>
        <v>0</v>
      </c>
      <c r="AV100" s="53">
        <f>AV50*Dashboard!$C$12/100</f>
        <v>0</v>
      </c>
      <c r="AW100" s="53">
        <f>AW50*Dashboard!$C$12/100</f>
        <v>0</v>
      </c>
      <c r="AX100" s="53">
        <f>AX50*Dashboard!$C$12/100</f>
        <v>0</v>
      </c>
      <c r="AY100" s="53">
        <f>AY50*Dashboard!$C$12/100</f>
        <v>0</v>
      </c>
      <c r="AZ100" s="53">
        <f>AZ50*Dashboard!$C$12/100</f>
        <v>0</v>
      </c>
      <c r="BA100" s="53">
        <f>BA50*Dashboard!$C$12/100</f>
        <v>0</v>
      </c>
      <c r="BB100" s="53">
        <f>BB50*Dashboard!$C$12/100</f>
        <v>0</v>
      </c>
      <c r="BC100" s="53">
        <f>BC50*Dashboard!$C$12/100</f>
        <v>0</v>
      </c>
      <c r="BD100" s="53">
        <f>BD50*Dashboard!$C$12/100</f>
        <v>0</v>
      </c>
      <c r="BE100" s="53">
        <f>BE50*Dashboard!$C$12/100</f>
        <v>0</v>
      </c>
      <c r="BF100" s="53">
        <f>BF50*Dashboard!$C$12/100</f>
        <v>0</v>
      </c>
      <c r="BG100" s="53">
        <f>BG50*Dashboard!$C$12/100</f>
        <v>0</v>
      </c>
      <c r="BH100" s="53">
        <f>BH50*Dashboard!$C$12/100</f>
        <v>0</v>
      </c>
      <c r="BI100" s="53">
        <f>BI50*Dashboard!$C$12/100</f>
        <v>0</v>
      </c>
      <c r="BJ100" s="53">
        <f>BJ50*Dashboard!$C$12/100</f>
        <v>0</v>
      </c>
      <c r="BK100" s="53">
        <f>BK50*Dashboard!$C$12/100</f>
        <v>0</v>
      </c>
      <c r="BL100" s="53">
        <f>BL50*Dashboard!$C$12/100</f>
        <v>0</v>
      </c>
    </row>
    <row r="101" spans="2:64">
      <c r="B101" s="216" t="s">
        <v>342</v>
      </c>
      <c r="E101" s="53">
        <f>OPEX!$C$29*(E6-E7)+OPEX!$D$29*(E7-E8)+OPEX!$E$29*(E8)</f>
        <v>0</v>
      </c>
      <c r="F101" s="53">
        <f>OPEX!$C$29*(F6-F7)+OPEX!$D$29*(F7-F8)+OPEX!$E$29*(F8)</f>
        <v>0</v>
      </c>
      <c r="G101" s="53">
        <f>OPEX!$C$29*(G6-G7)+OPEX!$D$29*(G7-G8)+OPEX!$E$29*(G8)</f>
        <v>0</v>
      </c>
      <c r="H101" s="53">
        <f>OPEX!$C$29*(H6-H7)+OPEX!$D$29*(H7-H8)+OPEX!$E$29*(H8)</f>
        <v>0</v>
      </c>
      <c r="I101" s="53">
        <f>OPEX!$C$29*(I6-I7)+OPEX!$D$29*(I7-I8)+OPEX!$E$29*(I8)</f>
        <v>0</v>
      </c>
      <c r="J101" s="53">
        <f>OPEX!$C$29*(J6-J7)+OPEX!$D$29*(J7-J8)+OPEX!$E$29*(J8)</f>
        <v>0</v>
      </c>
      <c r="K101" s="53">
        <f>OPEX!$C$29*(K6-K7)+OPEX!$D$29*(K7-K8)+OPEX!$E$29*(K8)</f>
        <v>0</v>
      </c>
      <c r="L101" s="53">
        <f>OPEX!$C$29*(L6-L7)+OPEX!$D$29*(L7-L8)+OPEX!$E$29*(L8)</f>
        <v>0</v>
      </c>
      <c r="M101" s="53">
        <f>OPEX!$C$29*(M6-M7)+OPEX!$D$29*(M7-M8)+OPEX!$E$29*(M8)</f>
        <v>0</v>
      </c>
      <c r="N101" s="53">
        <f>OPEX!$C$29*(N6-N7)+OPEX!$D$29*(N7-N8)+OPEX!$E$29*(N8)</f>
        <v>0</v>
      </c>
      <c r="O101" s="53">
        <f>OPEX!$C$29*(O6-O7)+OPEX!$D$29*(O7-O8)+OPEX!$E$29*(O8)</f>
        <v>0</v>
      </c>
      <c r="P101" s="53">
        <f>OPEX!$C$29*(P6-P7)+OPEX!$D$29*(P7-P8)+OPEX!$E$29*(P8)</f>
        <v>0</v>
      </c>
      <c r="Q101" s="53">
        <f>OPEX!$C$29*(Q6-Q7)+OPEX!$D$29*(Q7-Q8)+OPEX!$E$29*(Q8)</f>
        <v>0</v>
      </c>
      <c r="R101" s="53">
        <f>OPEX!$C$29*(R6-R7)+OPEX!$D$29*(R7-R8)+OPEX!$E$29*(R8)</f>
        <v>0</v>
      </c>
      <c r="S101" s="53">
        <f>OPEX!$C$29*(S6-S7)+OPEX!$D$29*(S7-S8)+OPEX!$E$29*(S8)</f>
        <v>0</v>
      </c>
      <c r="T101" s="53">
        <f>OPEX!$C$29*(T6-T7)+OPEX!$D$29*(T7-T8)+OPEX!$E$29*(T8)</f>
        <v>0</v>
      </c>
      <c r="U101" s="53">
        <f>OPEX!$C$29*(U6-U7)+OPEX!$D$29*(U7-U8)+OPEX!$E$29*(U8)</f>
        <v>0</v>
      </c>
      <c r="V101" s="53">
        <f>OPEX!$C$29*(V6-V7)+OPEX!$D$29*(V7-V8)+OPEX!$E$29*(V8)</f>
        <v>0</v>
      </c>
      <c r="W101" s="53">
        <f>OPEX!$C$29*(W6-W7)+OPEX!$D$29*(W7-W8)+OPEX!$E$29*(W8)</f>
        <v>0</v>
      </c>
      <c r="X101" s="53">
        <f>OPEX!$C$29*(X6-X7)+OPEX!$D$29*(X7-X8)+OPEX!$E$29*(X8)</f>
        <v>0</v>
      </c>
      <c r="Y101" s="53">
        <f>OPEX!$C$29*(Y6-Y7)+OPEX!$D$29*(Y7-Y8)+OPEX!$E$29*(Y8)</f>
        <v>0</v>
      </c>
      <c r="Z101" s="53">
        <f>OPEX!$C$29*(Z6-Z7)+OPEX!$D$29*(Z7-Z8)+OPEX!$E$29*(Z8)</f>
        <v>0</v>
      </c>
      <c r="AA101" s="53">
        <f>OPEX!$C$29*(AA6-AA7)+OPEX!$D$29*(AA7-AA8)+OPEX!$E$29*(AA8)</f>
        <v>0</v>
      </c>
      <c r="AB101" s="53">
        <f>OPEX!$C$29*(AB6-AB7)+OPEX!$D$29*(AB7-AB8)+OPEX!$E$29*(AB8)</f>
        <v>0</v>
      </c>
      <c r="AC101" s="53">
        <f>OPEX!$C$29*(AC6-AC7)+OPEX!$D$29*(AC7-AC8)+OPEX!$E$29*(AC8)</f>
        <v>0</v>
      </c>
      <c r="AD101" s="53">
        <f>OPEX!$C$29*(AD6-AD7)+OPEX!$D$29*(AD7-AD8)+OPEX!$E$29*(AD8)</f>
        <v>0</v>
      </c>
      <c r="AE101" s="53">
        <f>OPEX!$C$29*(AE6-AE7)+OPEX!$D$29*(AE7-AE8)+OPEX!$E$29*(AE8)</f>
        <v>0</v>
      </c>
      <c r="AF101" s="53">
        <f>OPEX!$C$29*(AF6-AF7)+OPEX!$D$29*(AF7-AF8)+OPEX!$E$29*(AF8)</f>
        <v>0</v>
      </c>
      <c r="AG101" s="53">
        <f>OPEX!$C$29*(AG6-AG7)+OPEX!$D$29*(AG7-AG8)+OPEX!$E$29*(AG8)</f>
        <v>0</v>
      </c>
      <c r="AH101" s="53">
        <f>OPEX!$C$29*(AH6-AH7)+OPEX!$D$29*(AH7-AH8)+OPEX!$E$29*(AH8)</f>
        <v>0</v>
      </c>
      <c r="AI101" s="53">
        <f>OPEX!$C$29*(AI6-AI7)+OPEX!$D$29*(AI7-AI8)+OPEX!$E$29*(AI8)</f>
        <v>0</v>
      </c>
      <c r="AJ101" s="53">
        <f>OPEX!$C$29*(AJ6-AJ7)+OPEX!$D$29*(AJ7-AJ8)+OPEX!$E$29*(AJ8)</f>
        <v>0</v>
      </c>
      <c r="AK101" s="53">
        <f>OPEX!$C$29*(AK6-AK7)+OPEX!$D$29*(AK7-AK8)+OPEX!$E$29*(AK8)</f>
        <v>0</v>
      </c>
      <c r="AL101" s="53">
        <f>OPEX!$C$29*(AL6-AL7)+OPEX!$D$29*(AL7-AL8)+OPEX!$E$29*(AL8)</f>
        <v>0</v>
      </c>
      <c r="AM101" s="53">
        <f>OPEX!$C$29*(AM6-AM7)+OPEX!$D$29*(AM7-AM8)+OPEX!$E$29*(AM8)</f>
        <v>0</v>
      </c>
      <c r="AN101" s="53">
        <f>OPEX!$C$29*(AN6-AN7)+OPEX!$D$29*(AN7-AN8)+OPEX!$E$29*(AN8)</f>
        <v>0</v>
      </c>
      <c r="AO101" s="53">
        <f>OPEX!$C$29*(AO6-AO7)+OPEX!$D$29*(AO7-AO8)+OPEX!$E$29*(AO8)</f>
        <v>0</v>
      </c>
      <c r="AP101" s="53">
        <f>OPEX!$C$29*(AP6-AP7)+OPEX!$D$29*(AP7-AP8)+OPEX!$E$29*(AP8)</f>
        <v>0</v>
      </c>
      <c r="AQ101" s="53">
        <f>OPEX!$C$29*(AQ6-AQ7)+OPEX!$D$29*(AQ7-AQ8)+OPEX!$E$29*(AQ8)</f>
        <v>0</v>
      </c>
      <c r="AR101" s="53">
        <f>OPEX!$C$29*(AR6-AR7)+OPEX!$D$29*(AR7-AR8)+OPEX!$E$29*(AR8)</f>
        <v>0</v>
      </c>
      <c r="AS101" s="53">
        <f>OPEX!$C$29*(AS6-AS7)+OPEX!$D$29*(AS7-AS8)+OPEX!$E$29*(AS8)</f>
        <v>0</v>
      </c>
      <c r="AT101" s="53">
        <f>OPEX!$C$29*(AT6-AT7)+OPEX!$D$29*(AT7-AT8)+OPEX!$E$29*(AT8)</f>
        <v>0</v>
      </c>
      <c r="AU101" s="53">
        <f>OPEX!$C$29*(AU6-AU7)+OPEX!$D$29*(AU7-AU8)+OPEX!$E$29*(AU8)</f>
        <v>0</v>
      </c>
      <c r="AV101" s="53">
        <f>OPEX!$C$29*(AV6-AV7)+OPEX!$D$29*(AV7-AV8)+OPEX!$E$29*(AV8)</f>
        <v>0</v>
      </c>
      <c r="AW101" s="53">
        <f>OPEX!$C$29*(AW6-AW7)+OPEX!$D$29*(AW7-AW8)+OPEX!$E$29*(AW8)</f>
        <v>0</v>
      </c>
      <c r="AX101" s="53">
        <f>OPEX!$C$29*(AX6-AX7)+OPEX!$D$29*(AX7-AX8)+OPEX!$E$29*(AX8)</f>
        <v>0</v>
      </c>
      <c r="AY101" s="53">
        <f>OPEX!$C$29*(AY6-AY7)+OPEX!$D$29*(AY7-AY8)+OPEX!$E$29*(AY8)</f>
        <v>0</v>
      </c>
      <c r="AZ101" s="53">
        <f>OPEX!$C$29*(AZ6-AZ7)+OPEX!$D$29*(AZ7-AZ8)+OPEX!$E$29*(AZ8)</f>
        <v>0</v>
      </c>
      <c r="BA101" s="53">
        <f>OPEX!$C$29*(BA6-BA7)+OPEX!$D$29*(BA7-BA8)+OPEX!$E$29*(BA8)</f>
        <v>0</v>
      </c>
      <c r="BB101" s="53">
        <f>OPEX!$C$29*(BB6-BB7)+OPEX!$D$29*(BB7-BB8)+OPEX!$E$29*(BB8)</f>
        <v>0</v>
      </c>
      <c r="BC101" s="53">
        <f>OPEX!$C$29*(BC6-BC7)+OPEX!$D$29*(BC7-BC8)+OPEX!$E$29*(BC8)</f>
        <v>0</v>
      </c>
      <c r="BD101" s="53">
        <f>OPEX!$C$29*(BD6-BD7)+OPEX!$D$29*(BD7-BD8)+OPEX!$E$29*(BD8)</f>
        <v>0</v>
      </c>
      <c r="BE101" s="53">
        <f>OPEX!$C$29*(BE6-BE7)+OPEX!$D$29*(BE7-BE8)+OPEX!$E$29*(BE8)</f>
        <v>0</v>
      </c>
      <c r="BF101" s="53">
        <f>OPEX!$C$29*(BF6-BF7)+OPEX!$D$29*(BF7-BF8)+OPEX!$E$29*(BF8)</f>
        <v>0</v>
      </c>
      <c r="BG101" s="53">
        <f>OPEX!$C$29*(BG6-BG7)+OPEX!$D$29*(BG7-BG8)+OPEX!$E$29*(BG8)</f>
        <v>0</v>
      </c>
      <c r="BH101" s="53">
        <f>OPEX!$C$29*(BH6-BH7)+OPEX!$D$29*(BH7-BH8)+OPEX!$E$29*(BH8)</f>
        <v>0</v>
      </c>
      <c r="BI101" s="53">
        <f>OPEX!$C$29*(BI6-BI7)+OPEX!$D$29*(BI7-BI8)+OPEX!$E$29*(BI8)</f>
        <v>0</v>
      </c>
      <c r="BJ101" s="53">
        <f>OPEX!$C$29*(BJ6-BJ7)+OPEX!$D$29*(BJ7-BJ8)+OPEX!$E$29*(BJ8)</f>
        <v>0</v>
      </c>
      <c r="BK101" s="53">
        <f>OPEX!$C$29*(BK6-BK7)+OPEX!$D$29*(BK7-BK8)+OPEX!$E$29*(BK8)</f>
        <v>0</v>
      </c>
      <c r="BL101" s="53">
        <f>OPEX!$C$29*(BL6-BL7)+OPEX!$D$29*(BL7-BL8)+OPEX!$E$29*(BL8)</f>
        <v>0</v>
      </c>
    </row>
    <row r="102" spans="2:64">
      <c r="B102" s="216" t="s">
        <v>343</v>
      </c>
      <c r="E102" s="53">
        <f>OPEX!$C$30*(E6-E7)+OPEX!$D$30*(E7-E8)+OPEX!$E$30*(E8)</f>
        <v>0</v>
      </c>
      <c r="F102" s="53">
        <f>OPEX!$C$30*(F6-F7)+OPEX!$D$30*(F7-F8)+OPEX!$E$30*(F8)</f>
        <v>0</v>
      </c>
      <c r="G102" s="53">
        <f>OPEX!$C$30*(G6-G7)+OPEX!$D$30*(G7-G8)+OPEX!$E$30*(G8)</f>
        <v>0</v>
      </c>
      <c r="H102" s="53">
        <f>OPEX!$C$30*(H6-H7)+OPEX!$D$30*(H7-H8)+OPEX!$E$30*(H8)</f>
        <v>0</v>
      </c>
      <c r="I102" s="53">
        <f>OPEX!$C$30*(I6-I7)+OPEX!$D$30*(I7-I8)+OPEX!$E$30*(I8)</f>
        <v>0</v>
      </c>
      <c r="J102" s="53">
        <f>OPEX!$C$30*(J6-J7)+OPEX!$D$30*(J7-J8)+OPEX!$E$30*(J8)</f>
        <v>0</v>
      </c>
      <c r="K102" s="53">
        <f>OPEX!$C$30*(K6-K7)+OPEX!$D$30*(K7-K8)+OPEX!$E$30*(K8)</f>
        <v>0</v>
      </c>
      <c r="L102" s="53">
        <f>OPEX!$C$30*(L6-L7)+OPEX!$D$30*(L7-L8)+OPEX!$E$30*(L8)</f>
        <v>0</v>
      </c>
      <c r="M102" s="53">
        <f>OPEX!$C$30*(M6-M7)+OPEX!$D$30*(M7-M8)+OPEX!$E$30*(M8)</f>
        <v>0</v>
      </c>
      <c r="N102" s="53">
        <f>OPEX!$C$30*(N6-N7)+OPEX!$D$30*(N7-N8)+OPEX!$E$30*(N8)</f>
        <v>0</v>
      </c>
      <c r="O102" s="53">
        <f>OPEX!$C$30*(O6-O7)+OPEX!$D$30*(O7-O8)+OPEX!$E$30*(O8)</f>
        <v>0</v>
      </c>
      <c r="P102" s="53">
        <f>OPEX!$C$30*(P6-P7)+OPEX!$D$30*(P7-P8)+OPEX!$E$30*(P8)</f>
        <v>0</v>
      </c>
      <c r="Q102" s="53">
        <f>OPEX!$C$30*(Q6-Q7)+OPEX!$D$30*(Q7-Q8)+OPEX!$E$30*(Q8)</f>
        <v>0</v>
      </c>
      <c r="R102" s="53">
        <f>OPEX!$C$30*(R6-R7)+OPEX!$D$30*(R7-R8)+OPEX!$E$30*(R8)</f>
        <v>0</v>
      </c>
      <c r="S102" s="53">
        <f>OPEX!$C$30*(S6-S7)+OPEX!$D$30*(S7-S8)+OPEX!$E$30*(S8)</f>
        <v>0</v>
      </c>
      <c r="T102" s="53">
        <f>OPEX!$C$30*(T6-T7)+OPEX!$D$30*(T7-T8)+OPEX!$E$30*(T8)</f>
        <v>0</v>
      </c>
      <c r="U102" s="53">
        <f>OPEX!$C$30*(U6-U7)+OPEX!$D$30*(U7-U8)+OPEX!$E$30*(U8)</f>
        <v>0</v>
      </c>
      <c r="V102" s="53">
        <f>OPEX!$C$30*(V6-V7)+OPEX!$D$30*(V7-V8)+OPEX!$E$30*(V8)</f>
        <v>0</v>
      </c>
      <c r="W102" s="53">
        <f>OPEX!$C$30*(W6-W7)+OPEX!$D$30*(W7-W8)+OPEX!$E$30*(W8)</f>
        <v>0</v>
      </c>
      <c r="X102" s="53">
        <f>OPEX!$C$30*(X6-X7)+OPEX!$D$30*(X7-X8)+OPEX!$E$30*(X8)</f>
        <v>0</v>
      </c>
      <c r="Y102" s="53">
        <f>OPEX!$C$30*(Y6-Y7)+OPEX!$D$30*(Y7-Y8)+OPEX!$E$30*(Y8)</f>
        <v>0</v>
      </c>
      <c r="Z102" s="53">
        <f>OPEX!$C$30*(Z6-Z7)+OPEX!$D$30*(Z7-Z8)+OPEX!$E$30*(Z8)</f>
        <v>0</v>
      </c>
      <c r="AA102" s="53">
        <f>OPEX!$C$30*(AA6-AA7)+OPEX!$D$30*(AA7-AA8)+OPEX!$E$30*(AA8)</f>
        <v>0</v>
      </c>
      <c r="AB102" s="53">
        <f>OPEX!$C$30*(AB6-AB7)+OPEX!$D$30*(AB7-AB8)+OPEX!$E$30*(AB8)</f>
        <v>0</v>
      </c>
      <c r="AC102" s="53">
        <f>OPEX!$C$30*(AC6-AC7)+OPEX!$D$30*(AC7-AC8)+OPEX!$E$30*(AC8)</f>
        <v>0</v>
      </c>
      <c r="AD102" s="53">
        <f>OPEX!$C$30*(AD6-AD7)+OPEX!$D$30*(AD7-AD8)+OPEX!$E$30*(AD8)</f>
        <v>0</v>
      </c>
      <c r="AE102" s="53">
        <f>OPEX!$C$30*(AE6-AE7)+OPEX!$D$30*(AE7-AE8)+OPEX!$E$30*(AE8)</f>
        <v>0</v>
      </c>
      <c r="AF102" s="53">
        <f>OPEX!$C$30*(AF6-AF7)+OPEX!$D$30*(AF7-AF8)+OPEX!$E$30*(AF8)</f>
        <v>0</v>
      </c>
      <c r="AG102" s="53">
        <f>OPEX!$C$30*(AG6-AG7)+OPEX!$D$30*(AG7-AG8)+OPEX!$E$30*(AG8)</f>
        <v>0</v>
      </c>
      <c r="AH102" s="53">
        <f>OPEX!$C$30*(AH6-AH7)+OPEX!$D$30*(AH7-AH8)+OPEX!$E$30*(AH8)</f>
        <v>0</v>
      </c>
      <c r="AI102" s="53">
        <f>OPEX!$C$30*(AI6-AI7)+OPEX!$D$30*(AI7-AI8)+OPEX!$E$30*(AI8)</f>
        <v>0</v>
      </c>
      <c r="AJ102" s="53">
        <f>OPEX!$C$30*(AJ6-AJ7)+OPEX!$D$30*(AJ7-AJ8)+OPEX!$E$30*(AJ8)</f>
        <v>0</v>
      </c>
      <c r="AK102" s="53">
        <f>OPEX!$C$30*(AK6-AK7)+OPEX!$D$30*(AK7-AK8)+OPEX!$E$30*(AK8)</f>
        <v>0</v>
      </c>
      <c r="AL102" s="53">
        <f>OPEX!$C$30*(AL6-AL7)+OPEX!$D$30*(AL7-AL8)+OPEX!$E$30*(AL8)</f>
        <v>0</v>
      </c>
      <c r="AM102" s="53">
        <f>OPEX!$C$30*(AM6-AM7)+OPEX!$D$30*(AM7-AM8)+OPEX!$E$30*(AM8)</f>
        <v>0</v>
      </c>
      <c r="AN102" s="53">
        <f>OPEX!$C$30*(AN6-AN7)+OPEX!$D$30*(AN7-AN8)+OPEX!$E$30*(AN8)</f>
        <v>0</v>
      </c>
      <c r="AO102" s="53">
        <f>OPEX!$C$30*(AO6-AO7)+OPEX!$D$30*(AO7-AO8)+OPEX!$E$30*(AO8)</f>
        <v>0</v>
      </c>
      <c r="AP102" s="53">
        <f>OPEX!$C$30*(AP6-AP7)+OPEX!$D$30*(AP7-AP8)+OPEX!$E$30*(AP8)</f>
        <v>0</v>
      </c>
      <c r="AQ102" s="53">
        <f>OPEX!$C$30*(AQ6-AQ7)+OPEX!$D$30*(AQ7-AQ8)+OPEX!$E$30*(AQ8)</f>
        <v>0</v>
      </c>
      <c r="AR102" s="53">
        <f>OPEX!$C$30*(AR6-AR7)+OPEX!$D$30*(AR7-AR8)+OPEX!$E$30*(AR8)</f>
        <v>0</v>
      </c>
      <c r="AS102" s="53">
        <f>OPEX!$C$30*(AS6-AS7)+OPEX!$D$30*(AS7-AS8)+OPEX!$E$30*(AS8)</f>
        <v>0</v>
      </c>
      <c r="AT102" s="53">
        <f>OPEX!$C$30*(AT6-AT7)+OPEX!$D$30*(AT7-AT8)+OPEX!$E$30*(AT8)</f>
        <v>0</v>
      </c>
      <c r="AU102" s="53">
        <f>OPEX!$C$30*(AU6-AU7)+OPEX!$D$30*(AU7-AU8)+OPEX!$E$30*(AU8)</f>
        <v>0</v>
      </c>
      <c r="AV102" s="53">
        <f>OPEX!$C$30*(AV6-AV7)+OPEX!$D$30*(AV7-AV8)+OPEX!$E$30*(AV8)</f>
        <v>0</v>
      </c>
      <c r="AW102" s="53">
        <f>OPEX!$C$30*(AW6-AW7)+OPEX!$D$30*(AW7-AW8)+OPEX!$E$30*(AW8)</f>
        <v>0</v>
      </c>
      <c r="AX102" s="53">
        <f>OPEX!$C$30*(AX6-AX7)+OPEX!$D$30*(AX7-AX8)+OPEX!$E$30*(AX8)</f>
        <v>0</v>
      </c>
      <c r="AY102" s="53">
        <f>OPEX!$C$30*(AY6-AY7)+OPEX!$D$30*(AY7-AY8)+OPEX!$E$30*(AY8)</f>
        <v>0</v>
      </c>
      <c r="AZ102" s="53">
        <f>OPEX!$C$30*(AZ6-AZ7)+OPEX!$D$30*(AZ7-AZ8)+OPEX!$E$30*(AZ8)</f>
        <v>0</v>
      </c>
      <c r="BA102" s="53">
        <f>OPEX!$C$30*(BA6-BA7)+OPEX!$D$30*(BA7-BA8)+OPEX!$E$30*(BA8)</f>
        <v>0</v>
      </c>
      <c r="BB102" s="53">
        <f>OPEX!$C$30*(BB6-BB7)+OPEX!$D$30*(BB7-BB8)+OPEX!$E$30*(BB8)</f>
        <v>0</v>
      </c>
      <c r="BC102" s="53">
        <f>OPEX!$C$30*(BC6-BC7)+OPEX!$D$30*(BC7-BC8)+OPEX!$E$30*(BC8)</f>
        <v>0</v>
      </c>
      <c r="BD102" s="53">
        <f>OPEX!$C$30*(BD6-BD7)+OPEX!$D$30*(BD7-BD8)+OPEX!$E$30*(BD8)</f>
        <v>0</v>
      </c>
      <c r="BE102" s="53">
        <f>OPEX!$C$30*(BE6-BE7)+OPEX!$D$30*(BE7-BE8)+OPEX!$E$30*(BE8)</f>
        <v>0</v>
      </c>
      <c r="BF102" s="53">
        <f>OPEX!$C$30*(BF6-BF7)+OPEX!$D$30*(BF7-BF8)+OPEX!$E$30*(BF8)</f>
        <v>0</v>
      </c>
      <c r="BG102" s="53">
        <f>OPEX!$C$30*(BG6-BG7)+OPEX!$D$30*(BG7-BG8)+OPEX!$E$30*(BG8)</f>
        <v>0</v>
      </c>
      <c r="BH102" s="53">
        <f>OPEX!$C$30*(BH6-BH7)+OPEX!$D$30*(BH7-BH8)+OPEX!$E$30*(BH8)</f>
        <v>0</v>
      </c>
      <c r="BI102" s="53">
        <f>OPEX!$C$30*(BI6-BI7)+OPEX!$D$30*(BI7-BI8)+OPEX!$E$30*(BI8)</f>
        <v>0</v>
      </c>
      <c r="BJ102" s="53">
        <f>OPEX!$C$30*(BJ6-BJ7)+OPEX!$D$30*(BJ7-BJ8)+OPEX!$E$30*(BJ8)</f>
        <v>0</v>
      </c>
      <c r="BK102" s="53">
        <f>OPEX!$C$30*(BK6-BK7)+OPEX!$D$30*(BK7-BK8)+OPEX!$E$30*(BK8)</f>
        <v>0</v>
      </c>
      <c r="BL102" s="53">
        <f>OPEX!$C$30*(BL6-BL7)+OPEX!$D$30*(BL7-BL8)+OPEX!$E$30*(BL8)</f>
        <v>0</v>
      </c>
    </row>
    <row r="103" spans="2:64">
      <c r="B103" s="164" t="s">
        <v>448</v>
      </c>
      <c r="E103" s="215" t="e">
        <f>SUM(E96:E102)</f>
        <v>#REF!</v>
      </c>
      <c r="F103" s="215" t="e">
        <f>SUM(F96:F102)</f>
        <v>#REF!</v>
      </c>
      <c r="G103" s="215" t="e">
        <f>SUM(G96:G102)</f>
        <v>#REF!</v>
      </c>
      <c r="H103" s="215" t="e">
        <f>SUM(H96:H102)</f>
        <v>#REF!</v>
      </c>
      <c r="I103" s="215" t="e">
        <f>SUM(I96:I102)</f>
        <v>#REF!</v>
      </c>
      <c r="J103" s="215" t="e">
        <f>SUM(J96:J102)</f>
        <v>#REF!</v>
      </c>
      <c r="K103" s="215" t="e">
        <f>SUM(K96:K102)</f>
        <v>#REF!</v>
      </c>
      <c r="L103" s="215" t="e">
        <f>SUM(L96:L102)</f>
        <v>#REF!</v>
      </c>
      <c r="M103" s="215" t="e">
        <f>SUM(M96:M102)</f>
        <v>#REF!</v>
      </c>
      <c r="N103" s="215" t="e">
        <f>SUM(N96:N102)</f>
        <v>#REF!</v>
      </c>
      <c r="O103" s="215" t="e">
        <f>SUM(O96:O102)</f>
        <v>#REF!</v>
      </c>
      <c r="P103" s="215" t="e">
        <f>SUM(P96:P102)</f>
        <v>#REF!</v>
      </c>
      <c r="Q103" s="215" t="e">
        <f>SUM(Q96:Q102)</f>
        <v>#REF!</v>
      </c>
      <c r="R103" s="215" t="e">
        <f>SUM(R96:R102)</f>
        <v>#REF!</v>
      </c>
      <c r="S103" s="215" t="e">
        <f>SUM(S96:S102)</f>
        <v>#REF!</v>
      </c>
      <c r="T103" s="215" t="e">
        <f>SUM(T96:T102)</f>
        <v>#REF!</v>
      </c>
      <c r="U103" s="215" t="e">
        <f>SUM(U96:U102)</f>
        <v>#REF!</v>
      </c>
      <c r="V103" s="215" t="e">
        <f>SUM(V96:V102)</f>
        <v>#REF!</v>
      </c>
      <c r="W103" s="215" t="e">
        <f>SUM(W96:W102)</f>
        <v>#REF!</v>
      </c>
      <c r="X103" s="215" t="e">
        <f>SUM(X96:X102)</f>
        <v>#REF!</v>
      </c>
      <c r="Y103" s="215" t="e">
        <f>SUM(Y96:Y102)</f>
        <v>#REF!</v>
      </c>
      <c r="Z103" s="215" t="e">
        <f>SUM(Z96:Z102)</f>
        <v>#REF!</v>
      </c>
      <c r="AA103" s="215" t="e">
        <f>SUM(AA96:AA102)</f>
        <v>#REF!</v>
      </c>
      <c r="AB103" s="215" t="e">
        <f>SUM(AB96:AB102)</f>
        <v>#REF!</v>
      </c>
      <c r="AC103" s="215" t="e">
        <f>SUM(AC96:AC102)</f>
        <v>#REF!</v>
      </c>
      <c r="AD103" s="215" t="e">
        <f>SUM(AD96:AD102)</f>
        <v>#REF!</v>
      </c>
      <c r="AE103" s="215" t="e">
        <f>SUM(AE96:AE102)</f>
        <v>#REF!</v>
      </c>
      <c r="AF103" s="215" t="e">
        <f>SUM(AF96:AF102)</f>
        <v>#REF!</v>
      </c>
      <c r="AG103" s="215" t="e">
        <f>SUM(AG96:AG102)</f>
        <v>#REF!</v>
      </c>
      <c r="AH103" s="215" t="e">
        <f>SUM(AH96:AH102)</f>
        <v>#REF!</v>
      </c>
      <c r="AI103" s="215" t="e">
        <f>SUM(AI96:AI102)</f>
        <v>#REF!</v>
      </c>
      <c r="AJ103" s="215" t="e">
        <f>SUM(AJ96:AJ102)</f>
        <v>#REF!</v>
      </c>
      <c r="AK103" s="215" t="e">
        <f>SUM(AK96:AK102)</f>
        <v>#REF!</v>
      </c>
      <c r="AL103" s="215" t="e">
        <f>SUM(AL96:AL102)</f>
        <v>#REF!</v>
      </c>
      <c r="AM103" s="215" t="e">
        <f>SUM(AM96:AM102)</f>
        <v>#REF!</v>
      </c>
      <c r="AN103" s="215" t="e">
        <f>SUM(AN96:AN102)</f>
        <v>#REF!</v>
      </c>
      <c r="AO103" s="215" t="e">
        <f>SUM(AO96:AO102)</f>
        <v>#REF!</v>
      </c>
      <c r="AP103" s="215" t="e">
        <f>SUM(AP96:AP102)</f>
        <v>#REF!</v>
      </c>
      <c r="AQ103" s="215" t="e">
        <f>SUM(AQ96:AQ102)</f>
        <v>#REF!</v>
      </c>
      <c r="AR103" s="215" t="e">
        <f>SUM(AR96:AR102)</f>
        <v>#REF!</v>
      </c>
      <c r="AS103" s="215" t="e">
        <f>SUM(AS96:AS102)</f>
        <v>#REF!</v>
      </c>
      <c r="AT103" s="215" t="e">
        <f>SUM(AT96:AT102)</f>
        <v>#REF!</v>
      </c>
      <c r="AU103" s="215" t="e">
        <f>SUM(AU96:AU102)</f>
        <v>#REF!</v>
      </c>
      <c r="AV103" s="215" t="e">
        <f>SUM(AV96:AV102)</f>
        <v>#REF!</v>
      </c>
      <c r="AW103" s="215" t="e">
        <f>SUM(AW96:AW102)</f>
        <v>#REF!</v>
      </c>
      <c r="AX103" s="215" t="e">
        <f>SUM(AX96:AX102)</f>
        <v>#REF!</v>
      </c>
      <c r="AY103" s="215" t="e">
        <f>SUM(AY96:AY102)</f>
        <v>#REF!</v>
      </c>
      <c r="AZ103" s="215" t="e">
        <f>SUM(AZ96:AZ102)</f>
        <v>#REF!</v>
      </c>
      <c r="BA103" s="215" t="e">
        <f>SUM(BA96:BA102)</f>
        <v>#REF!</v>
      </c>
      <c r="BB103" s="215" t="e">
        <f>SUM(BB96:BB102)</f>
        <v>#REF!</v>
      </c>
      <c r="BC103" s="215" t="e">
        <f>SUM(BC96:BC102)</f>
        <v>#REF!</v>
      </c>
      <c r="BD103" s="215" t="e">
        <f>SUM(BD96:BD102)</f>
        <v>#REF!</v>
      </c>
      <c r="BE103" s="215" t="e">
        <f>SUM(BE96:BE102)</f>
        <v>#REF!</v>
      </c>
      <c r="BF103" s="215" t="e">
        <f>SUM(BF96:BF102)</f>
        <v>#REF!</v>
      </c>
      <c r="BG103" s="215" t="e">
        <f>SUM(BG96:BG102)</f>
        <v>#REF!</v>
      </c>
      <c r="BH103" s="215" t="e">
        <f>SUM(BH96:BH102)</f>
        <v>#REF!</v>
      </c>
      <c r="BI103" s="215" t="e">
        <f>SUM(BI96:BI102)</f>
        <v>#REF!</v>
      </c>
      <c r="BJ103" s="215" t="e">
        <f>SUM(BJ96:BJ102)</f>
        <v>#REF!</v>
      </c>
      <c r="BK103" s="215" t="e">
        <f>SUM(BK96:BK102)</f>
        <v>#REF!</v>
      </c>
      <c r="BL103" s="215" t="e">
        <f>SUM(BL96:BL102)</f>
        <v>#REF!</v>
      </c>
    </row>
    <row r="105" spans="2:64">
      <c r="B105" s="217" t="s">
        <v>453</v>
      </c>
      <c r="C105" s="148"/>
    </row>
    <row r="106" spans="2:64">
      <c r="B106" s="218" t="s">
        <v>399</v>
      </c>
      <c r="E106" s="69">
        <f>IF(Dashboard!$C$41=Lists!$B$4,Revenue!$C$7*('Financial Analysis'!E$6-'Financial Analysis'!E$7)+Revenue!$D$7*('Financial Analysis'!E$7-'Financial Analysis'!E$8)+Revenue!$E$7*'Financial Analysis'!E$8,0)</f>
        <v>0</v>
      </c>
      <c r="F106" s="69">
        <f>IF(Dashboard!$C$41=Lists!$B$4,Revenue!$C$7*('Financial Analysis'!F$6-'Financial Analysis'!F$7)+Revenue!$D$7*('Financial Analysis'!F$7-'Financial Analysis'!F$8)+Revenue!$E$7*'Financial Analysis'!F$8,0)</f>
        <v>0</v>
      </c>
      <c r="G106" s="69">
        <f>IF(Dashboard!$C$41=Lists!$B$4,Revenue!$C$7*('Financial Analysis'!G$6-'Financial Analysis'!G$7)+Revenue!$D$7*('Financial Analysis'!G$7-'Financial Analysis'!G$8)+Revenue!$E$7*'Financial Analysis'!G$8,0)</f>
        <v>0</v>
      </c>
      <c r="H106" s="69">
        <f>IF(Dashboard!$C$41=Lists!$B$4,Revenue!$C$7*('Financial Analysis'!H$6-'Financial Analysis'!H$7)+Revenue!$D$7*('Financial Analysis'!H$7-'Financial Analysis'!H$8)+Revenue!$E$7*'Financial Analysis'!H$8,0)</f>
        <v>0</v>
      </c>
      <c r="I106" s="69">
        <f>IF(Dashboard!$C$41=Lists!$B$4,Revenue!$C$7*('Financial Analysis'!I$6-'Financial Analysis'!I$7)+Revenue!$D$7*('Financial Analysis'!I$7-'Financial Analysis'!I$8)+Revenue!$E$7*'Financial Analysis'!I$8,0)</f>
        <v>0</v>
      </c>
      <c r="J106" s="69">
        <f>IF(Dashboard!$C$41=Lists!$B$4,Revenue!$C$7*('Financial Analysis'!J$6-'Financial Analysis'!J$7)+Revenue!$D$7*('Financial Analysis'!J$7-'Financial Analysis'!J$8)+Revenue!$E$7*'Financial Analysis'!J$8,0)</f>
        <v>0</v>
      </c>
      <c r="K106" s="69">
        <f>IF(Dashboard!$C$41=Lists!$B$4,Revenue!$C$7*('Financial Analysis'!K$6-'Financial Analysis'!K$7)+Revenue!$D$7*('Financial Analysis'!K$7-'Financial Analysis'!K$8)+Revenue!$E$7*'Financial Analysis'!K$8,0)</f>
        <v>0</v>
      </c>
      <c r="L106" s="69">
        <f>IF(Dashboard!$C$41=Lists!$B$4,Revenue!$C$7*('Financial Analysis'!L$6-'Financial Analysis'!L$7)+Revenue!$D$7*('Financial Analysis'!L$7-'Financial Analysis'!L$8)+Revenue!$E$7*'Financial Analysis'!L$8,0)</f>
        <v>0</v>
      </c>
      <c r="M106" s="69">
        <f>IF(Dashboard!$C$41=Lists!$B$4,Revenue!$C$7*('Financial Analysis'!M$6-'Financial Analysis'!M$7)+Revenue!$D$7*('Financial Analysis'!M$7-'Financial Analysis'!M$8)+Revenue!$E$7*'Financial Analysis'!M$8,0)</f>
        <v>0</v>
      </c>
      <c r="N106" s="69">
        <f>IF(Dashboard!$C$41=Lists!$B$4,Revenue!$C$7*('Financial Analysis'!N$6-'Financial Analysis'!N$7)+Revenue!$D$7*('Financial Analysis'!N$7-'Financial Analysis'!N$8)+Revenue!$E$7*'Financial Analysis'!N$8,0)</f>
        <v>0</v>
      </c>
      <c r="O106" s="69">
        <f>IF(Dashboard!$C$41=Lists!$B$4,Revenue!$C$7*('Financial Analysis'!O$6-'Financial Analysis'!O$7)+Revenue!$D$7*('Financial Analysis'!O$7-'Financial Analysis'!O$8)+Revenue!$E$7*'Financial Analysis'!O$8,0)</f>
        <v>0</v>
      </c>
      <c r="P106" s="69">
        <f>IF(Dashboard!$C$41=Lists!$B$4,Revenue!$C$7*('Financial Analysis'!P$6-'Financial Analysis'!P$7)+Revenue!$D$7*('Financial Analysis'!P$7-'Financial Analysis'!P$8)+Revenue!$E$7*'Financial Analysis'!P$8,0)</f>
        <v>0</v>
      </c>
      <c r="Q106" s="69">
        <f>IF(Dashboard!$C$41=Lists!$B$4,Revenue!$C$7*('Financial Analysis'!Q$6-'Financial Analysis'!Q$7)+Revenue!$D$7*('Financial Analysis'!Q$7-'Financial Analysis'!Q$8)+Revenue!$E$7*'Financial Analysis'!Q$8,0)</f>
        <v>0</v>
      </c>
      <c r="R106" s="69">
        <f>IF(Dashboard!$C$41=Lists!$B$4,Revenue!$C$7*('Financial Analysis'!R$6-'Financial Analysis'!R$7)+Revenue!$D$7*('Financial Analysis'!R$7-'Financial Analysis'!R$8)+Revenue!$E$7*'Financial Analysis'!R$8,0)</f>
        <v>0</v>
      </c>
      <c r="S106" s="69">
        <f>IF(Dashboard!$C$41=Lists!$B$4,Revenue!$C$7*('Financial Analysis'!S$6-'Financial Analysis'!S$7)+Revenue!$D$7*('Financial Analysis'!S$7-'Financial Analysis'!S$8)+Revenue!$E$7*'Financial Analysis'!S$8,0)</f>
        <v>0</v>
      </c>
      <c r="T106" s="69">
        <f>IF(Dashboard!$C$41=Lists!$B$4,Revenue!$C$7*('Financial Analysis'!T$6-'Financial Analysis'!T$7)+Revenue!$D$7*('Financial Analysis'!T$7-'Financial Analysis'!T$8)+Revenue!$E$7*'Financial Analysis'!T$8,0)</f>
        <v>0</v>
      </c>
      <c r="U106" s="69">
        <f>IF(Dashboard!$C$41=Lists!$B$4,Revenue!$C$7*('Financial Analysis'!U$6-'Financial Analysis'!U$7)+Revenue!$D$7*('Financial Analysis'!U$7-'Financial Analysis'!U$8)+Revenue!$E$7*'Financial Analysis'!U$8,0)</f>
        <v>0</v>
      </c>
      <c r="V106" s="69">
        <f>IF(Dashboard!$C$41=Lists!$B$4,Revenue!$C$7*('Financial Analysis'!V$6-'Financial Analysis'!V$7)+Revenue!$D$7*('Financial Analysis'!V$7-'Financial Analysis'!V$8)+Revenue!$E$7*'Financial Analysis'!V$8,0)</f>
        <v>0</v>
      </c>
      <c r="W106" s="69">
        <f>IF(Dashboard!$C$41=Lists!$B$4,Revenue!$C$7*('Financial Analysis'!W$6-'Financial Analysis'!W$7)+Revenue!$D$7*('Financial Analysis'!W$7-'Financial Analysis'!W$8)+Revenue!$E$7*'Financial Analysis'!W$8,0)</f>
        <v>0</v>
      </c>
      <c r="X106" s="69">
        <f>IF(Dashboard!$C$41=Lists!$B$4,Revenue!$C$7*('Financial Analysis'!X$6-'Financial Analysis'!X$7)+Revenue!$D$7*('Financial Analysis'!X$7-'Financial Analysis'!X$8)+Revenue!$E$7*'Financial Analysis'!X$8,0)</f>
        <v>0</v>
      </c>
      <c r="Y106" s="69">
        <f>IF(Dashboard!$C$41=Lists!$B$4,Revenue!$C$7*('Financial Analysis'!Y$6-'Financial Analysis'!Y$7)+Revenue!$D$7*('Financial Analysis'!Y$7-'Financial Analysis'!Y$8)+Revenue!$E$7*'Financial Analysis'!Y$8,0)</f>
        <v>0</v>
      </c>
      <c r="Z106" s="69">
        <f>IF(Dashboard!$C$41=Lists!$B$4,Revenue!$C$7*('Financial Analysis'!Z$6-'Financial Analysis'!Z$7)+Revenue!$D$7*('Financial Analysis'!Z$7-'Financial Analysis'!Z$8)+Revenue!$E$7*'Financial Analysis'!Z$8,0)</f>
        <v>0</v>
      </c>
      <c r="AA106" s="69">
        <f>IF(Dashboard!$C$41=Lists!$B$4,Revenue!$C$7*('Financial Analysis'!AA$6-'Financial Analysis'!AA$7)+Revenue!$D$7*('Financial Analysis'!AA$7-'Financial Analysis'!AA$8)+Revenue!$E$7*'Financial Analysis'!AA$8,0)</f>
        <v>0</v>
      </c>
      <c r="AB106" s="69">
        <f>IF(Dashboard!$C$41=Lists!$B$4,Revenue!$C$7*('Financial Analysis'!AB$6-'Financial Analysis'!AB$7)+Revenue!$D$7*('Financial Analysis'!AB$7-'Financial Analysis'!AB$8)+Revenue!$E$7*'Financial Analysis'!AB$8,0)</f>
        <v>0</v>
      </c>
      <c r="AC106" s="69">
        <f>IF(Dashboard!$C$41=Lists!$B$4,Revenue!$C$7*('Financial Analysis'!AC$6-'Financial Analysis'!AC$7)+Revenue!$D$7*('Financial Analysis'!AC$7-'Financial Analysis'!AC$8)+Revenue!$E$7*'Financial Analysis'!AC$8,0)</f>
        <v>0</v>
      </c>
      <c r="AD106" s="69">
        <f>IF(Dashboard!$C$41=Lists!$B$4,Revenue!$C$7*('Financial Analysis'!AD$6-'Financial Analysis'!AD$7)+Revenue!$D$7*('Financial Analysis'!AD$7-'Financial Analysis'!AD$8)+Revenue!$E$7*'Financial Analysis'!AD$8,0)</f>
        <v>0</v>
      </c>
      <c r="AE106" s="69">
        <f>IF(Dashboard!$C$41=Lists!$B$4,Revenue!$C$7*('Financial Analysis'!AE$6-'Financial Analysis'!AE$7)+Revenue!$D$7*('Financial Analysis'!AE$7-'Financial Analysis'!AE$8)+Revenue!$E$7*'Financial Analysis'!AE$8,0)</f>
        <v>0</v>
      </c>
      <c r="AF106" s="69">
        <f>IF(Dashboard!$C$41=Lists!$B$4,Revenue!$C$7*('Financial Analysis'!AF$6-'Financial Analysis'!AF$7)+Revenue!$D$7*('Financial Analysis'!AF$7-'Financial Analysis'!AF$8)+Revenue!$E$7*'Financial Analysis'!AF$8,0)</f>
        <v>0</v>
      </c>
      <c r="AG106" s="69">
        <f>IF(Dashboard!$C$41=Lists!$B$4,Revenue!$C$7*('Financial Analysis'!AG$6-'Financial Analysis'!AG$7)+Revenue!$D$7*('Financial Analysis'!AG$7-'Financial Analysis'!AG$8)+Revenue!$E$7*'Financial Analysis'!AG$8,0)</f>
        <v>0</v>
      </c>
      <c r="AH106" s="69">
        <f>IF(Dashboard!$C$41=Lists!$B$4,Revenue!$C$7*('Financial Analysis'!AH$6-'Financial Analysis'!AH$7)+Revenue!$D$7*('Financial Analysis'!AH$7-'Financial Analysis'!AH$8)+Revenue!$E$7*'Financial Analysis'!AH$8,0)</f>
        <v>0</v>
      </c>
      <c r="AI106" s="69">
        <f>IF(Dashboard!$C$41=Lists!$B$4,Revenue!$C$7*('Financial Analysis'!AI$6-'Financial Analysis'!AI$7)+Revenue!$D$7*('Financial Analysis'!AI$7-'Financial Analysis'!AI$8)+Revenue!$E$7*'Financial Analysis'!AI$8,0)</f>
        <v>0</v>
      </c>
      <c r="AJ106" s="69">
        <f>IF(Dashboard!$C$41=Lists!$B$4,Revenue!$C$7*('Financial Analysis'!AJ$6-'Financial Analysis'!AJ$7)+Revenue!$D$7*('Financial Analysis'!AJ$7-'Financial Analysis'!AJ$8)+Revenue!$E$7*'Financial Analysis'!AJ$8,0)</f>
        <v>0</v>
      </c>
      <c r="AK106" s="69">
        <f>IF(Dashboard!$C$41=Lists!$B$4,Revenue!$C$7*('Financial Analysis'!AK$6-'Financial Analysis'!AK$7)+Revenue!$D$7*('Financial Analysis'!AK$7-'Financial Analysis'!AK$8)+Revenue!$E$7*'Financial Analysis'!AK$8,0)</f>
        <v>0</v>
      </c>
      <c r="AL106" s="69">
        <f>IF(Dashboard!$C$41=Lists!$B$4,Revenue!$C$7*('Financial Analysis'!AL$6-'Financial Analysis'!AL$7)+Revenue!$D$7*('Financial Analysis'!AL$7-'Financial Analysis'!AL$8)+Revenue!$E$7*'Financial Analysis'!AL$8,0)</f>
        <v>0</v>
      </c>
      <c r="AM106" s="69">
        <f>IF(Dashboard!$C$41=Lists!$B$4,Revenue!$C$7*('Financial Analysis'!AM$6-'Financial Analysis'!AM$7)+Revenue!$D$7*('Financial Analysis'!AM$7-'Financial Analysis'!AM$8)+Revenue!$E$7*'Financial Analysis'!AM$8,0)</f>
        <v>0</v>
      </c>
      <c r="AN106" s="69">
        <f>IF(Dashboard!$C$41=Lists!$B$4,Revenue!$C$7*('Financial Analysis'!AN$6-'Financial Analysis'!AN$7)+Revenue!$D$7*('Financial Analysis'!AN$7-'Financial Analysis'!AN$8)+Revenue!$E$7*'Financial Analysis'!AN$8,0)</f>
        <v>0</v>
      </c>
      <c r="AO106" s="69">
        <f>IF(Dashboard!$C$41=Lists!$B$4,Revenue!$C$7*('Financial Analysis'!AO$6-'Financial Analysis'!AO$7)+Revenue!$D$7*('Financial Analysis'!AO$7-'Financial Analysis'!AO$8)+Revenue!$E$7*'Financial Analysis'!AO$8,0)</f>
        <v>0</v>
      </c>
      <c r="AP106" s="69">
        <f>IF(Dashboard!$C$41=Lists!$B$4,Revenue!$C$7*('Financial Analysis'!AP$6-'Financial Analysis'!AP$7)+Revenue!$D$7*('Financial Analysis'!AP$7-'Financial Analysis'!AP$8)+Revenue!$E$7*'Financial Analysis'!AP$8,0)</f>
        <v>0</v>
      </c>
      <c r="AQ106" s="69">
        <f>IF(Dashboard!$C$41=Lists!$B$4,Revenue!$C$7*('Financial Analysis'!AQ$6-'Financial Analysis'!AQ$7)+Revenue!$D$7*('Financial Analysis'!AQ$7-'Financial Analysis'!AQ$8)+Revenue!$E$7*'Financial Analysis'!AQ$8,0)</f>
        <v>0</v>
      </c>
      <c r="AR106" s="69">
        <f>IF(Dashboard!$C$41=Lists!$B$4,Revenue!$C$7*('Financial Analysis'!AR$6-'Financial Analysis'!AR$7)+Revenue!$D$7*('Financial Analysis'!AR$7-'Financial Analysis'!AR$8)+Revenue!$E$7*'Financial Analysis'!AR$8,0)</f>
        <v>0</v>
      </c>
      <c r="AS106" s="69">
        <f>IF(Dashboard!$C$41=Lists!$B$4,Revenue!$C$7*('Financial Analysis'!AS$6-'Financial Analysis'!AS$7)+Revenue!$D$7*('Financial Analysis'!AS$7-'Financial Analysis'!AS$8)+Revenue!$E$7*'Financial Analysis'!AS$8,0)</f>
        <v>0</v>
      </c>
      <c r="AT106" s="69">
        <f>IF(Dashboard!$C$41=Lists!$B$4,Revenue!$C$7*('Financial Analysis'!AT$6-'Financial Analysis'!AT$7)+Revenue!$D$7*('Financial Analysis'!AT$7-'Financial Analysis'!AT$8)+Revenue!$E$7*'Financial Analysis'!AT$8,0)</f>
        <v>0</v>
      </c>
      <c r="AU106" s="69">
        <f>IF(Dashboard!$C$41=Lists!$B$4,Revenue!$C$7*('Financial Analysis'!AU$6-'Financial Analysis'!AU$7)+Revenue!$D$7*('Financial Analysis'!AU$7-'Financial Analysis'!AU$8)+Revenue!$E$7*'Financial Analysis'!AU$8,0)</f>
        <v>0</v>
      </c>
      <c r="AV106" s="69">
        <f>IF(Dashboard!$C$41=Lists!$B$4,Revenue!$C$7*('Financial Analysis'!AV$6-'Financial Analysis'!AV$7)+Revenue!$D$7*('Financial Analysis'!AV$7-'Financial Analysis'!AV$8)+Revenue!$E$7*'Financial Analysis'!AV$8,0)</f>
        <v>0</v>
      </c>
      <c r="AW106" s="69">
        <f>IF(Dashboard!$C$41=Lists!$B$4,Revenue!$C$7*('Financial Analysis'!AW$6-'Financial Analysis'!AW$7)+Revenue!$D$7*('Financial Analysis'!AW$7-'Financial Analysis'!AW$8)+Revenue!$E$7*'Financial Analysis'!AW$8,0)</f>
        <v>0</v>
      </c>
      <c r="AX106" s="69">
        <f>IF(Dashboard!$C$41=Lists!$B$4,Revenue!$C$7*('Financial Analysis'!AX$6-'Financial Analysis'!AX$7)+Revenue!$D$7*('Financial Analysis'!AX$7-'Financial Analysis'!AX$8)+Revenue!$E$7*'Financial Analysis'!AX$8,0)</f>
        <v>0</v>
      </c>
      <c r="AY106" s="69">
        <f>IF(Dashboard!$C$41=Lists!$B$4,Revenue!$C$7*('Financial Analysis'!AY$6-'Financial Analysis'!AY$7)+Revenue!$D$7*('Financial Analysis'!AY$7-'Financial Analysis'!AY$8)+Revenue!$E$7*'Financial Analysis'!AY$8,0)</f>
        <v>0</v>
      </c>
      <c r="AZ106" s="69">
        <f>IF(Dashboard!$C$41=Lists!$B$4,Revenue!$C$7*('Financial Analysis'!AZ$6-'Financial Analysis'!AZ$7)+Revenue!$D$7*('Financial Analysis'!AZ$7-'Financial Analysis'!AZ$8)+Revenue!$E$7*'Financial Analysis'!AZ$8,0)</f>
        <v>0</v>
      </c>
      <c r="BA106" s="69">
        <f>IF(Dashboard!$C$41=Lists!$B$4,Revenue!$C$7*('Financial Analysis'!BA$6-'Financial Analysis'!BA$7)+Revenue!$D$7*('Financial Analysis'!BA$7-'Financial Analysis'!BA$8)+Revenue!$E$7*'Financial Analysis'!BA$8,0)</f>
        <v>0</v>
      </c>
      <c r="BB106" s="69">
        <f>IF(Dashboard!$C$41=Lists!$B$4,Revenue!$C$7*('Financial Analysis'!BB$6-'Financial Analysis'!BB$7)+Revenue!$D$7*('Financial Analysis'!BB$7-'Financial Analysis'!BB$8)+Revenue!$E$7*'Financial Analysis'!BB$8,0)</f>
        <v>0</v>
      </c>
      <c r="BC106" s="69">
        <f>IF(Dashboard!$C$41=Lists!$B$4,Revenue!$C$7*('Financial Analysis'!BC$6-'Financial Analysis'!BC$7)+Revenue!$D$7*('Financial Analysis'!BC$7-'Financial Analysis'!BC$8)+Revenue!$E$7*'Financial Analysis'!BC$8,0)</f>
        <v>0</v>
      </c>
      <c r="BD106" s="69">
        <f>IF(Dashboard!$C$41=Lists!$B$4,Revenue!$C$7*('Financial Analysis'!BD$6-'Financial Analysis'!BD$7)+Revenue!$D$7*('Financial Analysis'!BD$7-'Financial Analysis'!BD$8)+Revenue!$E$7*'Financial Analysis'!BD$8,0)</f>
        <v>0</v>
      </c>
      <c r="BE106" s="69">
        <f>IF(Dashboard!$C$41=Lists!$B$4,Revenue!$C$7*('Financial Analysis'!BE$6-'Financial Analysis'!BE$7)+Revenue!$D$7*('Financial Analysis'!BE$7-'Financial Analysis'!BE$8)+Revenue!$E$7*'Financial Analysis'!BE$8,0)</f>
        <v>0</v>
      </c>
      <c r="BF106" s="69">
        <f>IF(Dashboard!$C$41=Lists!$B$4,Revenue!$C$7*('Financial Analysis'!BF$6-'Financial Analysis'!BF$7)+Revenue!$D$7*('Financial Analysis'!BF$7-'Financial Analysis'!BF$8)+Revenue!$E$7*'Financial Analysis'!BF$8,0)</f>
        <v>0</v>
      </c>
      <c r="BG106" s="69">
        <f>IF(Dashboard!$C$41=Lists!$B$4,Revenue!$C$7*('Financial Analysis'!BG$6-'Financial Analysis'!BG$7)+Revenue!$D$7*('Financial Analysis'!BG$7-'Financial Analysis'!BG$8)+Revenue!$E$7*'Financial Analysis'!BG$8,0)</f>
        <v>0</v>
      </c>
      <c r="BH106" s="69">
        <f>IF(Dashboard!$C$41=Lists!$B$4,Revenue!$C$7*('Financial Analysis'!BH$6-'Financial Analysis'!BH$7)+Revenue!$D$7*('Financial Analysis'!BH$7-'Financial Analysis'!BH$8)+Revenue!$E$7*'Financial Analysis'!BH$8,0)</f>
        <v>0</v>
      </c>
      <c r="BI106" s="69">
        <f>IF(Dashboard!$C$41=Lists!$B$4,Revenue!$C$7*('Financial Analysis'!BI$6-'Financial Analysis'!BI$7)+Revenue!$D$7*('Financial Analysis'!BI$7-'Financial Analysis'!BI$8)+Revenue!$E$7*'Financial Analysis'!BI$8,0)</f>
        <v>0</v>
      </c>
      <c r="BJ106" s="69">
        <f>IF(Dashboard!$C$41=Lists!$B$4,Revenue!$C$7*('Financial Analysis'!BJ$6-'Financial Analysis'!BJ$7)+Revenue!$D$7*('Financial Analysis'!BJ$7-'Financial Analysis'!BJ$8)+Revenue!$E$7*'Financial Analysis'!BJ$8,0)</f>
        <v>0</v>
      </c>
      <c r="BK106" s="69">
        <f>IF(Dashboard!$C$41=Lists!$B$4,Revenue!$C$7*('Financial Analysis'!BK$6-'Financial Analysis'!BK$7)+Revenue!$D$7*('Financial Analysis'!BK$7-'Financial Analysis'!BK$8)+Revenue!$E$7*'Financial Analysis'!BK$8,0)</f>
        <v>0</v>
      </c>
      <c r="BL106" s="69">
        <f>IF(Dashboard!$C$41=Lists!$B$4,Revenue!$C$7*('Financial Analysis'!BL$6-'Financial Analysis'!BL$7)+Revenue!$D$7*('Financial Analysis'!BL$7-'Financial Analysis'!BL$8)+Revenue!$E$7*'Financial Analysis'!BL$8,0)</f>
        <v>0</v>
      </c>
    </row>
    <row r="107" spans="2:64">
      <c r="B107" s="218" t="s">
        <v>454</v>
      </c>
      <c r="E107" s="69">
        <f>IF(Dashboard!$C$41=Lists!$B$4,SUM(Revenue!$C$8:$C$10)*('Financial Analysis'!E$6-'Financial Analysis'!E$7)+SUM(Revenue!$D$8:$D$10)*('Financial Analysis'!E$7-'Financial Analysis'!E$8)+SUM(Revenue!$E$8:$E$10)*'Financial Analysis'!E$8,0)</f>
        <v>0</v>
      </c>
      <c r="F107" s="69">
        <f>IF(Dashboard!$C$41=Lists!$B$4,SUM(Revenue!$C$8:$C$10)*('Financial Analysis'!F$6-'Financial Analysis'!F$7)+SUM(Revenue!$D$8:$D$10)*('Financial Analysis'!F$7-'Financial Analysis'!F$8)+SUM(Revenue!$E$8:$E$10)*'Financial Analysis'!F$8,0)</f>
        <v>0</v>
      </c>
      <c r="G107" s="69">
        <f>IF(Dashboard!$C$41=Lists!$B$4,SUM(Revenue!$C$8:$C$10)*('Financial Analysis'!G$6-'Financial Analysis'!G$7)+SUM(Revenue!$D$8:$D$10)*('Financial Analysis'!G$7-'Financial Analysis'!G$8)+SUM(Revenue!$E$8:$E$10)*'Financial Analysis'!G$8,0)</f>
        <v>0</v>
      </c>
      <c r="H107" s="69">
        <f>IF(Dashboard!$C$41=Lists!$B$4,SUM(Revenue!$C$8:$C$10)*('Financial Analysis'!H$6-'Financial Analysis'!H$7)+SUM(Revenue!$D$8:$D$10)*('Financial Analysis'!H$7-'Financial Analysis'!H$8)+SUM(Revenue!$E$8:$E$10)*'Financial Analysis'!H$8,0)</f>
        <v>0</v>
      </c>
      <c r="I107" s="69">
        <f>IF(Dashboard!$C$41=Lists!$B$4,SUM(Revenue!$C$8:$C$10)*('Financial Analysis'!I$6-'Financial Analysis'!I$7)+SUM(Revenue!$D$8:$D$10)*('Financial Analysis'!I$7-'Financial Analysis'!I$8)+SUM(Revenue!$E$8:$E$10)*'Financial Analysis'!I$8,0)</f>
        <v>0</v>
      </c>
      <c r="J107" s="69">
        <f>IF(Dashboard!$C$41=Lists!$B$4,SUM(Revenue!$C$8:$C$10)*('Financial Analysis'!J$6-'Financial Analysis'!J$7)+SUM(Revenue!$D$8:$D$10)*('Financial Analysis'!J$7-'Financial Analysis'!J$8)+SUM(Revenue!$E$8:$E$10)*'Financial Analysis'!J$8,0)</f>
        <v>0</v>
      </c>
      <c r="K107" s="69">
        <f>IF(Dashboard!$C$41=Lists!$B$4,SUM(Revenue!$C$8:$C$10)*('Financial Analysis'!K$6-'Financial Analysis'!K$7)+SUM(Revenue!$D$8:$D$10)*('Financial Analysis'!K$7-'Financial Analysis'!K$8)+SUM(Revenue!$E$8:$E$10)*'Financial Analysis'!K$8,0)</f>
        <v>0</v>
      </c>
      <c r="L107" s="69">
        <f>IF(Dashboard!$C$41=Lists!$B$4,SUM(Revenue!$C$8:$C$10)*('Financial Analysis'!L$6-'Financial Analysis'!L$7)+SUM(Revenue!$D$8:$D$10)*('Financial Analysis'!L$7-'Financial Analysis'!L$8)+SUM(Revenue!$E$8:$E$10)*'Financial Analysis'!L$8,0)</f>
        <v>0</v>
      </c>
      <c r="M107" s="69">
        <f>IF(Dashboard!$C$41=Lists!$B$4,SUM(Revenue!$C$8:$C$10)*('Financial Analysis'!M$6-'Financial Analysis'!M$7)+SUM(Revenue!$D$8:$D$10)*('Financial Analysis'!M$7-'Financial Analysis'!M$8)+SUM(Revenue!$E$8:$E$10)*'Financial Analysis'!M$8,0)</f>
        <v>0</v>
      </c>
      <c r="N107" s="69">
        <f>IF(Dashboard!$C$41=Lists!$B$4,SUM(Revenue!$C$8:$C$10)*('Financial Analysis'!N$6-'Financial Analysis'!N$7)+SUM(Revenue!$D$8:$D$10)*('Financial Analysis'!N$7-'Financial Analysis'!N$8)+SUM(Revenue!$E$8:$E$10)*'Financial Analysis'!N$8,0)</f>
        <v>0</v>
      </c>
      <c r="O107" s="69">
        <f>IF(Dashboard!$C$41=Lists!$B$4,SUM(Revenue!$C$8:$C$10)*('Financial Analysis'!O$6-'Financial Analysis'!O$7)+SUM(Revenue!$D$8:$D$10)*('Financial Analysis'!O$7-'Financial Analysis'!O$8)+SUM(Revenue!$E$8:$E$10)*'Financial Analysis'!O$8,0)</f>
        <v>0</v>
      </c>
      <c r="P107" s="69">
        <f>IF(Dashboard!$C$41=Lists!$B$4,SUM(Revenue!$C$8:$C$10)*('Financial Analysis'!P$6-'Financial Analysis'!P$7)+SUM(Revenue!$D$8:$D$10)*('Financial Analysis'!P$7-'Financial Analysis'!P$8)+SUM(Revenue!$E$8:$E$10)*'Financial Analysis'!P$8,0)</f>
        <v>0</v>
      </c>
      <c r="Q107" s="69">
        <f>IF(Dashboard!$C$41=Lists!$B$4,SUM(Revenue!$C$8:$C$10)*('Financial Analysis'!Q$6-'Financial Analysis'!Q$7)+SUM(Revenue!$D$8:$D$10)*('Financial Analysis'!Q$7-'Financial Analysis'!Q$8)+SUM(Revenue!$E$8:$E$10)*'Financial Analysis'!Q$8,0)</f>
        <v>0</v>
      </c>
      <c r="R107" s="69">
        <f>IF(Dashboard!$C$41=Lists!$B$4,SUM(Revenue!$C$8:$C$10)*('Financial Analysis'!R$6-'Financial Analysis'!R$7)+SUM(Revenue!$D$8:$D$10)*('Financial Analysis'!R$7-'Financial Analysis'!R$8)+SUM(Revenue!$E$8:$E$10)*'Financial Analysis'!R$8,0)</f>
        <v>0</v>
      </c>
      <c r="S107" s="69">
        <f>IF(Dashboard!$C$41=Lists!$B$4,SUM(Revenue!$C$8:$C$10)*('Financial Analysis'!S$6-'Financial Analysis'!S$7)+SUM(Revenue!$D$8:$D$10)*('Financial Analysis'!S$7-'Financial Analysis'!S$8)+SUM(Revenue!$E$8:$E$10)*'Financial Analysis'!S$8,0)</f>
        <v>0</v>
      </c>
      <c r="T107" s="69">
        <f>IF(Dashboard!$C$41=Lists!$B$4,SUM(Revenue!$C$8:$C$10)*('Financial Analysis'!T$6-'Financial Analysis'!T$7)+SUM(Revenue!$D$8:$D$10)*('Financial Analysis'!T$7-'Financial Analysis'!T$8)+SUM(Revenue!$E$8:$E$10)*'Financial Analysis'!T$8,0)</f>
        <v>0</v>
      </c>
      <c r="U107" s="69">
        <f>IF(Dashboard!$C$41=Lists!$B$4,SUM(Revenue!$C$8:$C$10)*('Financial Analysis'!U$6-'Financial Analysis'!U$7)+SUM(Revenue!$D$8:$D$10)*('Financial Analysis'!U$7-'Financial Analysis'!U$8)+SUM(Revenue!$E$8:$E$10)*'Financial Analysis'!U$8,0)</f>
        <v>0</v>
      </c>
      <c r="V107" s="69">
        <f>IF(Dashboard!$C$41=Lists!$B$4,SUM(Revenue!$C$8:$C$10)*('Financial Analysis'!V$6-'Financial Analysis'!V$7)+SUM(Revenue!$D$8:$D$10)*('Financial Analysis'!V$7-'Financial Analysis'!V$8)+SUM(Revenue!$E$8:$E$10)*'Financial Analysis'!V$8,0)</f>
        <v>0</v>
      </c>
      <c r="W107" s="69">
        <f>IF(Dashboard!$C$41=Lists!$B$4,SUM(Revenue!$C$8:$C$10)*('Financial Analysis'!W$6-'Financial Analysis'!W$7)+SUM(Revenue!$D$8:$D$10)*('Financial Analysis'!W$7-'Financial Analysis'!W$8)+SUM(Revenue!$E$8:$E$10)*'Financial Analysis'!W$8,0)</f>
        <v>0</v>
      </c>
      <c r="X107" s="69">
        <f>IF(Dashboard!$C$41=Lists!$B$4,SUM(Revenue!$C$8:$C$10)*('Financial Analysis'!X$6-'Financial Analysis'!X$7)+SUM(Revenue!$D$8:$D$10)*('Financial Analysis'!X$7-'Financial Analysis'!X$8)+SUM(Revenue!$E$8:$E$10)*'Financial Analysis'!X$8,0)</f>
        <v>0</v>
      </c>
      <c r="Y107" s="69">
        <f>IF(Dashboard!$C$41=Lists!$B$4,SUM(Revenue!$C$8:$C$10)*('Financial Analysis'!Y$6-'Financial Analysis'!Y$7)+SUM(Revenue!$D$8:$D$10)*('Financial Analysis'!Y$7-'Financial Analysis'!Y$8)+SUM(Revenue!$E$8:$E$10)*'Financial Analysis'!Y$8,0)</f>
        <v>0</v>
      </c>
      <c r="Z107" s="69">
        <f>IF(Dashboard!$C$41=Lists!$B$4,SUM(Revenue!$C$8:$C$10)*('Financial Analysis'!Z$6-'Financial Analysis'!Z$7)+SUM(Revenue!$D$8:$D$10)*('Financial Analysis'!Z$7-'Financial Analysis'!Z$8)+SUM(Revenue!$E$8:$E$10)*'Financial Analysis'!Z$8,0)</f>
        <v>0</v>
      </c>
      <c r="AA107" s="69">
        <f>IF(Dashboard!$C$41=Lists!$B$4,SUM(Revenue!$C$8:$C$10)*('Financial Analysis'!AA$6-'Financial Analysis'!AA$7)+SUM(Revenue!$D$8:$D$10)*('Financial Analysis'!AA$7-'Financial Analysis'!AA$8)+SUM(Revenue!$E$8:$E$10)*'Financial Analysis'!AA$8,0)</f>
        <v>0</v>
      </c>
      <c r="AB107" s="69">
        <f>IF(Dashboard!$C$41=Lists!$B$4,SUM(Revenue!$C$8:$C$10)*('Financial Analysis'!AB$6-'Financial Analysis'!AB$7)+SUM(Revenue!$D$8:$D$10)*('Financial Analysis'!AB$7-'Financial Analysis'!AB$8)+SUM(Revenue!$E$8:$E$10)*'Financial Analysis'!AB$8,0)</f>
        <v>0</v>
      </c>
      <c r="AC107" s="69">
        <f>IF(Dashboard!$C$41=Lists!$B$4,SUM(Revenue!$C$8:$C$10)*('Financial Analysis'!AC$6-'Financial Analysis'!AC$7)+SUM(Revenue!$D$8:$D$10)*('Financial Analysis'!AC$7-'Financial Analysis'!AC$8)+SUM(Revenue!$E$8:$E$10)*'Financial Analysis'!AC$8,0)</f>
        <v>0</v>
      </c>
      <c r="AD107" s="69">
        <f>IF(Dashboard!$C$41=Lists!$B$4,SUM(Revenue!$C$8:$C$10)*('Financial Analysis'!AD$6-'Financial Analysis'!AD$7)+SUM(Revenue!$D$8:$D$10)*('Financial Analysis'!AD$7-'Financial Analysis'!AD$8)+SUM(Revenue!$E$8:$E$10)*'Financial Analysis'!AD$8,0)</f>
        <v>0</v>
      </c>
      <c r="AE107" s="69">
        <f>IF(Dashboard!$C$41=Lists!$B$4,SUM(Revenue!$C$8:$C$10)*('Financial Analysis'!AE$6-'Financial Analysis'!AE$7)+SUM(Revenue!$D$8:$D$10)*('Financial Analysis'!AE$7-'Financial Analysis'!AE$8)+SUM(Revenue!$E$8:$E$10)*'Financial Analysis'!AE$8,0)</f>
        <v>0</v>
      </c>
      <c r="AF107" s="69">
        <f>IF(Dashboard!$C$41=Lists!$B$4,SUM(Revenue!$C$8:$C$10)*('Financial Analysis'!AF$6-'Financial Analysis'!AF$7)+SUM(Revenue!$D$8:$D$10)*('Financial Analysis'!AF$7-'Financial Analysis'!AF$8)+SUM(Revenue!$E$8:$E$10)*'Financial Analysis'!AF$8,0)</f>
        <v>0</v>
      </c>
      <c r="AG107" s="69">
        <f>IF(Dashboard!$C$41=Lists!$B$4,SUM(Revenue!$C$8:$C$10)*('Financial Analysis'!AG$6-'Financial Analysis'!AG$7)+SUM(Revenue!$D$8:$D$10)*('Financial Analysis'!AG$7-'Financial Analysis'!AG$8)+SUM(Revenue!$E$8:$E$10)*'Financial Analysis'!AG$8,0)</f>
        <v>0</v>
      </c>
      <c r="AH107" s="69">
        <f>IF(Dashboard!$C$41=Lists!$B$4,SUM(Revenue!$C$8:$C$10)*('Financial Analysis'!AH$6-'Financial Analysis'!AH$7)+SUM(Revenue!$D$8:$D$10)*('Financial Analysis'!AH$7-'Financial Analysis'!AH$8)+SUM(Revenue!$E$8:$E$10)*'Financial Analysis'!AH$8,0)</f>
        <v>0</v>
      </c>
      <c r="AI107" s="69">
        <f>IF(Dashboard!$C$41=Lists!$B$4,SUM(Revenue!$C$8:$C$10)*('Financial Analysis'!AI$6-'Financial Analysis'!AI$7)+SUM(Revenue!$D$8:$D$10)*('Financial Analysis'!AI$7-'Financial Analysis'!AI$8)+SUM(Revenue!$E$8:$E$10)*'Financial Analysis'!AI$8,0)</f>
        <v>0</v>
      </c>
      <c r="AJ107" s="69">
        <f>IF(Dashboard!$C$41=Lists!$B$4,SUM(Revenue!$C$8:$C$10)*('Financial Analysis'!AJ$6-'Financial Analysis'!AJ$7)+SUM(Revenue!$D$8:$D$10)*('Financial Analysis'!AJ$7-'Financial Analysis'!AJ$8)+SUM(Revenue!$E$8:$E$10)*'Financial Analysis'!AJ$8,0)</f>
        <v>0</v>
      </c>
      <c r="AK107" s="69">
        <f>IF(Dashboard!$C$41=Lists!$B$4,SUM(Revenue!$C$8:$C$10)*('Financial Analysis'!AK$6-'Financial Analysis'!AK$7)+SUM(Revenue!$D$8:$D$10)*('Financial Analysis'!AK$7-'Financial Analysis'!AK$8)+SUM(Revenue!$E$8:$E$10)*'Financial Analysis'!AK$8,0)</f>
        <v>0</v>
      </c>
      <c r="AL107" s="69">
        <f>IF(Dashboard!$C$41=Lists!$B$4,SUM(Revenue!$C$8:$C$10)*('Financial Analysis'!AL$6-'Financial Analysis'!AL$7)+SUM(Revenue!$D$8:$D$10)*('Financial Analysis'!AL$7-'Financial Analysis'!AL$8)+SUM(Revenue!$E$8:$E$10)*'Financial Analysis'!AL$8,0)</f>
        <v>0</v>
      </c>
      <c r="AM107" s="69">
        <f>IF(Dashboard!$C$41=Lists!$B$4,SUM(Revenue!$C$8:$C$10)*('Financial Analysis'!AM$6-'Financial Analysis'!AM$7)+SUM(Revenue!$D$8:$D$10)*('Financial Analysis'!AM$7-'Financial Analysis'!AM$8)+SUM(Revenue!$E$8:$E$10)*'Financial Analysis'!AM$8,0)</f>
        <v>0</v>
      </c>
      <c r="AN107" s="69">
        <f>IF(Dashboard!$C$41=Lists!$B$4,SUM(Revenue!$C$8:$C$10)*('Financial Analysis'!AN$6-'Financial Analysis'!AN$7)+SUM(Revenue!$D$8:$D$10)*('Financial Analysis'!AN$7-'Financial Analysis'!AN$8)+SUM(Revenue!$E$8:$E$10)*'Financial Analysis'!AN$8,0)</f>
        <v>0</v>
      </c>
      <c r="AO107" s="69">
        <f>IF(Dashboard!$C$41=Lists!$B$4,SUM(Revenue!$C$8:$C$10)*('Financial Analysis'!AO$6-'Financial Analysis'!AO$7)+SUM(Revenue!$D$8:$D$10)*('Financial Analysis'!AO$7-'Financial Analysis'!AO$8)+SUM(Revenue!$E$8:$E$10)*'Financial Analysis'!AO$8,0)</f>
        <v>0</v>
      </c>
      <c r="AP107" s="69">
        <f>IF(Dashboard!$C$41=Lists!$B$4,SUM(Revenue!$C$8:$C$10)*('Financial Analysis'!AP$6-'Financial Analysis'!AP$7)+SUM(Revenue!$D$8:$D$10)*('Financial Analysis'!AP$7-'Financial Analysis'!AP$8)+SUM(Revenue!$E$8:$E$10)*'Financial Analysis'!AP$8,0)</f>
        <v>0</v>
      </c>
      <c r="AQ107" s="69">
        <f>IF(Dashboard!$C$41=Lists!$B$4,SUM(Revenue!$C$8:$C$10)*('Financial Analysis'!AQ$6-'Financial Analysis'!AQ$7)+SUM(Revenue!$D$8:$D$10)*('Financial Analysis'!AQ$7-'Financial Analysis'!AQ$8)+SUM(Revenue!$E$8:$E$10)*'Financial Analysis'!AQ$8,0)</f>
        <v>0</v>
      </c>
      <c r="AR107" s="69">
        <f>IF(Dashboard!$C$41=Lists!$B$4,SUM(Revenue!$C$8:$C$10)*('Financial Analysis'!AR$6-'Financial Analysis'!AR$7)+SUM(Revenue!$D$8:$D$10)*('Financial Analysis'!AR$7-'Financial Analysis'!AR$8)+SUM(Revenue!$E$8:$E$10)*'Financial Analysis'!AR$8,0)</f>
        <v>0</v>
      </c>
      <c r="AS107" s="69">
        <f>IF(Dashboard!$C$41=Lists!$B$4,SUM(Revenue!$C$8:$C$10)*('Financial Analysis'!AS$6-'Financial Analysis'!AS$7)+SUM(Revenue!$D$8:$D$10)*('Financial Analysis'!AS$7-'Financial Analysis'!AS$8)+SUM(Revenue!$E$8:$E$10)*'Financial Analysis'!AS$8,0)</f>
        <v>0</v>
      </c>
      <c r="AT107" s="69">
        <f>IF(Dashboard!$C$41=Lists!$B$4,SUM(Revenue!$C$8:$C$10)*('Financial Analysis'!AT$6-'Financial Analysis'!AT$7)+SUM(Revenue!$D$8:$D$10)*('Financial Analysis'!AT$7-'Financial Analysis'!AT$8)+SUM(Revenue!$E$8:$E$10)*'Financial Analysis'!AT$8,0)</f>
        <v>0</v>
      </c>
      <c r="AU107" s="69">
        <f>IF(Dashboard!$C$41=Lists!$B$4,SUM(Revenue!$C$8:$C$10)*('Financial Analysis'!AU$6-'Financial Analysis'!AU$7)+SUM(Revenue!$D$8:$D$10)*('Financial Analysis'!AU$7-'Financial Analysis'!AU$8)+SUM(Revenue!$E$8:$E$10)*'Financial Analysis'!AU$8,0)</f>
        <v>0</v>
      </c>
      <c r="AV107" s="69">
        <f>IF(Dashboard!$C$41=Lists!$B$4,SUM(Revenue!$C$8:$C$10)*('Financial Analysis'!AV$6-'Financial Analysis'!AV$7)+SUM(Revenue!$D$8:$D$10)*('Financial Analysis'!AV$7-'Financial Analysis'!AV$8)+SUM(Revenue!$E$8:$E$10)*'Financial Analysis'!AV$8,0)</f>
        <v>0</v>
      </c>
      <c r="AW107" s="69">
        <f>IF(Dashboard!$C$41=Lists!$B$4,SUM(Revenue!$C$8:$C$10)*('Financial Analysis'!AW$6-'Financial Analysis'!AW$7)+SUM(Revenue!$D$8:$D$10)*('Financial Analysis'!AW$7-'Financial Analysis'!AW$8)+SUM(Revenue!$E$8:$E$10)*'Financial Analysis'!AW$8,0)</f>
        <v>0</v>
      </c>
      <c r="AX107" s="69">
        <f>IF(Dashboard!$C$41=Lists!$B$4,SUM(Revenue!$C$8:$C$10)*('Financial Analysis'!AX$6-'Financial Analysis'!AX$7)+SUM(Revenue!$D$8:$D$10)*('Financial Analysis'!AX$7-'Financial Analysis'!AX$8)+SUM(Revenue!$E$8:$E$10)*'Financial Analysis'!AX$8,0)</f>
        <v>0</v>
      </c>
      <c r="AY107" s="69">
        <f>IF(Dashboard!$C$41=Lists!$B$4,SUM(Revenue!$C$8:$C$10)*('Financial Analysis'!AY$6-'Financial Analysis'!AY$7)+SUM(Revenue!$D$8:$D$10)*('Financial Analysis'!AY$7-'Financial Analysis'!AY$8)+SUM(Revenue!$E$8:$E$10)*'Financial Analysis'!AY$8,0)</f>
        <v>0</v>
      </c>
      <c r="AZ107" s="69">
        <f>IF(Dashboard!$C$41=Lists!$B$4,SUM(Revenue!$C$8:$C$10)*('Financial Analysis'!AZ$6-'Financial Analysis'!AZ$7)+SUM(Revenue!$D$8:$D$10)*('Financial Analysis'!AZ$7-'Financial Analysis'!AZ$8)+SUM(Revenue!$E$8:$E$10)*'Financial Analysis'!AZ$8,0)</f>
        <v>0</v>
      </c>
      <c r="BA107" s="69">
        <f>IF(Dashboard!$C$41=Lists!$B$4,SUM(Revenue!$C$8:$C$10)*('Financial Analysis'!BA$6-'Financial Analysis'!BA$7)+SUM(Revenue!$D$8:$D$10)*('Financial Analysis'!BA$7-'Financial Analysis'!BA$8)+SUM(Revenue!$E$8:$E$10)*'Financial Analysis'!BA$8,0)</f>
        <v>0</v>
      </c>
      <c r="BB107" s="69">
        <f>IF(Dashboard!$C$41=Lists!$B$4,SUM(Revenue!$C$8:$C$10)*('Financial Analysis'!BB$6-'Financial Analysis'!BB$7)+SUM(Revenue!$D$8:$D$10)*('Financial Analysis'!BB$7-'Financial Analysis'!BB$8)+SUM(Revenue!$E$8:$E$10)*'Financial Analysis'!BB$8,0)</f>
        <v>0</v>
      </c>
      <c r="BC107" s="69">
        <f>IF(Dashboard!$C$41=Lists!$B$4,SUM(Revenue!$C$8:$C$10)*('Financial Analysis'!BC$6-'Financial Analysis'!BC$7)+SUM(Revenue!$D$8:$D$10)*('Financial Analysis'!BC$7-'Financial Analysis'!BC$8)+SUM(Revenue!$E$8:$E$10)*'Financial Analysis'!BC$8,0)</f>
        <v>0</v>
      </c>
      <c r="BD107" s="69">
        <f>IF(Dashboard!$C$41=Lists!$B$4,SUM(Revenue!$C$8:$C$10)*('Financial Analysis'!BD$6-'Financial Analysis'!BD$7)+SUM(Revenue!$D$8:$D$10)*('Financial Analysis'!BD$7-'Financial Analysis'!BD$8)+SUM(Revenue!$E$8:$E$10)*'Financial Analysis'!BD$8,0)</f>
        <v>0</v>
      </c>
      <c r="BE107" s="69">
        <f>IF(Dashboard!$C$41=Lists!$B$4,SUM(Revenue!$C$8:$C$10)*('Financial Analysis'!BE$6-'Financial Analysis'!BE$7)+SUM(Revenue!$D$8:$D$10)*('Financial Analysis'!BE$7-'Financial Analysis'!BE$8)+SUM(Revenue!$E$8:$E$10)*'Financial Analysis'!BE$8,0)</f>
        <v>0</v>
      </c>
      <c r="BF107" s="69">
        <f>IF(Dashboard!$C$41=Lists!$B$4,SUM(Revenue!$C$8:$C$10)*('Financial Analysis'!BF$6-'Financial Analysis'!BF$7)+SUM(Revenue!$D$8:$D$10)*('Financial Analysis'!BF$7-'Financial Analysis'!BF$8)+SUM(Revenue!$E$8:$E$10)*'Financial Analysis'!BF$8,0)</f>
        <v>0</v>
      </c>
      <c r="BG107" s="69">
        <f>IF(Dashboard!$C$41=Lists!$B$4,SUM(Revenue!$C$8:$C$10)*('Financial Analysis'!BG$6-'Financial Analysis'!BG$7)+SUM(Revenue!$D$8:$D$10)*('Financial Analysis'!BG$7-'Financial Analysis'!BG$8)+SUM(Revenue!$E$8:$E$10)*'Financial Analysis'!BG$8,0)</f>
        <v>0</v>
      </c>
      <c r="BH107" s="69">
        <f>IF(Dashboard!$C$41=Lists!$B$4,SUM(Revenue!$C$8:$C$10)*('Financial Analysis'!BH$6-'Financial Analysis'!BH$7)+SUM(Revenue!$D$8:$D$10)*('Financial Analysis'!BH$7-'Financial Analysis'!BH$8)+SUM(Revenue!$E$8:$E$10)*'Financial Analysis'!BH$8,0)</f>
        <v>0</v>
      </c>
      <c r="BI107" s="69">
        <f>IF(Dashboard!$C$41=Lists!$B$4,SUM(Revenue!$C$8:$C$10)*('Financial Analysis'!BI$6-'Financial Analysis'!BI$7)+SUM(Revenue!$D$8:$D$10)*('Financial Analysis'!BI$7-'Financial Analysis'!BI$8)+SUM(Revenue!$E$8:$E$10)*'Financial Analysis'!BI$8,0)</f>
        <v>0</v>
      </c>
      <c r="BJ107" s="69">
        <f>IF(Dashboard!$C$41=Lists!$B$4,SUM(Revenue!$C$8:$C$10)*('Financial Analysis'!BJ$6-'Financial Analysis'!BJ$7)+SUM(Revenue!$D$8:$D$10)*('Financial Analysis'!BJ$7-'Financial Analysis'!BJ$8)+SUM(Revenue!$E$8:$E$10)*'Financial Analysis'!BJ$8,0)</f>
        <v>0</v>
      </c>
      <c r="BK107" s="69">
        <f>IF(Dashboard!$C$41=Lists!$B$4,SUM(Revenue!$C$8:$C$10)*('Financial Analysis'!BK$6-'Financial Analysis'!BK$7)+SUM(Revenue!$D$8:$D$10)*('Financial Analysis'!BK$7-'Financial Analysis'!BK$8)+SUM(Revenue!$E$8:$E$10)*'Financial Analysis'!BK$8,0)</f>
        <v>0</v>
      </c>
      <c r="BL107" s="69">
        <f>IF(Dashboard!$C$41=Lists!$B$4,SUM(Revenue!$C$8:$C$10)*('Financial Analysis'!BL$6-'Financial Analysis'!BL$7)+SUM(Revenue!$D$8:$D$10)*('Financial Analysis'!BL$7-'Financial Analysis'!BL$8)+SUM(Revenue!$E$8:$E$10)*'Financial Analysis'!BL$8,0)</f>
        <v>0</v>
      </c>
    </row>
    <row r="108" spans="2:64">
      <c r="B108" s="146" t="s">
        <v>404</v>
      </c>
      <c r="C108" s="210" t="s">
        <v>455</v>
      </c>
      <c r="E108" s="69">
        <f>Revenue!$C$11*('Financial Analysis'!E$6-'Financial Analysis'!E$7)+Revenue!$D$11*('Financial Analysis'!E$7-'Financial Analysis'!E$8)+Revenue!$E$11*'Financial Analysis'!E$8</f>
        <v>0</v>
      </c>
      <c r="F108" s="69">
        <f>Revenue!$C$11*('Financial Analysis'!F$6-'Financial Analysis'!F$7)+Revenue!$D$11*('Financial Analysis'!F$7-'Financial Analysis'!F$8)+Revenue!$E$11*'Financial Analysis'!F$8</f>
        <v>0</v>
      </c>
      <c r="G108" s="69">
        <f>Revenue!$C$11*('Financial Analysis'!G$6-'Financial Analysis'!G$7)+Revenue!$D$11*('Financial Analysis'!G$7-'Financial Analysis'!G$8)+Revenue!$E$11*'Financial Analysis'!G$8</f>
        <v>0</v>
      </c>
      <c r="H108" s="69">
        <f>Revenue!$C$11*('Financial Analysis'!H$6-'Financial Analysis'!H$7)+Revenue!$D$11*('Financial Analysis'!H$7-'Financial Analysis'!H$8)+Revenue!$E$11*'Financial Analysis'!H$8</f>
        <v>0</v>
      </c>
      <c r="I108" s="69">
        <f>Revenue!$C$11*('Financial Analysis'!I$6-'Financial Analysis'!I$7)+Revenue!$D$11*('Financial Analysis'!I$7-'Financial Analysis'!I$8)+Revenue!$E$11*'Financial Analysis'!I$8</f>
        <v>0</v>
      </c>
      <c r="J108" s="69">
        <f>Revenue!$C$11*('Financial Analysis'!J$6-'Financial Analysis'!J$7)+Revenue!$D$11*('Financial Analysis'!J$7-'Financial Analysis'!J$8)+Revenue!$E$11*'Financial Analysis'!J$8</f>
        <v>0</v>
      </c>
      <c r="K108" s="69">
        <f>Revenue!$C$11*('Financial Analysis'!K$6-'Financial Analysis'!K$7)+Revenue!$D$11*('Financial Analysis'!K$7-'Financial Analysis'!K$8)+Revenue!$E$11*'Financial Analysis'!K$8</f>
        <v>0</v>
      </c>
      <c r="L108" s="69">
        <f>Revenue!$C$11*('Financial Analysis'!L$6-'Financial Analysis'!L$7)+Revenue!$D$11*('Financial Analysis'!L$7-'Financial Analysis'!L$8)+Revenue!$E$11*'Financial Analysis'!L$8</f>
        <v>0</v>
      </c>
      <c r="M108" s="69">
        <f>Revenue!$C$11*('Financial Analysis'!M$6-'Financial Analysis'!M$7)+Revenue!$D$11*('Financial Analysis'!M$7-'Financial Analysis'!M$8)+Revenue!$E$11*'Financial Analysis'!M$8</f>
        <v>0</v>
      </c>
      <c r="N108" s="69">
        <f>Revenue!$C$11*('Financial Analysis'!N$6-'Financial Analysis'!N$7)+Revenue!$D$11*('Financial Analysis'!N$7-'Financial Analysis'!N$8)+Revenue!$E$11*'Financial Analysis'!N$8</f>
        <v>0</v>
      </c>
      <c r="O108" s="69">
        <f>Revenue!$C$11*('Financial Analysis'!O$6-'Financial Analysis'!O$7)+Revenue!$D$11*('Financial Analysis'!O$7-'Financial Analysis'!O$8)+Revenue!$E$11*'Financial Analysis'!O$8</f>
        <v>0</v>
      </c>
      <c r="P108" s="69">
        <f>Revenue!$C$11*('Financial Analysis'!P$6-'Financial Analysis'!P$7)+Revenue!$D$11*('Financial Analysis'!P$7-'Financial Analysis'!P$8)+Revenue!$E$11*'Financial Analysis'!P$8</f>
        <v>0</v>
      </c>
      <c r="Q108" s="69">
        <f>Revenue!$C$11*('Financial Analysis'!Q$6-'Financial Analysis'!Q$7)+Revenue!$D$11*('Financial Analysis'!Q$7-'Financial Analysis'!Q$8)+Revenue!$E$11*'Financial Analysis'!Q$8</f>
        <v>0</v>
      </c>
      <c r="R108" s="69">
        <f>Revenue!$C$11*('Financial Analysis'!R$6-'Financial Analysis'!R$7)+Revenue!$D$11*('Financial Analysis'!R$7-'Financial Analysis'!R$8)+Revenue!$E$11*'Financial Analysis'!R$8</f>
        <v>0</v>
      </c>
      <c r="S108" s="69">
        <f>Revenue!$C$11*('Financial Analysis'!S$6-'Financial Analysis'!S$7)+Revenue!$D$11*('Financial Analysis'!S$7-'Financial Analysis'!S$8)+Revenue!$E$11*'Financial Analysis'!S$8</f>
        <v>0</v>
      </c>
      <c r="T108" s="69">
        <f>Revenue!$C$11*('Financial Analysis'!T$6-'Financial Analysis'!T$7)+Revenue!$D$11*('Financial Analysis'!T$7-'Financial Analysis'!T$8)+Revenue!$E$11*'Financial Analysis'!T$8</f>
        <v>0</v>
      </c>
      <c r="U108" s="69">
        <f>Revenue!$C$11*('Financial Analysis'!U$6-'Financial Analysis'!U$7)+Revenue!$D$11*('Financial Analysis'!U$7-'Financial Analysis'!U$8)+Revenue!$E$11*'Financial Analysis'!U$8</f>
        <v>0</v>
      </c>
      <c r="V108" s="69">
        <f>Revenue!$C$11*('Financial Analysis'!V$6-'Financial Analysis'!V$7)+Revenue!$D$11*('Financial Analysis'!V$7-'Financial Analysis'!V$8)+Revenue!$E$11*'Financial Analysis'!V$8</f>
        <v>0</v>
      </c>
      <c r="W108" s="69">
        <f>Revenue!$C$11*('Financial Analysis'!W$6-'Financial Analysis'!W$7)+Revenue!$D$11*('Financial Analysis'!W$7-'Financial Analysis'!W$8)+Revenue!$E$11*'Financial Analysis'!W$8</f>
        <v>0</v>
      </c>
      <c r="X108" s="69">
        <f>Revenue!$C$11*('Financial Analysis'!X$6-'Financial Analysis'!X$7)+Revenue!$D$11*('Financial Analysis'!X$7-'Financial Analysis'!X$8)+Revenue!$E$11*'Financial Analysis'!X$8</f>
        <v>0</v>
      </c>
      <c r="Y108" s="69">
        <f>Revenue!$C$11*('Financial Analysis'!Y$6-'Financial Analysis'!Y$7)+Revenue!$D$11*('Financial Analysis'!Y$7-'Financial Analysis'!Y$8)+Revenue!$E$11*'Financial Analysis'!Y$8</f>
        <v>0</v>
      </c>
      <c r="Z108" s="69">
        <f>Revenue!$C$11*('Financial Analysis'!Z$6-'Financial Analysis'!Z$7)+Revenue!$D$11*('Financial Analysis'!Z$7-'Financial Analysis'!Z$8)+Revenue!$E$11*'Financial Analysis'!Z$8</f>
        <v>0</v>
      </c>
      <c r="AA108" s="69">
        <f>Revenue!$C$11*('Financial Analysis'!AA$6-'Financial Analysis'!AA$7)+Revenue!$D$11*('Financial Analysis'!AA$7-'Financial Analysis'!AA$8)+Revenue!$E$11*'Financial Analysis'!AA$8</f>
        <v>0</v>
      </c>
      <c r="AB108" s="69">
        <f>Revenue!$C$11*('Financial Analysis'!AB$6-'Financial Analysis'!AB$7)+Revenue!$D$11*('Financial Analysis'!AB$7-'Financial Analysis'!AB$8)+Revenue!$E$11*'Financial Analysis'!AB$8</f>
        <v>0</v>
      </c>
      <c r="AC108" s="69">
        <f>Revenue!$C$11*('Financial Analysis'!AC$6-'Financial Analysis'!AC$7)+Revenue!$D$11*('Financial Analysis'!AC$7-'Financial Analysis'!AC$8)+Revenue!$E$11*'Financial Analysis'!AC$8</f>
        <v>0</v>
      </c>
      <c r="AD108" s="69">
        <f>Revenue!$C$11*('Financial Analysis'!AD$6-'Financial Analysis'!AD$7)+Revenue!$D$11*('Financial Analysis'!AD$7-'Financial Analysis'!AD$8)+Revenue!$E$11*'Financial Analysis'!AD$8</f>
        <v>0</v>
      </c>
      <c r="AE108" s="69">
        <f>Revenue!$C$11*('Financial Analysis'!AE$6-'Financial Analysis'!AE$7)+Revenue!$D$11*('Financial Analysis'!AE$7-'Financial Analysis'!AE$8)+Revenue!$E$11*'Financial Analysis'!AE$8</f>
        <v>0</v>
      </c>
      <c r="AF108" s="69">
        <f>Revenue!$C$11*('Financial Analysis'!AF$6-'Financial Analysis'!AF$7)+Revenue!$D$11*('Financial Analysis'!AF$7-'Financial Analysis'!AF$8)+Revenue!$E$11*'Financial Analysis'!AF$8</f>
        <v>0</v>
      </c>
      <c r="AG108" s="69">
        <f>Revenue!$C$11*('Financial Analysis'!AG$6-'Financial Analysis'!AG$7)+Revenue!$D$11*('Financial Analysis'!AG$7-'Financial Analysis'!AG$8)+Revenue!$E$11*'Financial Analysis'!AG$8</f>
        <v>0</v>
      </c>
      <c r="AH108" s="69">
        <f>Revenue!$C$11*('Financial Analysis'!AH$6-'Financial Analysis'!AH$7)+Revenue!$D$11*('Financial Analysis'!AH$7-'Financial Analysis'!AH$8)+Revenue!$E$11*'Financial Analysis'!AH$8</f>
        <v>0</v>
      </c>
      <c r="AI108" s="69">
        <f>Revenue!$C$11*('Financial Analysis'!AI$6-'Financial Analysis'!AI$7)+Revenue!$D$11*('Financial Analysis'!AI$7-'Financial Analysis'!AI$8)+Revenue!$E$11*'Financial Analysis'!AI$8</f>
        <v>0</v>
      </c>
      <c r="AJ108" s="69">
        <f>Revenue!$C$11*('Financial Analysis'!AJ$6-'Financial Analysis'!AJ$7)+Revenue!$D$11*('Financial Analysis'!AJ$7-'Financial Analysis'!AJ$8)+Revenue!$E$11*'Financial Analysis'!AJ$8</f>
        <v>0</v>
      </c>
      <c r="AK108" s="69">
        <f>Revenue!$C$11*('Financial Analysis'!AK$6-'Financial Analysis'!AK$7)+Revenue!$D$11*('Financial Analysis'!AK$7-'Financial Analysis'!AK$8)+Revenue!$E$11*'Financial Analysis'!AK$8</f>
        <v>0</v>
      </c>
      <c r="AL108" s="69">
        <f>Revenue!$C$11*('Financial Analysis'!AL$6-'Financial Analysis'!AL$7)+Revenue!$D$11*('Financial Analysis'!AL$7-'Financial Analysis'!AL$8)+Revenue!$E$11*'Financial Analysis'!AL$8</f>
        <v>0</v>
      </c>
      <c r="AM108" s="69">
        <f>Revenue!$C$11*('Financial Analysis'!AM$6-'Financial Analysis'!AM$7)+Revenue!$D$11*('Financial Analysis'!AM$7-'Financial Analysis'!AM$8)+Revenue!$E$11*'Financial Analysis'!AM$8</f>
        <v>0</v>
      </c>
      <c r="AN108" s="69">
        <f>Revenue!$C$11*('Financial Analysis'!AN$6-'Financial Analysis'!AN$7)+Revenue!$D$11*('Financial Analysis'!AN$7-'Financial Analysis'!AN$8)+Revenue!$E$11*'Financial Analysis'!AN$8</f>
        <v>0</v>
      </c>
      <c r="AO108" s="69">
        <f>Revenue!$C$11*('Financial Analysis'!AO$6-'Financial Analysis'!AO$7)+Revenue!$D$11*('Financial Analysis'!AO$7-'Financial Analysis'!AO$8)+Revenue!$E$11*'Financial Analysis'!AO$8</f>
        <v>0</v>
      </c>
      <c r="AP108" s="69">
        <f>Revenue!$C$11*('Financial Analysis'!AP$6-'Financial Analysis'!AP$7)+Revenue!$D$11*('Financial Analysis'!AP$7-'Financial Analysis'!AP$8)+Revenue!$E$11*'Financial Analysis'!AP$8</f>
        <v>0</v>
      </c>
      <c r="AQ108" s="69">
        <f>Revenue!$C$11*('Financial Analysis'!AQ$6-'Financial Analysis'!AQ$7)+Revenue!$D$11*('Financial Analysis'!AQ$7-'Financial Analysis'!AQ$8)+Revenue!$E$11*'Financial Analysis'!AQ$8</f>
        <v>0</v>
      </c>
      <c r="AR108" s="69">
        <f>Revenue!$C$11*('Financial Analysis'!AR$6-'Financial Analysis'!AR$7)+Revenue!$D$11*('Financial Analysis'!AR$7-'Financial Analysis'!AR$8)+Revenue!$E$11*'Financial Analysis'!AR$8</f>
        <v>0</v>
      </c>
      <c r="AS108" s="69">
        <f>Revenue!$C$11*('Financial Analysis'!AS$6-'Financial Analysis'!AS$7)+Revenue!$D$11*('Financial Analysis'!AS$7-'Financial Analysis'!AS$8)+Revenue!$E$11*'Financial Analysis'!AS$8</f>
        <v>0</v>
      </c>
      <c r="AT108" s="69">
        <f>Revenue!$C$11*('Financial Analysis'!AT$6-'Financial Analysis'!AT$7)+Revenue!$D$11*('Financial Analysis'!AT$7-'Financial Analysis'!AT$8)+Revenue!$E$11*'Financial Analysis'!AT$8</f>
        <v>0</v>
      </c>
      <c r="AU108" s="69">
        <f>Revenue!$C$11*('Financial Analysis'!AU$6-'Financial Analysis'!AU$7)+Revenue!$D$11*('Financial Analysis'!AU$7-'Financial Analysis'!AU$8)+Revenue!$E$11*'Financial Analysis'!AU$8</f>
        <v>0</v>
      </c>
      <c r="AV108" s="69">
        <f>Revenue!$C$11*('Financial Analysis'!AV$6-'Financial Analysis'!AV$7)+Revenue!$D$11*('Financial Analysis'!AV$7-'Financial Analysis'!AV$8)+Revenue!$E$11*'Financial Analysis'!AV$8</f>
        <v>0</v>
      </c>
      <c r="AW108" s="69">
        <f>Revenue!$C$11*('Financial Analysis'!AW$6-'Financial Analysis'!AW$7)+Revenue!$D$11*('Financial Analysis'!AW$7-'Financial Analysis'!AW$8)+Revenue!$E$11*'Financial Analysis'!AW$8</f>
        <v>0</v>
      </c>
      <c r="AX108" s="69">
        <f>Revenue!$C$11*('Financial Analysis'!AX$6-'Financial Analysis'!AX$7)+Revenue!$D$11*('Financial Analysis'!AX$7-'Financial Analysis'!AX$8)+Revenue!$E$11*'Financial Analysis'!AX$8</f>
        <v>0</v>
      </c>
      <c r="AY108" s="69">
        <f>Revenue!$C$11*('Financial Analysis'!AY$6-'Financial Analysis'!AY$7)+Revenue!$D$11*('Financial Analysis'!AY$7-'Financial Analysis'!AY$8)+Revenue!$E$11*'Financial Analysis'!AY$8</f>
        <v>0</v>
      </c>
      <c r="AZ108" s="69">
        <f>Revenue!$C$11*('Financial Analysis'!AZ$6-'Financial Analysis'!AZ$7)+Revenue!$D$11*('Financial Analysis'!AZ$7-'Financial Analysis'!AZ$8)+Revenue!$E$11*'Financial Analysis'!AZ$8</f>
        <v>0</v>
      </c>
      <c r="BA108" s="69">
        <f>Revenue!$C$11*('Financial Analysis'!BA$6-'Financial Analysis'!BA$7)+Revenue!$D$11*('Financial Analysis'!BA$7-'Financial Analysis'!BA$8)+Revenue!$E$11*'Financial Analysis'!BA$8</f>
        <v>0</v>
      </c>
      <c r="BB108" s="69">
        <f>Revenue!$C$11*('Financial Analysis'!BB$6-'Financial Analysis'!BB$7)+Revenue!$D$11*('Financial Analysis'!BB$7-'Financial Analysis'!BB$8)+Revenue!$E$11*'Financial Analysis'!BB$8</f>
        <v>0</v>
      </c>
      <c r="BC108" s="69">
        <f>Revenue!$C$11*('Financial Analysis'!BC$6-'Financial Analysis'!BC$7)+Revenue!$D$11*('Financial Analysis'!BC$7-'Financial Analysis'!BC$8)+Revenue!$E$11*'Financial Analysis'!BC$8</f>
        <v>0</v>
      </c>
      <c r="BD108" s="69">
        <f>Revenue!$C$11*('Financial Analysis'!BD$6-'Financial Analysis'!BD$7)+Revenue!$D$11*('Financial Analysis'!BD$7-'Financial Analysis'!BD$8)+Revenue!$E$11*'Financial Analysis'!BD$8</f>
        <v>0</v>
      </c>
      <c r="BE108" s="69">
        <f>Revenue!$C$11*('Financial Analysis'!BE$6-'Financial Analysis'!BE$7)+Revenue!$D$11*('Financial Analysis'!BE$7-'Financial Analysis'!BE$8)+Revenue!$E$11*'Financial Analysis'!BE$8</f>
        <v>0</v>
      </c>
      <c r="BF108" s="69">
        <f>Revenue!$C$11*('Financial Analysis'!BF$6-'Financial Analysis'!BF$7)+Revenue!$D$11*('Financial Analysis'!BF$7-'Financial Analysis'!BF$8)+Revenue!$E$11*'Financial Analysis'!BF$8</f>
        <v>0</v>
      </c>
      <c r="BG108" s="69">
        <f>Revenue!$C$11*('Financial Analysis'!BG$6-'Financial Analysis'!BG$7)+Revenue!$D$11*('Financial Analysis'!BG$7-'Financial Analysis'!BG$8)+Revenue!$E$11*'Financial Analysis'!BG$8</f>
        <v>0</v>
      </c>
      <c r="BH108" s="69">
        <f>Revenue!$C$11*('Financial Analysis'!BH$6-'Financial Analysis'!BH$7)+Revenue!$D$11*('Financial Analysis'!BH$7-'Financial Analysis'!BH$8)+Revenue!$E$11*'Financial Analysis'!BH$8</f>
        <v>0</v>
      </c>
      <c r="BI108" s="69">
        <f>Revenue!$C$11*('Financial Analysis'!BI$6-'Financial Analysis'!BI$7)+Revenue!$D$11*('Financial Analysis'!BI$7-'Financial Analysis'!BI$8)+Revenue!$E$11*'Financial Analysis'!BI$8</f>
        <v>0</v>
      </c>
      <c r="BJ108" s="69">
        <f>Revenue!$C$11*('Financial Analysis'!BJ$6-'Financial Analysis'!BJ$7)+Revenue!$D$11*('Financial Analysis'!BJ$7-'Financial Analysis'!BJ$8)+Revenue!$E$11*'Financial Analysis'!BJ$8</f>
        <v>0</v>
      </c>
      <c r="BK108" s="69">
        <f>Revenue!$C$11*('Financial Analysis'!BK$6-'Financial Analysis'!BK$7)+Revenue!$D$11*('Financial Analysis'!BK$7-'Financial Analysis'!BK$8)+Revenue!$E$11*'Financial Analysis'!BK$8</f>
        <v>0</v>
      </c>
      <c r="BL108" s="69">
        <f>Revenue!$C$11*('Financial Analysis'!BL$6-'Financial Analysis'!BL$7)+Revenue!$D$11*('Financial Analysis'!BL$7-'Financial Analysis'!BL$8)+Revenue!$E$11*'Financial Analysis'!BL$8</f>
        <v>0</v>
      </c>
    </row>
    <row r="109" spans="2:64">
      <c r="B109" s="219" t="s">
        <v>142</v>
      </c>
    </row>
    <row r="110" spans="2:64">
      <c r="B110" s="220" t="s">
        <v>456</v>
      </c>
      <c r="D110" s="186"/>
      <c r="E110" s="215">
        <f>SUM(E106:E109)</f>
        <v>0</v>
      </c>
      <c r="F110" s="215">
        <f>SUM(F106:F109)</f>
        <v>0</v>
      </c>
      <c r="G110" s="215">
        <f>SUM(G106:G109)</f>
        <v>0</v>
      </c>
      <c r="H110" s="215">
        <f>SUM(H106:H109)</f>
        <v>0</v>
      </c>
      <c r="I110" s="215">
        <f>SUM(I106:I109)</f>
        <v>0</v>
      </c>
      <c r="J110" s="215">
        <f>SUM(J106:J109)</f>
        <v>0</v>
      </c>
      <c r="K110" s="215">
        <f>SUM(K106:K109)</f>
        <v>0</v>
      </c>
      <c r="L110" s="215">
        <f>SUM(L106:L109)</f>
        <v>0</v>
      </c>
      <c r="M110" s="215">
        <f>SUM(M106:M109)</f>
        <v>0</v>
      </c>
      <c r="N110" s="215">
        <f>SUM(N106:N109)</f>
        <v>0</v>
      </c>
      <c r="O110" s="215">
        <f>SUM(O106:O109)</f>
        <v>0</v>
      </c>
      <c r="P110" s="215">
        <f>SUM(P106:P109)</f>
        <v>0</v>
      </c>
      <c r="Q110" s="215">
        <f>SUM(Q106:Q109)</f>
        <v>0</v>
      </c>
      <c r="R110" s="215">
        <f>SUM(R106:R109)</f>
        <v>0</v>
      </c>
      <c r="S110" s="215">
        <f>SUM(S106:S109)</f>
        <v>0</v>
      </c>
      <c r="T110" s="215">
        <f>SUM(T106:T109)</f>
        <v>0</v>
      </c>
      <c r="U110" s="215">
        <f>SUM(U106:U109)</f>
        <v>0</v>
      </c>
      <c r="V110" s="215">
        <f>SUM(V106:V109)</f>
        <v>0</v>
      </c>
      <c r="W110" s="215">
        <f>SUM(W106:W109)</f>
        <v>0</v>
      </c>
      <c r="X110" s="215">
        <f>SUM(X106:X109)</f>
        <v>0</v>
      </c>
      <c r="Y110" s="215">
        <f>SUM(Y106:Y109)</f>
        <v>0</v>
      </c>
      <c r="Z110" s="215">
        <f>SUM(Z106:Z109)</f>
        <v>0</v>
      </c>
      <c r="AA110" s="215">
        <f>SUM(AA106:AA109)</f>
        <v>0</v>
      </c>
      <c r="AB110" s="215">
        <f>SUM(AB106:AB109)</f>
        <v>0</v>
      </c>
      <c r="AC110" s="215">
        <f>SUM(AC106:AC109)</f>
        <v>0</v>
      </c>
      <c r="AD110" s="215">
        <f>SUM(AD106:AD109)</f>
        <v>0</v>
      </c>
      <c r="AE110" s="215">
        <f>SUM(AE106:AE109)</f>
        <v>0</v>
      </c>
      <c r="AF110" s="215">
        <f>SUM(AF106:AF109)</f>
        <v>0</v>
      </c>
      <c r="AG110" s="215">
        <f>SUM(AG106:AG109)</f>
        <v>0</v>
      </c>
      <c r="AH110" s="215">
        <f>SUM(AH106:AH109)</f>
        <v>0</v>
      </c>
      <c r="AI110" s="215">
        <f>SUM(AI106:AI109)</f>
        <v>0</v>
      </c>
      <c r="AJ110" s="215">
        <f>SUM(AJ106:AJ109)</f>
        <v>0</v>
      </c>
      <c r="AK110" s="215">
        <f>SUM(AK106:AK109)</f>
        <v>0</v>
      </c>
      <c r="AL110" s="215">
        <f>SUM(AL106:AL109)</f>
        <v>0</v>
      </c>
      <c r="AM110" s="215">
        <f>SUM(AM106:AM109)</f>
        <v>0</v>
      </c>
      <c r="AN110" s="215">
        <f>SUM(AN106:AN109)</f>
        <v>0</v>
      </c>
      <c r="AO110" s="215">
        <f>SUM(AO106:AO109)</f>
        <v>0</v>
      </c>
      <c r="AP110" s="215">
        <f>SUM(AP106:AP109)</f>
        <v>0</v>
      </c>
      <c r="AQ110" s="215">
        <f>SUM(AQ106:AQ109)</f>
        <v>0</v>
      </c>
      <c r="AR110" s="215">
        <f>SUM(AR106:AR109)</f>
        <v>0</v>
      </c>
      <c r="AS110" s="215">
        <f>SUM(AS106:AS109)</f>
        <v>0</v>
      </c>
      <c r="AT110" s="215">
        <f>SUM(AT106:AT109)</f>
        <v>0</v>
      </c>
      <c r="AU110" s="215">
        <f>SUM(AU106:AU109)</f>
        <v>0</v>
      </c>
      <c r="AV110" s="215">
        <f>SUM(AV106:AV109)</f>
        <v>0</v>
      </c>
      <c r="AW110" s="215">
        <f>SUM(AW106:AW109)</f>
        <v>0</v>
      </c>
      <c r="AX110" s="215">
        <f>SUM(AX106:AX109)</f>
        <v>0</v>
      </c>
      <c r="AY110" s="215">
        <f>SUM(AY106:AY109)</f>
        <v>0</v>
      </c>
      <c r="AZ110" s="215">
        <f>SUM(AZ106:AZ109)</f>
        <v>0</v>
      </c>
      <c r="BA110" s="215">
        <f>SUM(BA106:BA109)</f>
        <v>0</v>
      </c>
      <c r="BB110" s="215">
        <f>SUM(BB106:BB109)</f>
        <v>0</v>
      </c>
      <c r="BC110" s="215">
        <f>SUM(BC106:BC109)</f>
        <v>0</v>
      </c>
      <c r="BD110" s="215">
        <f>SUM(BD106:BD109)</f>
        <v>0</v>
      </c>
      <c r="BE110" s="215">
        <f>SUM(BE106:BE109)</f>
        <v>0</v>
      </c>
      <c r="BF110" s="215">
        <f>SUM(BF106:BF109)</f>
        <v>0</v>
      </c>
      <c r="BG110" s="215">
        <f>SUM(BG106:BG109)</f>
        <v>0</v>
      </c>
      <c r="BH110" s="215">
        <f>SUM(BH106:BH109)</f>
        <v>0</v>
      </c>
      <c r="BI110" s="215">
        <f>SUM(BI106:BI109)</f>
        <v>0</v>
      </c>
      <c r="BJ110" s="215">
        <f>SUM(BJ106:BJ109)</f>
        <v>0</v>
      </c>
      <c r="BK110" s="215">
        <f>SUM(BK106:BK109)</f>
        <v>0</v>
      </c>
      <c r="BL110" s="215">
        <f>SUM(BL106:BL109)</f>
        <v>0</v>
      </c>
    </row>
    <row r="111" spans="2:64">
      <c r="B111" s="220"/>
      <c r="E111" s="69"/>
      <c r="F111" s="69"/>
      <c r="G111" s="69"/>
      <c r="H111" s="69"/>
      <c r="I111" s="69"/>
      <c r="J111" s="69"/>
      <c r="K111" s="69"/>
      <c r="L111" s="69"/>
      <c r="M111" s="69"/>
      <c r="N111" s="69"/>
      <c r="O111" s="69"/>
      <c r="P111" s="69"/>
      <c r="Q111" s="69"/>
      <c r="R111" s="69"/>
      <c r="S111" s="69"/>
      <c r="T111" s="69"/>
      <c r="U111" s="69"/>
      <c r="V111" s="69"/>
      <c r="W111" s="69"/>
      <c r="X111" s="69"/>
      <c r="Y111" s="69"/>
      <c r="Z111" s="69"/>
      <c r="AA111" s="69"/>
      <c r="AB111" s="69"/>
      <c r="AC111" s="69"/>
      <c r="AD111" s="69"/>
      <c r="AE111" s="69"/>
      <c r="AF111" s="69"/>
      <c r="AG111" s="69"/>
      <c r="AH111" s="69"/>
      <c r="AI111" s="69"/>
      <c r="AJ111" s="69"/>
      <c r="AK111" s="69"/>
      <c r="AL111" s="69"/>
      <c r="AM111" s="69"/>
      <c r="AN111" s="69"/>
      <c r="AO111" s="69"/>
      <c r="AP111" s="69"/>
      <c r="AQ111" s="69"/>
      <c r="AR111" s="69"/>
      <c r="AS111" s="69"/>
      <c r="AT111" s="69"/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69"/>
      <c r="BG111" s="69"/>
      <c r="BH111" s="69"/>
      <c r="BI111" s="69"/>
      <c r="BJ111" s="69"/>
      <c r="BK111" s="69"/>
      <c r="BL111" s="69"/>
    </row>
    <row r="113" spans="2:64">
      <c r="B113" s="145" t="s">
        <v>457</v>
      </c>
      <c r="D113" s="203">
        <f>(CAPEX!$G$39*D9+CAPEX!$H$39*D10+CAPEX!$I$39*D11)</f>
        <v>0</v>
      </c>
      <c r="E113" s="203">
        <f>(CAPEX!$G$39*E9+CAPEX!$H$39*E10+CAPEX!$I$39*E11)</f>
        <v>0</v>
      </c>
      <c r="F113" s="203">
        <f>(CAPEX!$G$39*F9+CAPEX!$H$39*F10+CAPEX!$I$39*F11)</f>
        <v>0</v>
      </c>
      <c r="G113" s="203">
        <f>(CAPEX!$G$39*G9+CAPEX!$H$39*G10+CAPEX!$I$39*G11)</f>
        <v>0</v>
      </c>
      <c r="H113" s="203">
        <f>(CAPEX!$G$39*H9+CAPEX!$H$39*H10+CAPEX!$I$39*H11)</f>
        <v>0</v>
      </c>
      <c r="I113" s="203">
        <f>(CAPEX!$G$39*I9+CAPEX!$H$39*I10+CAPEX!$I$39*I11)</f>
        <v>0</v>
      </c>
      <c r="J113" s="203">
        <f>(CAPEX!$G$39*J9+CAPEX!$H$39*J10+CAPEX!$I$39*J11)</f>
        <v>0</v>
      </c>
      <c r="K113" s="203">
        <f>(CAPEX!$G$39*K9+CAPEX!$H$39*K10+CAPEX!$I$39*K11)</f>
        <v>0</v>
      </c>
      <c r="L113" s="203">
        <f>(CAPEX!$G$39*L9+CAPEX!$H$39*L10+CAPEX!$I$39*L11)</f>
        <v>0</v>
      </c>
      <c r="M113" s="203">
        <f>(CAPEX!$G$39*M9+CAPEX!$H$39*M10+CAPEX!$I$39*M11)</f>
        <v>0</v>
      </c>
      <c r="N113" s="203">
        <f>(CAPEX!$G$39*N9+CAPEX!$H$39*N10+CAPEX!$I$39*N11)</f>
        <v>0</v>
      </c>
      <c r="O113" s="203">
        <f>(CAPEX!$G$39*O9+CAPEX!$H$39*O10+CAPEX!$I$39*O11)</f>
        <v>0</v>
      </c>
      <c r="P113" s="203">
        <f>(CAPEX!$G$39*P9+CAPEX!$H$39*P10+CAPEX!$I$39*P11)</f>
        <v>0</v>
      </c>
      <c r="Q113" s="203">
        <f>(CAPEX!$G$39*Q9+CAPEX!$H$39*Q10+CAPEX!$I$39*Q11)</f>
        <v>0</v>
      </c>
      <c r="R113" s="203">
        <f>(CAPEX!$G$39*R9+CAPEX!$H$39*R10+CAPEX!$I$39*R11)</f>
        <v>0</v>
      </c>
      <c r="S113" s="203">
        <f>(CAPEX!$G$39*S9+CAPEX!$H$39*S10+CAPEX!$I$39*S11)</f>
        <v>0</v>
      </c>
      <c r="T113" s="203">
        <f>(CAPEX!$G$39*T9+CAPEX!$H$39*T10+CAPEX!$I$39*T11)</f>
        <v>0</v>
      </c>
      <c r="U113" s="203">
        <f>(CAPEX!$G$39*U9+CAPEX!$H$39*U10+CAPEX!$I$39*U11)</f>
        <v>0</v>
      </c>
      <c r="V113" s="203">
        <f>(CAPEX!$G$39*V9+CAPEX!$H$39*V10+CAPEX!$I$39*V11)</f>
        <v>0</v>
      </c>
      <c r="W113" s="203">
        <f>(CAPEX!$G$39*W9+CAPEX!$H$39*W10+CAPEX!$I$39*W11)</f>
        <v>0</v>
      </c>
      <c r="X113" s="203">
        <f>(CAPEX!$G$39*X9+CAPEX!$H$39*X10+CAPEX!$I$39*X11)</f>
        <v>0</v>
      </c>
      <c r="Y113" s="203">
        <f>(CAPEX!$G$39*Y9+CAPEX!$H$39*Y10+CAPEX!$I$39*Y11)</f>
        <v>0</v>
      </c>
      <c r="Z113" s="203">
        <f>(CAPEX!$G$39*Z9+CAPEX!$H$39*Z10+CAPEX!$I$39*Z11)</f>
        <v>0</v>
      </c>
      <c r="AA113" s="203">
        <f>(CAPEX!$G$39*AA9+CAPEX!$H$39*AA10+CAPEX!$I$39*AA11)</f>
        <v>0</v>
      </c>
      <c r="AB113" s="203">
        <f>(CAPEX!$G$39*AB9+CAPEX!$H$39*AB10+CAPEX!$I$39*AB11)</f>
        <v>0</v>
      </c>
      <c r="AC113" s="203">
        <f>(CAPEX!$G$39*AC9+CAPEX!$H$39*AC10+CAPEX!$I$39*AC11)</f>
        <v>0</v>
      </c>
      <c r="AD113" s="203">
        <f>(CAPEX!$G$39*AD9+CAPEX!$H$39*AD10+CAPEX!$I$39*AD11)</f>
        <v>0</v>
      </c>
      <c r="AE113" s="203">
        <f>(CAPEX!$G$39*AE9+CAPEX!$H$39*AE10+CAPEX!$I$39*AE11)</f>
        <v>0</v>
      </c>
      <c r="AF113" s="203">
        <f>(CAPEX!$G$39*AF9+CAPEX!$H$39*AF10+CAPEX!$I$39*AF11)</f>
        <v>0</v>
      </c>
      <c r="AG113" s="203">
        <f>(CAPEX!$G$39*AG9+CAPEX!$H$39*AG10+CAPEX!$I$39*AG11)</f>
        <v>0</v>
      </c>
      <c r="AH113" s="203">
        <f>(CAPEX!$G$39*AH9+CAPEX!$H$39*AH10+CAPEX!$I$39*AH11)</f>
        <v>0</v>
      </c>
      <c r="AI113" s="203">
        <f>(CAPEX!$G$39*AI9+CAPEX!$H$39*AI10+CAPEX!$I$39*AI11)</f>
        <v>0</v>
      </c>
      <c r="AJ113" s="203">
        <f>(CAPEX!$G$39*AJ9+CAPEX!$H$39*AJ10+CAPEX!$I$39*AJ11)</f>
        <v>0</v>
      </c>
      <c r="AK113" s="203">
        <f>(CAPEX!$G$39*AK9+CAPEX!$H$39*AK10+CAPEX!$I$39*AK11)</f>
        <v>0</v>
      </c>
      <c r="AL113" s="203">
        <f>(CAPEX!$G$39*AL9+CAPEX!$H$39*AL10+CAPEX!$I$39*AL11)</f>
        <v>0</v>
      </c>
      <c r="AM113" s="203">
        <f>(CAPEX!$G$39*AM9+CAPEX!$H$39*AM10+CAPEX!$I$39*AM11)</f>
        <v>0</v>
      </c>
      <c r="AN113" s="203">
        <f>(CAPEX!$G$39*AN9+CAPEX!$H$39*AN10+CAPEX!$I$39*AN11)</f>
        <v>0</v>
      </c>
      <c r="AO113" s="203">
        <f>(CAPEX!$G$39*AO9+CAPEX!$H$39*AO10+CAPEX!$I$39*AO11)</f>
        <v>0</v>
      </c>
      <c r="AP113" s="203">
        <f>(CAPEX!$G$39*AP9+CAPEX!$H$39*AP10+CAPEX!$I$39*AP11)</f>
        <v>0</v>
      </c>
      <c r="AQ113" s="203">
        <f>(CAPEX!$G$39*AQ9+CAPEX!$H$39*AQ10+CAPEX!$I$39*AQ11)</f>
        <v>0</v>
      </c>
      <c r="AR113" s="203">
        <f>(CAPEX!$G$39*AR9+CAPEX!$H$39*AR10+CAPEX!$I$39*AR11)</f>
        <v>0</v>
      </c>
      <c r="AS113" s="203">
        <f>(CAPEX!$G$39*AS9+CAPEX!$H$39*AS10+CAPEX!$I$39*AS11)</f>
        <v>0</v>
      </c>
      <c r="AT113" s="203">
        <f>(CAPEX!$G$39*AT9+CAPEX!$H$39*AT10+CAPEX!$I$39*AT11)</f>
        <v>0</v>
      </c>
      <c r="AU113" s="203">
        <f>(CAPEX!$G$39*AU9+CAPEX!$H$39*AU10+CAPEX!$I$39*AU11)</f>
        <v>0</v>
      </c>
      <c r="AV113" s="203">
        <f>(CAPEX!$G$39*AV9+CAPEX!$H$39*AV10+CAPEX!$I$39*AV11)</f>
        <v>0</v>
      </c>
      <c r="AW113" s="203">
        <f>(CAPEX!$G$39*AW9+CAPEX!$H$39*AW10+CAPEX!$I$39*AW11)</f>
        <v>0</v>
      </c>
      <c r="AX113" s="203">
        <f>(CAPEX!$G$39*AX9+CAPEX!$H$39*AX10+CAPEX!$I$39*AX11)</f>
        <v>0</v>
      </c>
      <c r="AY113" s="203">
        <f>(CAPEX!$G$39*AY9+CAPEX!$H$39*AY10+CAPEX!$I$39*AY11)</f>
        <v>0</v>
      </c>
      <c r="AZ113" s="203">
        <f>(CAPEX!$G$39*AZ9+CAPEX!$H$39*AZ10+CAPEX!$I$39*AZ11)</f>
        <v>0</v>
      </c>
      <c r="BA113" s="203">
        <f>(CAPEX!$G$39*BA9+CAPEX!$H$39*BA10+CAPEX!$I$39*BA11)</f>
        <v>0</v>
      </c>
      <c r="BB113" s="203">
        <f>(CAPEX!$G$39*BB9+CAPEX!$H$39*BB10+CAPEX!$I$39*BB11)</f>
        <v>0</v>
      </c>
      <c r="BC113" s="203">
        <f>(CAPEX!$G$39*BC9+CAPEX!$H$39*BC10+CAPEX!$I$39*BC11)</f>
        <v>0</v>
      </c>
      <c r="BD113" s="203">
        <f>(CAPEX!$G$39*BD9+CAPEX!$H$39*BD10+CAPEX!$I$39*BD11)</f>
        <v>0</v>
      </c>
      <c r="BE113" s="203">
        <f>(CAPEX!$G$39*BE9+CAPEX!$H$39*BE10+CAPEX!$I$39*BE11)</f>
        <v>0</v>
      </c>
      <c r="BF113" s="203">
        <f>(CAPEX!$G$39*BF9+CAPEX!$H$39*BF10+CAPEX!$I$39*BF11)</f>
        <v>0</v>
      </c>
      <c r="BG113" s="203">
        <f>(CAPEX!$G$39*BG9+CAPEX!$H$39*BG10+CAPEX!$I$39*BG11)</f>
        <v>0</v>
      </c>
      <c r="BH113" s="203">
        <f>(CAPEX!$G$39*BH9+CAPEX!$H$39*BH10+CAPEX!$I$39*BH11)</f>
        <v>0</v>
      </c>
      <c r="BI113" s="203">
        <f>(CAPEX!$G$39*BI9+CAPEX!$H$39*BI10+CAPEX!$I$39*BI11)</f>
        <v>0</v>
      </c>
      <c r="BJ113" s="203">
        <f>(CAPEX!$G$39*BJ9+CAPEX!$H$39*BJ10+CAPEX!$I$39*BJ11)</f>
        <v>0</v>
      </c>
      <c r="BK113" s="203">
        <f>(CAPEX!$G$39*BK9+CAPEX!$H$39*BK10+CAPEX!$I$39*BK11)</f>
        <v>0</v>
      </c>
      <c r="BL113" s="203">
        <f>(CAPEX!$G$39*BL9+CAPEX!$H$39*BL10+CAPEX!$I$39*BL11)</f>
        <v>0</v>
      </c>
    </row>
    <row r="116" spans="2:64">
      <c r="B116" s="145" t="s">
        <v>458</v>
      </c>
    </row>
    <row r="117" spans="2:64">
      <c r="B117" s="212" t="s">
        <v>224</v>
      </c>
    </row>
    <row r="118" spans="2:64">
      <c r="B118" s="146" t="s">
        <v>459</v>
      </c>
      <c r="D118" s="69">
        <f>IF(Dashboard!$C$21=Lists!$B$4,CAPEX!$L$41*'Financial Analysis'!D9+(CAPEX!$M$41-CAPEX!$L$41)*'Financial Analysis'!D10+(CAPEX!$N$41-CAPEX!$M$41)*'Financial Analysis'!D11,
CAPEX!$G$41*'Financial Analysis'!D9+(CAPEX!$H$41-CAPEX!$G$41)*'Financial Analysis'!D10+(CAPEX!$I$41-CAPEX!$H$41)*'Financial Analysis'!D11)</f>
        <v>9267897.107294064</v>
      </c>
      <c r="E118" s="69">
        <f>IF(Dashboard!$C$21=Lists!$B$4,CAPEX!$L$41*'Financial Analysis'!E9+(CAPEX!$M$41-CAPEX!$L$41)*'Financial Analysis'!E10+(CAPEX!$N$41-CAPEX!$M$41)*'Financial Analysis'!E11,
CAPEX!$G$41*'Financial Analysis'!E9+(CAPEX!$H$41-CAPEX!$G$41)*'Financial Analysis'!E10+(CAPEX!$I$41-CAPEX!$H$41)*'Financial Analysis'!E11)</f>
        <v>0</v>
      </c>
      <c r="F118" s="69">
        <f>IF(Dashboard!$C$21=Lists!$B$4,CAPEX!$L$41*'Financial Analysis'!F9+(CAPEX!$M$41-CAPEX!$L$41)*'Financial Analysis'!F10+(CAPEX!$N$41-CAPEX!$M$41)*'Financial Analysis'!F11,
CAPEX!$G$41*'Financial Analysis'!F9+(CAPEX!$H$41-CAPEX!$G$41)*'Financial Analysis'!F10+(CAPEX!$I$41-CAPEX!$H$41)*'Financial Analysis'!F11)</f>
        <v>0</v>
      </c>
      <c r="G118" s="69">
        <f>IF(Dashboard!$C$21=Lists!$B$4,CAPEX!$L$41*'Financial Analysis'!G9+(CAPEX!$M$41-CAPEX!$L$41)*'Financial Analysis'!G10+(CAPEX!$N$41-CAPEX!$M$41)*'Financial Analysis'!G11,
CAPEX!$G$41*'Financial Analysis'!G9+(CAPEX!$H$41-CAPEX!$G$41)*'Financial Analysis'!G10+(CAPEX!$I$41-CAPEX!$H$41)*'Financial Analysis'!G11)</f>
        <v>0</v>
      </c>
      <c r="H118" s="69">
        <f>IF(Dashboard!$C$21=Lists!$B$4,CAPEX!$L$41*'Financial Analysis'!H9+(CAPEX!$M$41-CAPEX!$L$41)*'Financial Analysis'!H10+(CAPEX!$N$41-CAPEX!$M$41)*'Financial Analysis'!H11,
CAPEX!$G$41*'Financial Analysis'!H9+(CAPEX!$H$41-CAPEX!$G$41)*'Financial Analysis'!H10+(CAPEX!$I$41-CAPEX!$H$41)*'Financial Analysis'!H11)</f>
        <v>0</v>
      </c>
      <c r="I118" s="69">
        <f>IF(Dashboard!$C$21=Lists!$B$4,CAPEX!$L$41*'Financial Analysis'!I9+(CAPEX!$M$41-CAPEX!$L$41)*'Financial Analysis'!I10+(CAPEX!$N$41-CAPEX!$M$41)*'Financial Analysis'!I11,
CAPEX!$G$41*'Financial Analysis'!I9+(CAPEX!$H$41-CAPEX!$G$41)*'Financial Analysis'!I10+(CAPEX!$I$41-CAPEX!$H$41)*'Financial Analysis'!I11)</f>
        <v>2955888.5831037536</v>
      </c>
      <c r="J118" s="69">
        <f>IF(Dashboard!$C$21=Lists!$B$4,CAPEX!$L$41*'Financial Analysis'!J9+(CAPEX!$M$41-CAPEX!$L$41)*'Financial Analysis'!J10+(CAPEX!$N$41-CAPEX!$M$41)*'Financial Analysis'!J11,
CAPEX!$G$41*'Financial Analysis'!J9+(CAPEX!$H$41-CAPEX!$G$41)*'Financial Analysis'!J10+(CAPEX!$I$41-CAPEX!$H$41)*'Financial Analysis'!J11)</f>
        <v>0</v>
      </c>
      <c r="K118" s="69">
        <f>IF(Dashboard!$C$21=Lists!$B$4,CAPEX!$L$41*'Financial Analysis'!K9+(CAPEX!$M$41-CAPEX!$L$41)*'Financial Analysis'!K10+(CAPEX!$N$41-CAPEX!$M$41)*'Financial Analysis'!K11,
CAPEX!$G$41*'Financial Analysis'!K9+(CAPEX!$H$41-CAPEX!$G$41)*'Financial Analysis'!K10+(CAPEX!$I$41-CAPEX!$H$41)*'Financial Analysis'!K11)</f>
        <v>0</v>
      </c>
      <c r="L118" s="69">
        <f>IF(Dashboard!$C$21=Lists!$B$4,CAPEX!$L$41*'Financial Analysis'!L9+(CAPEX!$M$41-CAPEX!$L$41)*'Financial Analysis'!L10+(CAPEX!$N$41-CAPEX!$M$41)*'Financial Analysis'!L11,
CAPEX!$G$41*'Financial Analysis'!L9+(CAPEX!$H$41-CAPEX!$G$41)*'Financial Analysis'!L10+(CAPEX!$I$41-CAPEX!$H$41)*'Financial Analysis'!L11)</f>
        <v>0</v>
      </c>
      <c r="M118" s="69">
        <f>IF(Dashboard!$C$21=Lists!$B$4,CAPEX!$L$41*'Financial Analysis'!M9+(CAPEX!$M$41-CAPEX!$L$41)*'Financial Analysis'!M10+(CAPEX!$N$41-CAPEX!$M$41)*'Financial Analysis'!M11,
CAPEX!$G$41*'Financial Analysis'!M9+(CAPEX!$H$41-CAPEX!$G$41)*'Financial Analysis'!M10+(CAPEX!$I$41-CAPEX!$H$41)*'Financial Analysis'!M11)</f>
        <v>0</v>
      </c>
      <c r="N118" s="69">
        <f>IF(Dashboard!$C$21=Lists!$B$4,CAPEX!$L$41*'Financial Analysis'!N9+(CAPEX!$M$41-CAPEX!$L$41)*'Financial Analysis'!N10+(CAPEX!$N$41-CAPEX!$M$41)*'Financial Analysis'!N11,
CAPEX!$G$41*'Financial Analysis'!N9+(CAPEX!$H$41-CAPEX!$G$41)*'Financial Analysis'!N10+(CAPEX!$I$41-CAPEX!$H$41)*'Financial Analysis'!N11)</f>
        <v>2772360.9643433932</v>
      </c>
      <c r="O118" s="69">
        <f>IF(Dashboard!$C$21=Lists!$B$4,CAPEX!$L$41*'Financial Analysis'!O9+(CAPEX!$M$41-CAPEX!$L$41)*'Financial Analysis'!O10+(CAPEX!$N$41-CAPEX!$M$41)*'Financial Analysis'!O11,
CAPEX!$G$41*'Financial Analysis'!O9+(CAPEX!$H$41-CAPEX!$G$41)*'Financial Analysis'!O10+(CAPEX!$I$41-CAPEX!$H$41)*'Financial Analysis'!O11)</f>
        <v>0</v>
      </c>
      <c r="P118" s="69">
        <f>IF(Dashboard!$C$21=Lists!$B$4,CAPEX!$L$41*'Financial Analysis'!P9+(CAPEX!$M$41-CAPEX!$L$41)*'Financial Analysis'!P10+(CAPEX!$N$41-CAPEX!$M$41)*'Financial Analysis'!P11,
CAPEX!$G$41*'Financial Analysis'!P9+(CAPEX!$H$41-CAPEX!$G$41)*'Financial Analysis'!P10+(CAPEX!$I$41-CAPEX!$H$41)*'Financial Analysis'!P11)</f>
        <v>0</v>
      </c>
      <c r="Q118" s="69">
        <f>IF(Dashboard!$C$21=Lists!$B$4,CAPEX!$L$41*'Financial Analysis'!Q9+(CAPEX!$M$41-CAPEX!$L$41)*'Financial Analysis'!Q10+(CAPEX!$N$41-CAPEX!$M$41)*'Financial Analysis'!Q11,
CAPEX!$G$41*'Financial Analysis'!Q9+(CAPEX!$H$41-CAPEX!$G$41)*'Financial Analysis'!Q10+(CAPEX!$I$41-CAPEX!$H$41)*'Financial Analysis'!Q11)</f>
        <v>0</v>
      </c>
      <c r="R118" s="69">
        <f>IF(Dashboard!$C$21=Lists!$B$4,CAPEX!$L$41*'Financial Analysis'!R9+(CAPEX!$M$41-CAPEX!$L$41)*'Financial Analysis'!R10+(CAPEX!$N$41-CAPEX!$M$41)*'Financial Analysis'!R11,
CAPEX!$G$41*'Financial Analysis'!R9+(CAPEX!$H$41-CAPEX!$G$41)*'Financial Analysis'!R10+(CAPEX!$I$41-CAPEX!$H$41)*'Financial Analysis'!R11)</f>
        <v>0</v>
      </c>
      <c r="S118" s="69">
        <f>IF(Dashboard!$C$21=Lists!$B$4,CAPEX!$L$41*'Financial Analysis'!S9+(CAPEX!$M$41-CAPEX!$L$41)*'Financial Analysis'!S10+(CAPEX!$N$41-CAPEX!$M$41)*'Financial Analysis'!S11,
CAPEX!$G$41*'Financial Analysis'!S9+(CAPEX!$H$41-CAPEX!$G$41)*'Financial Analysis'!S10+(CAPEX!$I$41-CAPEX!$H$41)*'Financial Analysis'!S11)</f>
        <v>0</v>
      </c>
      <c r="T118" s="69">
        <f>IF(Dashboard!$C$21=Lists!$B$4,CAPEX!$L$41*'Financial Analysis'!T9+(CAPEX!$M$41-CAPEX!$L$41)*'Financial Analysis'!T10+(CAPEX!$N$41-CAPEX!$M$41)*'Financial Analysis'!T11,
CAPEX!$G$41*'Financial Analysis'!T9+(CAPEX!$H$41-CAPEX!$G$41)*'Financial Analysis'!T10+(CAPEX!$I$41-CAPEX!$H$41)*'Financial Analysis'!T11)</f>
        <v>0</v>
      </c>
      <c r="U118" s="69">
        <f>IF(Dashboard!$C$21=Lists!$B$4,CAPEX!$L$41*'Financial Analysis'!U9+(CAPEX!$M$41-CAPEX!$L$41)*'Financial Analysis'!U10+(CAPEX!$N$41-CAPEX!$M$41)*'Financial Analysis'!U11,
CAPEX!$G$41*'Financial Analysis'!U9+(CAPEX!$H$41-CAPEX!$G$41)*'Financial Analysis'!U10+(CAPEX!$I$41-CAPEX!$H$41)*'Financial Analysis'!U11)</f>
        <v>0</v>
      </c>
      <c r="V118" s="69">
        <f>IF(Dashboard!$C$21=Lists!$B$4,CAPEX!$L$41*'Financial Analysis'!V9+(CAPEX!$M$41-CAPEX!$L$41)*'Financial Analysis'!V10+(CAPEX!$N$41-CAPEX!$M$41)*'Financial Analysis'!V11,
CAPEX!$G$41*'Financial Analysis'!V9+(CAPEX!$H$41-CAPEX!$G$41)*'Financial Analysis'!V10+(CAPEX!$I$41-CAPEX!$H$41)*'Financial Analysis'!V11)</f>
        <v>0</v>
      </c>
      <c r="W118" s="69">
        <f>IF(Dashboard!$C$21=Lists!$B$4,CAPEX!$L$41*'Financial Analysis'!W9+(CAPEX!$M$41-CAPEX!$L$41)*'Financial Analysis'!W10+(CAPEX!$N$41-CAPEX!$M$41)*'Financial Analysis'!W11,
CAPEX!$G$41*'Financial Analysis'!W9+(CAPEX!$H$41-CAPEX!$G$41)*'Financial Analysis'!W10+(CAPEX!$I$41-CAPEX!$H$41)*'Financial Analysis'!W11)</f>
        <v>0</v>
      </c>
      <c r="X118" s="69">
        <f>IF(Dashboard!$C$21=Lists!$B$4,CAPEX!$L$41*'Financial Analysis'!X9+(CAPEX!$M$41-CAPEX!$L$41)*'Financial Analysis'!X10+(CAPEX!$N$41-CAPEX!$M$41)*'Financial Analysis'!X11,
CAPEX!$G$41*'Financial Analysis'!X9+(CAPEX!$H$41-CAPEX!$G$41)*'Financial Analysis'!X10+(CAPEX!$I$41-CAPEX!$H$41)*'Financial Analysis'!X11)</f>
        <v>0</v>
      </c>
      <c r="Y118" s="69">
        <f>IF(Dashboard!$C$21=Lists!$B$4,CAPEX!$L$41*'Financial Analysis'!Y9+(CAPEX!$M$41-CAPEX!$L$41)*'Financial Analysis'!Y10+(CAPEX!$N$41-CAPEX!$M$41)*'Financial Analysis'!Y11,
CAPEX!$G$41*'Financial Analysis'!Y9+(CAPEX!$H$41-CAPEX!$G$41)*'Financial Analysis'!Y10+(CAPEX!$I$41-CAPEX!$H$41)*'Financial Analysis'!Y11)</f>
        <v>0</v>
      </c>
      <c r="Z118" s="69">
        <f>IF(Dashboard!$C$21=Lists!$B$4,CAPEX!$L$41*'Financial Analysis'!Z9+(CAPEX!$M$41-CAPEX!$L$41)*'Financial Analysis'!Z10+(CAPEX!$N$41-CAPEX!$M$41)*'Financial Analysis'!Z11,
CAPEX!$G$41*'Financial Analysis'!Z9+(CAPEX!$H$41-CAPEX!$G$41)*'Financial Analysis'!Z10+(CAPEX!$I$41-CAPEX!$H$41)*'Financial Analysis'!Z11)</f>
        <v>0</v>
      </c>
      <c r="AA118" s="69">
        <f>IF(Dashboard!$C$21=Lists!$B$4,CAPEX!$L$41*'Financial Analysis'!AA9+(CAPEX!$M$41-CAPEX!$L$41)*'Financial Analysis'!AA10+(CAPEX!$N$41-CAPEX!$M$41)*'Financial Analysis'!AA11,
CAPEX!$G$41*'Financial Analysis'!AA9+(CAPEX!$H$41-CAPEX!$G$41)*'Financial Analysis'!AA10+(CAPEX!$I$41-CAPEX!$H$41)*'Financial Analysis'!AA11)</f>
        <v>0</v>
      </c>
      <c r="AB118" s="69">
        <f>IF(Dashboard!$C$21=Lists!$B$4,CAPEX!$L$41*'Financial Analysis'!AB9+(CAPEX!$M$41-CAPEX!$L$41)*'Financial Analysis'!AB10+(CAPEX!$N$41-CAPEX!$M$41)*'Financial Analysis'!AB11,
CAPEX!$G$41*'Financial Analysis'!AB9+(CAPEX!$H$41-CAPEX!$G$41)*'Financial Analysis'!AB10+(CAPEX!$I$41-CAPEX!$H$41)*'Financial Analysis'!AB11)</f>
        <v>0</v>
      </c>
      <c r="AC118" s="69">
        <f>IF(Dashboard!$C$21=Lists!$B$4,CAPEX!$L$41*'Financial Analysis'!AC9+(CAPEX!$M$41-CAPEX!$L$41)*'Financial Analysis'!AC10+(CAPEX!$N$41-CAPEX!$M$41)*'Financial Analysis'!AC11,
CAPEX!$G$41*'Financial Analysis'!AC9+(CAPEX!$H$41-CAPEX!$G$41)*'Financial Analysis'!AC10+(CAPEX!$I$41-CAPEX!$H$41)*'Financial Analysis'!AC11)</f>
        <v>0</v>
      </c>
      <c r="AD118" s="69">
        <f>IF(Dashboard!$C$21=Lists!$B$4,CAPEX!$L$41*'Financial Analysis'!AD9+(CAPEX!$M$41-CAPEX!$L$41)*'Financial Analysis'!AD10+(CAPEX!$N$41-CAPEX!$M$41)*'Financial Analysis'!AD11,
CAPEX!$G$41*'Financial Analysis'!AD9+(CAPEX!$H$41-CAPEX!$G$41)*'Financial Analysis'!AD10+(CAPEX!$I$41-CAPEX!$H$41)*'Financial Analysis'!AD11)</f>
        <v>0</v>
      </c>
      <c r="AE118" s="69">
        <f>IF(Dashboard!$C$21=Lists!$B$4,CAPEX!$L$41*'Financial Analysis'!AE9+(CAPEX!$M$41-CAPEX!$L$41)*'Financial Analysis'!AE10+(CAPEX!$N$41-CAPEX!$M$41)*'Financial Analysis'!AE11,
CAPEX!$G$41*'Financial Analysis'!AE9+(CAPEX!$H$41-CAPEX!$G$41)*'Financial Analysis'!AE10+(CAPEX!$I$41-CAPEX!$H$41)*'Financial Analysis'!AE11)</f>
        <v>0</v>
      </c>
      <c r="AF118" s="69">
        <f>IF(Dashboard!$C$21=Lists!$B$4,CAPEX!$L$41*'Financial Analysis'!AF9+(CAPEX!$M$41-CAPEX!$L$41)*'Financial Analysis'!AF10+(CAPEX!$N$41-CAPEX!$M$41)*'Financial Analysis'!AF11,
CAPEX!$G$41*'Financial Analysis'!AF9+(CAPEX!$H$41-CAPEX!$G$41)*'Financial Analysis'!AF10+(CAPEX!$I$41-CAPEX!$H$41)*'Financial Analysis'!AF11)</f>
        <v>0</v>
      </c>
      <c r="AG118" s="69">
        <f>IF(Dashboard!$C$21=Lists!$B$4,CAPEX!$L$41*'Financial Analysis'!AG9+(CAPEX!$M$41-CAPEX!$L$41)*'Financial Analysis'!AG10+(CAPEX!$N$41-CAPEX!$M$41)*'Financial Analysis'!AG11,
CAPEX!$G$41*'Financial Analysis'!AG9+(CAPEX!$H$41-CAPEX!$G$41)*'Financial Analysis'!AG10+(CAPEX!$I$41-CAPEX!$H$41)*'Financial Analysis'!AG11)</f>
        <v>0</v>
      </c>
      <c r="AH118" s="69">
        <f>IF(Dashboard!$C$21=Lists!$B$4,CAPEX!$L$41*'Financial Analysis'!AH9+(CAPEX!$M$41-CAPEX!$L$41)*'Financial Analysis'!AH10+(CAPEX!$N$41-CAPEX!$M$41)*'Financial Analysis'!AH11,
CAPEX!$G$41*'Financial Analysis'!AH9+(CAPEX!$H$41-CAPEX!$G$41)*'Financial Analysis'!AH10+(CAPEX!$I$41-CAPEX!$H$41)*'Financial Analysis'!AH11)</f>
        <v>0</v>
      </c>
      <c r="AI118" s="69">
        <f>IF(Dashboard!$C$21=Lists!$B$4,CAPEX!$L$41*'Financial Analysis'!AI9+(CAPEX!$M$41-CAPEX!$L$41)*'Financial Analysis'!AI10+(CAPEX!$N$41-CAPEX!$M$41)*'Financial Analysis'!AI11,
CAPEX!$G$41*'Financial Analysis'!AI9+(CAPEX!$H$41-CAPEX!$G$41)*'Financial Analysis'!AI10+(CAPEX!$I$41-CAPEX!$H$41)*'Financial Analysis'!AI11)</f>
        <v>0</v>
      </c>
      <c r="AJ118" s="69">
        <f>IF(Dashboard!$C$21=Lists!$B$4,CAPEX!$L$41*'Financial Analysis'!AJ9+(CAPEX!$M$41-CAPEX!$L$41)*'Financial Analysis'!AJ10+(CAPEX!$N$41-CAPEX!$M$41)*'Financial Analysis'!AJ11,
CAPEX!$G$41*'Financial Analysis'!AJ9+(CAPEX!$H$41-CAPEX!$G$41)*'Financial Analysis'!AJ10+(CAPEX!$I$41-CAPEX!$H$41)*'Financial Analysis'!AJ11)</f>
        <v>0</v>
      </c>
      <c r="AK118" s="69">
        <f>IF(Dashboard!$C$21=Lists!$B$4,CAPEX!$L$41*'Financial Analysis'!AK9+(CAPEX!$M$41-CAPEX!$L$41)*'Financial Analysis'!AK10+(CAPEX!$N$41-CAPEX!$M$41)*'Financial Analysis'!AK11,
CAPEX!$G$41*'Financial Analysis'!AK9+(CAPEX!$H$41-CAPEX!$G$41)*'Financial Analysis'!AK10+(CAPEX!$I$41-CAPEX!$H$41)*'Financial Analysis'!AK11)</f>
        <v>0</v>
      </c>
      <c r="AL118" s="69">
        <f>IF(Dashboard!$C$21=Lists!$B$4,CAPEX!$L$41*'Financial Analysis'!AL9+(CAPEX!$M$41-CAPEX!$L$41)*'Financial Analysis'!AL10+(CAPEX!$N$41-CAPEX!$M$41)*'Financial Analysis'!AL11,
CAPEX!$G$41*'Financial Analysis'!AL9+(CAPEX!$H$41-CAPEX!$G$41)*'Financial Analysis'!AL10+(CAPEX!$I$41-CAPEX!$H$41)*'Financial Analysis'!AL11)</f>
        <v>0</v>
      </c>
      <c r="AM118" s="69">
        <f>IF(Dashboard!$C$21=Lists!$B$4,CAPEX!$L$41*'Financial Analysis'!AM9+(CAPEX!$M$41-CAPEX!$L$41)*'Financial Analysis'!AM10+(CAPEX!$N$41-CAPEX!$M$41)*'Financial Analysis'!AM11,
CAPEX!$G$41*'Financial Analysis'!AM9+(CAPEX!$H$41-CAPEX!$G$41)*'Financial Analysis'!AM10+(CAPEX!$I$41-CAPEX!$H$41)*'Financial Analysis'!AM11)</f>
        <v>0</v>
      </c>
      <c r="AN118" s="69">
        <f>IF(Dashboard!$C$21=Lists!$B$4,CAPEX!$L$41*'Financial Analysis'!AN9+(CAPEX!$M$41-CAPEX!$L$41)*'Financial Analysis'!AN10+(CAPEX!$N$41-CAPEX!$M$41)*'Financial Analysis'!AN11,
CAPEX!$G$41*'Financial Analysis'!AN9+(CAPEX!$H$41-CAPEX!$G$41)*'Financial Analysis'!AN10+(CAPEX!$I$41-CAPEX!$H$41)*'Financial Analysis'!AN11)</f>
        <v>0</v>
      </c>
      <c r="AO118" s="69">
        <f>IF(Dashboard!$C$21=Lists!$B$4,CAPEX!$L$41*'Financial Analysis'!AO9+(CAPEX!$M$41-CAPEX!$L$41)*'Financial Analysis'!AO10+(CAPEX!$N$41-CAPEX!$M$41)*'Financial Analysis'!AO11,
CAPEX!$G$41*'Financial Analysis'!AO9+(CAPEX!$H$41-CAPEX!$G$41)*'Financial Analysis'!AO10+(CAPEX!$I$41-CAPEX!$H$41)*'Financial Analysis'!AO11)</f>
        <v>0</v>
      </c>
      <c r="AP118" s="69">
        <f>IF(Dashboard!$C$21=Lists!$B$4,CAPEX!$L$41*'Financial Analysis'!AP9+(CAPEX!$M$41-CAPEX!$L$41)*'Financial Analysis'!AP10+(CAPEX!$N$41-CAPEX!$M$41)*'Financial Analysis'!AP11,
CAPEX!$G$41*'Financial Analysis'!AP9+(CAPEX!$H$41-CAPEX!$G$41)*'Financial Analysis'!AP10+(CAPEX!$I$41-CAPEX!$H$41)*'Financial Analysis'!AP11)</f>
        <v>0</v>
      </c>
      <c r="AQ118" s="69">
        <f>IF(Dashboard!$C$21=Lists!$B$4,CAPEX!$L$41*'Financial Analysis'!AQ9+(CAPEX!$M$41-CAPEX!$L$41)*'Financial Analysis'!AQ10+(CAPEX!$N$41-CAPEX!$M$41)*'Financial Analysis'!AQ11,
CAPEX!$G$41*'Financial Analysis'!AQ9+(CAPEX!$H$41-CAPEX!$G$41)*'Financial Analysis'!AQ10+(CAPEX!$I$41-CAPEX!$H$41)*'Financial Analysis'!AQ11)</f>
        <v>0</v>
      </c>
      <c r="AR118" s="69">
        <f>IF(Dashboard!$C$21=Lists!$B$4,CAPEX!$L$41*'Financial Analysis'!AR9+(CAPEX!$M$41-CAPEX!$L$41)*'Financial Analysis'!AR10+(CAPEX!$N$41-CAPEX!$M$41)*'Financial Analysis'!AR11,
CAPEX!$G$41*'Financial Analysis'!AR9+(CAPEX!$H$41-CAPEX!$G$41)*'Financial Analysis'!AR10+(CAPEX!$I$41-CAPEX!$H$41)*'Financial Analysis'!AR11)</f>
        <v>0</v>
      </c>
      <c r="AS118" s="69">
        <f>IF(Dashboard!$C$21=Lists!$B$4,CAPEX!$L$41*'Financial Analysis'!AS9+(CAPEX!$M$41-CAPEX!$L$41)*'Financial Analysis'!AS10+(CAPEX!$N$41-CAPEX!$M$41)*'Financial Analysis'!AS11,
CAPEX!$G$41*'Financial Analysis'!AS9+(CAPEX!$H$41-CAPEX!$G$41)*'Financial Analysis'!AS10+(CAPEX!$I$41-CAPEX!$H$41)*'Financial Analysis'!AS11)</f>
        <v>0</v>
      </c>
      <c r="AT118" s="69">
        <f>IF(Dashboard!$C$21=Lists!$B$4,CAPEX!$L$41*'Financial Analysis'!AT9+(CAPEX!$M$41-CAPEX!$L$41)*'Financial Analysis'!AT10+(CAPEX!$N$41-CAPEX!$M$41)*'Financial Analysis'!AT11,
CAPEX!$G$41*'Financial Analysis'!AT9+(CAPEX!$H$41-CAPEX!$G$41)*'Financial Analysis'!AT10+(CAPEX!$I$41-CAPEX!$H$41)*'Financial Analysis'!AT11)</f>
        <v>0</v>
      </c>
      <c r="AU118" s="69">
        <f>IF(Dashboard!$C$21=Lists!$B$4,CAPEX!$L$41*'Financial Analysis'!AU9+(CAPEX!$M$41-CAPEX!$L$41)*'Financial Analysis'!AU10+(CAPEX!$N$41-CAPEX!$M$41)*'Financial Analysis'!AU11,
CAPEX!$G$41*'Financial Analysis'!AU9+(CAPEX!$H$41-CAPEX!$G$41)*'Financial Analysis'!AU10+(CAPEX!$I$41-CAPEX!$H$41)*'Financial Analysis'!AU11)</f>
        <v>0</v>
      </c>
      <c r="AV118" s="69">
        <f>IF(Dashboard!$C$21=Lists!$B$4,CAPEX!$L$41*'Financial Analysis'!AV9+(CAPEX!$M$41-CAPEX!$L$41)*'Financial Analysis'!AV10+(CAPEX!$N$41-CAPEX!$M$41)*'Financial Analysis'!AV11,
CAPEX!$G$41*'Financial Analysis'!AV9+(CAPEX!$H$41-CAPEX!$G$41)*'Financial Analysis'!AV10+(CAPEX!$I$41-CAPEX!$H$41)*'Financial Analysis'!AV11)</f>
        <v>0</v>
      </c>
      <c r="AW118" s="69">
        <f>IF(Dashboard!$C$21=Lists!$B$4,CAPEX!$L$41*'Financial Analysis'!AW9+(CAPEX!$M$41-CAPEX!$L$41)*'Financial Analysis'!AW10+(CAPEX!$N$41-CAPEX!$M$41)*'Financial Analysis'!AW11,
CAPEX!$G$41*'Financial Analysis'!AW9+(CAPEX!$H$41-CAPEX!$G$41)*'Financial Analysis'!AW10+(CAPEX!$I$41-CAPEX!$H$41)*'Financial Analysis'!AW11)</f>
        <v>0</v>
      </c>
      <c r="AX118" s="69">
        <f>IF(Dashboard!$C$21=Lists!$B$4,CAPEX!$L$41*'Financial Analysis'!AX9+(CAPEX!$M$41-CAPEX!$L$41)*'Financial Analysis'!AX10+(CAPEX!$N$41-CAPEX!$M$41)*'Financial Analysis'!AX11,
CAPEX!$G$41*'Financial Analysis'!AX9+(CAPEX!$H$41-CAPEX!$G$41)*'Financial Analysis'!AX10+(CAPEX!$I$41-CAPEX!$H$41)*'Financial Analysis'!AX11)</f>
        <v>0</v>
      </c>
      <c r="AY118" s="69">
        <f>IF(Dashboard!$C$21=Lists!$B$4,CAPEX!$L$41*'Financial Analysis'!AY9+(CAPEX!$M$41-CAPEX!$L$41)*'Financial Analysis'!AY10+(CAPEX!$N$41-CAPEX!$M$41)*'Financial Analysis'!AY11,
CAPEX!$G$41*'Financial Analysis'!AY9+(CAPEX!$H$41-CAPEX!$G$41)*'Financial Analysis'!AY10+(CAPEX!$I$41-CAPEX!$H$41)*'Financial Analysis'!AY11)</f>
        <v>0</v>
      </c>
      <c r="AZ118" s="69">
        <f>IF(Dashboard!$C$21=Lists!$B$4,CAPEX!$L$41*'Financial Analysis'!AZ9+(CAPEX!$M$41-CAPEX!$L$41)*'Financial Analysis'!AZ10+(CAPEX!$N$41-CAPEX!$M$41)*'Financial Analysis'!AZ11,
CAPEX!$G$41*'Financial Analysis'!AZ9+(CAPEX!$H$41-CAPEX!$G$41)*'Financial Analysis'!AZ10+(CAPEX!$I$41-CAPEX!$H$41)*'Financial Analysis'!AZ11)</f>
        <v>0</v>
      </c>
      <c r="BA118" s="69">
        <f>IF(Dashboard!$C$21=Lists!$B$4,CAPEX!$L$41*'Financial Analysis'!BA9+(CAPEX!$M$41-CAPEX!$L$41)*'Financial Analysis'!BA10+(CAPEX!$N$41-CAPEX!$M$41)*'Financial Analysis'!BA11,
CAPEX!$G$41*'Financial Analysis'!BA9+(CAPEX!$H$41-CAPEX!$G$41)*'Financial Analysis'!BA10+(CAPEX!$I$41-CAPEX!$H$41)*'Financial Analysis'!BA11)</f>
        <v>0</v>
      </c>
      <c r="BB118" s="69">
        <f>IF(Dashboard!$C$21=Lists!$B$4,CAPEX!$L$41*'Financial Analysis'!BB9+(CAPEX!$M$41-CAPEX!$L$41)*'Financial Analysis'!BB10+(CAPEX!$N$41-CAPEX!$M$41)*'Financial Analysis'!BB11,
CAPEX!$G$41*'Financial Analysis'!BB9+(CAPEX!$H$41-CAPEX!$G$41)*'Financial Analysis'!BB10+(CAPEX!$I$41-CAPEX!$H$41)*'Financial Analysis'!BB11)</f>
        <v>0</v>
      </c>
      <c r="BC118" s="69">
        <f>IF(Dashboard!$C$21=Lists!$B$4,CAPEX!$L$41*'Financial Analysis'!BC9+(CAPEX!$M$41-CAPEX!$L$41)*'Financial Analysis'!BC10+(CAPEX!$N$41-CAPEX!$M$41)*'Financial Analysis'!BC11,
CAPEX!$G$41*'Financial Analysis'!BC9+(CAPEX!$H$41-CAPEX!$G$41)*'Financial Analysis'!BC10+(CAPEX!$I$41-CAPEX!$H$41)*'Financial Analysis'!BC11)</f>
        <v>0</v>
      </c>
      <c r="BD118" s="69">
        <f>IF(Dashboard!$C$21=Lists!$B$4,CAPEX!$L$41*'Financial Analysis'!BD9+(CAPEX!$M$41-CAPEX!$L$41)*'Financial Analysis'!BD10+(CAPEX!$N$41-CAPEX!$M$41)*'Financial Analysis'!BD11,
CAPEX!$G$41*'Financial Analysis'!BD9+(CAPEX!$H$41-CAPEX!$G$41)*'Financial Analysis'!BD10+(CAPEX!$I$41-CAPEX!$H$41)*'Financial Analysis'!BD11)</f>
        <v>0</v>
      </c>
      <c r="BE118" s="69">
        <f>IF(Dashboard!$C$21=Lists!$B$4,CAPEX!$L$41*'Financial Analysis'!BE9+(CAPEX!$M$41-CAPEX!$L$41)*'Financial Analysis'!BE10+(CAPEX!$N$41-CAPEX!$M$41)*'Financial Analysis'!BE11,
CAPEX!$G$41*'Financial Analysis'!BE9+(CAPEX!$H$41-CAPEX!$G$41)*'Financial Analysis'!BE10+(CAPEX!$I$41-CAPEX!$H$41)*'Financial Analysis'!BE11)</f>
        <v>0</v>
      </c>
      <c r="BF118" s="69">
        <f>IF(Dashboard!$C$21=Lists!$B$4,CAPEX!$L$41*'Financial Analysis'!BF9+(CAPEX!$M$41-CAPEX!$L$41)*'Financial Analysis'!BF10+(CAPEX!$N$41-CAPEX!$M$41)*'Financial Analysis'!BF11,
CAPEX!$G$41*'Financial Analysis'!BF9+(CAPEX!$H$41-CAPEX!$G$41)*'Financial Analysis'!BF10+(CAPEX!$I$41-CAPEX!$H$41)*'Financial Analysis'!BF11)</f>
        <v>0</v>
      </c>
      <c r="BG118" s="69">
        <f>IF(Dashboard!$C$21=Lists!$B$4,CAPEX!$L$41*'Financial Analysis'!BG9+(CAPEX!$M$41-CAPEX!$L$41)*'Financial Analysis'!BG10+(CAPEX!$N$41-CAPEX!$M$41)*'Financial Analysis'!BG11,
CAPEX!$G$41*'Financial Analysis'!BG9+(CAPEX!$H$41-CAPEX!$G$41)*'Financial Analysis'!BG10+(CAPEX!$I$41-CAPEX!$H$41)*'Financial Analysis'!BG11)</f>
        <v>0</v>
      </c>
      <c r="BH118" s="69">
        <f>IF(Dashboard!$C$21=Lists!$B$4,CAPEX!$L$41*'Financial Analysis'!BH9+(CAPEX!$M$41-CAPEX!$L$41)*'Financial Analysis'!BH10+(CAPEX!$N$41-CAPEX!$M$41)*'Financial Analysis'!BH11,
CAPEX!$G$41*'Financial Analysis'!BH9+(CAPEX!$H$41-CAPEX!$G$41)*'Financial Analysis'!BH10+(CAPEX!$I$41-CAPEX!$H$41)*'Financial Analysis'!BH11)</f>
        <v>0</v>
      </c>
      <c r="BI118" s="69">
        <f>IF(Dashboard!$C$21=Lists!$B$4,CAPEX!$L$41*'Financial Analysis'!BI9+(CAPEX!$M$41-CAPEX!$L$41)*'Financial Analysis'!BI10+(CAPEX!$N$41-CAPEX!$M$41)*'Financial Analysis'!BI11,
CAPEX!$G$41*'Financial Analysis'!BI9+(CAPEX!$H$41-CAPEX!$G$41)*'Financial Analysis'!BI10+(CAPEX!$I$41-CAPEX!$H$41)*'Financial Analysis'!BI11)</f>
        <v>0</v>
      </c>
      <c r="BJ118" s="69">
        <f>IF(Dashboard!$C$21=Lists!$B$4,CAPEX!$L$41*'Financial Analysis'!BJ9+(CAPEX!$M$41-CAPEX!$L$41)*'Financial Analysis'!BJ10+(CAPEX!$N$41-CAPEX!$M$41)*'Financial Analysis'!BJ11,
CAPEX!$G$41*'Financial Analysis'!BJ9+(CAPEX!$H$41-CAPEX!$G$41)*'Financial Analysis'!BJ10+(CAPEX!$I$41-CAPEX!$H$41)*'Financial Analysis'!BJ11)</f>
        <v>0</v>
      </c>
      <c r="BK118" s="69">
        <f>IF(Dashboard!$C$21=Lists!$B$4,CAPEX!$L$41*'Financial Analysis'!BK9+(CAPEX!$M$41-CAPEX!$L$41)*'Financial Analysis'!BK10+(CAPEX!$N$41-CAPEX!$M$41)*'Financial Analysis'!BK11,
CAPEX!$G$41*'Financial Analysis'!BK9+(CAPEX!$H$41-CAPEX!$G$41)*'Financial Analysis'!BK10+(CAPEX!$I$41-CAPEX!$H$41)*'Financial Analysis'!BK11)</f>
        <v>0</v>
      </c>
      <c r="BL118" s="69">
        <f>IF(Dashboard!$C$21=Lists!$B$4,CAPEX!$L$41*'Financial Analysis'!BL9+(CAPEX!$M$41-CAPEX!$L$41)*'Financial Analysis'!BL10+(CAPEX!$N$41-CAPEX!$M$41)*'Financial Analysis'!BL11,
CAPEX!$G$41*'Financial Analysis'!BL9+(CAPEX!$H$41-CAPEX!$G$41)*'Financial Analysis'!BL10+(CAPEX!$I$41-CAPEX!$H$41)*'Financial Analysis'!BL11)</f>
        <v>0</v>
      </c>
    </row>
    <row r="119" spans="2:64">
      <c r="B119" s="146" t="s">
        <v>460</v>
      </c>
      <c r="D119" s="69">
        <f>IF(Dashboard!$C$21=Lists!$B$4,CAPEX!$L$38*'Financial Analysis'!D9+(CAPEX!$M$38-CAPEX!$L$38)*'Financial Analysis'!D10+(CAPEX!$N$38-CAPEX!$M$38)*'Financial Analysis'!D11,
CAPEX!$G$38*'Financial Analysis'!D9+(CAPEX!$H$38-CAPEX!$G$38)*'Financial Analysis'!D10+(CAPEX!$I$38-CAPEX!$H$38)*'Financial Analysis'!D11)</f>
        <v>9267897.107294064</v>
      </c>
      <c r="E119" s="69">
        <f>IF(Dashboard!$C$21=Lists!$B$4,CAPEX!$L$38*'Financial Analysis'!E9+(CAPEX!$M$38-CAPEX!$L$38)*'Financial Analysis'!E10+(CAPEX!$N$38-CAPEX!$M$38)*'Financial Analysis'!E11,
CAPEX!$G$38*'Financial Analysis'!E9+(CAPEX!$H$38-CAPEX!$G$38)*'Financial Analysis'!E10+(CAPEX!$I$38-CAPEX!$H$38)*'Financial Analysis'!E11)</f>
        <v>0</v>
      </c>
      <c r="F119" s="69">
        <f>IF(Dashboard!$C$21=Lists!$B$4,CAPEX!$L$38*'Financial Analysis'!F9+(CAPEX!$M$38-CAPEX!$L$38)*'Financial Analysis'!F10+(CAPEX!$N$38-CAPEX!$M$38)*'Financial Analysis'!F11,
CAPEX!$G$38*'Financial Analysis'!F9+(CAPEX!$H$38-CAPEX!$G$38)*'Financial Analysis'!F10+(CAPEX!$I$38-CAPEX!$H$38)*'Financial Analysis'!F11)</f>
        <v>0</v>
      </c>
      <c r="G119" s="69">
        <f>IF(Dashboard!$C$21=Lists!$B$4,CAPEX!$L$38*'Financial Analysis'!G9+(CAPEX!$M$38-CAPEX!$L$38)*'Financial Analysis'!G10+(CAPEX!$N$38-CAPEX!$M$38)*'Financial Analysis'!G11,
CAPEX!$G$38*'Financial Analysis'!G9+(CAPEX!$H$38-CAPEX!$G$38)*'Financial Analysis'!G10+(CAPEX!$I$38-CAPEX!$H$38)*'Financial Analysis'!G11)</f>
        <v>0</v>
      </c>
      <c r="H119" s="69">
        <f>IF(Dashboard!$C$21=Lists!$B$4,CAPEX!$L$38*'Financial Analysis'!H9+(CAPEX!$M$38-CAPEX!$L$38)*'Financial Analysis'!H10+(CAPEX!$N$38-CAPEX!$M$38)*'Financial Analysis'!H11,
CAPEX!$G$38*'Financial Analysis'!H9+(CAPEX!$H$38-CAPEX!$G$38)*'Financial Analysis'!H10+(CAPEX!$I$38-CAPEX!$H$38)*'Financial Analysis'!H11)</f>
        <v>0</v>
      </c>
      <c r="I119" s="69">
        <f>IF(Dashboard!$C$21=Lists!$B$4,CAPEX!$L$38*'Financial Analysis'!I9+(CAPEX!$M$38-CAPEX!$L$38)*'Financial Analysis'!I10+(CAPEX!$N$38-CAPEX!$M$38)*'Financial Analysis'!I11,
CAPEX!$G$38*'Financial Analysis'!I9+(CAPEX!$H$38-CAPEX!$G$38)*'Financial Analysis'!I10+(CAPEX!$I$38-CAPEX!$H$38)*'Financial Analysis'!I11)</f>
        <v>2955888.5831037536</v>
      </c>
      <c r="J119" s="69">
        <f>IF(Dashboard!$C$21=Lists!$B$4,CAPEX!$L$38*'Financial Analysis'!J9+(CAPEX!$M$38-CAPEX!$L$38)*'Financial Analysis'!J10+(CAPEX!$N$38-CAPEX!$M$38)*'Financial Analysis'!J11,
CAPEX!$G$38*'Financial Analysis'!J9+(CAPEX!$H$38-CAPEX!$G$38)*'Financial Analysis'!J10+(CAPEX!$I$38-CAPEX!$H$38)*'Financial Analysis'!J11)</f>
        <v>0</v>
      </c>
      <c r="K119" s="69">
        <f>IF(Dashboard!$C$21=Lists!$B$4,CAPEX!$L$38*'Financial Analysis'!K9+(CAPEX!$M$38-CAPEX!$L$38)*'Financial Analysis'!K10+(CAPEX!$N$38-CAPEX!$M$38)*'Financial Analysis'!K11,
CAPEX!$G$38*'Financial Analysis'!K9+(CAPEX!$H$38-CAPEX!$G$38)*'Financial Analysis'!K10+(CAPEX!$I$38-CAPEX!$H$38)*'Financial Analysis'!K11)</f>
        <v>0</v>
      </c>
      <c r="L119" s="69">
        <f>IF(Dashboard!$C$21=Lists!$B$4,CAPEX!$L$38*'Financial Analysis'!L9+(CAPEX!$M$38-CAPEX!$L$38)*'Financial Analysis'!L10+(CAPEX!$N$38-CAPEX!$M$38)*'Financial Analysis'!L11,
CAPEX!$G$38*'Financial Analysis'!L9+(CAPEX!$H$38-CAPEX!$G$38)*'Financial Analysis'!L10+(CAPEX!$I$38-CAPEX!$H$38)*'Financial Analysis'!L11)</f>
        <v>0</v>
      </c>
      <c r="M119" s="69">
        <f>IF(Dashboard!$C$21=Lists!$B$4,CAPEX!$L$38*'Financial Analysis'!M9+(CAPEX!$M$38-CAPEX!$L$38)*'Financial Analysis'!M10+(CAPEX!$N$38-CAPEX!$M$38)*'Financial Analysis'!M11,
CAPEX!$G$38*'Financial Analysis'!M9+(CAPEX!$H$38-CAPEX!$G$38)*'Financial Analysis'!M10+(CAPEX!$I$38-CAPEX!$H$38)*'Financial Analysis'!M11)</f>
        <v>0</v>
      </c>
      <c r="N119" s="69">
        <f>IF(Dashboard!$C$21=Lists!$B$4,CAPEX!$L$38*'Financial Analysis'!N9+(CAPEX!$M$38-CAPEX!$L$38)*'Financial Analysis'!N10+(CAPEX!$N$38-CAPEX!$M$38)*'Financial Analysis'!N11,
CAPEX!$G$38*'Financial Analysis'!N9+(CAPEX!$H$38-CAPEX!$G$38)*'Financial Analysis'!N10+(CAPEX!$I$38-CAPEX!$H$38)*'Financial Analysis'!N11)</f>
        <v>2772360.9643433932</v>
      </c>
      <c r="O119" s="69">
        <f>IF(Dashboard!$C$21=Lists!$B$4,CAPEX!$L$38*'Financial Analysis'!O9+(CAPEX!$M$38-CAPEX!$L$38)*'Financial Analysis'!O10+(CAPEX!$N$38-CAPEX!$M$38)*'Financial Analysis'!O11,
CAPEX!$G$38*'Financial Analysis'!O9+(CAPEX!$H$38-CAPEX!$G$38)*'Financial Analysis'!O10+(CAPEX!$I$38-CAPEX!$H$38)*'Financial Analysis'!O11)</f>
        <v>0</v>
      </c>
      <c r="P119" s="69">
        <f>IF(Dashboard!$C$21=Lists!$B$4,CAPEX!$L$38*'Financial Analysis'!P9+(CAPEX!$M$38-CAPEX!$L$38)*'Financial Analysis'!P10+(CAPEX!$N$38-CAPEX!$M$38)*'Financial Analysis'!P11,
CAPEX!$G$38*'Financial Analysis'!P9+(CAPEX!$H$38-CAPEX!$G$38)*'Financial Analysis'!P10+(CAPEX!$I$38-CAPEX!$H$38)*'Financial Analysis'!P11)</f>
        <v>0</v>
      </c>
      <c r="Q119" s="69">
        <f>IF(Dashboard!$C$21=Lists!$B$4,CAPEX!$L$38*'Financial Analysis'!Q9+(CAPEX!$M$38-CAPEX!$L$38)*'Financial Analysis'!Q10+(CAPEX!$N$38-CAPEX!$M$38)*'Financial Analysis'!Q11,
CAPEX!$G$38*'Financial Analysis'!Q9+(CAPEX!$H$38-CAPEX!$G$38)*'Financial Analysis'!Q10+(CAPEX!$I$38-CAPEX!$H$38)*'Financial Analysis'!Q11)</f>
        <v>0</v>
      </c>
      <c r="R119" s="69">
        <f>IF(Dashboard!$C$21=Lists!$B$4,CAPEX!$L$38*'Financial Analysis'!R9+(CAPEX!$M$38-CAPEX!$L$38)*'Financial Analysis'!R10+(CAPEX!$N$38-CAPEX!$M$38)*'Financial Analysis'!R11,
CAPEX!$G$38*'Financial Analysis'!R9+(CAPEX!$H$38-CAPEX!$G$38)*'Financial Analysis'!R10+(CAPEX!$I$38-CAPEX!$H$38)*'Financial Analysis'!R11)</f>
        <v>0</v>
      </c>
      <c r="S119" s="69">
        <f>IF(Dashboard!$C$21=Lists!$B$4,CAPEX!$L$38*'Financial Analysis'!S9+(CAPEX!$M$38-CAPEX!$L$38)*'Financial Analysis'!S10+(CAPEX!$N$38-CAPEX!$M$38)*'Financial Analysis'!S11,
CAPEX!$G$38*'Financial Analysis'!S9+(CAPEX!$H$38-CAPEX!$G$38)*'Financial Analysis'!S10+(CAPEX!$I$38-CAPEX!$H$38)*'Financial Analysis'!S11)</f>
        <v>0</v>
      </c>
      <c r="T119" s="69">
        <f>IF(Dashboard!$C$21=Lists!$B$4,CAPEX!$L$38*'Financial Analysis'!T9+(CAPEX!$M$38-CAPEX!$L$38)*'Financial Analysis'!T10+(CAPEX!$N$38-CAPEX!$M$38)*'Financial Analysis'!T11,
CAPEX!$G$38*'Financial Analysis'!T9+(CAPEX!$H$38-CAPEX!$G$38)*'Financial Analysis'!T10+(CAPEX!$I$38-CAPEX!$H$38)*'Financial Analysis'!T11)</f>
        <v>0</v>
      </c>
      <c r="U119" s="69">
        <f>IF(Dashboard!$C$21=Lists!$B$4,CAPEX!$L$38*'Financial Analysis'!U9+(CAPEX!$M$38-CAPEX!$L$38)*'Financial Analysis'!U10+(CAPEX!$N$38-CAPEX!$M$38)*'Financial Analysis'!U11,
CAPEX!$G$38*'Financial Analysis'!U9+(CAPEX!$H$38-CAPEX!$G$38)*'Financial Analysis'!U10+(CAPEX!$I$38-CAPEX!$H$38)*'Financial Analysis'!U11)</f>
        <v>0</v>
      </c>
      <c r="V119" s="69">
        <f>IF(Dashboard!$C$21=Lists!$B$4,CAPEX!$L$38*'Financial Analysis'!V9+(CAPEX!$M$38-CAPEX!$L$38)*'Financial Analysis'!V10+(CAPEX!$N$38-CAPEX!$M$38)*'Financial Analysis'!V11,
CAPEX!$G$38*'Financial Analysis'!V9+(CAPEX!$H$38-CAPEX!$G$38)*'Financial Analysis'!V10+(CAPEX!$I$38-CAPEX!$H$38)*'Financial Analysis'!V11)</f>
        <v>0</v>
      </c>
      <c r="W119" s="69">
        <f>IF(Dashboard!$C$21=Lists!$B$4,CAPEX!$L$38*'Financial Analysis'!W9+(CAPEX!$M$38-CAPEX!$L$38)*'Financial Analysis'!W10+(CAPEX!$N$38-CAPEX!$M$38)*'Financial Analysis'!W11,
CAPEX!$G$38*'Financial Analysis'!W9+(CAPEX!$H$38-CAPEX!$G$38)*'Financial Analysis'!W10+(CAPEX!$I$38-CAPEX!$H$38)*'Financial Analysis'!W11)</f>
        <v>0</v>
      </c>
      <c r="X119" s="69">
        <f>IF(Dashboard!$C$21=Lists!$B$4,CAPEX!$L$38*'Financial Analysis'!X9+(CAPEX!$M$38-CAPEX!$L$38)*'Financial Analysis'!X10+(CAPEX!$N$38-CAPEX!$M$38)*'Financial Analysis'!X11,
CAPEX!$G$38*'Financial Analysis'!X9+(CAPEX!$H$38-CAPEX!$G$38)*'Financial Analysis'!X10+(CAPEX!$I$38-CAPEX!$H$38)*'Financial Analysis'!X11)</f>
        <v>0</v>
      </c>
      <c r="Y119" s="69">
        <f>IF(Dashboard!$C$21=Lists!$B$4,CAPEX!$L$38*'Financial Analysis'!Y9+(CAPEX!$M$38-CAPEX!$L$38)*'Financial Analysis'!Y10+(CAPEX!$N$38-CAPEX!$M$38)*'Financial Analysis'!Y11,
CAPEX!$G$38*'Financial Analysis'!Y9+(CAPEX!$H$38-CAPEX!$G$38)*'Financial Analysis'!Y10+(CAPEX!$I$38-CAPEX!$H$38)*'Financial Analysis'!Y11)</f>
        <v>0</v>
      </c>
      <c r="Z119" s="69">
        <f>IF(Dashboard!$C$21=Lists!$B$4,CAPEX!$L$38*'Financial Analysis'!Z9+(CAPEX!$M$38-CAPEX!$L$38)*'Financial Analysis'!Z10+(CAPEX!$N$38-CAPEX!$M$38)*'Financial Analysis'!Z11,
CAPEX!$G$38*'Financial Analysis'!Z9+(CAPEX!$H$38-CAPEX!$G$38)*'Financial Analysis'!Z10+(CAPEX!$I$38-CAPEX!$H$38)*'Financial Analysis'!Z11)</f>
        <v>0</v>
      </c>
      <c r="AA119" s="69">
        <f>IF(Dashboard!$C$21=Lists!$B$4,CAPEX!$L$38*'Financial Analysis'!AA9+(CAPEX!$M$38-CAPEX!$L$38)*'Financial Analysis'!AA10+(CAPEX!$N$38-CAPEX!$M$38)*'Financial Analysis'!AA11,
CAPEX!$G$38*'Financial Analysis'!AA9+(CAPEX!$H$38-CAPEX!$G$38)*'Financial Analysis'!AA10+(CAPEX!$I$38-CAPEX!$H$38)*'Financial Analysis'!AA11)</f>
        <v>0</v>
      </c>
      <c r="AB119" s="69">
        <f>IF(Dashboard!$C$21=Lists!$B$4,CAPEX!$L$38*'Financial Analysis'!AB9+(CAPEX!$M$38-CAPEX!$L$38)*'Financial Analysis'!AB10+(CAPEX!$N$38-CAPEX!$M$38)*'Financial Analysis'!AB11,
CAPEX!$G$38*'Financial Analysis'!AB9+(CAPEX!$H$38-CAPEX!$G$38)*'Financial Analysis'!AB10+(CAPEX!$I$38-CAPEX!$H$38)*'Financial Analysis'!AB11)</f>
        <v>0</v>
      </c>
      <c r="AC119" s="69">
        <f>IF(Dashboard!$C$21=Lists!$B$4,CAPEX!$L$38*'Financial Analysis'!AC9+(CAPEX!$M$38-CAPEX!$L$38)*'Financial Analysis'!AC10+(CAPEX!$N$38-CAPEX!$M$38)*'Financial Analysis'!AC11,
CAPEX!$G$38*'Financial Analysis'!AC9+(CAPEX!$H$38-CAPEX!$G$38)*'Financial Analysis'!AC10+(CAPEX!$I$38-CAPEX!$H$38)*'Financial Analysis'!AC11)</f>
        <v>0</v>
      </c>
      <c r="AD119" s="69">
        <f>IF(Dashboard!$C$21=Lists!$B$4,CAPEX!$L$38*'Financial Analysis'!AD9+(CAPEX!$M$38-CAPEX!$L$38)*'Financial Analysis'!AD10+(CAPEX!$N$38-CAPEX!$M$38)*'Financial Analysis'!AD11,
CAPEX!$G$38*'Financial Analysis'!AD9+(CAPEX!$H$38-CAPEX!$G$38)*'Financial Analysis'!AD10+(CAPEX!$I$38-CAPEX!$H$38)*'Financial Analysis'!AD11)</f>
        <v>0</v>
      </c>
      <c r="AE119" s="69">
        <f>IF(Dashboard!$C$21=Lists!$B$4,CAPEX!$L$38*'Financial Analysis'!AE9+(CAPEX!$M$38-CAPEX!$L$38)*'Financial Analysis'!AE10+(CAPEX!$N$38-CAPEX!$M$38)*'Financial Analysis'!AE11,
CAPEX!$G$38*'Financial Analysis'!AE9+(CAPEX!$H$38-CAPEX!$G$38)*'Financial Analysis'!AE10+(CAPEX!$I$38-CAPEX!$H$38)*'Financial Analysis'!AE11)</f>
        <v>0</v>
      </c>
      <c r="AF119" s="69">
        <f>IF(Dashboard!$C$21=Lists!$B$4,CAPEX!$L$38*'Financial Analysis'!AF9+(CAPEX!$M$38-CAPEX!$L$38)*'Financial Analysis'!AF10+(CAPEX!$N$38-CAPEX!$M$38)*'Financial Analysis'!AF11,
CAPEX!$G$38*'Financial Analysis'!AF9+(CAPEX!$H$38-CAPEX!$G$38)*'Financial Analysis'!AF10+(CAPEX!$I$38-CAPEX!$H$38)*'Financial Analysis'!AF11)</f>
        <v>0</v>
      </c>
      <c r="AG119" s="69">
        <f>IF(Dashboard!$C$21=Lists!$B$4,CAPEX!$L$38*'Financial Analysis'!AG9+(CAPEX!$M$38-CAPEX!$L$38)*'Financial Analysis'!AG10+(CAPEX!$N$38-CAPEX!$M$38)*'Financial Analysis'!AG11,
CAPEX!$G$38*'Financial Analysis'!AG9+(CAPEX!$H$38-CAPEX!$G$38)*'Financial Analysis'!AG10+(CAPEX!$I$38-CAPEX!$H$38)*'Financial Analysis'!AG11)</f>
        <v>0</v>
      </c>
      <c r="AH119" s="69">
        <f>IF(Dashboard!$C$21=Lists!$B$4,CAPEX!$L$38*'Financial Analysis'!AH9+(CAPEX!$M$38-CAPEX!$L$38)*'Financial Analysis'!AH10+(CAPEX!$N$38-CAPEX!$M$38)*'Financial Analysis'!AH11,
CAPEX!$G$38*'Financial Analysis'!AH9+(CAPEX!$H$38-CAPEX!$G$38)*'Financial Analysis'!AH10+(CAPEX!$I$38-CAPEX!$H$38)*'Financial Analysis'!AH11)</f>
        <v>0</v>
      </c>
      <c r="AI119" s="69">
        <f>IF(Dashboard!$C$21=Lists!$B$4,CAPEX!$L$38*'Financial Analysis'!AI9+(CAPEX!$M$38-CAPEX!$L$38)*'Financial Analysis'!AI10+(CAPEX!$N$38-CAPEX!$M$38)*'Financial Analysis'!AI11,
CAPEX!$G$38*'Financial Analysis'!AI9+(CAPEX!$H$38-CAPEX!$G$38)*'Financial Analysis'!AI10+(CAPEX!$I$38-CAPEX!$H$38)*'Financial Analysis'!AI11)</f>
        <v>0</v>
      </c>
      <c r="AJ119" s="69">
        <f>IF(Dashboard!$C$21=Lists!$B$4,CAPEX!$L$38*'Financial Analysis'!AJ9+(CAPEX!$M$38-CAPEX!$L$38)*'Financial Analysis'!AJ10+(CAPEX!$N$38-CAPEX!$M$38)*'Financial Analysis'!AJ11,
CAPEX!$G$38*'Financial Analysis'!AJ9+(CAPEX!$H$38-CAPEX!$G$38)*'Financial Analysis'!AJ10+(CAPEX!$I$38-CAPEX!$H$38)*'Financial Analysis'!AJ11)</f>
        <v>0</v>
      </c>
      <c r="AK119" s="69">
        <f>IF(Dashboard!$C$21=Lists!$B$4,CAPEX!$L$38*'Financial Analysis'!AK9+(CAPEX!$M$38-CAPEX!$L$38)*'Financial Analysis'!AK10+(CAPEX!$N$38-CAPEX!$M$38)*'Financial Analysis'!AK11,
CAPEX!$G$38*'Financial Analysis'!AK9+(CAPEX!$H$38-CAPEX!$G$38)*'Financial Analysis'!AK10+(CAPEX!$I$38-CAPEX!$H$38)*'Financial Analysis'!AK11)</f>
        <v>0</v>
      </c>
      <c r="AL119" s="69">
        <f>IF(Dashboard!$C$21=Lists!$B$4,CAPEX!$L$38*'Financial Analysis'!AL9+(CAPEX!$M$38-CAPEX!$L$38)*'Financial Analysis'!AL10+(CAPEX!$N$38-CAPEX!$M$38)*'Financial Analysis'!AL11,
CAPEX!$G$38*'Financial Analysis'!AL9+(CAPEX!$H$38-CAPEX!$G$38)*'Financial Analysis'!AL10+(CAPEX!$I$38-CAPEX!$H$38)*'Financial Analysis'!AL11)</f>
        <v>0</v>
      </c>
      <c r="AM119" s="69">
        <f>IF(Dashboard!$C$21=Lists!$B$4,CAPEX!$L$38*'Financial Analysis'!AM9+(CAPEX!$M$38-CAPEX!$L$38)*'Financial Analysis'!AM10+(CAPEX!$N$38-CAPEX!$M$38)*'Financial Analysis'!AM11,
CAPEX!$G$38*'Financial Analysis'!AM9+(CAPEX!$H$38-CAPEX!$G$38)*'Financial Analysis'!AM10+(CAPEX!$I$38-CAPEX!$H$38)*'Financial Analysis'!AM11)</f>
        <v>0</v>
      </c>
      <c r="AN119" s="69">
        <f>IF(Dashboard!$C$21=Lists!$B$4,CAPEX!$L$38*'Financial Analysis'!AN9+(CAPEX!$M$38-CAPEX!$L$38)*'Financial Analysis'!AN10+(CAPEX!$N$38-CAPEX!$M$38)*'Financial Analysis'!AN11,
CAPEX!$G$38*'Financial Analysis'!AN9+(CAPEX!$H$38-CAPEX!$G$38)*'Financial Analysis'!AN10+(CAPEX!$I$38-CAPEX!$H$38)*'Financial Analysis'!AN11)</f>
        <v>0</v>
      </c>
      <c r="AO119" s="69">
        <f>IF(Dashboard!$C$21=Lists!$B$4,CAPEX!$L$38*'Financial Analysis'!AO9+(CAPEX!$M$38-CAPEX!$L$38)*'Financial Analysis'!AO10+(CAPEX!$N$38-CAPEX!$M$38)*'Financial Analysis'!AO11,
CAPEX!$G$38*'Financial Analysis'!AO9+(CAPEX!$H$38-CAPEX!$G$38)*'Financial Analysis'!AO10+(CAPEX!$I$38-CAPEX!$H$38)*'Financial Analysis'!AO11)</f>
        <v>0</v>
      </c>
      <c r="AP119" s="69">
        <f>IF(Dashboard!$C$21=Lists!$B$4,CAPEX!$L$38*'Financial Analysis'!AP9+(CAPEX!$M$38-CAPEX!$L$38)*'Financial Analysis'!AP10+(CAPEX!$N$38-CAPEX!$M$38)*'Financial Analysis'!AP11,
CAPEX!$G$38*'Financial Analysis'!AP9+(CAPEX!$H$38-CAPEX!$G$38)*'Financial Analysis'!AP10+(CAPEX!$I$38-CAPEX!$H$38)*'Financial Analysis'!AP11)</f>
        <v>0</v>
      </c>
      <c r="AQ119" s="69">
        <f>IF(Dashboard!$C$21=Lists!$B$4,CAPEX!$L$38*'Financial Analysis'!AQ9+(CAPEX!$M$38-CAPEX!$L$38)*'Financial Analysis'!AQ10+(CAPEX!$N$38-CAPEX!$M$38)*'Financial Analysis'!AQ11,
CAPEX!$G$38*'Financial Analysis'!AQ9+(CAPEX!$H$38-CAPEX!$G$38)*'Financial Analysis'!AQ10+(CAPEX!$I$38-CAPEX!$H$38)*'Financial Analysis'!AQ11)</f>
        <v>0</v>
      </c>
      <c r="AR119" s="69">
        <f>IF(Dashboard!$C$21=Lists!$B$4,CAPEX!$L$38*'Financial Analysis'!AR9+(CAPEX!$M$38-CAPEX!$L$38)*'Financial Analysis'!AR10+(CAPEX!$N$38-CAPEX!$M$38)*'Financial Analysis'!AR11,
CAPEX!$G$38*'Financial Analysis'!AR9+(CAPEX!$H$38-CAPEX!$G$38)*'Financial Analysis'!AR10+(CAPEX!$I$38-CAPEX!$H$38)*'Financial Analysis'!AR11)</f>
        <v>0</v>
      </c>
      <c r="AS119" s="69">
        <f>IF(Dashboard!$C$21=Lists!$B$4,CAPEX!$L$38*'Financial Analysis'!AS9+(CAPEX!$M$38-CAPEX!$L$38)*'Financial Analysis'!AS10+(CAPEX!$N$38-CAPEX!$M$38)*'Financial Analysis'!AS11,
CAPEX!$G$38*'Financial Analysis'!AS9+(CAPEX!$H$38-CAPEX!$G$38)*'Financial Analysis'!AS10+(CAPEX!$I$38-CAPEX!$H$38)*'Financial Analysis'!AS11)</f>
        <v>0</v>
      </c>
      <c r="AT119" s="69">
        <f>IF(Dashboard!$C$21=Lists!$B$4,CAPEX!$L$38*'Financial Analysis'!AT9+(CAPEX!$M$38-CAPEX!$L$38)*'Financial Analysis'!AT10+(CAPEX!$N$38-CAPEX!$M$38)*'Financial Analysis'!AT11,
CAPEX!$G$38*'Financial Analysis'!AT9+(CAPEX!$H$38-CAPEX!$G$38)*'Financial Analysis'!AT10+(CAPEX!$I$38-CAPEX!$H$38)*'Financial Analysis'!AT11)</f>
        <v>0</v>
      </c>
      <c r="AU119" s="69">
        <f>IF(Dashboard!$C$21=Lists!$B$4,CAPEX!$L$38*'Financial Analysis'!AU9+(CAPEX!$M$38-CAPEX!$L$38)*'Financial Analysis'!AU10+(CAPEX!$N$38-CAPEX!$M$38)*'Financial Analysis'!AU11,
CAPEX!$G$38*'Financial Analysis'!AU9+(CAPEX!$H$38-CAPEX!$G$38)*'Financial Analysis'!AU10+(CAPEX!$I$38-CAPEX!$H$38)*'Financial Analysis'!AU11)</f>
        <v>0</v>
      </c>
      <c r="AV119" s="69">
        <f>IF(Dashboard!$C$21=Lists!$B$4,CAPEX!$L$38*'Financial Analysis'!AV9+(CAPEX!$M$38-CAPEX!$L$38)*'Financial Analysis'!AV10+(CAPEX!$N$38-CAPEX!$M$38)*'Financial Analysis'!AV11,
CAPEX!$G$38*'Financial Analysis'!AV9+(CAPEX!$H$38-CAPEX!$G$38)*'Financial Analysis'!AV10+(CAPEX!$I$38-CAPEX!$H$38)*'Financial Analysis'!AV11)</f>
        <v>0</v>
      </c>
      <c r="AW119" s="69">
        <f>IF(Dashboard!$C$21=Lists!$B$4,CAPEX!$L$38*'Financial Analysis'!AW9+(CAPEX!$M$38-CAPEX!$L$38)*'Financial Analysis'!AW10+(CAPEX!$N$38-CAPEX!$M$38)*'Financial Analysis'!AW11,
CAPEX!$G$38*'Financial Analysis'!AW9+(CAPEX!$H$38-CAPEX!$G$38)*'Financial Analysis'!AW10+(CAPEX!$I$38-CAPEX!$H$38)*'Financial Analysis'!AW11)</f>
        <v>0</v>
      </c>
      <c r="AX119" s="69">
        <f>IF(Dashboard!$C$21=Lists!$B$4,CAPEX!$L$38*'Financial Analysis'!AX9+(CAPEX!$M$38-CAPEX!$L$38)*'Financial Analysis'!AX10+(CAPEX!$N$38-CAPEX!$M$38)*'Financial Analysis'!AX11,
CAPEX!$G$38*'Financial Analysis'!AX9+(CAPEX!$H$38-CAPEX!$G$38)*'Financial Analysis'!AX10+(CAPEX!$I$38-CAPEX!$H$38)*'Financial Analysis'!AX11)</f>
        <v>0</v>
      </c>
      <c r="AY119" s="69">
        <f>IF(Dashboard!$C$21=Lists!$B$4,CAPEX!$L$38*'Financial Analysis'!AY9+(CAPEX!$M$38-CAPEX!$L$38)*'Financial Analysis'!AY10+(CAPEX!$N$38-CAPEX!$M$38)*'Financial Analysis'!AY11,
CAPEX!$G$38*'Financial Analysis'!AY9+(CAPEX!$H$38-CAPEX!$G$38)*'Financial Analysis'!AY10+(CAPEX!$I$38-CAPEX!$H$38)*'Financial Analysis'!AY11)</f>
        <v>0</v>
      </c>
      <c r="AZ119" s="69">
        <f>IF(Dashboard!$C$21=Lists!$B$4,CAPEX!$L$38*'Financial Analysis'!AZ9+(CAPEX!$M$38-CAPEX!$L$38)*'Financial Analysis'!AZ10+(CAPEX!$N$38-CAPEX!$M$38)*'Financial Analysis'!AZ11,
CAPEX!$G$38*'Financial Analysis'!AZ9+(CAPEX!$H$38-CAPEX!$G$38)*'Financial Analysis'!AZ10+(CAPEX!$I$38-CAPEX!$H$38)*'Financial Analysis'!AZ11)</f>
        <v>0</v>
      </c>
      <c r="BA119" s="69">
        <f>IF(Dashboard!$C$21=Lists!$B$4,CAPEX!$L$38*'Financial Analysis'!BA9+(CAPEX!$M$38-CAPEX!$L$38)*'Financial Analysis'!BA10+(CAPEX!$N$38-CAPEX!$M$38)*'Financial Analysis'!BA11,
CAPEX!$G$38*'Financial Analysis'!BA9+(CAPEX!$H$38-CAPEX!$G$38)*'Financial Analysis'!BA10+(CAPEX!$I$38-CAPEX!$H$38)*'Financial Analysis'!BA11)</f>
        <v>0</v>
      </c>
      <c r="BB119" s="69">
        <f>IF(Dashboard!$C$21=Lists!$B$4,CAPEX!$L$38*'Financial Analysis'!BB9+(CAPEX!$M$38-CAPEX!$L$38)*'Financial Analysis'!BB10+(CAPEX!$N$38-CAPEX!$M$38)*'Financial Analysis'!BB11,
CAPEX!$G$38*'Financial Analysis'!BB9+(CAPEX!$H$38-CAPEX!$G$38)*'Financial Analysis'!BB10+(CAPEX!$I$38-CAPEX!$H$38)*'Financial Analysis'!BB11)</f>
        <v>0</v>
      </c>
      <c r="BC119" s="69">
        <f>IF(Dashboard!$C$21=Lists!$B$4,CAPEX!$L$38*'Financial Analysis'!BC9+(CAPEX!$M$38-CAPEX!$L$38)*'Financial Analysis'!BC10+(CAPEX!$N$38-CAPEX!$M$38)*'Financial Analysis'!BC11,
CAPEX!$G$38*'Financial Analysis'!BC9+(CAPEX!$H$38-CAPEX!$G$38)*'Financial Analysis'!BC10+(CAPEX!$I$38-CAPEX!$H$38)*'Financial Analysis'!BC11)</f>
        <v>0</v>
      </c>
      <c r="BD119" s="69">
        <f>IF(Dashboard!$C$21=Lists!$B$4,CAPEX!$L$38*'Financial Analysis'!BD9+(CAPEX!$M$38-CAPEX!$L$38)*'Financial Analysis'!BD10+(CAPEX!$N$38-CAPEX!$M$38)*'Financial Analysis'!BD11,
CAPEX!$G$38*'Financial Analysis'!BD9+(CAPEX!$H$38-CAPEX!$G$38)*'Financial Analysis'!BD10+(CAPEX!$I$38-CAPEX!$H$38)*'Financial Analysis'!BD11)</f>
        <v>0</v>
      </c>
      <c r="BE119" s="69">
        <f>IF(Dashboard!$C$21=Lists!$B$4,CAPEX!$L$38*'Financial Analysis'!BE9+(CAPEX!$M$38-CAPEX!$L$38)*'Financial Analysis'!BE10+(CAPEX!$N$38-CAPEX!$M$38)*'Financial Analysis'!BE11,
CAPEX!$G$38*'Financial Analysis'!BE9+(CAPEX!$H$38-CAPEX!$G$38)*'Financial Analysis'!BE10+(CAPEX!$I$38-CAPEX!$H$38)*'Financial Analysis'!BE11)</f>
        <v>0</v>
      </c>
      <c r="BF119" s="69">
        <f>IF(Dashboard!$C$21=Lists!$B$4,CAPEX!$L$38*'Financial Analysis'!BF9+(CAPEX!$M$38-CAPEX!$L$38)*'Financial Analysis'!BF10+(CAPEX!$N$38-CAPEX!$M$38)*'Financial Analysis'!BF11,
CAPEX!$G$38*'Financial Analysis'!BF9+(CAPEX!$H$38-CAPEX!$G$38)*'Financial Analysis'!BF10+(CAPEX!$I$38-CAPEX!$H$38)*'Financial Analysis'!BF11)</f>
        <v>0</v>
      </c>
      <c r="BG119" s="69">
        <f>IF(Dashboard!$C$21=Lists!$B$4,CAPEX!$L$38*'Financial Analysis'!BG9+(CAPEX!$M$38-CAPEX!$L$38)*'Financial Analysis'!BG10+(CAPEX!$N$38-CAPEX!$M$38)*'Financial Analysis'!BG11,
CAPEX!$G$38*'Financial Analysis'!BG9+(CAPEX!$H$38-CAPEX!$G$38)*'Financial Analysis'!BG10+(CAPEX!$I$38-CAPEX!$H$38)*'Financial Analysis'!BG11)</f>
        <v>0</v>
      </c>
      <c r="BH119" s="69">
        <f>IF(Dashboard!$C$21=Lists!$B$4,CAPEX!$L$38*'Financial Analysis'!BH9+(CAPEX!$M$38-CAPEX!$L$38)*'Financial Analysis'!BH10+(CAPEX!$N$38-CAPEX!$M$38)*'Financial Analysis'!BH11,
CAPEX!$G$38*'Financial Analysis'!BH9+(CAPEX!$H$38-CAPEX!$G$38)*'Financial Analysis'!BH10+(CAPEX!$I$38-CAPEX!$H$38)*'Financial Analysis'!BH11)</f>
        <v>0</v>
      </c>
      <c r="BI119" s="69">
        <f>IF(Dashboard!$C$21=Lists!$B$4,CAPEX!$L$38*'Financial Analysis'!BI9+(CAPEX!$M$38-CAPEX!$L$38)*'Financial Analysis'!BI10+(CAPEX!$N$38-CAPEX!$M$38)*'Financial Analysis'!BI11,
CAPEX!$G$38*'Financial Analysis'!BI9+(CAPEX!$H$38-CAPEX!$G$38)*'Financial Analysis'!BI10+(CAPEX!$I$38-CAPEX!$H$38)*'Financial Analysis'!BI11)</f>
        <v>0</v>
      </c>
      <c r="BJ119" s="69">
        <f>IF(Dashboard!$C$21=Lists!$B$4,CAPEX!$L$38*'Financial Analysis'!BJ9+(CAPEX!$M$38-CAPEX!$L$38)*'Financial Analysis'!BJ10+(CAPEX!$N$38-CAPEX!$M$38)*'Financial Analysis'!BJ11,
CAPEX!$G$38*'Financial Analysis'!BJ9+(CAPEX!$H$38-CAPEX!$G$38)*'Financial Analysis'!BJ10+(CAPEX!$I$38-CAPEX!$H$38)*'Financial Analysis'!BJ11)</f>
        <v>0</v>
      </c>
      <c r="BK119" s="69">
        <f>IF(Dashboard!$C$21=Lists!$B$4,CAPEX!$L$38*'Financial Analysis'!BK9+(CAPEX!$M$38-CAPEX!$L$38)*'Financial Analysis'!BK10+(CAPEX!$N$38-CAPEX!$M$38)*'Financial Analysis'!BK11,
CAPEX!$G$38*'Financial Analysis'!BK9+(CAPEX!$H$38-CAPEX!$G$38)*'Financial Analysis'!BK10+(CAPEX!$I$38-CAPEX!$H$38)*'Financial Analysis'!BK11)</f>
        <v>0</v>
      </c>
      <c r="BL119" s="69">
        <f>IF(Dashboard!$C$21=Lists!$B$4,CAPEX!$L$38*'Financial Analysis'!BL9+(CAPEX!$M$38-CAPEX!$L$38)*'Financial Analysis'!BL10+(CAPEX!$N$38-CAPEX!$M$38)*'Financial Analysis'!BL11,
CAPEX!$G$38*'Financial Analysis'!BL9+(CAPEX!$H$38-CAPEX!$G$38)*'Financial Analysis'!BL10+(CAPEX!$I$38-CAPEX!$H$38)*'Financial Analysis'!BL11)</f>
        <v>0</v>
      </c>
    </row>
    <row r="120" spans="2:64">
      <c r="B120" s="146"/>
    </row>
    <row r="121" spans="2:64">
      <c r="B121" s="212" t="s">
        <v>323</v>
      </c>
      <c r="C121" s="148"/>
      <c r="D121" s="208">
        <f>IF(YEAR(D5)=Dashboard!$C$35,CAPEX!$G$63,0)*'Financial Analysis'!D12</f>
        <v>0</v>
      </c>
      <c r="E121" s="208">
        <f>IF(YEAR(E5)=Dashboard!$C$35,CAPEX!$G$63,0)*'Financial Analysis'!E12</f>
        <v>0</v>
      </c>
      <c r="F121" s="208">
        <f>IF(YEAR(F5)=Dashboard!$C$35,CAPEX!$G$63,0)*'Financial Analysis'!F12</f>
        <v>0</v>
      </c>
      <c r="G121" s="208">
        <f>IF(YEAR(G5)=Dashboard!$C$35,CAPEX!$G$63,0)*'Financial Analysis'!G12</f>
        <v>0</v>
      </c>
      <c r="H121" s="208">
        <f>IF(YEAR(H5)=Dashboard!$C$35,CAPEX!$G$63,0)*'Financial Analysis'!H12</f>
        <v>0</v>
      </c>
      <c r="I121" s="208">
        <f>IF(YEAR(I5)=Dashboard!$C$35,CAPEX!$G$63,0)*'Financial Analysis'!I12</f>
        <v>0</v>
      </c>
      <c r="J121" s="208">
        <f>IF(YEAR(J5)=Dashboard!$C$35,CAPEX!$G$63,0)*'Financial Analysis'!J12</f>
        <v>0</v>
      </c>
      <c r="K121" s="208">
        <f>IF(YEAR(K5)=Dashboard!$C$35,CAPEX!$G$63,0)*'Financial Analysis'!K12</f>
        <v>0</v>
      </c>
      <c r="L121" s="208">
        <f>IF(YEAR(L5)=Dashboard!$C$35,CAPEX!$G$63,0)*'Financial Analysis'!L12</f>
        <v>0</v>
      </c>
      <c r="M121" s="208">
        <f>IF(YEAR(M5)=Dashboard!$C$35,CAPEX!$G$63,0)*'Financial Analysis'!M12</f>
        <v>0</v>
      </c>
      <c r="N121" s="208">
        <f>IF(YEAR(N5)=Dashboard!$C$35,CAPEX!$G$63,0)*'Financial Analysis'!N12</f>
        <v>0</v>
      </c>
      <c r="O121" s="208">
        <f>IF(YEAR(O5)=Dashboard!$C$35,CAPEX!$G$63,0)*'Financial Analysis'!O12</f>
        <v>0</v>
      </c>
    </row>
    <row r="122" spans="2:64">
      <c r="B122" s="146"/>
    </row>
    <row r="123" spans="2:64">
      <c r="B123" s="212" t="s">
        <v>256</v>
      </c>
      <c r="D123" s="53" t="e">
        <f>CAPEX!$E$78*'Financial Analysis'!D9+(CAPEX!$F$78-CAPEX!$E$78)*'Financial Analysis'!D10+(CAPEX!$G$78-CAPEX!$F$78)*'Financial Analysis'!D11</f>
        <v>#REF!</v>
      </c>
      <c r="E123" s="53" t="e">
        <f>CAPEX!$E$78*'Financial Analysis'!E9+(CAPEX!$F$78-CAPEX!$E$78)*'Financial Analysis'!E10+(CAPEX!$G$78-CAPEX!$F$78)*'Financial Analysis'!E11</f>
        <v>#REF!</v>
      </c>
      <c r="F123" s="53" t="e">
        <f>CAPEX!$E$78*'Financial Analysis'!F9+(CAPEX!$F$78-CAPEX!$E$78)*'Financial Analysis'!F10+(CAPEX!$G$78-CAPEX!$F$78)*'Financial Analysis'!F11</f>
        <v>#REF!</v>
      </c>
      <c r="G123" s="53" t="e">
        <f>CAPEX!$E$78*'Financial Analysis'!G9+(CAPEX!$F$78-CAPEX!$E$78)*'Financial Analysis'!G10+(CAPEX!$G$78-CAPEX!$F$78)*'Financial Analysis'!G11</f>
        <v>#REF!</v>
      </c>
      <c r="H123" s="53" t="e">
        <f>CAPEX!$E$78*'Financial Analysis'!H9+(CAPEX!$F$78-CAPEX!$E$78)*'Financial Analysis'!H10+(CAPEX!$G$78-CAPEX!$F$78)*'Financial Analysis'!H11</f>
        <v>#REF!</v>
      </c>
      <c r="I123" s="53" t="e">
        <f>CAPEX!$E$78*'Financial Analysis'!I9+(CAPEX!$F$78-CAPEX!$E$78)*'Financial Analysis'!I10+(CAPEX!$G$78-CAPEX!$F$78)*'Financial Analysis'!I11</f>
        <v>#REF!</v>
      </c>
      <c r="J123" s="53" t="e">
        <f>CAPEX!$E$78*'Financial Analysis'!J9+(CAPEX!$F$78-CAPEX!$E$78)*'Financial Analysis'!J10+(CAPEX!$G$78-CAPEX!$F$78)*'Financial Analysis'!J11</f>
        <v>#REF!</v>
      </c>
      <c r="K123" s="53" t="e">
        <f>CAPEX!$E$78*'Financial Analysis'!K9+(CAPEX!$F$78-CAPEX!$E$78)*'Financial Analysis'!K10+(CAPEX!$G$78-CAPEX!$F$78)*'Financial Analysis'!K11</f>
        <v>#REF!</v>
      </c>
      <c r="L123" s="53" t="e">
        <f>CAPEX!$E$78*'Financial Analysis'!L9+(CAPEX!$F$78-CAPEX!$E$78)*'Financial Analysis'!L10+(CAPEX!$G$78-CAPEX!$F$78)*'Financial Analysis'!L11</f>
        <v>#REF!</v>
      </c>
      <c r="M123" s="53" t="e">
        <f>CAPEX!$E$78*'Financial Analysis'!M9+(CAPEX!$F$78-CAPEX!$E$78)*'Financial Analysis'!M10+(CAPEX!$G$78-CAPEX!$F$78)*'Financial Analysis'!M11</f>
        <v>#REF!</v>
      </c>
      <c r="N123" s="53" t="e">
        <f>CAPEX!$E$78*'Financial Analysis'!N9+(CAPEX!$F$78-CAPEX!$E$78)*'Financial Analysis'!N10+(CAPEX!$G$78-CAPEX!$F$78)*'Financial Analysis'!N11</f>
        <v>#REF!</v>
      </c>
      <c r="O123" s="53" t="e">
        <f>CAPEX!$E$78*'Financial Analysis'!O9+(CAPEX!$F$78-CAPEX!$E$78)*'Financial Analysis'!O10+(CAPEX!$G$78-CAPEX!$F$78)*'Financial Analysis'!O11</f>
        <v>#REF!</v>
      </c>
      <c r="P123" s="53" t="e">
        <f>CAPEX!$E$78*'Financial Analysis'!P9+(CAPEX!$F$78-CAPEX!$E$78)*'Financial Analysis'!P10+(CAPEX!$G$78-CAPEX!$F$78)*'Financial Analysis'!P11</f>
        <v>#REF!</v>
      </c>
      <c r="Q123" s="53" t="e">
        <f>CAPEX!$E$78*'Financial Analysis'!Q9+(CAPEX!$F$78-CAPEX!$E$78)*'Financial Analysis'!Q10+(CAPEX!$G$78-CAPEX!$F$78)*'Financial Analysis'!Q11</f>
        <v>#REF!</v>
      </c>
      <c r="R123" s="53" t="e">
        <f>CAPEX!$E$78*'Financial Analysis'!R9+(CAPEX!$F$78-CAPEX!$E$78)*'Financial Analysis'!R10+(CAPEX!$G$78-CAPEX!$F$78)*'Financial Analysis'!R11</f>
        <v>#REF!</v>
      </c>
      <c r="S123" s="53" t="e">
        <f>CAPEX!$E$78*'Financial Analysis'!S9+(CAPEX!$F$78-CAPEX!$E$78)*'Financial Analysis'!S10+(CAPEX!$G$78-CAPEX!$F$78)*'Financial Analysis'!S11</f>
        <v>#REF!</v>
      </c>
      <c r="T123" s="53" t="e">
        <f>CAPEX!$E$78*'Financial Analysis'!T9+(CAPEX!$F$78-CAPEX!$E$78)*'Financial Analysis'!T10+(CAPEX!$G$78-CAPEX!$F$78)*'Financial Analysis'!T11</f>
        <v>#REF!</v>
      </c>
      <c r="U123" s="53" t="e">
        <f>CAPEX!$E$78*'Financial Analysis'!U9+(CAPEX!$F$78-CAPEX!$E$78)*'Financial Analysis'!U10+(CAPEX!$G$78-CAPEX!$F$78)*'Financial Analysis'!U11</f>
        <v>#REF!</v>
      </c>
      <c r="V123" s="53" t="e">
        <f>CAPEX!$E$78*'Financial Analysis'!V9+(CAPEX!$F$78-CAPEX!$E$78)*'Financial Analysis'!V10+(CAPEX!$G$78-CAPEX!$F$78)*'Financial Analysis'!V11</f>
        <v>#REF!</v>
      </c>
      <c r="W123" s="53" t="e">
        <f>CAPEX!$E$78*'Financial Analysis'!W9+(CAPEX!$F$78-CAPEX!$E$78)*'Financial Analysis'!W10+(CAPEX!$G$78-CAPEX!$F$78)*'Financial Analysis'!W11</f>
        <v>#REF!</v>
      </c>
      <c r="X123" s="53" t="e">
        <f>CAPEX!$E$78*'Financial Analysis'!X9+(CAPEX!$F$78-CAPEX!$E$78)*'Financial Analysis'!X10+(CAPEX!$G$78-CAPEX!$F$78)*'Financial Analysis'!X11</f>
        <v>#REF!</v>
      </c>
      <c r="Y123" s="53" t="e">
        <f>CAPEX!$E$78*'Financial Analysis'!Y9+(CAPEX!$F$78-CAPEX!$E$78)*'Financial Analysis'!Y10+(CAPEX!$G$78-CAPEX!$F$78)*'Financial Analysis'!Y11</f>
        <v>#REF!</v>
      </c>
      <c r="Z123" s="53" t="e">
        <f>CAPEX!$E$78*'Financial Analysis'!Z9+(CAPEX!$F$78-CAPEX!$E$78)*'Financial Analysis'!Z10+(CAPEX!$G$78-CAPEX!$F$78)*'Financial Analysis'!Z11</f>
        <v>#REF!</v>
      </c>
      <c r="AA123" s="53" t="e">
        <f>CAPEX!$E$78*'Financial Analysis'!AA9+(CAPEX!$F$78-CAPEX!$E$78)*'Financial Analysis'!AA10+(CAPEX!$G$78-CAPEX!$F$78)*'Financial Analysis'!AA11</f>
        <v>#REF!</v>
      </c>
      <c r="AB123" s="53" t="e">
        <f>CAPEX!$E$78*'Financial Analysis'!AB9+(CAPEX!$F$78-CAPEX!$E$78)*'Financial Analysis'!AB10+(CAPEX!$G$78-CAPEX!$F$78)*'Financial Analysis'!AB11</f>
        <v>#REF!</v>
      </c>
      <c r="AC123" s="53" t="e">
        <f>CAPEX!$E$78*'Financial Analysis'!AC9+(CAPEX!$F$78-CAPEX!$E$78)*'Financial Analysis'!AC10+(CAPEX!$G$78-CAPEX!$F$78)*'Financial Analysis'!AC11</f>
        <v>#REF!</v>
      </c>
      <c r="AD123" s="53" t="e">
        <f>CAPEX!$E$78*'Financial Analysis'!AD9+(CAPEX!$F$78-CAPEX!$E$78)*'Financial Analysis'!AD10+(CAPEX!$G$78-CAPEX!$F$78)*'Financial Analysis'!AD11</f>
        <v>#REF!</v>
      </c>
      <c r="AE123" s="53" t="e">
        <f>CAPEX!$E$78*'Financial Analysis'!AE9+(CAPEX!$F$78-CAPEX!$E$78)*'Financial Analysis'!AE10+(CAPEX!$G$78-CAPEX!$F$78)*'Financial Analysis'!AE11</f>
        <v>#REF!</v>
      </c>
      <c r="AF123" s="53" t="e">
        <f>CAPEX!$E$78*'Financial Analysis'!AF9+(CAPEX!$F$78-CAPEX!$E$78)*'Financial Analysis'!AF10+(CAPEX!$G$78-CAPEX!$F$78)*'Financial Analysis'!AF11</f>
        <v>#REF!</v>
      </c>
      <c r="AG123" s="53" t="e">
        <f>CAPEX!$E$78*'Financial Analysis'!AG9+(CAPEX!$F$78-CAPEX!$E$78)*'Financial Analysis'!AG10+(CAPEX!$G$78-CAPEX!$F$78)*'Financial Analysis'!AG11</f>
        <v>#REF!</v>
      </c>
      <c r="AH123" s="53" t="e">
        <f>CAPEX!$E$78*'Financial Analysis'!AH9+(CAPEX!$F$78-CAPEX!$E$78)*'Financial Analysis'!AH10+(CAPEX!$G$78-CAPEX!$F$78)*'Financial Analysis'!AH11</f>
        <v>#REF!</v>
      </c>
      <c r="AI123" s="53" t="e">
        <f>CAPEX!$E$78*'Financial Analysis'!AI9+(CAPEX!$F$78-CAPEX!$E$78)*'Financial Analysis'!AI10+(CAPEX!$G$78-CAPEX!$F$78)*'Financial Analysis'!AI11</f>
        <v>#REF!</v>
      </c>
      <c r="AJ123" s="53" t="e">
        <f>CAPEX!$E$78*'Financial Analysis'!AJ9+(CAPEX!$F$78-CAPEX!$E$78)*'Financial Analysis'!AJ10+(CAPEX!$G$78-CAPEX!$F$78)*'Financial Analysis'!AJ11</f>
        <v>#REF!</v>
      </c>
      <c r="AK123" s="53" t="e">
        <f>CAPEX!$E$78*'Financial Analysis'!AK9+(CAPEX!$F$78-CAPEX!$E$78)*'Financial Analysis'!AK10+(CAPEX!$G$78-CAPEX!$F$78)*'Financial Analysis'!AK11</f>
        <v>#REF!</v>
      </c>
      <c r="AL123" s="53" t="e">
        <f>CAPEX!$E$78*'Financial Analysis'!AL9+(CAPEX!$F$78-CAPEX!$E$78)*'Financial Analysis'!AL10+(CAPEX!$G$78-CAPEX!$F$78)*'Financial Analysis'!AL11</f>
        <v>#REF!</v>
      </c>
      <c r="AM123" s="53" t="e">
        <f>CAPEX!$E$78*'Financial Analysis'!AM9+(CAPEX!$F$78-CAPEX!$E$78)*'Financial Analysis'!AM10+(CAPEX!$G$78-CAPEX!$F$78)*'Financial Analysis'!AM11</f>
        <v>#REF!</v>
      </c>
      <c r="AN123" s="53" t="e">
        <f>CAPEX!$E$78*'Financial Analysis'!AN9+(CAPEX!$F$78-CAPEX!$E$78)*'Financial Analysis'!AN10+(CAPEX!$G$78-CAPEX!$F$78)*'Financial Analysis'!AN11</f>
        <v>#REF!</v>
      </c>
      <c r="AO123" s="53" t="e">
        <f>CAPEX!$E$78*'Financial Analysis'!AO9+(CAPEX!$F$78-CAPEX!$E$78)*'Financial Analysis'!AO10+(CAPEX!$G$78-CAPEX!$F$78)*'Financial Analysis'!AO11</f>
        <v>#REF!</v>
      </c>
      <c r="AP123" s="53" t="e">
        <f>CAPEX!$E$78*'Financial Analysis'!AP9+(CAPEX!$F$78-CAPEX!$E$78)*'Financial Analysis'!AP10+(CAPEX!$G$78-CAPEX!$F$78)*'Financial Analysis'!AP11</f>
        <v>#REF!</v>
      </c>
      <c r="AQ123" s="53" t="e">
        <f>CAPEX!$E$78*'Financial Analysis'!AQ9+(CAPEX!$F$78-CAPEX!$E$78)*'Financial Analysis'!AQ10+(CAPEX!$G$78-CAPEX!$F$78)*'Financial Analysis'!AQ11</f>
        <v>#REF!</v>
      </c>
      <c r="AR123" s="53" t="e">
        <f>CAPEX!$E$78*'Financial Analysis'!AR9+(CAPEX!$F$78-CAPEX!$E$78)*'Financial Analysis'!AR10+(CAPEX!$G$78-CAPEX!$F$78)*'Financial Analysis'!AR11</f>
        <v>#REF!</v>
      </c>
      <c r="AS123" s="53" t="e">
        <f>CAPEX!$E$78*'Financial Analysis'!AS9+(CAPEX!$F$78-CAPEX!$E$78)*'Financial Analysis'!AS10+(CAPEX!$G$78-CAPEX!$F$78)*'Financial Analysis'!AS11</f>
        <v>#REF!</v>
      </c>
      <c r="AT123" s="53" t="e">
        <f>CAPEX!$E$78*'Financial Analysis'!AT9+(CAPEX!$F$78-CAPEX!$E$78)*'Financial Analysis'!AT10+(CAPEX!$G$78-CAPEX!$F$78)*'Financial Analysis'!AT11</f>
        <v>#REF!</v>
      </c>
      <c r="AU123" s="53" t="e">
        <f>CAPEX!$E$78*'Financial Analysis'!AU9+(CAPEX!$F$78-CAPEX!$E$78)*'Financial Analysis'!AU10+(CAPEX!$G$78-CAPEX!$F$78)*'Financial Analysis'!AU11</f>
        <v>#REF!</v>
      </c>
      <c r="AV123" s="53" t="e">
        <f>CAPEX!$E$78*'Financial Analysis'!AV9+(CAPEX!$F$78-CAPEX!$E$78)*'Financial Analysis'!AV10+(CAPEX!$G$78-CAPEX!$F$78)*'Financial Analysis'!AV11</f>
        <v>#REF!</v>
      </c>
      <c r="AW123" s="53" t="e">
        <f>CAPEX!$E$78*'Financial Analysis'!AW9+(CAPEX!$F$78-CAPEX!$E$78)*'Financial Analysis'!AW10+(CAPEX!$G$78-CAPEX!$F$78)*'Financial Analysis'!AW11</f>
        <v>#REF!</v>
      </c>
      <c r="AX123" s="53" t="e">
        <f>CAPEX!$E$78*'Financial Analysis'!AX9+(CAPEX!$F$78-CAPEX!$E$78)*'Financial Analysis'!AX10+(CAPEX!$G$78-CAPEX!$F$78)*'Financial Analysis'!AX11</f>
        <v>#REF!</v>
      </c>
      <c r="AY123" s="53" t="e">
        <f>CAPEX!$E$78*'Financial Analysis'!AY9+(CAPEX!$F$78-CAPEX!$E$78)*'Financial Analysis'!AY10+(CAPEX!$G$78-CAPEX!$F$78)*'Financial Analysis'!AY11</f>
        <v>#REF!</v>
      </c>
      <c r="AZ123" s="53" t="e">
        <f>CAPEX!$E$78*'Financial Analysis'!AZ9+(CAPEX!$F$78-CAPEX!$E$78)*'Financial Analysis'!AZ10+(CAPEX!$G$78-CAPEX!$F$78)*'Financial Analysis'!AZ11</f>
        <v>#REF!</v>
      </c>
      <c r="BA123" s="53" t="e">
        <f>CAPEX!$E$78*'Financial Analysis'!BA9+(CAPEX!$F$78-CAPEX!$E$78)*'Financial Analysis'!BA10+(CAPEX!$G$78-CAPEX!$F$78)*'Financial Analysis'!BA11</f>
        <v>#REF!</v>
      </c>
      <c r="BB123" s="53" t="e">
        <f>CAPEX!$E$78*'Financial Analysis'!BB9+(CAPEX!$F$78-CAPEX!$E$78)*'Financial Analysis'!BB10+(CAPEX!$G$78-CAPEX!$F$78)*'Financial Analysis'!BB11</f>
        <v>#REF!</v>
      </c>
      <c r="BC123" s="53" t="e">
        <f>CAPEX!$E$78*'Financial Analysis'!BC9+(CAPEX!$F$78-CAPEX!$E$78)*'Financial Analysis'!BC10+(CAPEX!$G$78-CAPEX!$F$78)*'Financial Analysis'!BC11</f>
        <v>#REF!</v>
      </c>
      <c r="BD123" s="53" t="e">
        <f>CAPEX!$E$78*'Financial Analysis'!BD9+(CAPEX!$F$78-CAPEX!$E$78)*'Financial Analysis'!BD10+(CAPEX!$G$78-CAPEX!$F$78)*'Financial Analysis'!BD11</f>
        <v>#REF!</v>
      </c>
      <c r="BE123" s="53" t="e">
        <f>CAPEX!$E$78*'Financial Analysis'!BE9+(CAPEX!$F$78-CAPEX!$E$78)*'Financial Analysis'!BE10+(CAPEX!$G$78-CAPEX!$F$78)*'Financial Analysis'!BE11</f>
        <v>#REF!</v>
      </c>
      <c r="BF123" s="53" t="e">
        <f>CAPEX!$E$78*'Financial Analysis'!BF9+(CAPEX!$F$78-CAPEX!$E$78)*'Financial Analysis'!BF10+(CAPEX!$G$78-CAPEX!$F$78)*'Financial Analysis'!BF11</f>
        <v>#REF!</v>
      </c>
      <c r="BG123" s="53" t="e">
        <f>CAPEX!$E$78*'Financial Analysis'!BG9+(CAPEX!$F$78-CAPEX!$E$78)*'Financial Analysis'!BG10+(CAPEX!$G$78-CAPEX!$F$78)*'Financial Analysis'!BG11</f>
        <v>#REF!</v>
      </c>
      <c r="BH123" s="53" t="e">
        <f>CAPEX!$E$78*'Financial Analysis'!BH9+(CAPEX!$F$78-CAPEX!$E$78)*'Financial Analysis'!BH10+(CAPEX!$G$78-CAPEX!$F$78)*'Financial Analysis'!BH11</f>
        <v>#REF!</v>
      </c>
      <c r="BI123" s="53" t="e">
        <f>CAPEX!$E$78*'Financial Analysis'!BI9+(CAPEX!$F$78-CAPEX!$E$78)*'Financial Analysis'!BI10+(CAPEX!$G$78-CAPEX!$F$78)*'Financial Analysis'!BI11</f>
        <v>#REF!</v>
      </c>
      <c r="BJ123" s="53" t="e">
        <f>CAPEX!$E$78*'Financial Analysis'!BJ9+(CAPEX!$F$78-CAPEX!$E$78)*'Financial Analysis'!BJ10+(CAPEX!$G$78-CAPEX!$F$78)*'Financial Analysis'!BJ11</f>
        <v>#REF!</v>
      </c>
      <c r="BK123" s="53" t="e">
        <f>CAPEX!$E$78*'Financial Analysis'!BK9+(CAPEX!$F$78-CAPEX!$E$78)*'Financial Analysis'!BK10+(CAPEX!$G$78-CAPEX!$F$78)*'Financial Analysis'!BK11</f>
        <v>#REF!</v>
      </c>
      <c r="BL123" s="53" t="e">
        <f>CAPEX!$E$78*'Financial Analysis'!BL9+(CAPEX!$F$78-CAPEX!$E$78)*'Financial Analysis'!BL10+(CAPEX!$G$78-CAPEX!$F$78)*'Financial Analysis'!BL11</f>
        <v>#REF!</v>
      </c>
    </row>
    <row r="126" spans="2:64">
      <c r="B126" s="145" t="s">
        <v>461</v>
      </c>
    </row>
    <row r="127" spans="2:64">
      <c r="B127" s="146" t="s">
        <v>224</v>
      </c>
      <c r="E127" s="53">
        <f>CAPEX!$C$84*('Financial Analysis'!E$6-'Financial Analysis'!E$7)+CAPEX!$D$84*('Financial Analysis'!E$7-'Financial Analysis'!E$8)+CAPEX!$E$84*'Financial Analysis'!E$8</f>
        <v>463394.85536470322</v>
      </c>
      <c r="F127" s="53">
        <f>CAPEX!$C$84*('Financial Analysis'!F$6-'Financial Analysis'!F$7)+CAPEX!$D$84*('Financial Analysis'!F$7-'Financial Analysis'!F$8)+CAPEX!$E$84*'Financial Analysis'!F$8</f>
        <v>463394.85536470322</v>
      </c>
      <c r="G127" s="53">
        <f>CAPEX!$C$84*('Financial Analysis'!G$6-'Financial Analysis'!G$7)+CAPEX!$D$84*('Financial Analysis'!G$7-'Financial Analysis'!G$8)+CAPEX!$E$84*'Financial Analysis'!G$8</f>
        <v>463394.85536470322</v>
      </c>
      <c r="H127" s="53">
        <f>CAPEX!$C$84*('Financial Analysis'!H$6-'Financial Analysis'!H$7)+CAPEX!$D$84*('Financial Analysis'!H$7-'Financial Analysis'!H$8)+CAPEX!$E$84*'Financial Analysis'!H$8</f>
        <v>463394.85536470322</v>
      </c>
      <c r="I127" s="53">
        <f>CAPEX!$C$84*('Financial Analysis'!I$6-'Financial Analysis'!I$7)+CAPEX!$D$84*('Financial Analysis'!I$7-'Financial Analysis'!I$8)+CAPEX!$E$84*'Financial Analysis'!I$8</f>
        <v>463394.85536470322</v>
      </c>
      <c r="J127" s="53">
        <f>CAPEX!$C$84*('Financial Analysis'!J$6-'Financial Analysis'!J$7)+CAPEX!$D$84*('Financial Analysis'!J$7-'Financial Analysis'!J$8)+CAPEX!$E$84*'Financial Analysis'!J$8</f>
        <v>611189.28451989091</v>
      </c>
      <c r="K127" s="53">
        <f>CAPEX!$C$84*('Financial Analysis'!K$6-'Financial Analysis'!K$7)+CAPEX!$D$84*('Financial Analysis'!K$7-'Financial Analysis'!K$8)+CAPEX!$E$84*'Financial Analysis'!K$8</f>
        <v>611189.28451989091</v>
      </c>
      <c r="L127" s="53">
        <f>CAPEX!$C$84*('Financial Analysis'!L$6-'Financial Analysis'!L$7)+CAPEX!$D$84*('Financial Analysis'!L$7-'Financial Analysis'!L$8)+CAPEX!$E$84*'Financial Analysis'!L$8</f>
        <v>611189.28451989091</v>
      </c>
      <c r="M127" s="53">
        <f>CAPEX!$C$84*('Financial Analysis'!M$6-'Financial Analysis'!M$7)+CAPEX!$D$84*('Financial Analysis'!M$7-'Financial Analysis'!M$8)+CAPEX!$E$84*'Financial Analysis'!M$8</f>
        <v>611189.28451989091</v>
      </c>
      <c r="N127" s="53">
        <f>CAPEX!$C$84*('Financial Analysis'!N$6-'Financial Analysis'!N$7)+CAPEX!$D$84*('Financial Analysis'!N$7-'Financial Analysis'!N$8)+CAPEX!$E$84*'Financial Analysis'!N$8</f>
        <v>611189.28451989091</v>
      </c>
      <c r="O127" s="53">
        <f>CAPEX!$C$84*('Financial Analysis'!O$6-'Financial Analysis'!O$7)+CAPEX!$D$84*('Financial Analysis'!O$7-'Financial Analysis'!O$8)+CAPEX!$E$84*'Financial Analysis'!O$8</f>
        <v>749807.3327370605</v>
      </c>
      <c r="P127" s="53">
        <f>CAPEX!$C$84*('Financial Analysis'!P$6-'Financial Analysis'!P$7)+CAPEX!$D$84*('Financial Analysis'!P$7-'Financial Analysis'!P$8)+CAPEX!$E$84*'Financial Analysis'!P$8</f>
        <v>749807.3327370605</v>
      </c>
      <c r="Q127" s="53">
        <f>CAPEX!$C$84*('Financial Analysis'!Q$6-'Financial Analysis'!Q$7)+CAPEX!$D$84*('Financial Analysis'!Q$7-'Financial Analysis'!Q$8)+CAPEX!$E$84*'Financial Analysis'!Q$8</f>
        <v>749807.3327370605</v>
      </c>
      <c r="R127" s="53">
        <f>CAPEX!$C$84*('Financial Analysis'!R$6-'Financial Analysis'!R$7)+CAPEX!$D$84*('Financial Analysis'!R$7-'Financial Analysis'!R$8)+CAPEX!$E$84*'Financial Analysis'!R$8</f>
        <v>749807.3327370605</v>
      </c>
      <c r="S127" s="53">
        <f>CAPEX!$C$84*('Financial Analysis'!S$6-'Financial Analysis'!S$7)+CAPEX!$D$84*('Financial Analysis'!S$7-'Financial Analysis'!S$8)+CAPEX!$E$84*'Financial Analysis'!S$8</f>
        <v>749807.3327370605</v>
      </c>
      <c r="T127" s="53">
        <f>CAPEX!$C$84*('Financial Analysis'!T$6-'Financial Analysis'!T$7)+CAPEX!$D$84*('Financial Analysis'!T$7-'Financial Analysis'!T$8)+CAPEX!$E$84*'Financial Analysis'!T$8</f>
        <v>749807.3327370605</v>
      </c>
      <c r="U127" s="53">
        <f>CAPEX!$C$84*('Financial Analysis'!U$6-'Financial Analysis'!U$7)+CAPEX!$D$84*('Financial Analysis'!U$7-'Financial Analysis'!U$8)+CAPEX!$E$84*'Financial Analysis'!U$8</f>
        <v>749807.3327370605</v>
      </c>
      <c r="V127" s="53">
        <f>CAPEX!$C$84*('Financial Analysis'!V$6-'Financial Analysis'!V$7)+CAPEX!$D$84*('Financial Analysis'!V$7-'Financial Analysis'!V$8)+CAPEX!$E$84*'Financial Analysis'!V$8</f>
        <v>749807.3327370605</v>
      </c>
      <c r="W127" s="53">
        <f>CAPEX!$C$84*('Financial Analysis'!W$6-'Financial Analysis'!W$7)+CAPEX!$D$84*('Financial Analysis'!W$7-'Financial Analysis'!W$8)+CAPEX!$E$84*'Financial Analysis'!W$8</f>
        <v>749807.3327370605</v>
      </c>
      <c r="X127" s="53">
        <f>CAPEX!$C$84*('Financial Analysis'!X$6-'Financial Analysis'!X$7)+CAPEX!$D$84*('Financial Analysis'!X$7-'Financial Analysis'!X$8)+CAPEX!$E$84*'Financial Analysis'!X$8</f>
        <v>749807.3327370605</v>
      </c>
      <c r="Y127" s="53">
        <f>CAPEX!$C$84*('Financial Analysis'!Y$6-'Financial Analysis'!Y$7)+CAPEX!$D$84*('Financial Analysis'!Y$7-'Financial Analysis'!Y$8)+CAPEX!$E$84*'Financial Analysis'!Y$8</f>
        <v>749807.3327370605</v>
      </c>
      <c r="Z127" s="53">
        <f>CAPEX!$C$84*('Financial Analysis'!Z$6-'Financial Analysis'!Z$7)+CAPEX!$D$84*('Financial Analysis'!Z$7-'Financial Analysis'!Z$8)+CAPEX!$E$84*'Financial Analysis'!Z$8</f>
        <v>749807.3327370605</v>
      </c>
      <c r="AA127" s="53">
        <f>CAPEX!$C$84*('Financial Analysis'!AA$6-'Financial Analysis'!AA$7)+CAPEX!$D$84*('Financial Analysis'!AA$7-'Financial Analysis'!AA$8)+CAPEX!$E$84*'Financial Analysis'!AA$8</f>
        <v>749807.3327370605</v>
      </c>
      <c r="AB127" s="53">
        <f>CAPEX!$C$84*('Financial Analysis'!AB$6-'Financial Analysis'!AB$7)+CAPEX!$D$84*('Financial Analysis'!AB$7-'Financial Analysis'!AB$8)+CAPEX!$E$84*'Financial Analysis'!AB$8</f>
        <v>749807.3327370605</v>
      </c>
      <c r="AC127" s="53">
        <f>CAPEX!$C$84*('Financial Analysis'!AC$6-'Financial Analysis'!AC$7)+CAPEX!$D$84*('Financial Analysis'!AC$7-'Financial Analysis'!AC$8)+CAPEX!$E$84*'Financial Analysis'!AC$8</f>
        <v>749807.3327370605</v>
      </c>
      <c r="AD127" s="53">
        <f>CAPEX!$C$84*('Financial Analysis'!AD$6-'Financial Analysis'!AD$7)+CAPEX!$D$84*('Financial Analysis'!AD$7-'Financial Analysis'!AD$8)+CAPEX!$E$84*'Financial Analysis'!AD$8</f>
        <v>749807.3327370605</v>
      </c>
      <c r="AE127" s="53">
        <f>CAPEX!$C$84*('Financial Analysis'!AE$6-'Financial Analysis'!AE$7)+CAPEX!$D$84*('Financial Analysis'!AE$7-'Financial Analysis'!AE$8)+CAPEX!$E$84*'Financial Analysis'!AE$8</f>
        <v>749807.3327370605</v>
      </c>
      <c r="AF127" s="53">
        <f>CAPEX!$C$84*('Financial Analysis'!AF$6-'Financial Analysis'!AF$7)+CAPEX!$D$84*('Financial Analysis'!AF$7-'Financial Analysis'!AF$8)+CAPEX!$E$84*'Financial Analysis'!AF$8</f>
        <v>749807.3327370605</v>
      </c>
      <c r="AG127" s="53">
        <f>CAPEX!$C$84*('Financial Analysis'!AG$6-'Financial Analysis'!AG$7)+CAPEX!$D$84*('Financial Analysis'!AG$7-'Financial Analysis'!AG$8)+CAPEX!$E$84*'Financial Analysis'!AG$8</f>
        <v>749807.3327370605</v>
      </c>
      <c r="AH127" s="53">
        <f>CAPEX!$C$84*('Financial Analysis'!AH$6-'Financial Analysis'!AH$7)+CAPEX!$D$84*('Financial Analysis'!AH$7-'Financial Analysis'!AH$8)+CAPEX!$E$84*'Financial Analysis'!AH$8</f>
        <v>749807.3327370605</v>
      </c>
      <c r="AI127" s="53">
        <f>CAPEX!$C$84*('Financial Analysis'!AI$6-'Financial Analysis'!AI$7)+CAPEX!$D$84*('Financial Analysis'!AI$7-'Financial Analysis'!AI$8)+CAPEX!$E$84*'Financial Analysis'!AI$8</f>
        <v>749807.3327370605</v>
      </c>
      <c r="AJ127" s="53">
        <f>CAPEX!$C$84*('Financial Analysis'!AJ$6-'Financial Analysis'!AJ$7)+CAPEX!$D$84*('Financial Analysis'!AJ$7-'Financial Analysis'!AJ$8)+CAPEX!$E$84*'Financial Analysis'!AJ$8</f>
        <v>749807.3327370605</v>
      </c>
      <c r="AK127" s="53">
        <f>CAPEX!$C$84*('Financial Analysis'!AK$6-'Financial Analysis'!AK$7)+CAPEX!$D$84*('Financial Analysis'!AK$7-'Financial Analysis'!AK$8)+CAPEX!$E$84*'Financial Analysis'!AK$8</f>
        <v>749807.3327370605</v>
      </c>
      <c r="AL127" s="53">
        <f>CAPEX!$C$84*('Financial Analysis'!AL$6-'Financial Analysis'!AL$7)+CAPEX!$D$84*('Financial Analysis'!AL$7-'Financial Analysis'!AL$8)+CAPEX!$E$84*'Financial Analysis'!AL$8</f>
        <v>749807.3327370605</v>
      </c>
      <c r="AM127" s="53">
        <f>CAPEX!$C$84*('Financial Analysis'!AM$6-'Financial Analysis'!AM$7)+CAPEX!$D$84*('Financial Analysis'!AM$7-'Financial Analysis'!AM$8)+CAPEX!$E$84*'Financial Analysis'!AM$8</f>
        <v>749807.3327370605</v>
      </c>
      <c r="AN127" s="53">
        <f>CAPEX!$C$84*('Financial Analysis'!AN$6-'Financial Analysis'!AN$7)+CAPEX!$D$84*('Financial Analysis'!AN$7-'Financial Analysis'!AN$8)+CAPEX!$E$84*'Financial Analysis'!AN$8</f>
        <v>749807.3327370605</v>
      </c>
      <c r="AO127" s="53">
        <f>CAPEX!$C$84*('Financial Analysis'!AO$6-'Financial Analysis'!AO$7)+CAPEX!$D$84*('Financial Analysis'!AO$7-'Financial Analysis'!AO$8)+CAPEX!$E$84*'Financial Analysis'!AO$8</f>
        <v>749807.3327370605</v>
      </c>
      <c r="AP127" s="53">
        <f>CAPEX!$C$84*('Financial Analysis'!AP$6-'Financial Analysis'!AP$7)+CAPEX!$D$84*('Financial Analysis'!AP$7-'Financial Analysis'!AP$8)+CAPEX!$E$84*'Financial Analysis'!AP$8</f>
        <v>749807.3327370605</v>
      </c>
      <c r="AQ127" s="53">
        <f>CAPEX!$C$84*('Financial Analysis'!AQ$6-'Financial Analysis'!AQ$7)+CAPEX!$D$84*('Financial Analysis'!AQ$7-'Financial Analysis'!AQ$8)+CAPEX!$E$84*'Financial Analysis'!AQ$8</f>
        <v>749807.3327370605</v>
      </c>
      <c r="AR127" s="53">
        <f>CAPEX!$C$84*('Financial Analysis'!AR$6-'Financial Analysis'!AR$7)+CAPEX!$D$84*('Financial Analysis'!AR$7-'Financial Analysis'!AR$8)+CAPEX!$E$84*'Financial Analysis'!AR$8</f>
        <v>749807.3327370605</v>
      </c>
      <c r="AS127" s="53">
        <f>CAPEX!$C$84*('Financial Analysis'!AS$6-'Financial Analysis'!AS$7)+CAPEX!$D$84*('Financial Analysis'!AS$7-'Financial Analysis'!AS$8)+CAPEX!$E$84*'Financial Analysis'!AS$8</f>
        <v>749807.3327370605</v>
      </c>
      <c r="AT127" s="53">
        <f>CAPEX!$C$84*('Financial Analysis'!AT$6-'Financial Analysis'!AT$7)+CAPEX!$D$84*('Financial Analysis'!AT$7-'Financial Analysis'!AT$8)+CAPEX!$E$84*'Financial Analysis'!AT$8</f>
        <v>749807.3327370605</v>
      </c>
      <c r="AU127" s="53">
        <f>CAPEX!$C$84*('Financial Analysis'!AU$6-'Financial Analysis'!AU$7)+CAPEX!$D$84*('Financial Analysis'!AU$7-'Financial Analysis'!AU$8)+CAPEX!$E$84*'Financial Analysis'!AU$8</f>
        <v>749807.3327370605</v>
      </c>
      <c r="AV127" s="53">
        <f>CAPEX!$C$84*('Financial Analysis'!AV$6-'Financial Analysis'!AV$7)+CAPEX!$D$84*('Financial Analysis'!AV$7-'Financial Analysis'!AV$8)+CAPEX!$E$84*'Financial Analysis'!AV$8</f>
        <v>749807.3327370605</v>
      </c>
      <c r="AW127" s="53">
        <f>CAPEX!$C$84*('Financial Analysis'!AW$6-'Financial Analysis'!AW$7)+CAPEX!$D$84*('Financial Analysis'!AW$7-'Financial Analysis'!AW$8)+CAPEX!$E$84*'Financial Analysis'!AW$8</f>
        <v>749807.3327370605</v>
      </c>
      <c r="AX127" s="53">
        <f>CAPEX!$C$84*('Financial Analysis'!AX$6-'Financial Analysis'!AX$7)+CAPEX!$D$84*('Financial Analysis'!AX$7-'Financial Analysis'!AX$8)+CAPEX!$E$84*'Financial Analysis'!AX$8</f>
        <v>749807.3327370605</v>
      </c>
      <c r="AY127" s="53">
        <f>CAPEX!$C$84*('Financial Analysis'!AY$6-'Financial Analysis'!AY$7)+CAPEX!$D$84*('Financial Analysis'!AY$7-'Financial Analysis'!AY$8)+CAPEX!$E$84*'Financial Analysis'!AY$8</f>
        <v>749807.3327370605</v>
      </c>
      <c r="AZ127" s="53">
        <f>CAPEX!$C$84*('Financial Analysis'!AZ$6-'Financial Analysis'!AZ$7)+CAPEX!$D$84*('Financial Analysis'!AZ$7-'Financial Analysis'!AZ$8)+CAPEX!$E$84*'Financial Analysis'!AZ$8</f>
        <v>749807.3327370605</v>
      </c>
      <c r="BA127" s="53">
        <f>CAPEX!$C$84*('Financial Analysis'!BA$6-'Financial Analysis'!BA$7)+CAPEX!$D$84*('Financial Analysis'!BA$7-'Financial Analysis'!BA$8)+CAPEX!$E$84*'Financial Analysis'!BA$8</f>
        <v>749807.3327370605</v>
      </c>
      <c r="BB127" s="53">
        <f>CAPEX!$C$84*('Financial Analysis'!BB$6-'Financial Analysis'!BB$7)+CAPEX!$D$84*('Financial Analysis'!BB$7-'Financial Analysis'!BB$8)+CAPEX!$E$84*'Financial Analysis'!BB$8</f>
        <v>749807.3327370605</v>
      </c>
      <c r="BC127" s="53">
        <f>CAPEX!$C$84*('Financial Analysis'!BC$6-'Financial Analysis'!BC$7)+CAPEX!$D$84*('Financial Analysis'!BC$7-'Financial Analysis'!BC$8)+CAPEX!$E$84*'Financial Analysis'!BC$8</f>
        <v>749807.3327370605</v>
      </c>
      <c r="BD127" s="53">
        <f>CAPEX!$C$84*('Financial Analysis'!BD$6-'Financial Analysis'!BD$7)+CAPEX!$D$84*('Financial Analysis'!BD$7-'Financial Analysis'!BD$8)+CAPEX!$E$84*'Financial Analysis'!BD$8</f>
        <v>749807.3327370605</v>
      </c>
      <c r="BE127" s="53">
        <f>CAPEX!$C$84*('Financial Analysis'!BE$6-'Financial Analysis'!BE$7)+CAPEX!$D$84*('Financial Analysis'!BE$7-'Financial Analysis'!BE$8)+CAPEX!$E$84*'Financial Analysis'!BE$8</f>
        <v>749807.3327370605</v>
      </c>
      <c r="BF127" s="53">
        <f>CAPEX!$C$84*('Financial Analysis'!BF$6-'Financial Analysis'!BF$7)+CAPEX!$D$84*('Financial Analysis'!BF$7-'Financial Analysis'!BF$8)+CAPEX!$E$84*'Financial Analysis'!BF$8</f>
        <v>749807.3327370605</v>
      </c>
      <c r="BG127" s="53">
        <f>CAPEX!$C$84*('Financial Analysis'!BG$6-'Financial Analysis'!BG$7)+CAPEX!$D$84*('Financial Analysis'!BG$7-'Financial Analysis'!BG$8)+CAPEX!$E$84*'Financial Analysis'!BG$8</f>
        <v>749807.3327370605</v>
      </c>
      <c r="BH127" s="53">
        <f>CAPEX!$C$84*('Financial Analysis'!BH$6-'Financial Analysis'!BH$7)+CAPEX!$D$84*('Financial Analysis'!BH$7-'Financial Analysis'!BH$8)+CAPEX!$E$84*'Financial Analysis'!BH$8</f>
        <v>749807.3327370605</v>
      </c>
      <c r="BI127" s="53">
        <f>CAPEX!$C$84*('Financial Analysis'!BI$6-'Financial Analysis'!BI$7)+CAPEX!$D$84*('Financial Analysis'!BI$7-'Financial Analysis'!BI$8)+CAPEX!$E$84*'Financial Analysis'!BI$8</f>
        <v>749807.3327370605</v>
      </c>
      <c r="BJ127" s="53">
        <f>CAPEX!$C$84*('Financial Analysis'!BJ$6-'Financial Analysis'!BJ$7)+CAPEX!$D$84*('Financial Analysis'!BJ$7-'Financial Analysis'!BJ$8)+CAPEX!$E$84*'Financial Analysis'!BJ$8</f>
        <v>749807.3327370605</v>
      </c>
      <c r="BK127" s="53">
        <f>CAPEX!$C$84*('Financial Analysis'!BK$6-'Financial Analysis'!BK$7)+CAPEX!$D$84*('Financial Analysis'!BK$7-'Financial Analysis'!BK$8)+CAPEX!$E$84*'Financial Analysis'!BK$8</f>
        <v>749807.3327370605</v>
      </c>
      <c r="BL127" s="53">
        <f>CAPEX!$C$84*('Financial Analysis'!BL$6-'Financial Analysis'!BL$7)+CAPEX!$D$84*('Financial Analysis'!BL$7-'Financial Analysis'!BL$8)+CAPEX!$E$84*'Financial Analysis'!BL$8</f>
        <v>749807.3327370605</v>
      </c>
    </row>
    <row r="128" spans="2:64">
      <c r="B128" s="146" t="s">
        <v>323</v>
      </c>
      <c r="E128" s="53" t="e">
        <f>CAPEX!$C$87*E12</f>
        <v>#REF!</v>
      </c>
      <c r="F128" s="53" t="e">
        <f>CAPEX!$C$87*F12</f>
        <v>#REF!</v>
      </c>
      <c r="G128" s="53" t="e">
        <f>CAPEX!$C$87*G12</f>
        <v>#REF!</v>
      </c>
      <c r="H128" s="53" t="e">
        <f>CAPEX!$C$87*H12</f>
        <v>#REF!</v>
      </c>
      <c r="I128" s="53" t="e">
        <f>CAPEX!$C$87*I12</f>
        <v>#REF!</v>
      </c>
      <c r="J128" s="53" t="e">
        <f>CAPEX!$C$87*J12</f>
        <v>#REF!</v>
      </c>
      <c r="K128" s="53" t="e">
        <f>CAPEX!$C$87*K12</f>
        <v>#REF!</v>
      </c>
      <c r="L128" s="53" t="e">
        <f>CAPEX!$C$87*L12</f>
        <v>#REF!</v>
      </c>
      <c r="M128" s="53" t="e">
        <f>CAPEX!$C$87*M12</f>
        <v>#REF!</v>
      </c>
      <c r="N128" s="53" t="e">
        <f>CAPEX!$C$87*N12</f>
        <v>#REF!</v>
      </c>
      <c r="O128" s="53" t="e">
        <f>CAPEX!$C$87*O12</f>
        <v>#REF!</v>
      </c>
      <c r="P128" s="53" t="e">
        <f>CAPEX!$C$87*P12</f>
        <v>#REF!</v>
      </c>
      <c r="Q128" s="53" t="e">
        <f>CAPEX!$C$87*Q12</f>
        <v>#REF!</v>
      </c>
      <c r="R128" s="53" t="e">
        <f>CAPEX!$C$87*R12</f>
        <v>#REF!</v>
      </c>
      <c r="S128" s="53" t="e">
        <f>CAPEX!$C$87*S12</f>
        <v>#REF!</v>
      </c>
      <c r="T128" s="53" t="e">
        <f>CAPEX!$C$87*T12</f>
        <v>#REF!</v>
      </c>
      <c r="U128" s="53" t="e">
        <f>CAPEX!$C$87*U12</f>
        <v>#REF!</v>
      </c>
      <c r="V128" s="53" t="e">
        <f>CAPEX!$C$87*V12</f>
        <v>#REF!</v>
      </c>
      <c r="W128" s="53" t="e">
        <f>CAPEX!$C$87*W12</f>
        <v>#REF!</v>
      </c>
      <c r="X128" s="53" t="e">
        <f>CAPEX!$C$87*X12</f>
        <v>#REF!</v>
      </c>
      <c r="Y128" s="53" t="e">
        <f>CAPEX!$C$87*Y12</f>
        <v>#REF!</v>
      </c>
      <c r="Z128" s="53" t="e">
        <f>CAPEX!$C$87*Z12</f>
        <v>#REF!</v>
      </c>
      <c r="AA128" s="53" t="e">
        <f>CAPEX!$C$87*AA12</f>
        <v>#REF!</v>
      </c>
      <c r="AB128" s="53" t="e">
        <f>CAPEX!$C$87*AB12</f>
        <v>#REF!</v>
      </c>
      <c r="AC128" s="53" t="e">
        <f>CAPEX!$C$87*AC12</f>
        <v>#REF!</v>
      </c>
      <c r="AD128" s="53" t="e">
        <f>CAPEX!$C$87*AD12</f>
        <v>#REF!</v>
      </c>
      <c r="AE128" s="53" t="e">
        <f>CAPEX!$C$87*AE12</f>
        <v>#REF!</v>
      </c>
      <c r="AF128" s="53" t="e">
        <f>CAPEX!$C$87*AF12</f>
        <v>#REF!</v>
      </c>
      <c r="AG128" s="53" t="e">
        <f>CAPEX!$C$87*AG12</f>
        <v>#REF!</v>
      </c>
      <c r="AH128" s="53" t="e">
        <f>CAPEX!$C$87*AH12</f>
        <v>#REF!</v>
      </c>
      <c r="AI128" s="53" t="e">
        <f>CAPEX!$C$87*AI12</f>
        <v>#REF!</v>
      </c>
      <c r="AJ128" s="53" t="e">
        <f>CAPEX!$C$87*AJ12</f>
        <v>#REF!</v>
      </c>
      <c r="AK128" s="53" t="e">
        <f>CAPEX!$C$87*AK12</f>
        <v>#REF!</v>
      </c>
      <c r="AL128" s="53" t="e">
        <f>CAPEX!$C$87*AL12</f>
        <v>#REF!</v>
      </c>
      <c r="AM128" s="53" t="e">
        <f>CAPEX!$C$87*AM12</f>
        <v>#REF!</v>
      </c>
      <c r="AN128" s="53" t="e">
        <f>CAPEX!$C$87*AN12</f>
        <v>#REF!</v>
      </c>
      <c r="AO128" s="53" t="e">
        <f>CAPEX!$C$87*AO12</f>
        <v>#REF!</v>
      </c>
      <c r="AP128" s="53" t="e">
        <f>CAPEX!$C$87*AP12</f>
        <v>#REF!</v>
      </c>
      <c r="AQ128" s="53" t="e">
        <f>CAPEX!$C$87*AQ12</f>
        <v>#REF!</v>
      </c>
      <c r="AR128" s="53" t="e">
        <f>CAPEX!$C$87*AR12</f>
        <v>#REF!</v>
      </c>
      <c r="AS128" s="53" t="e">
        <f>CAPEX!$C$87*AS12</f>
        <v>#REF!</v>
      </c>
      <c r="AT128" s="53" t="e">
        <f>CAPEX!$C$87*AT12</f>
        <v>#REF!</v>
      </c>
      <c r="AU128" s="53" t="e">
        <f>CAPEX!$C$87*AU12</f>
        <v>#REF!</v>
      </c>
      <c r="AV128" s="53" t="e">
        <f>CAPEX!$C$87*AV12</f>
        <v>#REF!</v>
      </c>
      <c r="AW128" s="53" t="e">
        <f>CAPEX!$C$87*AW12</f>
        <v>#REF!</v>
      </c>
      <c r="AX128" s="53" t="e">
        <f>CAPEX!$C$87*AX12</f>
        <v>#REF!</v>
      </c>
      <c r="AY128" s="53" t="e">
        <f>CAPEX!$C$87*AY12</f>
        <v>#REF!</v>
      </c>
      <c r="AZ128" s="53" t="e">
        <f>CAPEX!$C$87*AZ12</f>
        <v>#REF!</v>
      </c>
      <c r="BA128" s="53" t="e">
        <f>CAPEX!$C$87*BA12</f>
        <v>#REF!</v>
      </c>
      <c r="BB128" s="53" t="e">
        <f>CAPEX!$C$87*BB12</f>
        <v>#REF!</v>
      </c>
      <c r="BC128" s="53" t="e">
        <f>CAPEX!$C$87*BC12</f>
        <v>#REF!</v>
      </c>
      <c r="BD128" s="53" t="e">
        <f>CAPEX!$C$87*BD12</f>
        <v>#REF!</v>
      </c>
      <c r="BE128" s="53" t="e">
        <f>CAPEX!$C$87*BE12</f>
        <v>#REF!</v>
      </c>
      <c r="BF128" s="53" t="e">
        <f>CAPEX!$C$87*BF12</f>
        <v>#REF!</v>
      </c>
      <c r="BG128" s="53" t="e">
        <f>CAPEX!$C$87*BG12</f>
        <v>#REF!</v>
      </c>
      <c r="BH128" s="53" t="e">
        <f>CAPEX!$C$87*BH12</f>
        <v>#REF!</v>
      </c>
      <c r="BI128" s="53" t="e">
        <f>CAPEX!$C$87*BI12</f>
        <v>#REF!</v>
      </c>
      <c r="BJ128" s="53" t="e">
        <f>CAPEX!$C$87*BJ12</f>
        <v>#REF!</v>
      </c>
      <c r="BK128" s="53" t="e">
        <f>CAPEX!$C$87*BK12</f>
        <v>#REF!</v>
      </c>
      <c r="BL128" s="53" t="e">
        <f>CAPEX!$C$87*BL12</f>
        <v>#REF!</v>
      </c>
    </row>
    <row r="129" spans="2:64">
      <c r="B129" s="146" t="s">
        <v>256</v>
      </c>
      <c r="E129" s="53" t="e">
        <f>CAPEX!$C$90*('Financial Analysis'!E$6-'Financial Analysis'!E$7)+CAPEX!$D$90*('Financial Analysis'!E$7-'Financial Analysis'!E$8)+CAPEX!$E$90*'Financial Analysis'!E$8</f>
        <v>#REF!</v>
      </c>
      <c r="F129" s="53" t="e">
        <f>CAPEX!$C$90*('Financial Analysis'!F$6-'Financial Analysis'!F$7)+CAPEX!$D$90*('Financial Analysis'!F$7-'Financial Analysis'!F$8)+CAPEX!$E$90*'Financial Analysis'!F$8</f>
        <v>#REF!</v>
      </c>
      <c r="G129" s="53" t="e">
        <f>CAPEX!$C$90*('Financial Analysis'!G$6-'Financial Analysis'!G$7)+CAPEX!$D$90*('Financial Analysis'!G$7-'Financial Analysis'!G$8)+CAPEX!$E$90*'Financial Analysis'!G$8</f>
        <v>#REF!</v>
      </c>
      <c r="H129" s="53" t="e">
        <f>CAPEX!$C$90*('Financial Analysis'!H$6-'Financial Analysis'!H$7)+CAPEX!$D$90*('Financial Analysis'!H$7-'Financial Analysis'!H$8)+CAPEX!$E$90*'Financial Analysis'!H$8</f>
        <v>#REF!</v>
      </c>
      <c r="I129" s="53" t="e">
        <f>CAPEX!$C$90*('Financial Analysis'!I$6-'Financial Analysis'!I$7)+CAPEX!$D$90*('Financial Analysis'!I$7-'Financial Analysis'!I$8)+CAPEX!$E$90*'Financial Analysis'!I$8</f>
        <v>#REF!</v>
      </c>
      <c r="J129" s="53" t="e">
        <f>CAPEX!$C$90*('Financial Analysis'!J$6-'Financial Analysis'!J$7)+CAPEX!$D$90*('Financial Analysis'!J$7-'Financial Analysis'!J$8)+CAPEX!$E$90*'Financial Analysis'!J$8</f>
        <v>#REF!</v>
      </c>
      <c r="K129" s="53" t="e">
        <f>CAPEX!$C$90*('Financial Analysis'!K$6-'Financial Analysis'!K$7)+CAPEX!$D$90*('Financial Analysis'!K$7-'Financial Analysis'!K$8)+CAPEX!$E$90*'Financial Analysis'!K$8</f>
        <v>#REF!</v>
      </c>
      <c r="L129" s="53" t="e">
        <f>CAPEX!$C$90*('Financial Analysis'!L$6-'Financial Analysis'!L$7)+CAPEX!$D$90*('Financial Analysis'!L$7-'Financial Analysis'!L$8)+CAPEX!$E$90*'Financial Analysis'!L$8</f>
        <v>#REF!</v>
      </c>
      <c r="M129" s="53" t="e">
        <f>CAPEX!$C$90*('Financial Analysis'!M$6-'Financial Analysis'!M$7)+CAPEX!$D$90*('Financial Analysis'!M$7-'Financial Analysis'!M$8)+CAPEX!$E$90*'Financial Analysis'!M$8</f>
        <v>#REF!</v>
      </c>
      <c r="N129" s="53" t="e">
        <f>CAPEX!$C$90*('Financial Analysis'!N$6-'Financial Analysis'!N$7)+CAPEX!$D$90*('Financial Analysis'!N$7-'Financial Analysis'!N$8)+CAPEX!$E$90*'Financial Analysis'!N$8</f>
        <v>#REF!</v>
      </c>
      <c r="O129" s="53" t="e">
        <f>CAPEX!$C$90*('Financial Analysis'!O$6-'Financial Analysis'!O$7)+CAPEX!$D$90*('Financial Analysis'!O$7-'Financial Analysis'!O$8)+CAPEX!$E$90*'Financial Analysis'!O$8</f>
        <v>#REF!</v>
      </c>
      <c r="P129" s="53" t="e">
        <f>CAPEX!$C$90*('Financial Analysis'!P$6-'Financial Analysis'!P$7)+CAPEX!$D$90*('Financial Analysis'!P$7-'Financial Analysis'!P$8)+CAPEX!$E$90*'Financial Analysis'!P$8</f>
        <v>#REF!</v>
      </c>
      <c r="Q129" s="53" t="e">
        <f>CAPEX!$C$90*('Financial Analysis'!Q$6-'Financial Analysis'!Q$7)+CAPEX!$D$90*('Financial Analysis'!Q$7-'Financial Analysis'!Q$8)+CAPEX!$E$90*'Financial Analysis'!Q$8</f>
        <v>#REF!</v>
      </c>
      <c r="R129" s="53" t="e">
        <f>CAPEX!$C$90*('Financial Analysis'!R$6-'Financial Analysis'!R$7)+CAPEX!$D$90*('Financial Analysis'!R$7-'Financial Analysis'!R$8)+CAPEX!$E$90*'Financial Analysis'!R$8</f>
        <v>#REF!</v>
      </c>
      <c r="S129" s="53" t="e">
        <f>CAPEX!$C$90*('Financial Analysis'!S$6-'Financial Analysis'!S$7)+CAPEX!$D$90*('Financial Analysis'!S$7-'Financial Analysis'!S$8)+CAPEX!$E$90*'Financial Analysis'!S$8</f>
        <v>#REF!</v>
      </c>
      <c r="T129" s="53" t="e">
        <f>CAPEX!$C$90*('Financial Analysis'!T$6-'Financial Analysis'!T$7)+CAPEX!$D$90*('Financial Analysis'!T$7-'Financial Analysis'!T$8)+CAPEX!$E$90*'Financial Analysis'!T$8</f>
        <v>#REF!</v>
      </c>
      <c r="U129" s="53" t="e">
        <f>CAPEX!$C$90*('Financial Analysis'!U$6-'Financial Analysis'!U$7)+CAPEX!$D$90*('Financial Analysis'!U$7-'Financial Analysis'!U$8)+CAPEX!$E$90*'Financial Analysis'!U$8</f>
        <v>#REF!</v>
      </c>
      <c r="V129" s="53" t="e">
        <f>CAPEX!$C$90*('Financial Analysis'!V$6-'Financial Analysis'!V$7)+CAPEX!$D$90*('Financial Analysis'!V$7-'Financial Analysis'!V$8)+CAPEX!$E$90*'Financial Analysis'!V$8</f>
        <v>#REF!</v>
      </c>
      <c r="W129" s="53" t="e">
        <f>CAPEX!$C$90*('Financial Analysis'!W$6-'Financial Analysis'!W$7)+CAPEX!$D$90*('Financial Analysis'!W$7-'Financial Analysis'!W$8)+CAPEX!$E$90*'Financial Analysis'!W$8</f>
        <v>#REF!</v>
      </c>
      <c r="X129" s="53" t="e">
        <f>CAPEX!$C$90*('Financial Analysis'!X$6-'Financial Analysis'!X$7)+CAPEX!$D$90*('Financial Analysis'!X$7-'Financial Analysis'!X$8)+CAPEX!$E$90*'Financial Analysis'!X$8</f>
        <v>#REF!</v>
      </c>
      <c r="Y129" s="53" t="e">
        <f>CAPEX!$C$90*('Financial Analysis'!Y$6-'Financial Analysis'!Y$7)+CAPEX!$D$90*('Financial Analysis'!Y$7-'Financial Analysis'!Y$8)+CAPEX!$E$90*'Financial Analysis'!Y$8</f>
        <v>#REF!</v>
      </c>
      <c r="Z129" s="53" t="e">
        <f>CAPEX!$C$90*('Financial Analysis'!Z$6-'Financial Analysis'!Z$7)+CAPEX!$D$90*('Financial Analysis'!Z$7-'Financial Analysis'!Z$8)+CAPEX!$E$90*'Financial Analysis'!Z$8</f>
        <v>#REF!</v>
      </c>
      <c r="AA129" s="53" t="e">
        <f>CAPEX!$C$90*('Financial Analysis'!AA$6-'Financial Analysis'!AA$7)+CAPEX!$D$90*('Financial Analysis'!AA$7-'Financial Analysis'!AA$8)+CAPEX!$E$90*'Financial Analysis'!AA$8</f>
        <v>#REF!</v>
      </c>
      <c r="AB129" s="53" t="e">
        <f>CAPEX!$C$90*('Financial Analysis'!AB$6-'Financial Analysis'!AB$7)+CAPEX!$D$90*('Financial Analysis'!AB$7-'Financial Analysis'!AB$8)+CAPEX!$E$90*'Financial Analysis'!AB$8</f>
        <v>#REF!</v>
      </c>
      <c r="AC129" s="53" t="e">
        <f>CAPEX!$C$90*('Financial Analysis'!AC$6-'Financial Analysis'!AC$7)+CAPEX!$D$90*('Financial Analysis'!AC$7-'Financial Analysis'!AC$8)+CAPEX!$E$90*'Financial Analysis'!AC$8</f>
        <v>#REF!</v>
      </c>
      <c r="AD129" s="53" t="e">
        <f>CAPEX!$C$90*('Financial Analysis'!AD$6-'Financial Analysis'!AD$7)+CAPEX!$D$90*('Financial Analysis'!AD$7-'Financial Analysis'!AD$8)+CAPEX!$E$90*'Financial Analysis'!AD$8</f>
        <v>#REF!</v>
      </c>
      <c r="AE129" s="53" t="e">
        <f>CAPEX!$C$90*('Financial Analysis'!AE$6-'Financial Analysis'!AE$7)+CAPEX!$D$90*('Financial Analysis'!AE$7-'Financial Analysis'!AE$8)+CAPEX!$E$90*'Financial Analysis'!AE$8</f>
        <v>#REF!</v>
      </c>
      <c r="AF129" s="53" t="e">
        <f>CAPEX!$C$90*('Financial Analysis'!AF$6-'Financial Analysis'!AF$7)+CAPEX!$D$90*('Financial Analysis'!AF$7-'Financial Analysis'!AF$8)+CAPEX!$E$90*'Financial Analysis'!AF$8</f>
        <v>#REF!</v>
      </c>
      <c r="AG129" s="53" t="e">
        <f>CAPEX!$C$90*('Financial Analysis'!AG$6-'Financial Analysis'!AG$7)+CAPEX!$D$90*('Financial Analysis'!AG$7-'Financial Analysis'!AG$8)+CAPEX!$E$90*'Financial Analysis'!AG$8</f>
        <v>#REF!</v>
      </c>
      <c r="AH129" s="53" t="e">
        <f>CAPEX!$C$90*('Financial Analysis'!AH$6-'Financial Analysis'!AH$7)+CAPEX!$D$90*('Financial Analysis'!AH$7-'Financial Analysis'!AH$8)+CAPEX!$E$90*'Financial Analysis'!AH$8</f>
        <v>#REF!</v>
      </c>
      <c r="AI129" s="53" t="e">
        <f>CAPEX!$C$90*('Financial Analysis'!AI$6-'Financial Analysis'!AI$7)+CAPEX!$D$90*('Financial Analysis'!AI$7-'Financial Analysis'!AI$8)+CAPEX!$E$90*'Financial Analysis'!AI$8</f>
        <v>#REF!</v>
      </c>
      <c r="AJ129" s="53" t="e">
        <f>CAPEX!$C$90*('Financial Analysis'!AJ$6-'Financial Analysis'!AJ$7)+CAPEX!$D$90*('Financial Analysis'!AJ$7-'Financial Analysis'!AJ$8)+CAPEX!$E$90*'Financial Analysis'!AJ$8</f>
        <v>#REF!</v>
      </c>
      <c r="AK129" s="53" t="e">
        <f>CAPEX!$C$90*('Financial Analysis'!AK$6-'Financial Analysis'!AK$7)+CAPEX!$D$90*('Financial Analysis'!AK$7-'Financial Analysis'!AK$8)+CAPEX!$E$90*'Financial Analysis'!AK$8</f>
        <v>#REF!</v>
      </c>
      <c r="AL129" s="53" t="e">
        <f>CAPEX!$C$90*('Financial Analysis'!AL$6-'Financial Analysis'!AL$7)+CAPEX!$D$90*('Financial Analysis'!AL$7-'Financial Analysis'!AL$8)+CAPEX!$E$90*'Financial Analysis'!AL$8</f>
        <v>#REF!</v>
      </c>
      <c r="AM129" s="53" t="e">
        <f>CAPEX!$C$90*('Financial Analysis'!AM$6-'Financial Analysis'!AM$7)+CAPEX!$D$90*('Financial Analysis'!AM$7-'Financial Analysis'!AM$8)+CAPEX!$E$90*'Financial Analysis'!AM$8</f>
        <v>#REF!</v>
      </c>
      <c r="AN129" s="53" t="e">
        <f>CAPEX!$C$90*('Financial Analysis'!AN$6-'Financial Analysis'!AN$7)+CAPEX!$D$90*('Financial Analysis'!AN$7-'Financial Analysis'!AN$8)+CAPEX!$E$90*'Financial Analysis'!AN$8</f>
        <v>#REF!</v>
      </c>
      <c r="AO129" s="53" t="e">
        <f>CAPEX!$C$90*('Financial Analysis'!AO$6-'Financial Analysis'!AO$7)+CAPEX!$D$90*('Financial Analysis'!AO$7-'Financial Analysis'!AO$8)+CAPEX!$E$90*'Financial Analysis'!AO$8</f>
        <v>#REF!</v>
      </c>
      <c r="AP129" s="53" t="e">
        <f>CAPEX!$C$90*('Financial Analysis'!AP$6-'Financial Analysis'!AP$7)+CAPEX!$D$90*('Financial Analysis'!AP$7-'Financial Analysis'!AP$8)+CAPEX!$E$90*'Financial Analysis'!AP$8</f>
        <v>#REF!</v>
      </c>
      <c r="AQ129" s="53" t="e">
        <f>CAPEX!$C$90*('Financial Analysis'!AQ$6-'Financial Analysis'!AQ$7)+CAPEX!$D$90*('Financial Analysis'!AQ$7-'Financial Analysis'!AQ$8)+CAPEX!$E$90*'Financial Analysis'!AQ$8</f>
        <v>#REF!</v>
      </c>
      <c r="AR129" s="53" t="e">
        <f>CAPEX!$C$90*('Financial Analysis'!AR$6-'Financial Analysis'!AR$7)+CAPEX!$D$90*('Financial Analysis'!AR$7-'Financial Analysis'!AR$8)+CAPEX!$E$90*'Financial Analysis'!AR$8</f>
        <v>#REF!</v>
      </c>
      <c r="AS129" s="53" t="e">
        <f>CAPEX!$C$90*('Financial Analysis'!AS$6-'Financial Analysis'!AS$7)+CAPEX!$D$90*('Financial Analysis'!AS$7-'Financial Analysis'!AS$8)+CAPEX!$E$90*'Financial Analysis'!AS$8</f>
        <v>#REF!</v>
      </c>
      <c r="AT129" s="53" t="e">
        <f>CAPEX!$C$90*('Financial Analysis'!AT$6-'Financial Analysis'!AT$7)+CAPEX!$D$90*('Financial Analysis'!AT$7-'Financial Analysis'!AT$8)+CAPEX!$E$90*'Financial Analysis'!AT$8</f>
        <v>#REF!</v>
      </c>
      <c r="AU129" s="53" t="e">
        <f>CAPEX!$C$90*('Financial Analysis'!AU$6-'Financial Analysis'!AU$7)+CAPEX!$D$90*('Financial Analysis'!AU$7-'Financial Analysis'!AU$8)+CAPEX!$E$90*'Financial Analysis'!AU$8</f>
        <v>#REF!</v>
      </c>
      <c r="AV129" s="53" t="e">
        <f>CAPEX!$C$90*('Financial Analysis'!AV$6-'Financial Analysis'!AV$7)+CAPEX!$D$90*('Financial Analysis'!AV$7-'Financial Analysis'!AV$8)+CAPEX!$E$90*'Financial Analysis'!AV$8</f>
        <v>#REF!</v>
      </c>
      <c r="AW129" s="53" t="e">
        <f>CAPEX!$C$90*('Financial Analysis'!AW$6-'Financial Analysis'!AW$7)+CAPEX!$D$90*('Financial Analysis'!AW$7-'Financial Analysis'!AW$8)+CAPEX!$E$90*'Financial Analysis'!AW$8</f>
        <v>#REF!</v>
      </c>
      <c r="AX129" s="53" t="e">
        <f>CAPEX!$C$90*('Financial Analysis'!AX$6-'Financial Analysis'!AX$7)+CAPEX!$D$90*('Financial Analysis'!AX$7-'Financial Analysis'!AX$8)+CAPEX!$E$90*'Financial Analysis'!AX$8</f>
        <v>#REF!</v>
      </c>
      <c r="AY129" s="53" t="e">
        <f>CAPEX!$C$90*('Financial Analysis'!AY$6-'Financial Analysis'!AY$7)+CAPEX!$D$90*('Financial Analysis'!AY$7-'Financial Analysis'!AY$8)+CAPEX!$E$90*'Financial Analysis'!AY$8</f>
        <v>#REF!</v>
      </c>
      <c r="AZ129" s="53" t="e">
        <f>CAPEX!$C$90*('Financial Analysis'!AZ$6-'Financial Analysis'!AZ$7)+CAPEX!$D$90*('Financial Analysis'!AZ$7-'Financial Analysis'!AZ$8)+CAPEX!$E$90*'Financial Analysis'!AZ$8</f>
        <v>#REF!</v>
      </c>
      <c r="BA129" s="53" t="e">
        <f>CAPEX!$C$90*('Financial Analysis'!BA$6-'Financial Analysis'!BA$7)+CAPEX!$D$90*('Financial Analysis'!BA$7-'Financial Analysis'!BA$8)+CAPEX!$E$90*'Financial Analysis'!BA$8</f>
        <v>#REF!</v>
      </c>
      <c r="BB129" s="53" t="e">
        <f>CAPEX!$C$90*('Financial Analysis'!BB$6-'Financial Analysis'!BB$7)+CAPEX!$D$90*('Financial Analysis'!BB$7-'Financial Analysis'!BB$8)+CAPEX!$E$90*'Financial Analysis'!BB$8</f>
        <v>#REF!</v>
      </c>
      <c r="BC129" s="53" t="e">
        <f>CAPEX!$C$90*('Financial Analysis'!BC$6-'Financial Analysis'!BC$7)+CAPEX!$D$90*('Financial Analysis'!BC$7-'Financial Analysis'!BC$8)+CAPEX!$E$90*'Financial Analysis'!BC$8</f>
        <v>#REF!</v>
      </c>
      <c r="BD129" s="53" t="e">
        <f>CAPEX!$C$90*('Financial Analysis'!BD$6-'Financial Analysis'!BD$7)+CAPEX!$D$90*('Financial Analysis'!BD$7-'Financial Analysis'!BD$8)+CAPEX!$E$90*'Financial Analysis'!BD$8</f>
        <v>#REF!</v>
      </c>
      <c r="BE129" s="53" t="e">
        <f>CAPEX!$C$90*('Financial Analysis'!BE$6-'Financial Analysis'!BE$7)+CAPEX!$D$90*('Financial Analysis'!BE$7-'Financial Analysis'!BE$8)+CAPEX!$E$90*'Financial Analysis'!BE$8</f>
        <v>#REF!</v>
      </c>
      <c r="BF129" s="53" t="e">
        <f>CAPEX!$C$90*('Financial Analysis'!BF$6-'Financial Analysis'!BF$7)+CAPEX!$D$90*('Financial Analysis'!BF$7-'Financial Analysis'!BF$8)+CAPEX!$E$90*'Financial Analysis'!BF$8</f>
        <v>#REF!</v>
      </c>
      <c r="BG129" s="53" t="e">
        <f>CAPEX!$C$90*('Financial Analysis'!BG$6-'Financial Analysis'!BG$7)+CAPEX!$D$90*('Financial Analysis'!BG$7-'Financial Analysis'!BG$8)+CAPEX!$E$90*'Financial Analysis'!BG$8</f>
        <v>#REF!</v>
      </c>
      <c r="BH129" s="53" t="e">
        <f>CAPEX!$C$90*('Financial Analysis'!BH$6-'Financial Analysis'!BH$7)+CAPEX!$D$90*('Financial Analysis'!BH$7-'Financial Analysis'!BH$8)+CAPEX!$E$90*'Financial Analysis'!BH$8</f>
        <v>#REF!</v>
      </c>
      <c r="BI129" s="53" t="e">
        <f>CAPEX!$C$90*('Financial Analysis'!BI$6-'Financial Analysis'!BI$7)+CAPEX!$D$90*('Financial Analysis'!BI$7-'Financial Analysis'!BI$8)+CAPEX!$E$90*'Financial Analysis'!BI$8</f>
        <v>#REF!</v>
      </c>
      <c r="BJ129" s="53" t="e">
        <f>CAPEX!$C$90*('Financial Analysis'!BJ$6-'Financial Analysis'!BJ$7)+CAPEX!$D$90*('Financial Analysis'!BJ$7-'Financial Analysis'!BJ$8)+CAPEX!$E$90*'Financial Analysis'!BJ$8</f>
        <v>#REF!</v>
      </c>
      <c r="BK129" s="53" t="e">
        <f>CAPEX!$C$90*('Financial Analysis'!BK$6-'Financial Analysis'!BK$7)+CAPEX!$D$90*('Financial Analysis'!BK$7-'Financial Analysis'!BK$8)+CAPEX!$E$90*'Financial Analysis'!BK$8</f>
        <v>#REF!</v>
      </c>
      <c r="BL129" s="53" t="e">
        <f>CAPEX!$C$90*('Financial Analysis'!BL$6-'Financial Analysis'!BL$7)+CAPEX!$D$90*('Financial Analysis'!BL$7-'Financial Analysis'!BL$8)+CAPEX!$E$90*'Financial Analysis'!BL$8</f>
        <v>#REF!</v>
      </c>
    </row>
    <row r="132" spans="2:64">
      <c r="B132" s="145" t="s">
        <v>462</v>
      </c>
    </row>
    <row r="133" spans="2:64">
      <c r="B133" s="212" t="s">
        <v>415</v>
      </c>
    </row>
    <row r="134" spans="2:64">
      <c r="B134" s="146" t="s">
        <v>463</v>
      </c>
      <c r="E134" s="100" t="e">
        <f>E18*E70</f>
        <v>#REF!</v>
      </c>
      <c r="F134" s="100" t="e">
        <f>F18*F70</f>
        <v>#REF!</v>
      </c>
      <c r="G134" s="100" t="e">
        <f>G18*G70</f>
        <v>#REF!</v>
      </c>
      <c r="H134" s="100" t="e">
        <f>H18*H70</f>
        <v>#REF!</v>
      </c>
      <c r="I134" s="100" t="e">
        <f>I18*I70</f>
        <v>#REF!</v>
      </c>
      <c r="J134" s="100" t="e">
        <f>J18*J70</f>
        <v>#REF!</v>
      </c>
      <c r="K134" s="100" t="e">
        <f>K18*K70</f>
        <v>#REF!</v>
      </c>
      <c r="L134" s="100" t="e">
        <f>L18*L70</f>
        <v>#REF!</v>
      </c>
      <c r="M134" s="100" t="e">
        <f>M18*M70</f>
        <v>#REF!</v>
      </c>
      <c r="N134" s="100" t="e">
        <f>N18*N70</f>
        <v>#REF!</v>
      </c>
      <c r="O134" s="100" t="e">
        <f>O18*O70</f>
        <v>#REF!</v>
      </c>
      <c r="P134" s="100" t="e">
        <f>P18*P70</f>
        <v>#REF!</v>
      </c>
      <c r="Q134" s="100" t="e">
        <f>Q18*Q70</f>
        <v>#REF!</v>
      </c>
      <c r="R134" s="100" t="e">
        <f>R18*R70</f>
        <v>#REF!</v>
      </c>
      <c r="S134" s="100" t="e">
        <f>S18*S70</f>
        <v>#REF!</v>
      </c>
      <c r="T134" s="100" t="e">
        <f>T18*T70</f>
        <v>#REF!</v>
      </c>
      <c r="U134" s="100" t="e">
        <f>U18*U70</f>
        <v>#REF!</v>
      </c>
      <c r="V134" s="100" t="e">
        <f>V18*V70</f>
        <v>#REF!</v>
      </c>
      <c r="W134" s="100" t="e">
        <f>W18*W70</f>
        <v>#REF!</v>
      </c>
      <c r="X134" s="100" t="e">
        <f>X18*X70</f>
        <v>#REF!</v>
      </c>
      <c r="Y134" s="100" t="e">
        <f>Y18*Y70</f>
        <v>#REF!</v>
      </c>
      <c r="Z134" s="100" t="e">
        <f>Z18*Z70</f>
        <v>#REF!</v>
      </c>
      <c r="AA134" s="100" t="e">
        <f>AA18*AA70</f>
        <v>#REF!</v>
      </c>
      <c r="AB134" s="100" t="e">
        <f>AB18*AB70</f>
        <v>#REF!</v>
      </c>
      <c r="AC134" s="100" t="e">
        <f>AC18*AC70</f>
        <v>#REF!</v>
      </c>
      <c r="AD134" s="100" t="e">
        <f>AD18*AD70</f>
        <v>#REF!</v>
      </c>
      <c r="AE134" s="100" t="e">
        <f>AE18*AE70</f>
        <v>#REF!</v>
      </c>
      <c r="AF134" s="100" t="e">
        <f>AF18*AF70</f>
        <v>#REF!</v>
      </c>
      <c r="AG134" s="100" t="e">
        <f>AG18*AG70</f>
        <v>#REF!</v>
      </c>
      <c r="AH134" s="100" t="e">
        <f>AH18*AH70</f>
        <v>#REF!</v>
      </c>
      <c r="AI134" s="100" t="e">
        <f>AI18*AI70</f>
        <v>#REF!</v>
      </c>
      <c r="AJ134" s="100" t="e">
        <f>AJ18*AJ70</f>
        <v>#REF!</v>
      </c>
      <c r="AK134" s="100" t="e">
        <f>AK18*AK70</f>
        <v>#REF!</v>
      </c>
      <c r="AL134" s="100" t="e">
        <f>AL18*AL70</f>
        <v>#REF!</v>
      </c>
      <c r="AM134" s="100" t="e">
        <f>AM18*AM70</f>
        <v>#REF!</v>
      </c>
      <c r="AN134" s="100" t="e">
        <f>AN18*AN70</f>
        <v>#REF!</v>
      </c>
      <c r="AO134" s="100" t="e">
        <f>AO18*AO70</f>
        <v>#REF!</v>
      </c>
      <c r="AP134" s="100" t="e">
        <f>AP18*AP70</f>
        <v>#REF!</v>
      </c>
      <c r="AQ134" s="100" t="e">
        <f>AQ18*AQ70</f>
        <v>#REF!</v>
      </c>
      <c r="AR134" s="100" t="e">
        <f>AR18*AR70</f>
        <v>#REF!</v>
      </c>
      <c r="AS134" s="100" t="e">
        <f>AS18*AS70</f>
        <v>#REF!</v>
      </c>
      <c r="AT134" s="100" t="e">
        <f>AT18*AT70</f>
        <v>#REF!</v>
      </c>
      <c r="AU134" s="100" t="e">
        <f>AU18*AU70</f>
        <v>#REF!</v>
      </c>
      <c r="AV134" s="100" t="e">
        <f>AV18*AV70</f>
        <v>#REF!</v>
      </c>
      <c r="AW134" s="100" t="e">
        <f>AW18*AW70</f>
        <v>#REF!</v>
      </c>
      <c r="AX134" s="100" t="e">
        <f>AX18*AX70</f>
        <v>#REF!</v>
      </c>
      <c r="AY134" s="100" t="e">
        <f>AY18*AY70</f>
        <v>#REF!</v>
      </c>
      <c r="AZ134" s="100" t="e">
        <f>AZ18*AZ70</f>
        <v>#REF!</v>
      </c>
      <c r="BA134" s="100" t="e">
        <f>BA18*BA70</f>
        <v>#REF!</v>
      </c>
      <c r="BB134" s="100" t="e">
        <f>BB18*BB70</f>
        <v>#REF!</v>
      </c>
      <c r="BC134" s="100" t="e">
        <f>BC18*BC70</f>
        <v>#REF!</v>
      </c>
      <c r="BD134" s="100" t="e">
        <f>BD18*BD70</f>
        <v>#REF!</v>
      </c>
      <c r="BE134" s="100" t="e">
        <f>BE18*BE70</f>
        <v>#REF!</v>
      </c>
      <c r="BF134" s="100" t="e">
        <f>BF18*BF70</f>
        <v>#REF!</v>
      </c>
      <c r="BG134" s="100" t="e">
        <f>BG18*BG70</f>
        <v>#REF!</v>
      </c>
      <c r="BH134" s="100" t="e">
        <f>BH18*BH70</f>
        <v>#REF!</v>
      </c>
      <c r="BI134" s="100" t="e">
        <f>BI18*BI70</f>
        <v>#REF!</v>
      </c>
      <c r="BJ134" s="100" t="e">
        <f>BJ18*BJ70</f>
        <v>#REF!</v>
      </c>
      <c r="BK134" s="100" t="e">
        <f>BK18*BK70</f>
        <v>#REF!</v>
      </c>
      <c r="BL134" s="100" t="e">
        <f>BL18*BL70</f>
        <v>#REF!</v>
      </c>
    </row>
    <row r="135" spans="2:64">
      <c r="B135" s="146" t="s">
        <v>464</v>
      </c>
      <c r="E135" s="69">
        <f>SUM(E106:E108)*E70</f>
        <v>0</v>
      </c>
      <c r="F135" s="69">
        <f>SUM(F106:F108)*F70</f>
        <v>0</v>
      </c>
      <c r="G135" s="69">
        <f>SUM(G106:G108)*G70</f>
        <v>0</v>
      </c>
      <c r="H135" s="69">
        <f>SUM(H106:H108)*H70</f>
        <v>0</v>
      </c>
      <c r="I135" s="69">
        <f>SUM(I106:I108)*I70</f>
        <v>0</v>
      </c>
      <c r="J135" s="69">
        <f>SUM(J106:J108)*J70</f>
        <v>0</v>
      </c>
      <c r="K135" s="69">
        <f>SUM(K106:K108)*K70</f>
        <v>0</v>
      </c>
      <c r="L135" s="69">
        <f>SUM(L106:L108)*L70</f>
        <v>0</v>
      </c>
      <c r="M135" s="69">
        <f>SUM(M106:M108)*M70</f>
        <v>0</v>
      </c>
      <c r="N135" s="69">
        <f>SUM(N106:N108)*N70</f>
        <v>0</v>
      </c>
      <c r="O135" s="69">
        <f>SUM(O106:O108)*O70</f>
        <v>0</v>
      </c>
      <c r="P135" s="69">
        <f>SUM(P106:P108)*P70</f>
        <v>0</v>
      </c>
      <c r="Q135" s="69">
        <f>SUM(Q106:Q108)*Q70</f>
        <v>0</v>
      </c>
      <c r="R135" s="69">
        <f>SUM(R106:R108)*R70</f>
        <v>0</v>
      </c>
      <c r="S135" s="69">
        <f>SUM(S106:S108)*S70</f>
        <v>0</v>
      </c>
      <c r="T135" s="69">
        <f>SUM(T106:T108)*T70</f>
        <v>0</v>
      </c>
      <c r="U135" s="69">
        <f>SUM(U106:U108)*U70</f>
        <v>0</v>
      </c>
      <c r="V135" s="69">
        <f>SUM(V106:V108)*V70</f>
        <v>0</v>
      </c>
      <c r="W135" s="69">
        <f>SUM(W106:W108)*W70</f>
        <v>0</v>
      </c>
      <c r="X135" s="69">
        <f>SUM(X106:X108)*X70</f>
        <v>0</v>
      </c>
      <c r="Y135" s="69">
        <f>SUM(Y106:Y108)*Y70</f>
        <v>0</v>
      </c>
      <c r="Z135" s="69">
        <f>SUM(Z106:Z108)*Z70</f>
        <v>0</v>
      </c>
      <c r="AA135" s="69">
        <f>SUM(AA106:AA108)*AA70</f>
        <v>0</v>
      </c>
      <c r="AB135" s="69">
        <f>SUM(AB106:AB108)*AB70</f>
        <v>0</v>
      </c>
      <c r="AC135" s="69">
        <f>SUM(AC106:AC108)*AC70</f>
        <v>0</v>
      </c>
      <c r="AD135" s="69">
        <f>SUM(AD106:AD108)*AD70</f>
        <v>0</v>
      </c>
      <c r="AE135" s="69">
        <f>SUM(AE106:AE108)*AE70</f>
        <v>0</v>
      </c>
      <c r="AF135" s="69">
        <f>SUM(AF106:AF108)*AF70</f>
        <v>0</v>
      </c>
      <c r="AG135" s="69">
        <f>SUM(AG106:AG108)*AG70</f>
        <v>0</v>
      </c>
      <c r="AH135" s="69">
        <f>SUM(AH106:AH108)*AH70</f>
        <v>0</v>
      </c>
      <c r="AI135" s="69">
        <f>SUM(AI106:AI108)*AI70</f>
        <v>0</v>
      </c>
      <c r="AJ135" s="69">
        <f>SUM(AJ106:AJ108)*AJ70</f>
        <v>0</v>
      </c>
      <c r="AK135" s="69">
        <f>SUM(AK106:AK108)*AK70</f>
        <v>0</v>
      </c>
      <c r="AL135" s="69">
        <f>SUM(AL106:AL108)*AL70</f>
        <v>0</v>
      </c>
      <c r="AM135" s="69">
        <f>SUM(AM106:AM108)*AM70</f>
        <v>0</v>
      </c>
      <c r="AN135" s="69">
        <f>SUM(AN106:AN108)*AN70</f>
        <v>0</v>
      </c>
      <c r="AO135" s="69">
        <f>SUM(AO106:AO108)*AO70</f>
        <v>0</v>
      </c>
      <c r="AP135" s="69">
        <f>SUM(AP106:AP108)*AP70</f>
        <v>0</v>
      </c>
      <c r="AQ135" s="69">
        <f>SUM(AQ106:AQ108)*AQ70</f>
        <v>0</v>
      </c>
      <c r="AR135" s="69">
        <f>SUM(AR106:AR108)*AR70</f>
        <v>0</v>
      </c>
      <c r="AS135" s="69">
        <f>SUM(AS106:AS108)*AS70</f>
        <v>0</v>
      </c>
      <c r="AT135" s="69">
        <f>SUM(AT106:AT108)*AT70</f>
        <v>0</v>
      </c>
      <c r="AU135" s="69">
        <f>SUM(AU106:AU108)*AU70</f>
        <v>0</v>
      </c>
      <c r="AV135" s="69">
        <f>SUM(AV106:AV108)*AV70</f>
        <v>0</v>
      </c>
      <c r="AW135" s="69">
        <f>SUM(AW106:AW108)*AW70</f>
        <v>0</v>
      </c>
      <c r="AX135" s="69">
        <f>SUM(AX106:AX108)*AX70</f>
        <v>0</v>
      </c>
      <c r="AY135" s="69">
        <f>SUM(AY106:AY108)*AY70</f>
        <v>0</v>
      </c>
      <c r="AZ135" s="69">
        <f>SUM(AZ106:AZ108)*AZ70</f>
        <v>0</v>
      </c>
      <c r="BA135" s="69">
        <f>SUM(BA106:BA108)*BA70</f>
        <v>0</v>
      </c>
      <c r="BB135" s="69">
        <f>SUM(BB106:BB108)*BB70</f>
        <v>0</v>
      </c>
      <c r="BC135" s="69">
        <f>SUM(BC106:BC108)*BC70</f>
        <v>0</v>
      </c>
      <c r="BD135" s="69">
        <f>SUM(BD106:BD108)*BD70</f>
        <v>0</v>
      </c>
      <c r="BE135" s="69">
        <f>SUM(BE106:BE108)*BE70</f>
        <v>0</v>
      </c>
      <c r="BF135" s="69">
        <f>SUM(BF106:BF108)*BF70</f>
        <v>0</v>
      </c>
      <c r="BG135" s="69">
        <f>SUM(BG106:BG108)*BG70</f>
        <v>0</v>
      </c>
      <c r="BH135" s="69">
        <f>SUM(BH106:BH108)*BH70</f>
        <v>0</v>
      </c>
      <c r="BI135" s="69">
        <f>SUM(BI106:BI108)*BI70</f>
        <v>0</v>
      </c>
      <c r="BJ135" s="69">
        <f>SUM(BJ106:BJ108)*BJ70</f>
        <v>0</v>
      </c>
      <c r="BK135" s="69">
        <f>SUM(BK106:BK108)*BK70</f>
        <v>0</v>
      </c>
      <c r="BL135" s="69">
        <f>SUM(BL106:BL108)*BL70</f>
        <v>0</v>
      </c>
    </row>
    <row r="136" spans="2:64">
      <c r="B136" s="146" t="s">
        <v>465</v>
      </c>
      <c r="E136" s="69">
        <f>E109*E70</f>
        <v>0</v>
      </c>
      <c r="F136" s="69">
        <f>F109*F70</f>
        <v>0</v>
      </c>
      <c r="G136" s="69">
        <f>G109*G70</f>
        <v>0</v>
      </c>
      <c r="H136" s="69">
        <f>H109*H70</f>
        <v>0</v>
      </c>
      <c r="I136" s="69">
        <f>I109*I70</f>
        <v>0</v>
      </c>
      <c r="J136" s="69">
        <f>J109*J70</f>
        <v>0</v>
      </c>
      <c r="K136" s="69">
        <f>K109*K70</f>
        <v>0</v>
      </c>
      <c r="L136" s="69">
        <f>L109*L70</f>
        <v>0</v>
      </c>
      <c r="M136" s="69">
        <f>M109*M70</f>
        <v>0</v>
      </c>
      <c r="N136" s="69">
        <f>N109*N70</f>
        <v>0</v>
      </c>
      <c r="O136" s="69">
        <f>O109*O70</f>
        <v>0</v>
      </c>
      <c r="P136" s="69">
        <f>P109*P70</f>
        <v>0</v>
      </c>
      <c r="Q136" s="69">
        <f>Q109*Q70</f>
        <v>0</v>
      </c>
      <c r="R136" s="69">
        <f>R109*R70</f>
        <v>0</v>
      </c>
      <c r="S136" s="69">
        <f>S109*S70</f>
        <v>0</v>
      </c>
      <c r="T136" s="69">
        <f>T109*T70</f>
        <v>0</v>
      </c>
      <c r="U136" s="69">
        <f>U109*U70</f>
        <v>0</v>
      </c>
      <c r="V136" s="69">
        <f>V109*V70</f>
        <v>0</v>
      </c>
      <c r="W136" s="69">
        <f>W109*W70</f>
        <v>0</v>
      </c>
      <c r="X136" s="69">
        <f>X109*X70</f>
        <v>0</v>
      </c>
      <c r="Y136" s="69">
        <f>Y109*Y70</f>
        <v>0</v>
      </c>
      <c r="Z136" s="69">
        <f>Z109*Z70</f>
        <v>0</v>
      </c>
      <c r="AA136" s="69">
        <f>AA109*AA70</f>
        <v>0</v>
      </c>
      <c r="AB136" s="69">
        <f>AB109*AB70</f>
        <v>0</v>
      </c>
      <c r="AC136" s="69">
        <f>AC109*AC70</f>
        <v>0</v>
      </c>
      <c r="AD136" s="69">
        <f>AD109*AD70</f>
        <v>0</v>
      </c>
      <c r="AE136" s="69">
        <f>AE109*AE70</f>
        <v>0</v>
      </c>
      <c r="AF136" s="69">
        <f>AF109*AF70</f>
        <v>0</v>
      </c>
      <c r="AG136" s="69">
        <f>AG109*AG70</f>
        <v>0</v>
      </c>
      <c r="AH136" s="69">
        <f>AH109*AH70</f>
        <v>0</v>
      </c>
      <c r="AI136" s="69">
        <f>AI109*AI70</f>
        <v>0</v>
      </c>
      <c r="AJ136" s="69">
        <f>AJ109*AJ70</f>
        <v>0</v>
      </c>
      <c r="AK136" s="69">
        <f>AK109*AK70</f>
        <v>0</v>
      </c>
      <c r="AL136" s="69">
        <f>AL109*AL70</f>
        <v>0</v>
      </c>
      <c r="AM136" s="69">
        <f>AM109*AM70</f>
        <v>0</v>
      </c>
      <c r="AN136" s="69">
        <f>AN109*AN70</f>
        <v>0</v>
      </c>
      <c r="AO136" s="69">
        <f>AO109*AO70</f>
        <v>0</v>
      </c>
      <c r="AP136" s="69">
        <f>AP109*AP70</f>
        <v>0</v>
      </c>
      <c r="AQ136" s="69">
        <f>AQ109*AQ70</f>
        <v>0</v>
      </c>
      <c r="AR136" s="69">
        <f>AR109*AR70</f>
        <v>0</v>
      </c>
      <c r="AS136" s="69">
        <f>AS109*AS70</f>
        <v>0</v>
      </c>
      <c r="AT136" s="69">
        <f>AT109*AT70</f>
        <v>0</v>
      </c>
      <c r="AU136" s="69">
        <f>AU109*AU70</f>
        <v>0</v>
      </c>
      <c r="AV136" s="69">
        <f>AV109*AV70</f>
        <v>0</v>
      </c>
      <c r="AW136" s="69">
        <f>AW109*AW70</f>
        <v>0</v>
      </c>
      <c r="AX136" s="69">
        <f>AX109*AX70</f>
        <v>0</v>
      </c>
      <c r="AY136" s="69">
        <f>AY109*AY70</f>
        <v>0</v>
      </c>
      <c r="AZ136" s="69">
        <f>AZ109*AZ70</f>
        <v>0</v>
      </c>
      <c r="BA136" s="69">
        <f>BA109*BA70</f>
        <v>0</v>
      </c>
      <c r="BB136" s="69">
        <f>BB109*BB70</f>
        <v>0</v>
      </c>
      <c r="BC136" s="69">
        <f>BC109*BC70</f>
        <v>0</v>
      </c>
      <c r="BD136" s="69">
        <f>BD109*BD70</f>
        <v>0</v>
      </c>
      <c r="BE136" s="69">
        <f>BE109*BE70</f>
        <v>0</v>
      </c>
      <c r="BF136" s="69">
        <f>BF109*BF70</f>
        <v>0</v>
      </c>
      <c r="BG136" s="69">
        <f>BG109*BG70</f>
        <v>0</v>
      </c>
      <c r="BH136" s="69">
        <f>BH109*BH70</f>
        <v>0</v>
      </c>
      <c r="BI136" s="69">
        <f>BI109*BI70</f>
        <v>0</v>
      </c>
      <c r="BJ136" s="69">
        <f>BJ109*BJ70</f>
        <v>0</v>
      </c>
      <c r="BK136" s="69">
        <f>BK109*BK70</f>
        <v>0</v>
      </c>
      <c r="BL136" s="69">
        <f>BL109*BL70</f>
        <v>0</v>
      </c>
    </row>
    <row r="137" spans="2:64">
      <c r="B137" s="146" t="s">
        <v>466</v>
      </c>
      <c r="D137" s="53">
        <f>IF(Dashboard!$C$22=Lists!$B$4,'Financial Analysis'!D118*'Financial Analysis'!D70,'Financial Analysis'!D119*'Financial Analysis'!D70)</f>
        <v>9267897.107294064</v>
      </c>
      <c r="E137" s="53">
        <f>IF(Dashboard!$C$22=Lists!$B$4,'Financial Analysis'!E118*'Financial Analysis'!E70,'Financial Analysis'!E119*'Financial Analysis'!E70)</f>
        <v>0</v>
      </c>
      <c r="F137" s="53">
        <f>IF(Dashboard!$C$22=Lists!$B$4,'Financial Analysis'!F118*'Financial Analysis'!F70,'Financial Analysis'!F119*'Financial Analysis'!F70)</f>
        <v>0</v>
      </c>
      <c r="G137" s="53">
        <f>IF(Dashboard!$C$22=Lists!$B$4,'Financial Analysis'!G118*'Financial Analysis'!G70,'Financial Analysis'!G119*'Financial Analysis'!G70)</f>
        <v>0</v>
      </c>
      <c r="H137" s="53">
        <f>IF(Dashboard!$C$22=Lists!$B$4,'Financial Analysis'!H118*'Financial Analysis'!H70,'Financial Analysis'!H119*'Financial Analysis'!H70)</f>
        <v>0</v>
      </c>
      <c r="I137" s="53">
        <f>IF(Dashboard!$C$22=Lists!$B$4,'Financial Analysis'!I118*'Financial Analysis'!I70,'Financial Analysis'!I119*'Financial Analysis'!I70)</f>
        <v>2488778.8711968232</v>
      </c>
      <c r="J137" s="53">
        <f>IF(Dashboard!$C$22=Lists!$B$4,'Financial Analysis'!J118*'Financial Analysis'!J70,'Financial Analysis'!J119*'Financial Analysis'!J70)</f>
        <v>0</v>
      </c>
      <c r="K137" s="53">
        <f>IF(Dashboard!$C$22=Lists!$B$4,'Financial Analysis'!K118*'Financial Analysis'!K70,'Financial Analysis'!K119*'Financial Analysis'!K70)</f>
        <v>0</v>
      </c>
      <c r="L137" s="53">
        <f>IF(Dashboard!$C$22=Lists!$B$4,'Financial Analysis'!L118*'Financial Analysis'!L70,'Financial Analysis'!L119*'Financial Analysis'!L70)</f>
        <v>0</v>
      </c>
      <c r="M137" s="53">
        <f>IF(Dashboard!$C$22=Lists!$B$4,'Financial Analysis'!M118*'Financial Analysis'!M70,'Financial Analysis'!M119*'Financial Analysis'!M70)</f>
        <v>0</v>
      </c>
      <c r="N137" s="53">
        <f>IF(Dashboard!$C$22=Lists!$B$4,'Financial Analysis'!N118*'Financial Analysis'!N70,'Financial Analysis'!N119*'Financial Analysis'!N70)</f>
        <v>1965378.8460175984</v>
      </c>
      <c r="O137" s="53">
        <f>IF(Dashboard!$C$22=Lists!$B$4,'Financial Analysis'!O118*'Financial Analysis'!O70,'Financial Analysis'!O119*'Financial Analysis'!O70)</f>
        <v>0</v>
      </c>
      <c r="P137" s="53">
        <f>IF(Dashboard!$C$22=Lists!$B$4,'Financial Analysis'!P118*'Financial Analysis'!P70,'Financial Analysis'!P119*'Financial Analysis'!P70)</f>
        <v>0</v>
      </c>
      <c r="Q137" s="53">
        <f>IF(Dashboard!$C$22=Lists!$B$4,'Financial Analysis'!Q118*'Financial Analysis'!Q70,'Financial Analysis'!Q119*'Financial Analysis'!Q70)</f>
        <v>0</v>
      </c>
      <c r="R137" s="53">
        <f>IF(Dashboard!$C$22=Lists!$B$4,'Financial Analysis'!R118*'Financial Analysis'!R70,'Financial Analysis'!R119*'Financial Analysis'!R70)</f>
        <v>0</v>
      </c>
      <c r="S137" s="53">
        <f>IF(Dashboard!$C$22=Lists!$B$4,'Financial Analysis'!S118*'Financial Analysis'!S70,'Financial Analysis'!S119*'Financial Analysis'!S70)</f>
        <v>0</v>
      </c>
      <c r="T137" s="53">
        <f>IF(Dashboard!$C$22=Lists!$B$4,'Financial Analysis'!T118*'Financial Analysis'!T70,'Financial Analysis'!T119*'Financial Analysis'!T70)</f>
        <v>0</v>
      </c>
      <c r="U137" s="53">
        <f>IF(Dashboard!$C$22=Lists!$B$4,'Financial Analysis'!U118*'Financial Analysis'!U70,'Financial Analysis'!U119*'Financial Analysis'!U70)</f>
        <v>0</v>
      </c>
      <c r="V137" s="53">
        <f>IF(Dashboard!$C$22=Lists!$B$4,'Financial Analysis'!V118*'Financial Analysis'!V70,'Financial Analysis'!V119*'Financial Analysis'!V70)</f>
        <v>0</v>
      </c>
      <c r="W137" s="53">
        <f>IF(Dashboard!$C$22=Lists!$B$4,'Financial Analysis'!W118*'Financial Analysis'!W70,'Financial Analysis'!W119*'Financial Analysis'!W70)</f>
        <v>0</v>
      </c>
      <c r="X137" s="53">
        <f>IF(Dashboard!$C$22=Lists!$B$4,'Financial Analysis'!X118*'Financial Analysis'!X70,'Financial Analysis'!X119*'Financial Analysis'!X70)</f>
        <v>0</v>
      </c>
      <c r="Y137" s="53">
        <f>IF(Dashboard!$C$22=Lists!$B$4,'Financial Analysis'!Y118*'Financial Analysis'!Y70,'Financial Analysis'!Y119*'Financial Analysis'!Y70)</f>
        <v>0</v>
      </c>
      <c r="Z137" s="53">
        <f>IF(Dashboard!$C$22=Lists!$B$4,'Financial Analysis'!Z118*'Financial Analysis'!Z70,'Financial Analysis'!Z119*'Financial Analysis'!Z70)</f>
        <v>0</v>
      </c>
      <c r="AA137" s="53">
        <f>IF(Dashboard!$C$22=Lists!$B$4,'Financial Analysis'!AA118*'Financial Analysis'!AA70,'Financial Analysis'!AA119*'Financial Analysis'!AA70)</f>
        <v>0</v>
      </c>
      <c r="AB137" s="53">
        <f>IF(Dashboard!$C$22=Lists!$B$4,'Financial Analysis'!AB118*'Financial Analysis'!AB70,'Financial Analysis'!AB119*'Financial Analysis'!AB70)</f>
        <v>0</v>
      </c>
      <c r="AC137" s="53">
        <f>IF(Dashboard!$C$22=Lists!$B$4,'Financial Analysis'!AC118*'Financial Analysis'!AC70,'Financial Analysis'!AC119*'Financial Analysis'!AC70)</f>
        <v>0</v>
      </c>
      <c r="AD137" s="53">
        <f>IF(Dashboard!$C$22=Lists!$B$4,'Financial Analysis'!AD118*'Financial Analysis'!AD70,'Financial Analysis'!AD119*'Financial Analysis'!AD70)</f>
        <v>0</v>
      </c>
      <c r="AE137" s="53">
        <f>IF(Dashboard!$C$22=Lists!$B$4,'Financial Analysis'!AE118*'Financial Analysis'!AE70,'Financial Analysis'!AE119*'Financial Analysis'!AE70)</f>
        <v>0</v>
      </c>
      <c r="AF137" s="53">
        <f>IF(Dashboard!$C$22=Lists!$B$4,'Financial Analysis'!AF118*'Financial Analysis'!AF70,'Financial Analysis'!AF119*'Financial Analysis'!AF70)</f>
        <v>0</v>
      </c>
      <c r="AG137" s="53">
        <f>IF(Dashboard!$C$22=Lists!$B$4,'Financial Analysis'!AG118*'Financial Analysis'!AG70,'Financial Analysis'!AG119*'Financial Analysis'!AG70)</f>
        <v>0</v>
      </c>
      <c r="AH137" s="53">
        <f>IF(Dashboard!$C$22=Lists!$B$4,'Financial Analysis'!AH118*'Financial Analysis'!AH70,'Financial Analysis'!AH119*'Financial Analysis'!AH70)</f>
        <v>0</v>
      </c>
      <c r="AI137" s="53">
        <f>IF(Dashboard!$C$22=Lists!$B$4,'Financial Analysis'!AI118*'Financial Analysis'!AI70,'Financial Analysis'!AI119*'Financial Analysis'!AI70)</f>
        <v>0</v>
      </c>
      <c r="AJ137" s="53">
        <f>IF(Dashboard!$C$22=Lists!$B$4,'Financial Analysis'!AJ118*'Financial Analysis'!AJ70,'Financial Analysis'!AJ119*'Financial Analysis'!AJ70)</f>
        <v>0</v>
      </c>
      <c r="AK137" s="53">
        <f>IF(Dashboard!$C$22=Lists!$B$4,'Financial Analysis'!AK118*'Financial Analysis'!AK70,'Financial Analysis'!AK119*'Financial Analysis'!AK70)</f>
        <v>0</v>
      </c>
      <c r="AL137" s="53">
        <f>IF(Dashboard!$C$22=Lists!$B$4,'Financial Analysis'!AL118*'Financial Analysis'!AL70,'Financial Analysis'!AL119*'Financial Analysis'!AL70)</f>
        <v>0</v>
      </c>
      <c r="AM137" s="53">
        <f>IF(Dashboard!$C$22=Lists!$B$4,'Financial Analysis'!AM118*'Financial Analysis'!AM70,'Financial Analysis'!AM119*'Financial Analysis'!AM70)</f>
        <v>0</v>
      </c>
      <c r="AN137" s="53">
        <f>IF(Dashboard!$C$22=Lists!$B$4,'Financial Analysis'!AN118*'Financial Analysis'!AN70,'Financial Analysis'!AN119*'Financial Analysis'!AN70)</f>
        <v>0</v>
      </c>
      <c r="AO137" s="53">
        <f>IF(Dashboard!$C$22=Lists!$B$4,'Financial Analysis'!AO118*'Financial Analysis'!AO70,'Financial Analysis'!AO119*'Financial Analysis'!AO70)</f>
        <v>0</v>
      </c>
      <c r="AP137" s="53">
        <f>IF(Dashboard!$C$22=Lists!$B$4,'Financial Analysis'!AP118*'Financial Analysis'!AP70,'Financial Analysis'!AP119*'Financial Analysis'!AP70)</f>
        <v>0</v>
      </c>
      <c r="AQ137" s="53">
        <f>IF(Dashboard!$C$22=Lists!$B$4,'Financial Analysis'!AQ118*'Financial Analysis'!AQ70,'Financial Analysis'!AQ119*'Financial Analysis'!AQ70)</f>
        <v>0</v>
      </c>
      <c r="AR137" s="53">
        <f>IF(Dashboard!$C$22=Lists!$B$4,'Financial Analysis'!AR118*'Financial Analysis'!AR70,'Financial Analysis'!AR119*'Financial Analysis'!AR70)</f>
        <v>0</v>
      </c>
      <c r="AS137" s="53">
        <f>IF(Dashboard!$C$22=Lists!$B$4,'Financial Analysis'!AS118*'Financial Analysis'!AS70,'Financial Analysis'!AS119*'Financial Analysis'!AS70)</f>
        <v>0</v>
      </c>
      <c r="AT137" s="53">
        <f>IF(Dashboard!$C$22=Lists!$B$4,'Financial Analysis'!AT118*'Financial Analysis'!AT70,'Financial Analysis'!AT119*'Financial Analysis'!AT70)</f>
        <v>0</v>
      </c>
      <c r="AU137" s="53">
        <f>IF(Dashboard!$C$22=Lists!$B$4,'Financial Analysis'!AU118*'Financial Analysis'!AU70,'Financial Analysis'!AU119*'Financial Analysis'!AU70)</f>
        <v>0</v>
      </c>
      <c r="AV137" s="53">
        <f>IF(Dashboard!$C$22=Lists!$B$4,'Financial Analysis'!AV118*'Financial Analysis'!AV70,'Financial Analysis'!AV119*'Financial Analysis'!AV70)</f>
        <v>0</v>
      </c>
      <c r="AW137" s="53">
        <f>IF(Dashboard!$C$22=Lists!$B$4,'Financial Analysis'!AW118*'Financial Analysis'!AW70,'Financial Analysis'!AW119*'Financial Analysis'!AW70)</f>
        <v>0</v>
      </c>
      <c r="AX137" s="53">
        <f>IF(Dashboard!$C$22=Lists!$B$4,'Financial Analysis'!AX118*'Financial Analysis'!AX70,'Financial Analysis'!AX119*'Financial Analysis'!AX70)</f>
        <v>0</v>
      </c>
      <c r="AY137" s="53">
        <f>IF(Dashboard!$C$22=Lists!$B$4,'Financial Analysis'!AY118*'Financial Analysis'!AY70,'Financial Analysis'!AY119*'Financial Analysis'!AY70)</f>
        <v>0</v>
      </c>
      <c r="AZ137" s="53">
        <f>IF(Dashboard!$C$22=Lists!$B$4,'Financial Analysis'!AZ118*'Financial Analysis'!AZ70,'Financial Analysis'!AZ119*'Financial Analysis'!AZ70)</f>
        <v>0</v>
      </c>
      <c r="BA137" s="53">
        <f>IF(Dashboard!$C$22=Lists!$B$4,'Financial Analysis'!BA118*'Financial Analysis'!BA70,'Financial Analysis'!BA119*'Financial Analysis'!BA70)</f>
        <v>0</v>
      </c>
      <c r="BB137" s="53">
        <f>IF(Dashboard!$C$22=Lists!$B$4,'Financial Analysis'!BB118*'Financial Analysis'!BB70,'Financial Analysis'!BB119*'Financial Analysis'!BB70)</f>
        <v>0</v>
      </c>
      <c r="BC137" s="53">
        <f>IF(Dashboard!$C$22=Lists!$B$4,'Financial Analysis'!BC118*'Financial Analysis'!BC70,'Financial Analysis'!BC119*'Financial Analysis'!BC70)</f>
        <v>0</v>
      </c>
      <c r="BD137" s="53">
        <f>IF(Dashboard!$C$22=Lists!$B$4,'Financial Analysis'!BD118*'Financial Analysis'!BD70,'Financial Analysis'!BD119*'Financial Analysis'!BD70)</f>
        <v>0</v>
      </c>
      <c r="BE137" s="53">
        <f>IF(Dashboard!$C$22=Lists!$B$4,'Financial Analysis'!BE118*'Financial Analysis'!BE70,'Financial Analysis'!BE119*'Financial Analysis'!BE70)</f>
        <v>0</v>
      </c>
      <c r="BF137" s="53">
        <f>IF(Dashboard!$C$22=Lists!$B$4,'Financial Analysis'!BF118*'Financial Analysis'!BF70,'Financial Analysis'!BF119*'Financial Analysis'!BF70)</f>
        <v>0</v>
      </c>
      <c r="BG137" s="53">
        <f>IF(Dashboard!$C$22=Lists!$B$4,'Financial Analysis'!BG118*'Financial Analysis'!BG70,'Financial Analysis'!BG119*'Financial Analysis'!BG70)</f>
        <v>0</v>
      </c>
      <c r="BH137" s="53">
        <f>IF(Dashboard!$C$22=Lists!$B$4,'Financial Analysis'!BH118*'Financial Analysis'!BH70,'Financial Analysis'!BH119*'Financial Analysis'!BH70)</f>
        <v>0</v>
      </c>
      <c r="BI137" s="53">
        <f>IF(Dashboard!$C$22=Lists!$B$4,'Financial Analysis'!BI118*'Financial Analysis'!BI70,'Financial Analysis'!BI119*'Financial Analysis'!BI70)</f>
        <v>0</v>
      </c>
      <c r="BJ137" s="53">
        <f>IF(Dashboard!$C$22=Lists!$B$4,'Financial Analysis'!BJ118*'Financial Analysis'!BJ70,'Financial Analysis'!BJ119*'Financial Analysis'!BJ70)</f>
        <v>0</v>
      </c>
      <c r="BK137" s="53">
        <f>IF(Dashboard!$C$22=Lists!$B$4,'Financial Analysis'!BK118*'Financial Analysis'!BK70,'Financial Analysis'!BK119*'Financial Analysis'!BK70)</f>
        <v>0</v>
      </c>
      <c r="BL137" s="53">
        <f>IF(Dashboard!$C$22=Lists!$B$4,'Financial Analysis'!BL118*'Financial Analysis'!BL70,'Financial Analysis'!BL119*'Financial Analysis'!BL70)</f>
        <v>0</v>
      </c>
    </row>
    <row r="138" spans="2:64">
      <c r="B138" s="146" t="s">
        <v>467</v>
      </c>
      <c r="E138" s="97">
        <f>E127*E70</f>
        <v>447724.49793691136</v>
      </c>
      <c r="F138" s="97">
        <f>F127*F70</f>
        <v>432584.05597769213</v>
      </c>
      <c r="G138" s="97">
        <f>G127*G70</f>
        <v>417955.60964028235</v>
      </c>
      <c r="H138" s="97">
        <f>H127*H70</f>
        <v>403821.84506307472</v>
      </c>
      <c r="I138" s="97">
        <f>I127*I70</f>
        <v>390166.03387736698</v>
      </c>
      <c r="J138" s="97">
        <f>J127*J70</f>
        <v>497202.87675092573</v>
      </c>
      <c r="K138" s="97">
        <f>K127*K70</f>
        <v>480389.25289944513</v>
      </c>
      <c r="L138" s="97">
        <f>L127*L70</f>
        <v>464144.20569994708</v>
      </c>
      <c r="M138" s="97">
        <f>M127*M70</f>
        <v>448448.50792265421</v>
      </c>
      <c r="N138" s="97">
        <f>N127*N70</f>
        <v>433283.58253396547</v>
      </c>
      <c r="O138" s="97">
        <f>O127*O70</f>
        <v>513577.31868101005</v>
      </c>
      <c r="P138" s="97">
        <f>P127*P70</f>
        <v>496209.96974010626</v>
      </c>
      <c r="Q138" s="97">
        <f>Q127*Q70</f>
        <v>479429.92245420913</v>
      </c>
      <c r="R138" s="97">
        <f>R127*R70</f>
        <v>463217.31638087827</v>
      </c>
      <c r="S138" s="97">
        <f>S127*S70</f>
        <v>447552.96268683905</v>
      </c>
      <c r="T138" s="97">
        <f>T127*T70</f>
        <v>432418.32143655949</v>
      </c>
      <c r="U138" s="97">
        <f>U127*U70</f>
        <v>417795.47964884981</v>
      </c>
      <c r="V138" s="97">
        <f>V127*V70</f>
        <v>403667.13009550708</v>
      </c>
      <c r="W138" s="97">
        <f>W127*W70</f>
        <v>390016.55081691511</v>
      </c>
      <c r="X138" s="97">
        <f>X127*X70</f>
        <v>376827.58533035271</v>
      </c>
      <c r="Y138" s="97">
        <f>Y127*Y70</f>
        <v>364084.6235075873</v>
      </c>
      <c r="Z138" s="97">
        <f>Z127*Z70</f>
        <v>351772.58309911814</v>
      </c>
      <c r="AA138" s="97">
        <f>AA127*AA70</f>
        <v>339876.89188320591</v>
      </c>
      <c r="AB138" s="97">
        <f>AB127*AB70</f>
        <v>328383.47041855654</v>
      </c>
      <c r="AC138" s="97">
        <f>AC127*AC70</f>
        <v>317278.71538024792</v>
      </c>
      <c r="AD138" s="97">
        <f>AD127*AD70</f>
        <v>306549.48345917673</v>
      </c>
      <c r="AE138" s="97">
        <f>AE127*AE70</f>
        <v>296183.07580596785</v>
      </c>
      <c r="AF138" s="97">
        <f>AF127*AF70</f>
        <v>286167.2230009351</v>
      </c>
      <c r="AG138" s="97">
        <f>AG127*AG70</f>
        <v>276490.07053230453</v>
      </c>
      <c r="AH138" s="97">
        <f>AH127*AH70</f>
        <v>308910.69327560696</v>
      </c>
      <c r="AI138" s="97">
        <f>AI127*AI70</f>
        <v>299913.29444233677</v>
      </c>
      <c r="AJ138" s="97">
        <f>AJ127*AJ70</f>
        <v>291177.95576925908</v>
      </c>
      <c r="AK138" s="97">
        <f>AK127*AK70</f>
        <v>282697.0444361738</v>
      </c>
      <c r="AL138" s="97">
        <f>AL127*AL70</f>
        <v>274463.1499380329</v>
      </c>
      <c r="AM138" s="97">
        <f>AM127*AM70</f>
        <v>266469.07760974061</v>
      </c>
      <c r="AN138" s="97">
        <f>AN127*AN70</f>
        <v>258707.84233955402</v>
      </c>
      <c r="AO138" s="97">
        <f>AO127*AO70</f>
        <v>251172.66246558644</v>
      </c>
      <c r="AP138" s="97">
        <f>AP127*AP70</f>
        <v>243856.95385008396</v>
      </c>
      <c r="AQ138" s="97">
        <f>AQ127*AQ70</f>
        <v>236754.32412629505</v>
      </c>
      <c r="AR138" s="97">
        <f>AR127*AR70</f>
        <v>229858.56711290785</v>
      </c>
      <c r="AS138" s="97">
        <f>AS127*AS70</f>
        <v>223163.65739117269</v>
      </c>
      <c r="AT138" s="97">
        <f>AT127*AT70</f>
        <v>216663.74503997347</v>
      </c>
      <c r="AU138" s="97">
        <f>AU127*AU70</f>
        <v>210353.15052424607</v>
      </c>
      <c r="AV138" s="97">
        <f>AV127*AV70</f>
        <v>204226.35973227778</v>
      </c>
      <c r="AW138" s="97">
        <f>AW127*AW70</f>
        <v>198278.01915755123</v>
      </c>
      <c r="AX138" s="97">
        <f>AX127*AX70</f>
        <v>192502.93122092352</v>
      </c>
      <c r="AY138" s="97">
        <f>AY127*AY70</f>
        <v>186896.04972905194</v>
      </c>
      <c r="AZ138" s="97">
        <f>AZ127*AZ70</f>
        <v>181452.47546509901</v>
      </c>
      <c r="BA138" s="97">
        <f>BA127*BA70</f>
        <v>176167.45190786311</v>
      </c>
      <c r="BB138" s="97">
        <f>BB127*BB70</f>
        <v>171036.36107559525</v>
      </c>
      <c r="BC138" s="97">
        <f>BC127*BC70</f>
        <v>166054.7194908692</v>
      </c>
      <c r="BD138" s="97">
        <f>BD127*BD70</f>
        <v>161218.1742629798</v>
      </c>
      <c r="BE138" s="97">
        <f>BE127*BE70</f>
        <v>156522.49928444644</v>
      </c>
      <c r="BF138" s="97">
        <f>BF127*BF70</f>
        <v>151963.59153829751</v>
      </c>
      <c r="BG138" s="97">
        <f>BG127*BG70</f>
        <v>147537.46751291017</v>
      </c>
      <c r="BH138" s="97">
        <f>BH127*BH70</f>
        <v>143240.25972127204</v>
      </c>
      <c r="BI138" s="97">
        <f>BI127*BI70</f>
        <v>139068.21332162333</v>
      </c>
      <c r="BJ138" s="97">
        <f>BJ127*BJ70</f>
        <v>135017.6828365275</v>
      </c>
      <c r="BK138" s="97">
        <f>BK127*BK70</f>
        <v>131085.12896750242</v>
      </c>
      <c r="BL138" s="97">
        <f>BL127*BL70</f>
        <v>127267.11550242954</v>
      </c>
    </row>
    <row r="139" spans="2:64">
      <c r="B139" s="146" t="s">
        <v>468</v>
      </c>
      <c r="E139" s="69" t="e">
        <f>E87*E70</f>
        <v>#REF!</v>
      </c>
      <c r="F139" s="69" t="e">
        <f>F87*F70</f>
        <v>#REF!</v>
      </c>
      <c r="G139" s="69" t="e">
        <f>G87*G70</f>
        <v>#REF!</v>
      </c>
      <c r="H139" s="69" t="e">
        <f>H87*H70</f>
        <v>#REF!</v>
      </c>
      <c r="I139" s="69" t="e">
        <f>I87*I70</f>
        <v>#REF!</v>
      </c>
      <c r="J139" s="69" t="e">
        <f>J87*J70</f>
        <v>#REF!</v>
      </c>
      <c r="K139" s="69" t="e">
        <f>K87*K70</f>
        <v>#REF!</v>
      </c>
      <c r="L139" s="69" t="e">
        <f>L87*L70</f>
        <v>#REF!</v>
      </c>
      <c r="M139" s="69" t="e">
        <f>M87*M70</f>
        <v>#REF!</v>
      </c>
      <c r="N139" s="69" t="e">
        <f>N87*N70</f>
        <v>#REF!</v>
      </c>
      <c r="O139" s="69" t="e">
        <f>O87*O70</f>
        <v>#REF!</v>
      </c>
      <c r="P139" s="69" t="e">
        <f>P87*P70</f>
        <v>#REF!</v>
      </c>
      <c r="Q139" s="69" t="e">
        <f>Q87*Q70</f>
        <v>#REF!</v>
      </c>
      <c r="R139" s="69" t="e">
        <f>R87*R70</f>
        <v>#REF!</v>
      </c>
      <c r="S139" s="69" t="e">
        <f>S87*S70</f>
        <v>#REF!</v>
      </c>
      <c r="T139" s="69" t="e">
        <f>T87*T70</f>
        <v>#REF!</v>
      </c>
      <c r="U139" s="69" t="e">
        <f>U87*U70</f>
        <v>#REF!</v>
      </c>
      <c r="V139" s="69" t="e">
        <f>V87*V70</f>
        <v>#REF!</v>
      </c>
      <c r="W139" s="69" t="e">
        <f>W87*W70</f>
        <v>#REF!</v>
      </c>
      <c r="X139" s="69" t="e">
        <f>X87*X70</f>
        <v>#REF!</v>
      </c>
      <c r="Y139" s="69" t="e">
        <f>Y87*Y70</f>
        <v>#REF!</v>
      </c>
      <c r="Z139" s="69" t="e">
        <f>Z87*Z70</f>
        <v>#REF!</v>
      </c>
      <c r="AA139" s="69" t="e">
        <f>AA87*AA70</f>
        <v>#REF!</v>
      </c>
      <c r="AB139" s="69" t="e">
        <f>AB87*AB70</f>
        <v>#REF!</v>
      </c>
      <c r="AC139" s="69" t="e">
        <f>AC87*AC70</f>
        <v>#REF!</v>
      </c>
      <c r="AD139" s="69" t="e">
        <f>AD87*AD70</f>
        <v>#REF!</v>
      </c>
      <c r="AE139" s="69" t="e">
        <f>AE87*AE70</f>
        <v>#REF!</v>
      </c>
      <c r="AF139" s="69" t="e">
        <f>AF87*AF70</f>
        <v>#REF!</v>
      </c>
      <c r="AG139" s="69" t="e">
        <f>AG87*AG70</f>
        <v>#REF!</v>
      </c>
      <c r="AH139" s="69" t="e">
        <f>AH87*AH70</f>
        <v>#REF!</v>
      </c>
      <c r="AI139" s="69" t="e">
        <f>AI87*AI70</f>
        <v>#REF!</v>
      </c>
      <c r="AJ139" s="69" t="e">
        <f>AJ87*AJ70</f>
        <v>#REF!</v>
      </c>
      <c r="AK139" s="69" t="e">
        <f>AK87*AK70</f>
        <v>#REF!</v>
      </c>
      <c r="AL139" s="69" t="e">
        <f>AL87*AL70</f>
        <v>#REF!</v>
      </c>
      <c r="AM139" s="69" t="e">
        <f>AM87*AM70</f>
        <v>#REF!</v>
      </c>
      <c r="AN139" s="69" t="e">
        <f>AN87*AN70</f>
        <v>#REF!</v>
      </c>
      <c r="AO139" s="69" t="e">
        <f>AO87*AO70</f>
        <v>#REF!</v>
      </c>
      <c r="AP139" s="69" t="e">
        <f>AP87*AP70</f>
        <v>#REF!</v>
      </c>
      <c r="AQ139" s="69" t="e">
        <f>AQ87*AQ70</f>
        <v>#REF!</v>
      </c>
      <c r="AR139" s="69" t="e">
        <f>AR87*AR70</f>
        <v>#REF!</v>
      </c>
      <c r="AS139" s="69" t="e">
        <f>AS87*AS70</f>
        <v>#REF!</v>
      </c>
      <c r="AT139" s="69" t="e">
        <f>AT87*AT70</f>
        <v>#REF!</v>
      </c>
      <c r="AU139" s="69" t="e">
        <f>AU87*AU70</f>
        <v>#REF!</v>
      </c>
      <c r="AV139" s="69" t="e">
        <f>AV87*AV70</f>
        <v>#REF!</v>
      </c>
      <c r="AW139" s="69" t="e">
        <f>AW87*AW70</f>
        <v>#REF!</v>
      </c>
      <c r="AX139" s="69" t="e">
        <f>AX87*AX70</f>
        <v>#REF!</v>
      </c>
      <c r="AY139" s="69" t="e">
        <f>AY87*AY70</f>
        <v>#REF!</v>
      </c>
      <c r="AZ139" s="69" t="e">
        <f>AZ87*AZ70</f>
        <v>#REF!</v>
      </c>
      <c r="BA139" s="69" t="e">
        <f>BA87*BA70</f>
        <v>#REF!</v>
      </c>
      <c r="BB139" s="69" t="e">
        <f>BB87*BB70</f>
        <v>#REF!</v>
      </c>
      <c r="BC139" s="69" t="e">
        <f>BC87*BC70</f>
        <v>#REF!</v>
      </c>
      <c r="BD139" s="69" t="e">
        <f>BD87*BD70</f>
        <v>#REF!</v>
      </c>
      <c r="BE139" s="69" t="e">
        <f>BE87*BE70</f>
        <v>#REF!</v>
      </c>
      <c r="BF139" s="69" t="e">
        <f>BF87*BF70</f>
        <v>#REF!</v>
      </c>
      <c r="BG139" s="69" t="e">
        <f>BG87*BG70</f>
        <v>#REF!</v>
      </c>
      <c r="BH139" s="69" t="e">
        <f>BH87*BH70</f>
        <v>#REF!</v>
      </c>
      <c r="BI139" s="69" t="e">
        <f>BI87*BI70</f>
        <v>#REF!</v>
      </c>
      <c r="BJ139" s="69" t="e">
        <f>BJ87*BJ70</f>
        <v>#REF!</v>
      </c>
      <c r="BK139" s="69" t="e">
        <f>BK87*BK70</f>
        <v>#REF!</v>
      </c>
      <c r="BL139" s="69" t="e">
        <f>BL87*BL70</f>
        <v>#REF!</v>
      </c>
    </row>
    <row r="140" spans="2:64">
      <c r="B140" s="146"/>
    </row>
    <row r="141" spans="2:64">
      <c r="B141" s="212" t="s">
        <v>323</v>
      </c>
    </row>
    <row r="142" spans="2:64">
      <c r="B142" s="146" t="s">
        <v>463</v>
      </c>
      <c r="E142" s="76">
        <f>E38*E70</f>
        <v>0</v>
      </c>
      <c r="F142" s="76">
        <f>F38*F70</f>
        <v>0</v>
      </c>
      <c r="G142" s="76">
        <f>G38*G70</f>
        <v>0</v>
      </c>
      <c r="H142" s="76">
        <f>H38*H70</f>
        <v>0</v>
      </c>
      <c r="I142" s="76">
        <f>I38*I70</f>
        <v>0</v>
      </c>
      <c r="J142" s="76">
        <f>J38*J70</f>
        <v>0</v>
      </c>
      <c r="K142" s="76">
        <f>K38*K70</f>
        <v>0</v>
      </c>
      <c r="L142" s="76">
        <f>L38*L70</f>
        <v>0</v>
      </c>
      <c r="M142" s="76">
        <f>M38*M70</f>
        <v>0</v>
      </c>
      <c r="N142" s="76">
        <f>N38*N70</f>
        <v>0</v>
      </c>
      <c r="O142" s="76">
        <f>O38*O70</f>
        <v>0</v>
      </c>
      <c r="P142" s="76">
        <f>P38*P70</f>
        <v>0</v>
      </c>
      <c r="Q142" s="76">
        <f>Q38*Q70</f>
        <v>0</v>
      </c>
      <c r="R142" s="76">
        <f>R38*R70</f>
        <v>0</v>
      </c>
      <c r="S142" s="76">
        <f>S38*S70</f>
        <v>0</v>
      </c>
      <c r="T142" s="76">
        <f>T38*T70</f>
        <v>0</v>
      </c>
      <c r="U142" s="76">
        <f>U38*U70</f>
        <v>0</v>
      </c>
      <c r="V142" s="76">
        <f>V38*V70</f>
        <v>0</v>
      </c>
      <c r="W142" s="76">
        <f>W38*W70</f>
        <v>0</v>
      </c>
      <c r="X142" s="76">
        <f>X38*X70</f>
        <v>0</v>
      </c>
      <c r="Y142" s="76">
        <f>Y38*Y70</f>
        <v>0</v>
      </c>
      <c r="Z142" s="76">
        <f>Z38*Z70</f>
        <v>0</v>
      </c>
      <c r="AA142" s="76">
        <f>AA38*AA70</f>
        <v>0</v>
      </c>
      <c r="AB142" s="76">
        <f>AB38*AB70</f>
        <v>0</v>
      </c>
      <c r="AC142" s="76">
        <f>AC38*AC70</f>
        <v>0</v>
      </c>
      <c r="AD142" s="76">
        <f>AD38*AD70</f>
        <v>0</v>
      </c>
      <c r="AE142" s="76">
        <f>AE38*AE70</f>
        <v>0</v>
      </c>
      <c r="AF142" s="76">
        <f>AF38*AF70</f>
        <v>0</v>
      </c>
      <c r="AG142" s="76">
        <f>AG38*AG70</f>
        <v>0</v>
      </c>
      <c r="AH142" s="76">
        <f>AH38*AH70</f>
        <v>0</v>
      </c>
      <c r="AI142" s="76">
        <f>AI38*AI70</f>
        <v>0</v>
      </c>
      <c r="AJ142" s="76">
        <f>AJ38*AJ70</f>
        <v>0</v>
      </c>
      <c r="AK142" s="76">
        <f>AK38*AK70</f>
        <v>0</v>
      </c>
      <c r="AL142" s="76">
        <f>AL38*AL70</f>
        <v>0</v>
      </c>
      <c r="AM142" s="76">
        <f>AM38*AM70</f>
        <v>0</v>
      </c>
      <c r="AN142" s="76">
        <f>AN38*AN70</f>
        <v>0</v>
      </c>
      <c r="AO142" s="76">
        <f>AO38*AO70</f>
        <v>0</v>
      </c>
      <c r="AP142" s="76">
        <f>AP38*AP70</f>
        <v>0</v>
      </c>
      <c r="AQ142" s="76">
        <f>AQ38*AQ70</f>
        <v>0</v>
      </c>
      <c r="AR142" s="76">
        <f>AR38*AR70</f>
        <v>0</v>
      </c>
      <c r="AS142" s="76">
        <f>AS38*AS70</f>
        <v>0</v>
      </c>
      <c r="AT142" s="76">
        <f>AT38*AT70</f>
        <v>0</v>
      </c>
      <c r="AU142" s="76">
        <f>AU38*AU70</f>
        <v>0</v>
      </c>
      <c r="AV142" s="76">
        <f>AV38*AV70</f>
        <v>0</v>
      </c>
      <c r="AW142" s="76">
        <f>AW38*AW70</f>
        <v>0</v>
      </c>
      <c r="AX142" s="76">
        <f>AX38*AX70</f>
        <v>0</v>
      </c>
      <c r="AY142" s="76">
        <f>AY38*AY70</f>
        <v>0</v>
      </c>
      <c r="AZ142" s="76">
        <f>AZ38*AZ70</f>
        <v>0</v>
      </c>
      <c r="BA142" s="76">
        <f>BA38*BA70</f>
        <v>0</v>
      </c>
      <c r="BB142" s="76">
        <f>BB38*BB70</f>
        <v>0</v>
      </c>
      <c r="BC142" s="76">
        <f>BC38*BC70</f>
        <v>0</v>
      </c>
      <c r="BD142" s="76">
        <f>BD38*BD70</f>
        <v>0</v>
      </c>
      <c r="BE142" s="76">
        <f>BE38*BE70</f>
        <v>0</v>
      </c>
      <c r="BF142" s="76">
        <f>BF38*BF70</f>
        <v>0</v>
      </c>
      <c r="BG142" s="76">
        <f>BG38*BG70</f>
        <v>0</v>
      </c>
      <c r="BH142" s="76">
        <f>BH38*BH70</f>
        <v>0</v>
      </c>
      <c r="BI142" s="76">
        <f>BI38*BI70</f>
        <v>0</v>
      </c>
      <c r="BJ142" s="76">
        <f>BJ38*BJ70</f>
        <v>0</v>
      </c>
      <c r="BK142" s="76">
        <f>BK38*BK70</f>
        <v>0</v>
      </c>
      <c r="BL142" s="76">
        <f>BL38*BL70</f>
        <v>0</v>
      </c>
    </row>
    <row r="143" spans="2:64">
      <c r="B143" s="146" t="s">
        <v>466</v>
      </c>
      <c r="D143" s="53">
        <f>D121*D70</f>
        <v>0</v>
      </c>
      <c r="E143" s="53">
        <f>E121*E70</f>
        <v>0</v>
      </c>
      <c r="F143" s="53">
        <f>F121*F70</f>
        <v>0</v>
      </c>
      <c r="G143" s="53">
        <f>G121*G70</f>
        <v>0</v>
      </c>
      <c r="H143" s="53">
        <f>H121*H70</f>
        <v>0</v>
      </c>
      <c r="I143" s="53">
        <f>I121*I70</f>
        <v>0</v>
      </c>
      <c r="J143" s="53">
        <f>J121*J70</f>
        <v>0</v>
      </c>
      <c r="K143" s="53">
        <f>K121*K70</f>
        <v>0</v>
      </c>
      <c r="L143" s="53">
        <f>L121*L70</f>
        <v>0</v>
      </c>
      <c r="M143" s="53">
        <f>M121*M70</f>
        <v>0</v>
      </c>
      <c r="N143" s="53">
        <f>N121*N70</f>
        <v>0</v>
      </c>
      <c r="O143" s="53">
        <f>O121*O70</f>
        <v>0</v>
      </c>
      <c r="P143" s="53">
        <f>P121*P70</f>
        <v>0</v>
      </c>
      <c r="Q143" s="53">
        <f>Q121*Q70</f>
        <v>0</v>
      </c>
      <c r="R143" s="53">
        <f>R121*R70</f>
        <v>0</v>
      </c>
      <c r="S143" s="53">
        <f>S121*S70</f>
        <v>0</v>
      </c>
      <c r="T143" s="53">
        <f>T121*T70</f>
        <v>0</v>
      </c>
      <c r="U143" s="53">
        <f>U121*U70</f>
        <v>0</v>
      </c>
      <c r="V143" s="53">
        <f>V121*V70</f>
        <v>0</v>
      </c>
      <c r="W143" s="53">
        <f>W121*W70</f>
        <v>0</v>
      </c>
      <c r="X143" s="53">
        <f>X121*X70</f>
        <v>0</v>
      </c>
      <c r="Y143" s="53">
        <f>Y121*Y70</f>
        <v>0</v>
      </c>
      <c r="Z143" s="53">
        <f>Z121*Z70</f>
        <v>0</v>
      </c>
      <c r="AA143" s="53">
        <f>AA121*AA70</f>
        <v>0</v>
      </c>
      <c r="AB143" s="53">
        <f>AB121*AB70</f>
        <v>0</v>
      </c>
      <c r="AC143" s="53">
        <f>AC121*AC70</f>
        <v>0</v>
      </c>
      <c r="AD143" s="53">
        <f>AD121*AD70</f>
        <v>0</v>
      </c>
      <c r="AE143" s="53">
        <f>AE121*AE70</f>
        <v>0</v>
      </c>
      <c r="AF143" s="53">
        <f>AF121*AF70</f>
        <v>0</v>
      </c>
      <c r="AG143" s="53">
        <f>AG121*AG70</f>
        <v>0</v>
      </c>
      <c r="AH143" s="53">
        <f>AH121*AH70</f>
        <v>0</v>
      </c>
      <c r="AI143" s="53">
        <f>AI121*AI70</f>
        <v>0</v>
      </c>
      <c r="AJ143" s="53">
        <f>AJ121*AJ70</f>
        <v>0</v>
      </c>
      <c r="AK143" s="53">
        <f>AK121*AK70</f>
        <v>0</v>
      </c>
      <c r="AL143" s="53">
        <f>AL121*AL70</f>
        <v>0</v>
      </c>
      <c r="AM143" s="53">
        <f>AM121*AM70</f>
        <v>0</v>
      </c>
      <c r="AN143" s="53">
        <f>AN121*AN70</f>
        <v>0</v>
      </c>
      <c r="AO143" s="53">
        <f>AO121*AO70</f>
        <v>0</v>
      </c>
      <c r="AP143" s="53">
        <f>AP121*AP70</f>
        <v>0</v>
      </c>
      <c r="AQ143" s="53">
        <f>AQ121*AQ70</f>
        <v>0</v>
      </c>
      <c r="AR143" s="53">
        <f>AR121*AR70</f>
        <v>0</v>
      </c>
      <c r="AS143" s="53">
        <f>AS121*AS70</f>
        <v>0</v>
      </c>
      <c r="AT143" s="53">
        <f>AT121*AT70</f>
        <v>0</v>
      </c>
      <c r="AU143" s="53">
        <f>AU121*AU70</f>
        <v>0</v>
      </c>
      <c r="AV143" s="53">
        <f>AV121*AV70</f>
        <v>0</v>
      </c>
      <c r="AW143" s="53">
        <f>AW121*AW70</f>
        <v>0</v>
      </c>
      <c r="AX143" s="53">
        <f>AX121*AX70</f>
        <v>0</v>
      </c>
      <c r="AY143" s="53">
        <f>AY121*AY70</f>
        <v>0</v>
      </c>
      <c r="AZ143" s="53">
        <f>AZ121*AZ70</f>
        <v>0</v>
      </c>
      <c r="BA143" s="53">
        <f>BA121*BA70</f>
        <v>0</v>
      </c>
      <c r="BB143" s="53">
        <f>BB121*BB70</f>
        <v>0</v>
      </c>
      <c r="BC143" s="53">
        <f>BC121*BC70</f>
        <v>0</v>
      </c>
      <c r="BD143" s="53">
        <f>BD121*BD70</f>
        <v>0</v>
      </c>
      <c r="BE143" s="53">
        <f>BE121*BE70</f>
        <v>0</v>
      </c>
      <c r="BF143" s="53">
        <f>BF121*BF70</f>
        <v>0</v>
      </c>
      <c r="BG143" s="53">
        <f>BG121*BG70</f>
        <v>0</v>
      </c>
      <c r="BH143" s="53">
        <f>BH121*BH70</f>
        <v>0</v>
      </c>
      <c r="BI143" s="53">
        <f>BI121*BI70</f>
        <v>0</v>
      </c>
      <c r="BJ143" s="53">
        <f>BJ121*BJ70</f>
        <v>0</v>
      </c>
      <c r="BK143" s="53">
        <f>BK121*BK70</f>
        <v>0</v>
      </c>
      <c r="BL143" s="53">
        <f>BL121*BL70</f>
        <v>0</v>
      </c>
    </row>
    <row r="144" spans="2:64">
      <c r="B144" s="146" t="s">
        <v>467</v>
      </c>
      <c r="E144" s="53" t="e">
        <f>E128*E70</f>
        <v>#REF!</v>
      </c>
      <c r="F144" s="53" t="e">
        <f>F128*F70</f>
        <v>#REF!</v>
      </c>
      <c r="G144" s="53" t="e">
        <f>G128*G70</f>
        <v>#REF!</v>
      </c>
      <c r="H144" s="53" t="e">
        <f>H128*H70</f>
        <v>#REF!</v>
      </c>
      <c r="I144" s="53" t="e">
        <f>I128*I70</f>
        <v>#REF!</v>
      </c>
      <c r="J144" s="53" t="e">
        <f>J128*J70</f>
        <v>#REF!</v>
      </c>
      <c r="K144" s="53" t="e">
        <f>K128*K70</f>
        <v>#REF!</v>
      </c>
      <c r="L144" s="53" t="e">
        <f>L128*L70</f>
        <v>#REF!</v>
      </c>
      <c r="M144" s="53" t="e">
        <f>M128*M70</f>
        <v>#REF!</v>
      </c>
      <c r="N144" s="53" t="e">
        <f>N128*N70</f>
        <v>#REF!</v>
      </c>
      <c r="O144" s="53" t="e">
        <f>O128*O70</f>
        <v>#REF!</v>
      </c>
      <c r="P144" s="53" t="e">
        <f>P128*P70</f>
        <v>#REF!</v>
      </c>
      <c r="Q144" s="53" t="e">
        <f>Q128*Q70</f>
        <v>#REF!</v>
      </c>
      <c r="R144" s="53" t="e">
        <f>R128*R70</f>
        <v>#REF!</v>
      </c>
      <c r="S144" s="53" t="e">
        <f>S128*S70</f>
        <v>#REF!</v>
      </c>
      <c r="T144" s="53" t="e">
        <f>T128*T70</f>
        <v>#REF!</v>
      </c>
      <c r="U144" s="53" t="e">
        <f>U128*U70</f>
        <v>#REF!</v>
      </c>
      <c r="V144" s="53" t="e">
        <f>V128*V70</f>
        <v>#REF!</v>
      </c>
      <c r="W144" s="53" t="e">
        <f>W128*W70</f>
        <v>#REF!</v>
      </c>
      <c r="X144" s="53" t="e">
        <f>X128*X70</f>
        <v>#REF!</v>
      </c>
      <c r="Y144" s="53" t="e">
        <f>Y128*Y70</f>
        <v>#REF!</v>
      </c>
      <c r="Z144" s="53" t="e">
        <f>Z128*Z70</f>
        <v>#REF!</v>
      </c>
      <c r="AA144" s="53" t="e">
        <f>AA128*AA70</f>
        <v>#REF!</v>
      </c>
      <c r="AB144" s="53" t="e">
        <f>AB128*AB70</f>
        <v>#REF!</v>
      </c>
      <c r="AC144" s="53" t="e">
        <f>AC128*AC70</f>
        <v>#REF!</v>
      </c>
      <c r="AD144" s="53" t="e">
        <f>AD128*AD70</f>
        <v>#REF!</v>
      </c>
      <c r="AE144" s="53" t="e">
        <f>AE128*AE70</f>
        <v>#REF!</v>
      </c>
      <c r="AF144" s="53" t="e">
        <f>AF128*AF70</f>
        <v>#REF!</v>
      </c>
      <c r="AG144" s="53" t="e">
        <f>AG128*AG70</f>
        <v>#REF!</v>
      </c>
      <c r="AH144" s="53" t="e">
        <f>AH128*AH70</f>
        <v>#REF!</v>
      </c>
      <c r="AI144" s="53" t="e">
        <f>AI128*AI70</f>
        <v>#REF!</v>
      </c>
      <c r="AJ144" s="53" t="e">
        <f>AJ128*AJ70</f>
        <v>#REF!</v>
      </c>
      <c r="AK144" s="53" t="e">
        <f>AK128*AK70</f>
        <v>#REF!</v>
      </c>
      <c r="AL144" s="53" t="e">
        <f>AL128*AL70</f>
        <v>#REF!</v>
      </c>
      <c r="AM144" s="53" t="e">
        <f>AM128*AM70</f>
        <v>#REF!</v>
      </c>
      <c r="AN144" s="53" t="e">
        <f>AN128*AN70</f>
        <v>#REF!</v>
      </c>
      <c r="AO144" s="53" t="e">
        <f>AO128*AO70</f>
        <v>#REF!</v>
      </c>
      <c r="AP144" s="53" t="e">
        <f>AP128*AP70</f>
        <v>#REF!</v>
      </c>
      <c r="AQ144" s="53" t="e">
        <f>AQ128*AQ70</f>
        <v>#REF!</v>
      </c>
      <c r="AR144" s="53" t="e">
        <f>AR128*AR70</f>
        <v>#REF!</v>
      </c>
      <c r="AS144" s="53" t="e">
        <f>AS128*AS70</f>
        <v>#REF!</v>
      </c>
      <c r="AT144" s="53" t="e">
        <f>AT128*AT70</f>
        <v>#REF!</v>
      </c>
      <c r="AU144" s="53" t="e">
        <f>AU128*AU70</f>
        <v>#REF!</v>
      </c>
      <c r="AV144" s="53" t="e">
        <f>AV128*AV70</f>
        <v>#REF!</v>
      </c>
      <c r="AW144" s="53" t="e">
        <f>AW128*AW70</f>
        <v>#REF!</v>
      </c>
      <c r="AX144" s="53" t="e">
        <f>AX128*AX70</f>
        <v>#REF!</v>
      </c>
      <c r="AY144" s="53" t="e">
        <f>AY128*AY70</f>
        <v>#REF!</v>
      </c>
      <c r="AZ144" s="53" t="e">
        <f>AZ128*AZ70</f>
        <v>#REF!</v>
      </c>
      <c r="BA144" s="53" t="e">
        <f>BA128*BA70</f>
        <v>#REF!</v>
      </c>
      <c r="BB144" s="53" t="e">
        <f>BB128*BB70</f>
        <v>#REF!</v>
      </c>
      <c r="BC144" s="53" t="e">
        <f>BC128*BC70</f>
        <v>#REF!</v>
      </c>
      <c r="BD144" s="53" t="e">
        <f>BD128*BD70</f>
        <v>#REF!</v>
      </c>
      <c r="BE144" s="53" t="e">
        <f>BE128*BE70</f>
        <v>#REF!</v>
      </c>
      <c r="BF144" s="53" t="e">
        <f>BF128*BF70</f>
        <v>#REF!</v>
      </c>
      <c r="BG144" s="53" t="e">
        <f>BG128*BG70</f>
        <v>#REF!</v>
      </c>
      <c r="BH144" s="53" t="e">
        <f>BH128*BH70</f>
        <v>#REF!</v>
      </c>
      <c r="BI144" s="53" t="e">
        <f>BI128*BI70</f>
        <v>#REF!</v>
      </c>
      <c r="BJ144" s="53" t="e">
        <f>BJ128*BJ70</f>
        <v>#REF!</v>
      </c>
      <c r="BK144" s="53" t="e">
        <f>BK128*BK70</f>
        <v>#REF!</v>
      </c>
      <c r="BL144" s="53" t="e">
        <f>BL128*BL70</f>
        <v>#REF!</v>
      </c>
    </row>
    <row r="145" spans="2:64">
      <c r="B145" s="146" t="s">
        <v>468</v>
      </c>
      <c r="E145" s="69">
        <f>E93*E70</f>
        <v>0</v>
      </c>
      <c r="F145" s="69">
        <f>F93*F70</f>
        <v>0</v>
      </c>
      <c r="G145" s="69">
        <f>G93*G70</f>
        <v>0</v>
      </c>
      <c r="H145" s="69">
        <f>H93*H70</f>
        <v>0</v>
      </c>
      <c r="I145" s="69">
        <f>I93*I70</f>
        <v>0</v>
      </c>
      <c r="J145" s="69">
        <f>J93*J70</f>
        <v>0</v>
      </c>
      <c r="K145" s="69">
        <f>K93*K70</f>
        <v>0</v>
      </c>
      <c r="L145" s="69">
        <f>L93*L70</f>
        <v>0</v>
      </c>
      <c r="M145" s="69">
        <f>M93*M70</f>
        <v>0</v>
      </c>
      <c r="N145" s="69">
        <f>N93*N70</f>
        <v>0</v>
      </c>
      <c r="O145" s="69">
        <f>O93*O70</f>
        <v>0</v>
      </c>
      <c r="P145" s="69">
        <f>P93*P70</f>
        <v>0</v>
      </c>
      <c r="Q145" s="69">
        <f>Q93*Q70</f>
        <v>0</v>
      </c>
      <c r="R145" s="69">
        <f>R93*R70</f>
        <v>0</v>
      </c>
      <c r="S145" s="69">
        <f>S93*S70</f>
        <v>0</v>
      </c>
      <c r="T145" s="69">
        <f>T93*T70</f>
        <v>0</v>
      </c>
      <c r="U145" s="69">
        <f>U93*U70</f>
        <v>0</v>
      </c>
      <c r="V145" s="69">
        <f>V93*V70</f>
        <v>0</v>
      </c>
      <c r="W145" s="69">
        <f>W93*W70</f>
        <v>0</v>
      </c>
      <c r="X145" s="69">
        <f>X93*X70</f>
        <v>0</v>
      </c>
      <c r="Y145" s="69">
        <f>Y93*Y70</f>
        <v>0</v>
      </c>
      <c r="Z145" s="69">
        <f>Z93*Z70</f>
        <v>0</v>
      </c>
      <c r="AA145" s="69">
        <f>AA93*AA70</f>
        <v>0</v>
      </c>
      <c r="AB145" s="69">
        <f>AB93*AB70</f>
        <v>0</v>
      </c>
      <c r="AC145" s="69">
        <f>AC93*AC70</f>
        <v>0</v>
      </c>
      <c r="AD145" s="69">
        <f>AD93*AD70</f>
        <v>0</v>
      </c>
      <c r="AE145" s="69">
        <f>AE93*AE70</f>
        <v>0</v>
      </c>
      <c r="AF145" s="69">
        <f>AF93*AF70</f>
        <v>0</v>
      </c>
      <c r="AG145" s="69">
        <f>AG93*AG70</f>
        <v>0</v>
      </c>
      <c r="AH145" s="69">
        <f>AH93*AH70</f>
        <v>0</v>
      </c>
      <c r="AI145" s="69">
        <f>AI93*AI70</f>
        <v>0</v>
      </c>
      <c r="AJ145" s="69">
        <f>AJ93*AJ70</f>
        <v>0</v>
      </c>
      <c r="AK145" s="69">
        <f>AK93*AK70</f>
        <v>0</v>
      </c>
      <c r="AL145" s="69">
        <f>AL93*AL70</f>
        <v>0</v>
      </c>
      <c r="AM145" s="69">
        <f>AM93*AM70</f>
        <v>0</v>
      </c>
      <c r="AN145" s="69">
        <f>AN93*AN70</f>
        <v>0</v>
      </c>
      <c r="AO145" s="69">
        <f>AO93*AO70</f>
        <v>0</v>
      </c>
      <c r="AP145" s="69">
        <f>AP93*AP70</f>
        <v>0</v>
      </c>
      <c r="AQ145" s="69">
        <f>AQ93*AQ70</f>
        <v>0</v>
      </c>
      <c r="AR145" s="69">
        <f>AR93*AR70</f>
        <v>0</v>
      </c>
      <c r="AS145" s="69">
        <f>AS93*AS70</f>
        <v>0</v>
      </c>
      <c r="AT145" s="69">
        <f>AT93*AT70</f>
        <v>0</v>
      </c>
      <c r="AU145" s="69">
        <f>AU93*AU70</f>
        <v>0</v>
      </c>
      <c r="AV145" s="69">
        <f>AV93*AV70</f>
        <v>0</v>
      </c>
      <c r="AW145" s="69">
        <f>AW93*AW70</f>
        <v>0</v>
      </c>
      <c r="AX145" s="69">
        <f>AX93*AX70</f>
        <v>0</v>
      </c>
      <c r="AY145" s="69">
        <f>AY93*AY70</f>
        <v>0</v>
      </c>
      <c r="AZ145" s="69">
        <f>AZ93*AZ70</f>
        <v>0</v>
      </c>
      <c r="BA145" s="69">
        <f>BA93*BA70</f>
        <v>0</v>
      </c>
      <c r="BB145" s="69">
        <f>BB93*BB70</f>
        <v>0</v>
      </c>
      <c r="BC145" s="69">
        <f>BC93*BC70</f>
        <v>0</v>
      </c>
      <c r="BD145" s="69">
        <f>BD93*BD70</f>
        <v>0</v>
      </c>
      <c r="BE145" s="69">
        <f>BE93*BE70</f>
        <v>0</v>
      </c>
      <c r="BF145" s="69">
        <f>BF93*BF70</f>
        <v>0</v>
      </c>
      <c r="BG145" s="69">
        <f>BG93*BG70</f>
        <v>0</v>
      </c>
      <c r="BH145" s="69">
        <f>BH93*BH70</f>
        <v>0</v>
      </c>
      <c r="BI145" s="69">
        <f>BI93*BI70</f>
        <v>0</v>
      </c>
      <c r="BJ145" s="69">
        <f>BJ93*BJ70</f>
        <v>0</v>
      </c>
      <c r="BK145" s="69">
        <f>BK93*BK70</f>
        <v>0</v>
      </c>
      <c r="BL145" s="69">
        <f>BL93*BL70</f>
        <v>0</v>
      </c>
    </row>
    <row r="146" spans="2:64">
      <c r="B146" s="146"/>
    </row>
    <row r="147" spans="2:64">
      <c r="B147" s="212" t="s">
        <v>256</v>
      </c>
    </row>
    <row r="148" spans="2:64">
      <c r="B148" s="146" t="s">
        <v>463</v>
      </c>
      <c r="E148" s="100" t="e">
        <f>E46*E70</f>
        <v>#REF!</v>
      </c>
      <c r="F148" s="100" t="e">
        <f>F46*F70</f>
        <v>#REF!</v>
      </c>
      <c r="G148" s="100" t="e">
        <f>G46*G70</f>
        <v>#REF!</v>
      </c>
      <c r="H148" s="100" t="e">
        <f>H46*H70</f>
        <v>#REF!</v>
      </c>
      <c r="I148" s="100" t="e">
        <f>I46*I70</f>
        <v>#REF!</v>
      </c>
      <c r="J148" s="100" t="e">
        <f>J46*J70</f>
        <v>#REF!</v>
      </c>
      <c r="K148" s="100" t="e">
        <f>K46*K70</f>
        <v>#REF!</v>
      </c>
      <c r="L148" s="100" t="e">
        <f>L46*L70</f>
        <v>#REF!</v>
      </c>
      <c r="M148" s="100" t="e">
        <f>M46*M70</f>
        <v>#REF!</v>
      </c>
      <c r="N148" s="100" t="e">
        <f>N46*N70</f>
        <v>#REF!</v>
      </c>
      <c r="O148" s="100" t="e">
        <f>O46*O70</f>
        <v>#REF!</v>
      </c>
      <c r="P148" s="100" t="e">
        <f>P46*P70</f>
        <v>#REF!</v>
      </c>
      <c r="Q148" s="100" t="e">
        <f>Q46*Q70</f>
        <v>#REF!</v>
      </c>
      <c r="R148" s="100" t="e">
        <f>R46*R70</f>
        <v>#REF!</v>
      </c>
      <c r="S148" s="100" t="e">
        <f>S46*S70</f>
        <v>#REF!</v>
      </c>
      <c r="T148" s="100" t="e">
        <f>T46*T70</f>
        <v>#REF!</v>
      </c>
      <c r="U148" s="100" t="e">
        <f>U46*U70</f>
        <v>#REF!</v>
      </c>
      <c r="V148" s="100" t="e">
        <f>V46*V70</f>
        <v>#REF!</v>
      </c>
      <c r="W148" s="100" t="e">
        <f>W46*W70</f>
        <v>#REF!</v>
      </c>
      <c r="X148" s="100" t="e">
        <f>X46*X70</f>
        <v>#REF!</v>
      </c>
      <c r="Y148" s="100" t="e">
        <f>Y46*Y70</f>
        <v>#REF!</v>
      </c>
      <c r="Z148" s="100" t="e">
        <f>Z46*Z70</f>
        <v>#REF!</v>
      </c>
      <c r="AA148" s="100" t="e">
        <f>AA46*AA70</f>
        <v>#REF!</v>
      </c>
      <c r="AB148" s="100" t="e">
        <f>AB46*AB70</f>
        <v>#REF!</v>
      </c>
      <c r="AC148" s="100" t="e">
        <f>AC46*AC70</f>
        <v>#REF!</v>
      </c>
      <c r="AD148" s="100" t="e">
        <f>AD46*AD70</f>
        <v>#REF!</v>
      </c>
      <c r="AE148" s="100" t="e">
        <f>AE46*AE70</f>
        <v>#REF!</v>
      </c>
      <c r="AF148" s="100" t="e">
        <f>AF46*AF70</f>
        <v>#REF!</v>
      </c>
      <c r="AG148" s="100" t="e">
        <f>AG46*AG70</f>
        <v>#REF!</v>
      </c>
      <c r="AH148" s="100" t="e">
        <f>AH46*AH70</f>
        <v>#REF!</v>
      </c>
      <c r="AI148" s="100" t="e">
        <f>AI46*AI70</f>
        <v>#REF!</v>
      </c>
      <c r="AJ148" s="100" t="e">
        <f>AJ46*AJ70</f>
        <v>#REF!</v>
      </c>
      <c r="AK148" s="100" t="e">
        <f>AK46*AK70</f>
        <v>#REF!</v>
      </c>
      <c r="AL148" s="100" t="e">
        <f>AL46*AL70</f>
        <v>#REF!</v>
      </c>
      <c r="AM148" s="100" t="e">
        <f>AM46*AM70</f>
        <v>#REF!</v>
      </c>
      <c r="AN148" s="100" t="e">
        <f>AN46*AN70</f>
        <v>#REF!</v>
      </c>
      <c r="AO148" s="100" t="e">
        <f>AO46*AO70</f>
        <v>#REF!</v>
      </c>
      <c r="AP148" s="100" t="e">
        <f>AP46*AP70</f>
        <v>#REF!</v>
      </c>
      <c r="AQ148" s="100" t="e">
        <f>AQ46*AQ70</f>
        <v>#REF!</v>
      </c>
      <c r="AR148" s="100" t="e">
        <f>AR46*AR70</f>
        <v>#REF!</v>
      </c>
      <c r="AS148" s="100" t="e">
        <f>AS46*AS70</f>
        <v>#REF!</v>
      </c>
      <c r="AT148" s="100" t="e">
        <f>AT46*AT70</f>
        <v>#REF!</v>
      </c>
      <c r="AU148" s="100" t="e">
        <f>AU46*AU70</f>
        <v>#REF!</v>
      </c>
      <c r="AV148" s="100" t="e">
        <f>AV46*AV70</f>
        <v>#REF!</v>
      </c>
      <c r="AW148" s="100" t="e">
        <f>AW46*AW70</f>
        <v>#REF!</v>
      </c>
      <c r="AX148" s="100" t="e">
        <f>AX46*AX70</f>
        <v>#REF!</v>
      </c>
      <c r="AY148" s="100" t="e">
        <f>AY46*AY70</f>
        <v>#REF!</v>
      </c>
      <c r="AZ148" s="100" t="e">
        <f>AZ46*AZ70</f>
        <v>#REF!</v>
      </c>
      <c r="BA148" s="100" t="e">
        <f>BA46*BA70</f>
        <v>#REF!</v>
      </c>
      <c r="BB148" s="100" t="e">
        <f>BB46*BB70</f>
        <v>#REF!</v>
      </c>
      <c r="BC148" s="100" t="e">
        <f>BC46*BC70</f>
        <v>#REF!</v>
      </c>
      <c r="BD148" s="100" t="e">
        <f>BD46*BD70</f>
        <v>#REF!</v>
      </c>
      <c r="BE148" s="100" t="e">
        <f>BE46*BE70</f>
        <v>#REF!</v>
      </c>
      <c r="BF148" s="100" t="e">
        <f>BF46*BF70</f>
        <v>#REF!</v>
      </c>
      <c r="BG148" s="100" t="e">
        <f>BG46*BG70</f>
        <v>#REF!</v>
      </c>
      <c r="BH148" s="100" t="e">
        <f>BH46*BH70</f>
        <v>#REF!</v>
      </c>
      <c r="BI148" s="100" t="e">
        <f>BI46*BI70</f>
        <v>#REF!</v>
      </c>
      <c r="BJ148" s="100" t="e">
        <f>BJ46*BJ70</f>
        <v>#REF!</v>
      </c>
      <c r="BK148" s="100" t="e">
        <f>BK46*BK70</f>
        <v>#REF!</v>
      </c>
      <c r="BL148" s="100" t="e">
        <f>BL46*BL70</f>
        <v>#REF!</v>
      </c>
    </row>
    <row r="149" spans="2:64">
      <c r="B149" s="146" t="s">
        <v>466</v>
      </c>
      <c r="D149" s="53" t="e">
        <f>D123*D70</f>
        <v>#REF!</v>
      </c>
      <c r="E149" s="53" t="e">
        <f>E123*E70</f>
        <v>#REF!</v>
      </c>
      <c r="F149" s="53" t="e">
        <f>F123*F70</f>
        <v>#REF!</v>
      </c>
      <c r="G149" s="53" t="e">
        <f>G123*G70</f>
        <v>#REF!</v>
      </c>
      <c r="H149" s="53" t="e">
        <f>H123*H70</f>
        <v>#REF!</v>
      </c>
      <c r="I149" s="53" t="e">
        <f>I123*I70</f>
        <v>#REF!</v>
      </c>
      <c r="J149" s="53" t="e">
        <f>J123*J70</f>
        <v>#REF!</v>
      </c>
      <c r="K149" s="53" t="e">
        <f>K123*K70</f>
        <v>#REF!</v>
      </c>
      <c r="L149" s="53" t="e">
        <f>L123*L70</f>
        <v>#REF!</v>
      </c>
      <c r="M149" s="53" t="e">
        <f>M123*M70</f>
        <v>#REF!</v>
      </c>
      <c r="N149" s="53" t="e">
        <f>N123*N70</f>
        <v>#REF!</v>
      </c>
      <c r="O149" s="53" t="e">
        <f>O123*O70</f>
        <v>#REF!</v>
      </c>
      <c r="P149" s="53" t="e">
        <f>P123*P70</f>
        <v>#REF!</v>
      </c>
      <c r="Q149" s="53" t="e">
        <f>Q123*Q70</f>
        <v>#REF!</v>
      </c>
      <c r="R149" s="53" t="e">
        <f>R123*R70</f>
        <v>#REF!</v>
      </c>
      <c r="S149" s="53" t="e">
        <f>S123*S70</f>
        <v>#REF!</v>
      </c>
      <c r="T149" s="53" t="e">
        <f>T123*T70</f>
        <v>#REF!</v>
      </c>
      <c r="U149" s="53" t="e">
        <f>U123*U70</f>
        <v>#REF!</v>
      </c>
      <c r="V149" s="53" t="e">
        <f>V123*V70</f>
        <v>#REF!</v>
      </c>
      <c r="W149" s="53" t="e">
        <f>W123*W70</f>
        <v>#REF!</v>
      </c>
      <c r="X149" s="53" t="e">
        <f>X123*X70</f>
        <v>#REF!</v>
      </c>
      <c r="Y149" s="53" t="e">
        <f>Y123*Y70</f>
        <v>#REF!</v>
      </c>
      <c r="Z149" s="53" t="e">
        <f>Z123*Z70</f>
        <v>#REF!</v>
      </c>
      <c r="AA149" s="53" t="e">
        <f>AA123*AA70</f>
        <v>#REF!</v>
      </c>
      <c r="AB149" s="53" t="e">
        <f>AB123*AB70</f>
        <v>#REF!</v>
      </c>
      <c r="AC149" s="53" t="e">
        <f>AC123*AC70</f>
        <v>#REF!</v>
      </c>
      <c r="AD149" s="53" t="e">
        <f>AD123*AD70</f>
        <v>#REF!</v>
      </c>
      <c r="AE149" s="53" t="e">
        <f>AE123*AE70</f>
        <v>#REF!</v>
      </c>
      <c r="AF149" s="53" t="e">
        <f>AF123*AF70</f>
        <v>#REF!</v>
      </c>
      <c r="AG149" s="53" t="e">
        <f>AG123*AG70</f>
        <v>#REF!</v>
      </c>
      <c r="AH149" s="53" t="e">
        <f>AH123*AH70</f>
        <v>#REF!</v>
      </c>
      <c r="AI149" s="53" t="e">
        <f>AI123*AI70</f>
        <v>#REF!</v>
      </c>
      <c r="AJ149" s="53" t="e">
        <f>AJ123*AJ70</f>
        <v>#REF!</v>
      </c>
      <c r="AK149" s="53" t="e">
        <f>AK123*AK70</f>
        <v>#REF!</v>
      </c>
      <c r="AL149" s="53" t="e">
        <f>AL123*AL70</f>
        <v>#REF!</v>
      </c>
      <c r="AM149" s="53" t="e">
        <f>AM123*AM70</f>
        <v>#REF!</v>
      </c>
      <c r="AN149" s="53" t="e">
        <f>AN123*AN70</f>
        <v>#REF!</v>
      </c>
      <c r="AO149" s="53" t="e">
        <f>AO123*AO70</f>
        <v>#REF!</v>
      </c>
      <c r="AP149" s="53" t="e">
        <f>AP123*AP70</f>
        <v>#REF!</v>
      </c>
      <c r="AQ149" s="53" t="e">
        <f>AQ123*AQ70</f>
        <v>#REF!</v>
      </c>
      <c r="AR149" s="53" t="e">
        <f>AR123*AR70</f>
        <v>#REF!</v>
      </c>
      <c r="AS149" s="53" t="e">
        <f>AS123*AS70</f>
        <v>#REF!</v>
      </c>
      <c r="AT149" s="53" t="e">
        <f>AT123*AT70</f>
        <v>#REF!</v>
      </c>
      <c r="AU149" s="53" t="e">
        <f>AU123*AU70</f>
        <v>#REF!</v>
      </c>
      <c r="AV149" s="53" t="e">
        <f>AV123*AV70</f>
        <v>#REF!</v>
      </c>
      <c r="AW149" s="53" t="e">
        <f>AW123*AW70</f>
        <v>#REF!</v>
      </c>
      <c r="AX149" s="53" t="e">
        <f>AX123*AX70</f>
        <v>#REF!</v>
      </c>
      <c r="AY149" s="53" t="e">
        <f>AY123*AY70</f>
        <v>#REF!</v>
      </c>
      <c r="AZ149" s="53" t="e">
        <f>AZ123*AZ70</f>
        <v>#REF!</v>
      </c>
      <c r="BA149" s="53" t="e">
        <f>BA123*BA70</f>
        <v>#REF!</v>
      </c>
      <c r="BB149" s="53" t="e">
        <f>BB123*BB70</f>
        <v>#REF!</v>
      </c>
      <c r="BC149" s="53" t="e">
        <f>BC123*BC70</f>
        <v>#REF!</v>
      </c>
      <c r="BD149" s="53" t="e">
        <f>BD123*BD70</f>
        <v>#REF!</v>
      </c>
      <c r="BE149" s="53" t="e">
        <f>BE123*BE70</f>
        <v>#REF!</v>
      </c>
      <c r="BF149" s="53" t="e">
        <f>BF123*BF70</f>
        <v>#REF!</v>
      </c>
      <c r="BG149" s="53" t="e">
        <f>BG123*BG70</f>
        <v>#REF!</v>
      </c>
      <c r="BH149" s="53" t="e">
        <f>BH123*BH70</f>
        <v>#REF!</v>
      </c>
      <c r="BI149" s="53" t="e">
        <f>BI123*BI70</f>
        <v>#REF!</v>
      </c>
      <c r="BJ149" s="53" t="e">
        <f>BJ123*BJ70</f>
        <v>#REF!</v>
      </c>
      <c r="BK149" s="53" t="e">
        <f>BK123*BK70</f>
        <v>#REF!</v>
      </c>
      <c r="BL149" s="53" t="e">
        <f>BL123*BL70</f>
        <v>#REF!</v>
      </c>
    </row>
    <row r="150" spans="2:64">
      <c r="B150" s="146" t="s">
        <v>467</v>
      </c>
      <c r="D150" s="53"/>
      <c r="E150" s="53" t="e">
        <f>E129*E70</f>
        <v>#REF!</v>
      </c>
      <c r="F150" s="53" t="e">
        <f>F129*F70</f>
        <v>#REF!</v>
      </c>
      <c r="G150" s="53" t="e">
        <f>G129*G70</f>
        <v>#REF!</v>
      </c>
      <c r="H150" s="53" t="e">
        <f>H129*H70</f>
        <v>#REF!</v>
      </c>
      <c r="I150" s="53" t="e">
        <f>I129*I70</f>
        <v>#REF!</v>
      </c>
      <c r="J150" s="53" t="e">
        <f>J129*J70</f>
        <v>#REF!</v>
      </c>
      <c r="K150" s="53" t="e">
        <f>K129*K70</f>
        <v>#REF!</v>
      </c>
      <c r="L150" s="53" t="e">
        <f>L129*L70</f>
        <v>#REF!</v>
      </c>
      <c r="M150" s="53" t="e">
        <f>M129*M70</f>
        <v>#REF!</v>
      </c>
      <c r="N150" s="53" t="e">
        <f>N129*N70</f>
        <v>#REF!</v>
      </c>
      <c r="O150" s="53" t="e">
        <f>O129*O70</f>
        <v>#REF!</v>
      </c>
      <c r="P150" s="53" t="e">
        <f>P129*P70</f>
        <v>#REF!</v>
      </c>
      <c r="Q150" s="53" t="e">
        <f>Q129*Q70</f>
        <v>#REF!</v>
      </c>
      <c r="R150" s="53" t="e">
        <f>R129*R70</f>
        <v>#REF!</v>
      </c>
      <c r="S150" s="53" t="e">
        <f>S129*S70</f>
        <v>#REF!</v>
      </c>
      <c r="T150" s="53" t="e">
        <f>T129*T70</f>
        <v>#REF!</v>
      </c>
      <c r="U150" s="53" t="e">
        <f>U129*U70</f>
        <v>#REF!</v>
      </c>
      <c r="V150" s="53" t="e">
        <f>V129*V70</f>
        <v>#REF!</v>
      </c>
      <c r="W150" s="53" t="e">
        <f>W129*W70</f>
        <v>#REF!</v>
      </c>
      <c r="X150" s="53" t="e">
        <f>X129*X70</f>
        <v>#REF!</v>
      </c>
      <c r="Y150" s="53" t="e">
        <f>Y129*Y70</f>
        <v>#REF!</v>
      </c>
      <c r="Z150" s="53" t="e">
        <f>Z129*Z70</f>
        <v>#REF!</v>
      </c>
      <c r="AA150" s="53" t="e">
        <f>AA129*AA70</f>
        <v>#REF!</v>
      </c>
      <c r="AB150" s="53" t="e">
        <f>AB129*AB70</f>
        <v>#REF!</v>
      </c>
      <c r="AC150" s="53" t="e">
        <f>AC129*AC70</f>
        <v>#REF!</v>
      </c>
      <c r="AD150" s="53" t="e">
        <f>AD129*AD70</f>
        <v>#REF!</v>
      </c>
      <c r="AE150" s="53" t="e">
        <f>AE129*AE70</f>
        <v>#REF!</v>
      </c>
      <c r="AF150" s="53" t="e">
        <f>AF129*AF70</f>
        <v>#REF!</v>
      </c>
      <c r="AG150" s="53" t="e">
        <f>AG129*AG70</f>
        <v>#REF!</v>
      </c>
      <c r="AH150" s="53" t="e">
        <f>AH129*AH70</f>
        <v>#REF!</v>
      </c>
      <c r="AI150" s="53" t="e">
        <f>AI129*AI70</f>
        <v>#REF!</v>
      </c>
      <c r="AJ150" s="53" t="e">
        <f>AJ129*AJ70</f>
        <v>#REF!</v>
      </c>
      <c r="AK150" s="53" t="e">
        <f>AK129*AK70</f>
        <v>#REF!</v>
      </c>
      <c r="AL150" s="53" t="e">
        <f>AL129*AL70</f>
        <v>#REF!</v>
      </c>
      <c r="AM150" s="53" t="e">
        <f>AM129*AM70</f>
        <v>#REF!</v>
      </c>
      <c r="AN150" s="53" t="e">
        <f>AN129*AN70</f>
        <v>#REF!</v>
      </c>
      <c r="AO150" s="53" t="e">
        <f>AO129*AO70</f>
        <v>#REF!</v>
      </c>
      <c r="AP150" s="53" t="e">
        <f>AP129*AP70</f>
        <v>#REF!</v>
      </c>
      <c r="AQ150" s="53" t="e">
        <f>AQ129*AQ70</f>
        <v>#REF!</v>
      </c>
      <c r="AR150" s="53" t="e">
        <f>AR129*AR70</f>
        <v>#REF!</v>
      </c>
      <c r="AS150" s="53" t="e">
        <f>AS129*AS70</f>
        <v>#REF!</v>
      </c>
      <c r="AT150" s="53" t="e">
        <f>AT129*AT70</f>
        <v>#REF!</v>
      </c>
      <c r="AU150" s="53" t="e">
        <f>AU129*AU70</f>
        <v>#REF!</v>
      </c>
      <c r="AV150" s="53" t="e">
        <f>AV129*AV70</f>
        <v>#REF!</v>
      </c>
      <c r="AW150" s="53" t="e">
        <f>AW129*AW70</f>
        <v>#REF!</v>
      </c>
      <c r="AX150" s="53" t="e">
        <f>AX129*AX70</f>
        <v>#REF!</v>
      </c>
      <c r="AY150" s="53" t="e">
        <f>AY129*AY70</f>
        <v>#REF!</v>
      </c>
      <c r="AZ150" s="53" t="e">
        <f>AZ129*AZ70</f>
        <v>#REF!</v>
      </c>
      <c r="BA150" s="53" t="e">
        <f>BA129*BA70</f>
        <v>#REF!</v>
      </c>
      <c r="BB150" s="53" t="e">
        <f>BB129*BB70</f>
        <v>#REF!</v>
      </c>
      <c r="BC150" s="53" t="e">
        <f>BC129*BC70</f>
        <v>#REF!</v>
      </c>
      <c r="BD150" s="53" t="e">
        <f>BD129*BD70</f>
        <v>#REF!</v>
      </c>
      <c r="BE150" s="53" t="e">
        <f>BE129*BE70</f>
        <v>#REF!</v>
      </c>
      <c r="BF150" s="53" t="e">
        <f>BF129*BF70</f>
        <v>#REF!</v>
      </c>
      <c r="BG150" s="53" t="e">
        <f>BG129*BG70</f>
        <v>#REF!</v>
      </c>
      <c r="BH150" s="53" t="e">
        <f>BH129*BH70</f>
        <v>#REF!</v>
      </c>
      <c r="BI150" s="53" t="e">
        <f>BI129*BI70</f>
        <v>#REF!</v>
      </c>
      <c r="BJ150" s="53" t="e">
        <f>BJ129*BJ70</f>
        <v>#REF!</v>
      </c>
      <c r="BK150" s="53" t="e">
        <f>BK129*BK70</f>
        <v>#REF!</v>
      </c>
      <c r="BL150" s="53" t="e">
        <f>BL129*BL70</f>
        <v>#REF!</v>
      </c>
    </row>
    <row r="151" spans="2:64">
      <c r="B151" s="146" t="s">
        <v>468</v>
      </c>
      <c r="E151" s="69" t="e">
        <f>E103*E70</f>
        <v>#REF!</v>
      </c>
      <c r="F151" s="69" t="e">
        <f>F103*F70</f>
        <v>#REF!</v>
      </c>
      <c r="G151" s="69" t="e">
        <f>G103*G70</f>
        <v>#REF!</v>
      </c>
      <c r="H151" s="69" t="e">
        <f>H103*H70</f>
        <v>#REF!</v>
      </c>
      <c r="I151" s="69" t="e">
        <f>I103*I70</f>
        <v>#REF!</v>
      </c>
      <c r="J151" s="69" t="e">
        <f>J103*J70</f>
        <v>#REF!</v>
      </c>
      <c r="K151" s="69" t="e">
        <f>K103*K70</f>
        <v>#REF!</v>
      </c>
      <c r="L151" s="69" t="e">
        <f>L103*L70</f>
        <v>#REF!</v>
      </c>
      <c r="M151" s="69" t="e">
        <f>M103*M70</f>
        <v>#REF!</v>
      </c>
      <c r="N151" s="69" t="e">
        <f>N103*N70</f>
        <v>#REF!</v>
      </c>
      <c r="O151" s="69" t="e">
        <f>O103*O70</f>
        <v>#REF!</v>
      </c>
      <c r="P151" s="69" t="e">
        <f>P103*P70</f>
        <v>#REF!</v>
      </c>
      <c r="Q151" s="69" t="e">
        <f>Q103*Q70</f>
        <v>#REF!</v>
      </c>
      <c r="R151" s="69" t="e">
        <f>R103*R70</f>
        <v>#REF!</v>
      </c>
      <c r="S151" s="69" t="e">
        <f>S103*S70</f>
        <v>#REF!</v>
      </c>
      <c r="T151" s="69" t="e">
        <f>T103*T70</f>
        <v>#REF!</v>
      </c>
      <c r="U151" s="69" t="e">
        <f>U103*U70</f>
        <v>#REF!</v>
      </c>
      <c r="V151" s="69" t="e">
        <f>V103*V70</f>
        <v>#REF!</v>
      </c>
      <c r="W151" s="69" t="e">
        <f>W103*W70</f>
        <v>#REF!</v>
      </c>
      <c r="X151" s="69" t="e">
        <f>X103*X70</f>
        <v>#REF!</v>
      </c>
      <c r="Y151" s="69" t="e">
        <f>Y103*Y70</f>
        <v>#REF!</v>
      </c>
      <c r="Z151" s="69" t="e">
        <f>Z103*Z70</f>
        <v>#REF!</v>
      </c>
      <c r="AA151" s="69" t="e">
        <f>AA103*AA70</f>
        <v>#REF!</v>
      </c>
      <c r="AB151" s="69" t="e">
        <f>AB103*AB70</f>
        <v>#REF!</v>
      </c>
      <c r="AC151" s="69" t="e">
        <f>AC103*AC70</f>
        <v>#REF!</v>
      </c>
      <c r="AD151" s="69" t="e">
        <f>AD103*AD70</f>
        <v>#REF!</v>
      </c>
      <c r="AE151" s="69" t="e">
        <f>AE103*AE70</f>
        <v>#REF!</v>
      </c>
      <c r="AF151" s="69" t="e">
        <f>AF103*AF70</f>
        <v>#REF!</v>
      </c>
      <c r="AG151" s="69" t="e">
        <f>AG103*AG70</f>
        <v>#REF!</v>
      </c>
      <c r="AH151" s="69" t="e">
        <f>AH103*AH70</f>
        <v>#REF!</v>
      </c>
      <c r="AI151" s="69" t="e">
        <f>AI103*AI70</f>
        <v>#REF!</v>
      </c>
      <c r="AJ151" s="69" t="e">
        <f>AJ103*AJ70</f>
        <v>#REF!</v>
      </c>
      <c r="AK151" s="69" t="e">
        <f>AK103*AK70</f>
        <v>#REF!</v>
      </c>
      <c r="AL151" s="69" t="e">
        <f>AL103*AL70</f>
        <v>#REF!</v>
      </c>
      <c r="AM151" s="69" t="e">
        <f>AM103*AM70</f>
        <v>#REF!</v>
      </c>
      <c r="AN151" s="69" t="e">
        <f>AN103*AN70</f>
        <v>#REF!</v>
      </c>
      <c r="AO151" s="69" t="e">
        <f>AO103*AO70</f>
        <v>#REF!</v>
      </c>
      <c r="AP151" s="69" t="e">
        <f>AP103*AP70</f>
        <v>#REF!</v>
      </c>
      <c r="AQ151" s="69" t="e">
        <f>AQ103*AQ70</f>
        <v>#REF!</v>
      </c>
      <c r="AR151" s="69" t="e">
        <f>AR103*AR70</f>
        <v>#REF!</v>
      </c>
      <c r="AS151" s="69" t="e">
        <f>AS103*AS70</f>
        <v>#REF!</v>
      </c>
      <c r="AT151" s="69" t="e">
        <f>AT103*AT70</f>
        <v>#REF!</v>
      </c>
      <c r="AU151" s="69" t="e">
        <f>AU103*AU70</f>
        <v>#REF!</v>
      </c>
      <c r="AV151" s="69" t="e">
        <f>AV103*AV70</f>
        <v>#REF!</v>
      </c>
      <c r="AW151" s="69" t="e">
        <f>AW103*AW70</f>
        <v>#REF!</v>
      </c>
      <c r="AX151" s="69" t="e">
        <f>AX103*AX70</f>
        <v>#REF!</v>
      </c>
      <c r="AY151" s="69" t="e">
        <f>AY103*AY70</f>
        <v>#REF!</v>
      </c>
      <c r="AZ151" s="69" t="e">
        <f>AZ103*AZ70</f>
        <v>#REF!</v>
      </c>
      <c r="BA151" s="69" t="e">
        <f>BA103*BA70</f>
        <v>#REF!</v>
      </c>
      <c r="BB151" s="69" t="e">
        <f>BB103*BB70</f>
        <v>#REF!</v>
      </c>
      <c r="BC151" s="69" t="e">
        <f>BC103*BC70</f>
        <v>#REF!</v>
      </c>
      <c r="BD151" s="69" t="e">
        <f>BD103*BD70</f>
        <v>#REF!</v>
      </c>
      <c r="BE151" s="69" t="e">
        <f>BE103*BE70</f>
        <v>#REF!</v>
      </c>
      <c r="BF151" s="69" t="e">
        <f>BF103*BF70</f>
        <v>#REF!</v>
      </c>
      <c r="BG151" s="69" t="e">
        <f>BG103*BG70</f>
        <v>#REF!</v>
      </c>
      <c r="BH151" s="69" t="e">
        <f>BH103*BH70</f>
        <v>#REF!</v>
      </c>
      <c r="BI151" s="69" t="e">
        <f>BI103*BI70</f>
        <v>#REF!</v>
      </c>
      <c r="BJ151" s="69" t="e">
        <f>BJ103*BJ70</f>
        <v>#REF!</v>
      </c>
      <c r="BK151" s="69" t="e">
        <f>BK103*BK70</f>
        <v>#REF!</v>
      </c>
      <c r="BL151" s="69" t="e">
        <f>BL103*BL70</f>
        <v>#REF!</v>
      </c>
    </row>
    <row r="153" spans="2:64">
      <c r="E153" s="177"/>
      <c r="F153" s="177"/>
      <c r="G153" s="177"/>
      <c r="H153" s="177"/>
      <c r="I153" s="177"/>
      <c r="J153" s="177"/>
      <c r="K153" s="177"/>
      <c r="L153" s="177"/>
      <c r="M153" s="177"/>
      <c r="N153" s="177"/>
      <c r="O153" s="177"/>
      <c r="P153" s="177"/>
      <c r="Q153" s="177"/>
      <c r="R153" s="177"/>
      <c r="S153" s="177"/>
      <c r="T153" s="177"/>
      <c r="U153" s="177"/>
      <c r="V153" s="177"/>
      <c r="W153" s="177"/>
      <c r="X153" s="177"/>
      <c r="Y153" s="177"/>
      <c r="Z153" s="177"/>
      <c r="AA153" s="177"/>
      <c r="AB153" s="177"/>
      <c r="AC153" s="177"/>
      <c r="AD153" s="177"/>
      <c r="AE153" s="177"/>
      <c r="AF153" s="177"/>
      <c r="AG153" s="177"/>
      <c r="AH153" s="177"/>
      <c r="AI153" s="177"/>
      <c r="AJ153" s="177"/>
      <c r="AK153" s="177"/>
      <c r="AL153" s="177"/>
      <c r="AM153" s="177"/>
      <c r="AN153" s="177"/>
      <c r="AO153" s="177"/>
      <c r="AP153" s="177"/>
      <c r="AQ153" s="177"/>
      <c r="AR153" s="177"/>
      <c r="AS153" s="177"/>
      <c r="AT153" s="177"/>
      <c r="AU153" s="177"/>
      <c r="AV153" s="177"/>
      <c r="AW153" s="177"/>
      <c r="AX153" s="177"/>
      <c r="AY153" s="177"/>
      <c r="AZ153" s="177"/>
      <c r="BA153" s="177"/>
      <c r="BB153" s="177"/>
      <c r="BC153" s="177"/>
      <c r="BD153" s="177"/>
      <c r="BE153" s="177"/>
      <c r="BF153" s="177"/>
      <c r="BG153" s="177"/>
      <c r="BH153" s="177"/>
      <c r="BI153" s="177"/>
      <c r="BJ153" s="177"/>
      <c r="BK153" s="177"/>
      <c r="BL153" s="177"/>
    </row>
    <row r="154" spans="2:64">
      <c r="B154" s="145" t="s">
        <v>469</v>
      </c>
    </row>
    <row r="155" spans="2:64">
      <c r="B155" s="146" t="s">
        <v>415</v>
      </c>
      <c r="D155" s="69">
        <f>D127+D118+D87-D113</f>
        <v>9267897.107294064</v>
      </c>
      <c r="E155" s="69" t="e">
        <f>E127+E118+E87-E113</f>
        <v>#REF!</v>
      </c>
      <c r="F155" s="69" t="e">
        <f>F127+F118+F87-F113</f>
        <v>#REF!</v>
      </c>
      <c r="G155" s="69" t="e">
        <f>G127+G118+G87-G113</f>
        <v>#REF!</v>
      </c>
      <c r="H155" s="69" t="e">
        <f>H127+H118+H87-H113</f>
        <v>#REF!</v>
      </c>
      <c r="I155" s="69" t="e">
        <f>I127+I118+I87-I113</f>
        <v>#REF!</v>
      </c>
      <c r="J155" s="69" t="e">
        <f>J127+J118+J87-J113</f>
        <v>#REF!</v>
      </c>
      <c r="K155" s="69" t="e">
        <f>K127+K118+K87-K113</f>
        <v>#REF!</v>
      </c>
      <c r="L155" s="69" t="e">
        <f>L127+L118+L87-L113</f>
        <v>#REF!</v>
      </c>
      <c r="M155" s="69" t="e">
        <f>M127+M118+M87-M113</f>
        <v>#REF!</v>
      </c>
      <c r="N155" s="69" t="e">
        <f>N127+N118+N87-N113</f>
        <v>#REF!</v>
      </c>
      <c r="O155" s="69" t="e">
        <f>O127+O118+O87-O113</f>
        <v>#REF!</v>
      </c>
      <c r="P155" s="69" t="e">
        <f>P127+P118+P87-P113</f>
        <v>#REF!</v>
      </c>
      <c r="Q155" s="69" t="e">
        <f>Q127+Q118+Q87-Q113</f>
        <v>#REF!</v>
      </c>
      <c r="R155" s="69" t="e">
        <f>R127+R118+R87-R113</f>
        <v>#REF!</v>
      </c>
      <c r="S155" s="69" t="e">
        <f>S127+S118+S87-S113</f>
        <v>#REF!</v>
      </c>
      <c r="T155" s="69" t="e">
        <f>T127+T118+T87-T113</f>
        <v>#REF!</v>
      </c>
      <c r="U155" s="69" t="e">
        <f>U127+U118+U87-U113</f>
        <v>#REF!</v>
      </c>
      <c r="V155" s="69" t="e">
        <f>V127+V118+V87-V113</f>
        <v>#REF!</v>
      </c>
      <c r="W155" s="69" t="e">
        <f>W127+W118+W87-W113</f>
        <v>#REF!</v>
      </c>
      <c r="X155" s="69" t="e">
        <f>X127+X118+X87-X113</f>
        <v>#REF!</v>
      </c>
      <c r="Y155" s="69" t="e">
        <f>Y127+Y118+Y87-Y113</f>
        <v>#REF!</v>
      </c>
      <c r="Z155" s="69" t="e">
        <f>Z127+Z118+Z87-Z113</f>
        <v>#REF!</v>
      </c>
      <c r="AA155" s="69" t="e">
        <f>AA127+AA118+AA87-AA113</f>
        <v>#REF!</v>
      </c>
      <c r="AB155" s="69" t="e">
        <f>AB127+AB118+AB87-AB113</f>
        <v>#REF!</v>
      </c>
      <c r="AC155" s="69" t="e">
        <f>AC127+AC118+AC87-AC113</f>
        <v>#REF!</v>
      </c>
      <c r="AD155" s="69" t="e">
        <f>AD127+AD118+AD87-AD113</f>
        <v>#REF!</v>
      </c>
      <c r="AE155" s="69" t="e">
        <f>AE127+AE118+AE87-AE113</f>
        <v>#REF!</v>
      </c>
      <c r="AF155" s="69" t="e">
        <f>AF127+AF118+AF87-AF113</f>
        <v>#REF!</v>
      </c>
      <c r="AG155" s="69" t="e">
        <f>AG127+AG118+AG87-AG113</f>
        <v>#REF!</v>
      </c>
      <c r="AH155" s="69" t="e">
        <f>AH127+AH118+AH87-AH113</f>
        <v>#REF!</v>
      </c>
      <c r="AI155" s="69" t="e">
        <f>AI127+AI118+AI87-AI113</f>
        <v>#REF!</v>
      </c>
      <c r="AJ155" s="69" t="e">
        <f>AJ127+AJ118+AJ87-AJ113</f>
        <v>#REF!</v>
      </c>
      <c r="AK155" s="69" t="e">
        <f>AK127+AK118+AK87-AK113</f>
        <v>#REF!</v>
      </c>
      <c r="AL155" s="69" t="e">
        <f>AL127+AL118+AL87-AL113</f>
        <v>#REF!</v>
      </c>
      <c r="AM155" s="69" t="e">
        <f>AM127+AM118+AM87-AM113</f>
        <v>#REF!</v>
      </c>
      <c r="AN155" s="69" t="e">
        <f>AN127+AN118+AN87-AN113</f>
        <v>#REF!</v>
      </c>
      <c r="AO155" s="69" t="e">
        <f>AO127+AO118+AO87-AO113</f>
        <v>#REF!</v>
      </c>
      <c r="AP155" s="69" t="e">
        <f>AP127+AP118+AP87-AP113</f>
        <v>#REF!</v>
      </c>
      <c r="AQ155" s="69" t="e">
        <f>AQ127+AQ118+AQ87-AQ113</f>
        <v>#REF!</v>
      </c>
      <c r="AR155" s="69" t="e">
        <f>AR127+AR118+AR87-AR113</f>
        <v>#REF!</v>
      </c>
      <c r="AS155" s="69" t="e">
        <f>AS127+AS118+AS87-AS113</f>
        <v>#REF!</v>
      </c>
      <c r="AT155" s="69" t="e">
        <f>AT127+AT118+AT87-AT113</f>
        <v>#REF!</v>
      </c>
      <c r="AU155" s="69" t="e">
        <f>AU127+AU118+AU87-AU113</f>
        <v>#REF!</v>
      </c>
      <c r="AV155" s="69" t="e">
        <f>AV127+AV118+AV87-AV113</f>
        <v>#REF!</v>
      </c>
      <c r="AW155" s="69" t="e">
        <f>AW127+AW118+AW87-AW113</f>
        <v>#REF!</v>
      </c>
      <c r="AX155" s="69" t="e">
        <f>AX127+AX118+AX87-AX113</f>
        <v>#REF!</v>
      </c>
      <c r="AY155" s="69" t="e">
        <f>AY127+AY118+AY87-AY113</f>
        <v>#REF!</v>
      </c>
      <c r="AZ155" s="69" t="e">
        <f>AZ127+AZ118+AZ87-AZ113</f>
        <v>#REF!</v>
      </c>
      <c r="BA155" s="69" t="e">
        <f>BA127+BA118+BA87-BA113</f>
        <v>#REF!</v>
      </c>
      <c r="BB155" s="69" t="e">
        <f>BB127+BB118+BB87-BB113</f>
        <v>#REF!</v>
      </c>
      <c r="BC155" s="69" t="e">
        <f>BC127+BC118+BC87-BC113</f>
        <v>#REF!</v>
      </c>
      <c r="BD155" s="69" t="e">
        <f>BD127+BD118+BD87-BD113</f>
        <v>#REF!</v>
      </c>
      <c r="BE155" s="69" t="e">
        <f>BE127+BE118+BE87-BE113</f>
        <v>#REF!</v>
      </c>
      <c r="BF155" s="69" t="e">
        <f>BF127+BF118+BF87-BF113</f>
        <v>#REF!</v>
      </c>
      <c r="BG155" s="69" t="e">
        <f>BG127+BG118+BG87-BG113</f>
        <v>#REF!</v>
      </c>
      <c r="BH155" s="69" t="e">
        <f>BH127+BH118+BH87-BH113</f>
        <v>#REF!</v>
      </c>
      <c r="BI155" s="69" t="e">
        <f>BI127+BI118+BI87-BI113</f>
        <v>#REF!</v>
      </c>
      <c r="BJ155" s="69" t="e">
        <f>BJ127+BJ118+BJ87-BJ113</f>
        <v>#REF!</v>
      </c>
      <c r="BK155" s="69" t="e">
        <f>BK127+BK118+BK87-BK113</f>
        <v>#REF!</v>
      </c>
      <c r="BL155" s="69" t="e">
        <f>BL127+BL118+BL87-BL113</f>
        <v>#REF!</v>
      </c>
    </row>
    <row r="156" spans="2:64">
      <c r="B156" s="146" t="s">
        <v>470</v>
      </c>
      <c r="D156" s="69">
        <f>D155</f>
        <v>9267897.107294064</v>
      </c>
      <c r="E156" s="53" t="e">
        <f>D156+E155</f>
        <v>#REF!</v>
      </c>
      <c r="F156" s="53" t="e">
        <f>E156+F155</f>
        <v>#REF!</v>
      </c>
      <c r="G156" s="53" t="e">
        <f>F156+G155</f>
        <v>#REF!</v>
      </c>
      <c r="H156" s="53" t="e">
        <f>G156+H155</f>
        <v>#REF!</v>
      </c>
      <c r="I156" s="53" t="e">
        <f>H156+I155</f>
        <v>#REF!</v>
      </c>
      <c r="J156" s="53" t="e">
        <f>I156+J155</f>
        <v>#REF!</v>
      </c>
      <c r="K156" s="53" t="e">
        <f>J156+K155</f>
        <v>#REF!</v>
      </c>
      <c r="L156" s="53" t="e">
        <f>K156+L155</f>
        <v>#REF!</v>
      </c>
      <c r="M156" s="53" t="e">
        <f>L156+M155</f>
        <v>#REF!</v>
      </c>
      <c r="N156" s="53" t="e">
        <f>M156+N155</f>
        <v>#REF!</v>
      </c>
      <c r="O156" s="53" t="e">
        <f>N156+O155</f>
        <v>#REF!</v>
      </c>
      <c r="P156" s="53" t="e">
        <f>O156+P155</f>
        <v>#REF!</v>
      </c>
      <c r="Q156" s="53" t="e">
        <f>P156+Q155</f>
        <v>#REF!</v>
      </c>
      <c r="R156" s="53" t="e">
        <f>Q156+R155</f>
        <v>#REF!</v>
      </c>
      <c r="S156" s="53" t="e">
        <f>R156+S155</f>
        <v>#REF!</v>
      </c>
      <c r="T156" s="53" t="e">
        <f>S156+T155</f>
        <v>#REF!</v>
      </c>
      <c r="U156" s="53" t="e">
        <f>T156+U155</f>
        <v>#REF!</v>
      </c>
      <c r="V156" s="53" t="e">
        <f>U156+V155</f>
        <v>#REF!</v>
      </c>
      <c r="W156" s="53" t="e">
        <f>V156+W155</f>
        <v>#REF!</v>
      </c>
      <c r="X156" s="53" t="e">
        <f>W156+X155</f>
        <v>#REF!</v>
      </c>
      <c r="Y156" s="53" t="e">
        <f>X156+Y155</f>
        <v>#REF!</v>
      </c>
      <c r="Z156" s="53" t="e">
        <f>Y156+Z155</f>
        <v>#REF!</v>
      </c>
      <c r="AA156" s="53" t="e">
        <f>Z156+AA155</f>
        <v>#REF!</v>
      </c>
      <c r="AB156" s="53" t="e">
        <f>AA156+AB155</f>
        <v>#REF!</v>
      </c>
      <c r="AC156" s="53" t="e">
        <f>AB156+AC155</f>
        <v>#REF!</v>
      </c>
      <c r="AD156" s="53" t="e">
        <f>AC156+AD155</f>
        <v>#REF!</v>
      </c>
      <c r="AE156" s="53" t="e">
        <f>AD156+AE155</f>
        <v>#REF!</v>
      </c>
      <c r="AF156" s="53" t="e">
        <f>AE156+AF155</f>
        <v>#REF!</v>
      </c>
      <c r="AG156" s="53" t="e">
        <f>AF156+AG155</f>
        <v>#REF!</v>
      </c>
      <c r="AH156" s="53" t="e">
        <f>AG156+AH155</f>
        <v>#REF!</v>
      </c>
      <c r="AI156" s="53" t="e">
        <f>AH156+AI155</f>
        <v>#REF!</v>
      </c>
      <c r="AJ156" s="53" t="e">
        <f>AI156+AJ155</f>
        <v>#REF!</v>
      </c>
      <c r="AK156" s="53" t="e">
        <f>AJ156+AK155</f>
        <v>#REF!</v>
      </c>
      <c r="AL156" s="53" t="e">
        <f>AK156+AL155</f>
        <v>#REF!</v>
      </c>
      <c r="AM156" s="53" t="e">
        <f>AL156+AM155</f>
        <v>#REF!</v>
      </c>
      <c r="AN156" s="53" t="e">
        <f>AM156+AN155</f>
        <v>#REF!</v>
      </c>
      <c r="AO156" s="53" t="e">
        <f>AN156+AO155</f>
        <v>#REF!</v>
      </c>
      <c r="AP156" s="53" t="e">
        <f>AO156+AP155</f>
        <v>#REF!</v>
      </c>
      <c r="AQ156" s="53" t="e">
        <f>AP156+AQ155</f>
        <v>#REF!</v>
      </c>
      <c r="AR156" s="53" t="e">
        <f>AQ156+AR155</f>
        <v>#REF!</v>
      </c>
      <c r="AS156" s="53" t="e">
        <f>AR156+AS155</f>
        <v>#REF!</v>
      </c>
      <c r="AT156" s="53" t="e">
        <f>AS156+AT155</f>
        <v>#REF!</v>
      </c>
      <c r="AU156" s="53" t="e">
        <f>AT156+AU155</f>
        <v>#REF!</v>
      </c>
      <c r="AV156" s="53" t="e">
        <f>AU156+AV155</f>
        <v>#REF!</v>
      </c>
      <c r="AW156" s="53" t="e">
        <f>AV156+AW155</f>
        <v>#REF!</v>
      </c>
      <c r="AX156" s="53" t="e">
        <f>AW156+AX155</f>
        <v>#REF!</v>
      </c>
      <c r="AY156" s="53" t="e">
        <f>AX156+AY155</f>
        <v>#REF!</v>
      </c>
      <c r="AZ156" s="53" t="e">
        <f>AY156+AZ155</f>
        <v>#REF!</v>
      </c>
      <c r="BA156" s="53" t="e">
        <f>AZ156+BA155</f>
        <v>#REF!</v>
      </c>
      <c r="BB156" s="53" t="e">
        <f>BA156+BB155</f>
        <v>#REF!</v>
      </c>
      <c r="BC156" s="53" t="e">
        <f>BB156+BC155</f>
        <v>#REF!</v>
      </c>
      <c r="BD156" s="53" t="e">
        <f>BC156+BD155</f>
        <v>#REF!</v>
      </c>
      <c r="BE156" s="53" t="e">
        <f>BD156+BE155</f>
        <v>#REF!</v>
      </c>
      <c r="BF156" s="53" t="e">
        <f>BE156+BF155</f>
        <v>#REF!</v>
      </c>
      <c r="BG156" s="53" t="e">
        <f>BF156+BG155</f>
        <v>#REF!</v>
      </c>
      <c r="BH156" s="53" t="e">
        <f>BG156+BH155</f>
        <v>#REF!</v>
      </c>
      <c r="BI156" s="53" t="e">
        <f>BH156+BI155</f>
        <v>#REF!</v>
      </c>
      <c r="BJ156" s="53" t="e">
        <f>BI156+BJ155</f>
        <v>#REF!</v>
      </c>
      <c r="BK156" s="53" t="e">
        <f>BJ156+BK155</f>
        <v>#REF!</v>
      </c>
      <c r="BL156" s="53" t="e">
        <f>BK156+BL155</f>
        <v>#REF!</v>
      </c>
    </row>
    <row r="157" spans="2:64" ht="3.75" customHeight="1">
      <c r="B157" s="146"/>
      <c r="D157" s="69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  <c r="AV157" s="76"/>
      <c r="AW157" s="76"/>
      <c r="AX157" s="76"/>
      <c r="AY157" s="76"/>
      <c r="AZ157" s="76"/>
      <c r="BA157" s="76"/>
      <c r="BB157" s="76"/>
      <c r="BC157" s="76"/>
      <c r="BD157" s="76"/>
      <c r="BE157" s="76"/>
      <c r="BF157" s="76"/>
      <c r="BG157" s="76"/>
      <c r="BH157" s="76"/>
      <c r="BI157" s="76"/>
      <c r="BJ157" s="76"/>
      <c r="BK157" s="76"/>
      <c r="BL157" s="76"/>
    </row>
    <row r="158" spans="2:64">
      <c r="B158" s="146" t="s">
        <v>323</v>
      </c>
      <c r="D158" s="53">
        <f>D128+D121+D93</f>
        <v>0</v>
      </c>
      <c r="E158" s="53" t="e">
        <f>E128+E121+E93</f>
        <v>#REF!</v>
      </c>
      <c r="F158" s="53" t="e">
        <f>F128+F121+F93</f>
        <v>#REF!</v>
      </c>
      <c r="G158" s="53" t="e">
        <f>G128+G121+G93</f>
        <v>#REF!</v>
      </c>
      <c r="H158" s="53" t="e">
        <f>H128+H121+H93</f>
        <v>#REF!</v>
      </c>
      <c r="I158" s="53" t="e">
        <f>I128+I121+I93</f>
        <v>#REF!</v>
      </c>
      <c r="J158" s="53" t="e">
        <f>J128+J121+J93</f>
        <v>#REF!</v>
      </c>
      <c r="K158" s="53" t="e">
        <f>K128+K121+K93</f>
        <v>#REF!</v>
      </c>
      <c r="L158" s="53" t="e">
        <f>L128+L121+L93</f>
        <v>#REF!</v>
      </c>
      <c r="M158" s="53" t="e">
        <f>M128+M121+M93</f>
        <v>#REF!</v>
      </c>
      <c r="N158" s="53" t="e">
        <f>N128+N121+N93</f>
        <v>#REF!</v>
      </c>
      <c r="O158" s="53" t="e">
        <f>O128+O121+O93</f>
        <v>#REF!</v>
      </c>
      <c r="P158" s="53" t="e">
        <f>P128+P121+P93</f>
        <v>#REF!</v>
      </c>
      <c r="Q158" s="53" t="e">
        <f>Q128+Q121+Q93</f>
        <v>#REF!</v>
      </c>
      <c r="R158" s="53" t="e">
        <f>R128+R121+R93</f>
        <v>#REF!</v>
      </c>
      <c r="S158" s="53" t="e">
        <f>S128+S121+S93</f>
        <v>#REF!</v>
      </c>
      <c r="T158" s="53" t="e">
        <f>T128+T121+T93</f>
        <v>#REF!</v>
      </c>
      <c r="U158" s="53" t="e">
        <f>U128+U121+U93</f>
        <v>#REF!</v>
      </c>
      <c r="V158" s="53" t="e">
        <f>V128+V121+V93</f>
        <v>#REF!</v>
      </c>
      <c r="W158" s="53" t="e">
        <f>W128+W121+W93</f>
        <v>#REF!</v>
      </c>
      <c r="X158" s="53" t="e">
        <f>X128+X121+X93</f>
        <v>#REF!</v>
      </c>
      <c r="Y158" s="53" t="e">
        <f>Y128+Y121+Y93</f>
        <v>#REF!</v>
      </c>
      <c r="Z158" s="53" t="e">
        <f>Z128+Z121+Z93</f>
        <v>#REF!</v>
      </c>
      <c r="AA158" s="53" t="e">
        <f>AA128+AA121+AA93</f>
        <v>#REF!</v>
      </c>
      <c r="AB158" s="53" t="e">
        <f>AB128+AB121+AB93</f>
        <v>#REF!</v>
      </c>
      <c r="AC158" s="53" t="e">
        <f>AC128+AC121+AC93</f>
        <v>#REF!</v>
      </c>
      <c r="AD158" s="53" t="e">
        <f>AD128+AD121+AD93</f>
        <v>#REF!</v>
      </c>
      <c r="AE158" s="53" t="e">
        <f>AE128+AE121+AE93</f>
        <v>#REF!</v>
      </c>
      <c r="AF158" s="53" t="e">
        <f>AF128+AF121+AF93</f>
        <v>#REF!</v>
      </c>
      <c r="AG158" s="53" t="e">
        <f>AG128+AG121+AG93</f>
        <v>#REF!</v>
      </c>
      <c r="AH158" s="53" t="e">
        <f>AH128+AH121+AH93</f>
        <v>#REF!</v>
      </c>
      <c r="AI158" s="53" t="e">
        <f>AI128+AI121+AI93</f>
        <v>#REF!</v>
      </c>
      <c r="AJ158" s="53" t="e">
        <f>AJ128+AJ121+AJ93</f>
        <v>#REF!</v>
      </c>
      <c r="AK158" s="53" t="e">
        <f>AK128+AK121+AK93</f>
        <v>#REF!</v>
      </c>
      <c r="AL158" s="53" t="e">
        <f>AL128+AL121+AL93</f>
        <v>#REF!</v>
      </c>
      <c r="AM158" s="53" t="e">
        <f>AM128+AM121+AM93</f>
        <v>#REF!</v>
      </c>
      <c r="AN158" s="53" t="e">
        <f>AN128+AN121+AN93</f>
        <v>#REF!</v>
      </c>
      <c r="AO158" s="53" t="e">
        <f>AO128+AO121+AO93</f>
        <v>#REF!</v>
      </c>
      <c r="AP158" s="53" t="e">
        <f>AP128+AP121+AP93</f>
        <v>#REF!</v>
      </c>
      <c r="AQ158" s="53" t="e">
        <f>AQ128+AQ121+AQ93</f>
        <v>#REF!</v>
      </c>
      <c r="AR158" s="53" t="e">
        <f>AR128+AR121+AR93</f>
        <v>#REF!</v>
      </c>
      <c r="AS158" s="53" t="e">
        <f>AS128+AS121+AS93</f>
        <v>#REF!</v>
      </c>
      <c r="AT158" s="53" t="e">
        <f>AT128+AT121+AT93</f>
        <v>#REF!</v>
      </c>
      <c r="AU158" s="53" t="e">
        <f>AU128+AU121+AU93</f>
        <v>#REF!</v>
      </c>
      <c r="AV158" s="53" t="e">
        <f>AV128+AV121+AV93</f>
        <v>#REF!</v>
      </c>
      <c r="AW158" s="53" t="e">
        <f>AW128+AW121+AW93</f>
        <v>#REF!</v>
      </c>
      <c r="AX158" s="53" t="e">
        <f>AX128+AX121+AX93</f>
        <v>#REF!</v>
      </c>
      <c r="AY158" s="53" t="e">
        <f>AY128+AY121+AY93</f>
        <v>#REF!</v>
      </c>
      <c r="AZ158" s="53" t="e">
        <f>AZ128+AZ121+AZ93</f>
        <v>#REF!</v>
      </c>
      <c r="BA158" s="53" t="e">
        <f>BA128+BA121+BA93</f>
        <v>#REF!</v>
      </c>
      <c r="BB158" s="53" t="e">
        <f>BB128+BB121+BB93</f>
        <v>#REF!</v>
      </c>
      <c r="BC158" s="53" t="e">
        <f>BC128+BC121+BC93</f>
        <v>#REF!</v>
      </c>
      <c r="BD158" s="53" t="e">
        <f>BD128+BD121+BD93</f>
        <v>#REF!</v>
      </c>
      <c r="BE158" s="53" t="e">
        <f>BE128+BE121+BE93</f>
        <v>#REF!</v>
      </c>
      <c r="BF158" s="53" t="e">
        <f>BF128+BF121+BF93</f>
        <v>#REF!</v>
      </c>
      <c r="BG158" s="53" t="e">
        <f>BG128+BG121+BG93</f>
        <v>#REF!</v>
      </c>
      <c r="BH158" s="53" t="e">
        <f>BH128+BH121+BH93</f>
        <v>#REF!</v>
      </c>
      <c r="BI158" s="53" t="e">
        <f>BI128+BI121+BI93</f>
        <v>#REF!</v>
      </c>
      <c r="BJ158" s="53" t="e">
        <f>BJ128+BJ121+BJ93</f>
        <v>#REF!</v>
      </c>
      <c r="BK158" s="53" t="e">
        <f>BK128+BK121+BK93</f>
        <v>#REF!</v>
      </c>
      <c r="BL158" s="53" t="e">
        <f>BL128+BL121+BL93</f>
        <v>#REF!</v>
      </c>
    </row>
    <row r="159" spans="2:64">
      <c r="B159" s="146" t="s">
        <v>470</v>
      </c>
      <c r="D159" s="53">
        <f>D158</f>
        <v>0</v>
      </c>
      <c r="E159" s="53" t="e">
        <f>D159+E158</f>
        <v>#REF!</v>
      </c>
      <c r="F159" s="53" t="e">
        <f>E159+F158</f>
        <v>#REF!</v>
      </c>
      <c r="G159" s="53" t="e">
        <f>F159+G158</f>
        <v>#REF!</v>
      </c>
      <c r="H159" s="53" t="e">
        <f>G159+H158</f>
        <v>#REF!</v>
      </c>
      <c r="I159" s="53" t="e">
        <f>H159+I158</f>
        <v>#REF!</v>
      </c>
      <c r="J159" s="53" t="e">
        <f>I159+J158</f>
        <v>#REF!</v>
      </c>
      <c r="K159" s="53" t="e">
        <f>J159+K158</f>
        <v>#REF!</v>
      </c>
      <c r="L159" s="53" t="e">
        <f>K159+L158</f>
        <v>#REF!</v>
      </c>
      <c r="M159" s="53" t="e">
        <f>L159+M158</f>
        <v>#REF!</v>
      </c>
      <c r="N159" s="53" t="e">
        <f>M159+N158</f>
        <v>#REF!</v>
      </c>
      <c r="O159" s="53" t="e">
        <f>N159+O158</f>
        <v>#REF!</v>
      </c>
      <c r="P159" s="53" t="e">
        <f>O159+P158</f>
        <v>#REF!</v>
      </c>
      <c r="Q159" s="53" t="e">
        <f>P159+Q158</f>
        <v>#REF!</v>
      </c>
      <c r="R159" s="53" t="e">
        <f>Q159+R158</f>
        <v>#REF!</v>
      </c>
      <c r="S159" s="53" t="e">
        <f>R159+S158</f>
        <v>#REF!</v>
      </c>
      <c r="T159" s="53" t="e">
        <f>S159+T158</f>
        <v>#REF!</v>
      </c>
      <c r="U159" s="53" t="e">
        <f>T159+U158</f>
        <v>#REF!</v>
      </c>
      <c r="V159" s="53" t="e">
        <f>U159+V158</f>
        <v>#REF!</v>
      </c>
      <c r="W159" s="53" t="e">
        <f>V159+W158</f>
        <v>#REF!</v>
      </c>
      <c r="X159" s="53" t="e">
        <f>W159+X158</f>
        <v>#REF!</v>
      </c>
      <c r="Y159" s="53" t="e">
        <f>X159+Y158</f>
        <v>#REF!</v>
      </c>
      <c r="Z159" s="53" t="e">
        <f>Y159+Z158</f>
        <v>#REF!</v>
      </c>
      <c r="AA159" s="53" t="e">
        <f>Z159+AA158</f>
        <v>#REF!</v>
      </c>
      <c r="AB159" s="53" t="e">
        <f>AA159+AB158</f>
        <v>#REF!</v>
      </c>
      <c r="AC159" s="53" t="e">
        <f>AB159+AC158</f>
        <v>#REF!</v>
      </c>
      <c r="AD159" s="53" t="e">
        <f>AC159+AD158</f>
        <v>#REF!</v>
      </c>
      <c r="AE159" s="53" t="e">
        <f>AD159+AE158</f>
        <v>#REF!</v>
      </c>
      <c r="AF159" s="53" t="e">
        <f>AE159+AF158</f>
        <v>#REF!</v>
      </c>
      <c r="AG159" s="53" t="e">
        <f>AF159+AG158</f>
        <v>#REF!</v>
      </c>
      <c r="AH159" s="53" t="e">
        <f>AG159+AH158</f>
        <v>#REF!</v>
      </c>
      <c r="AI159" s="53" t="e">
        <f>AH159+AI158</f>
        <v>#REF!</v>
      </c>
      <c r="AJ159" s="53" t="e">
        <f>AI159+AJ158</f>
        <v>#REF!</v>
      </c>
      <c r="AK159" s="53" t="e">
        <f>AJ159+AK158</f>
        <v>#REF!</v>
      </c>
      <c r="AL159" s="53" t="e">
        <f>AK159+AL158</f>
        <v>#REF!</v>
      </c>
      <c r="AM159" s="53" t="e">
        <f>AL159+AM158</f>
        <v>#REF!</v>
      </c>
      <c r="AN159" s="53" t="e">
        <f>AM159+AN158</f>
        <v>#REF!</v>
      </c>
      <c r="AO159" s="53" t="e">
        <f>AN159+AO158</f>
        <v>#REF!</v>
      </c>
      <c r="AP159" s="53" t="e">
        <f>AO159+AP158</f>
        <v>#REF!</v>
      </c>
      <c r="AQ159" s="53" t="e">
        <f>AP159+AQ158</f>
        <v>#REF!</v>
      </c>
      <c r="AR159" s="53" t="e">
        <f>AQ159+AR158</f>
        <v>#REF!</v>
      </c>
      <c r="AS159" s="53" t="e">
        <f>AR159+AS158</f>
        <v>#REF!</v>
      </c>
      <c r="AT159" s="53" t="e">
        <f>AS159+AT158</f>
        <v>#REF!</v>
      </c>
      <c r="AU159" s="53" t="e">
        <f>AT159+AU158</f>
        <v>#REF!</v>
      </c>
      <c r="AV159" s="53" t="e">
        <f>AU159+AV158</f>
        <v>#REF!</v>
      </c>
      <c r="AW159" s="53" t="e">
        <f>AV159+AW158</f>
        <v>#REF!</v>
      </c>
      <c r="AX159" s="53" t="e">
        <f>AW159+AX158</f>
        <v>#REF!</v>
      </c>
      <c r="AY159" s="53" t="e">
        <f>AX159+AY158</f>
        <v>#REF!</v>
      </c>
      <c r="AZ159" s="53" t="e">
        <f>AY159+AZ158</f>
        <v>#REF!</v>
      </c>
      <c r="BA159" s="53" t="e">
        <f>AZ159+BA158</f>
        <v>#REF!</v>
      </c>
      <c r="BB159" s="53" t="e">
        <f>BA159+BB158</f>
        <v>#REF!</v>
      </c>
      <c r="BC159" s="53" t="e">
        <f>BB159+BC158</f>
        <v>#REF!</v>
      </c>
      <c r="BD159" s="53" t="e">
        <f>BC159+BD158</f>
        <v>#REF!</v>
      </c>
      <c r="BE159" s="53" t="e">
        <f>BD159+BE158</f>
        <v>#REF!</v>
      </c>
      <c r="BF159" s="53" t="e">
        <f>BE159+BF158</f>
        <v>#REF!</v>
      </c>
      <c r="BG159" s="53" t="e">
        <f>BF159+BG158</f>
        <v>#REF!</v>
      </c>
      <c r="BH159" s="53" t="e">
        <f>BG159+BH158</f>
        <v>#REF!</v>
      </c>
      <c r="BI159" s="53" t="e">
        <f>BH159+BI158</f>
        <v>#REF!</v>
      </c>
      <c r="BJ159" s="53" t="e">
        <f>BI159+BJ158</f>
        <v>#REF!</v>
      </c>
      <c r="BK159" s="53" t="e">
        <f>BJ159+BK158</f>
        <v>#REF!</v>
      </c>
      <c r="BL159" s="53" t="e">
        <f>BK159+BL158</f>
        <v>#REF!</v>
      </c>
    </row>
    <row r="160" spans="2:64" ht="3.75" customHeight="1">
      <c r="B160" s="146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</row>
    <row r="161" spans="2:64">
      <c r="B161" s="146" t="s">
        <v>256</v>
      </c>
      <c r="D161" s="53" t="e">
        <f>D129+D123+D103</f>
        <v>#REF!</v>
      </c>
      <c r="E161" s="53" t="e">
        <f>E129+E123+E103</f>
        <v>#REF!</v>
      </c>
      <c r="F161" s="53" t="e">
        <f>F129+F123+F103</f>
        <v>#REF!</v>
      </c>
      <c r="G161" s="53" t="e">
        <f>G129+G123+G103</f>
        <v>#REF!</v>
      </c>
      <c r="H161" s="53" t="e">
        <f>H129+H123+H103</f>
        <v>#REF!</v>
      </c>
      <c r="I161" s="53" t="e">
        <f>I129+I123+I103</f>
        <v>#REF!</v>
      </c>
      <c r="J161" s="53" t="e">
        <f>J129+J123+J103</f>
        <v>#REF!</v>
      </c>
      <c r="K161" s="53" t="e">
        <f>K129+K123+K103</f>
        <v>#REF!</v>
      </c>
      <c r="L161" s="53" t="e">
        <f>L129+L123+L103</f>
        <v>#REF!</v>
      </c>
      <c r="M161" s="53" t="e">
        <f>M129+M123+M103</f>
        <v>#REF!</v>
      </c>
      <c r="N161" s="53" t="e">
        <f>N129+N123+N103</f>
        <v>#REF!</v>
      </c>
      <c r="O161" s="53" t="e">
        <f>O129+O123+O103</f>
        <v>#REF!</v>
      </c>
      <c r="P161" s="53" t="e">
        <f>P129+P123+P103</f>
        <v>#REF!</v>
      </c>
      <c r="Q161" s="53" t="e">
        <f>Q129+Q123+Q103</f>
        <v>#REF!</v>
      </c>
      <c r="R161" s="53" t="e">
        <f>R129+R123+R103</f>
        <v>#REF!</v>
      </c>
      <c r="S161" s="53" t="e">
        <f>S129+S123+S103</f>
        <v>#REF!</v>
      </c>
      <c r="T161" s="53" t="e">
        <f>T129+T123+T103</f>
        <v>#REF!</v>
      </c>
      <c r="U161" s="53" t="e">
        <f>U129+U123+U103</f>
        <v>#REF!</v>
      </c>
      <c r="V161" s="53" t="e">
        <f>V129+V123+V103</f>
        <v>#REF!</v>
      </c>
      <c r="W161" s="53" t="e">
        <f>W129+W123+W103</f>
        <v>#REF!</v>
      </c>
      <c r="X161" s="53" t="e">
        <f>X129+X123+X103</f>
        <v>#REF!</v>
      </c>
      <c r="Y161" s="53" t="e">
        <f>Y129+Y123+Y103</f>
        <v>#REF!</v>
      </c>
      <c r="Z161" s="53" t="e">
        <f>Z129+Z123+Z103</f>
        <v>#REF!</v>
      </c>
      <c r="AA161" s="53" t="e">
        <f>AA129+AA123+AA103</f>
        <v>#REF!</v>
      </c>
      <c r="AB161" s="53" t="e">
        <f>AB129+AB123+AB103</f>
        <v>#REF!</v>
      </c>
      <c r="AC161" s="53" t="e">
        <f>AC129+AC123+AC103</f>
        <v>#REF!</v>
      </c>
      <c r="AD161" s="53" t="e">
        <f>AD129+AD123+AD103</f>
        <v>#REF!</v>
      </c>
      <c r="AE161" s="53" t="e">
        <f>AE129+AE123+AE103</f>
        <v>#REF!</v>
      </c>
      <c r="AF161" s="53" t="e">
        <f>AF129+AF123+AF103</f>
        <v>#REF!</v>
      </c>
      <c r="AG161" s="53" t="e">
        <f>AG129+AG123+AG103</f>
        <v>#REF!</v>
      </c>
      <c r="AH161" s="53" t="e">
        <f>AH129+AH123+AH103</f>
        <v>#REF!</v>
      </c>
      <c r="AI161" s="53" t="e">
        <f>AI129+AI123+AI103</f>
        <v>#REF!</v>
      </c>
      <c r="AJ161" s="53" t="e">
        <f>AJ129+AJ123+AJ103</f>
        <v>#REF!</v>
      </c>
      <c r="AK161" s="53" t="e">
        <f>AK129+AK123+AK103</f>
        <v>#REF!</v>
      </c>
      <c r="AL161" s="53" t="e">
        <f>AL129+AL123+AL103</f>
        <v>#REF!</v>
      </c>
      <c r="AM161" s="53" t="e">
        <f>AM129+AM123+AM103</f>
        <v>#REF!</v>
      </c>
      <c r="AN161" s="53" t="e">
        <f>AN129+AN123+AN103</f>
        <v>#REF!</v>
      </c>
      <c r="AO161" s="53" t="e">
        <f>AO129+AO123+AO103</f>
        <v>#REF!</v>
      </c>
      <c r="AP161" s="53" t="e">
        <f>AP129+AP123+AP103</f>
        <v>#REF!</v>
      </c>
      <c r="AQ161" s="53" t="e">
        <f>AQ129+AQ123+AQ103</f>
        <v>#REF!</v>
      </c>
      <c r="AR161" s="53" t="e">
        <f>AR129+AR123+AR103</f>
        <v>#REF!</v>
      </c>
      <c r="AS161" s="53" t="e">
        <f>AS129+AS123+AS103</f>
        <v>#REF!</v>
      </c>
      <c r="AT161" s="53" t="e">
        <f>AT129+AT123+AT103</f>
        <v>#REF!</v>
      </c>
      <c r="AU161" s="53" t="e">
        <f>AU129+AU123+AU103</f>
        <v>#REF!</v>
      </c>
      <c r="AV161" s="53" t="e">
        <f>AV129+AV123+AV103</f>
        <v>#REF!</v>
      </c>
      <c r="AW161" s="53" t="e">
        <f>AW129+AW123+AW103</f>
        <v>#REF!</v>
      </c>
      <c r="AX161" s="53" t="e">
        <f>AX129+AX123+AX103</f>
        <v>#REF!</v>
      </c>
      <c r="AY161" s="53" t="e">
        <f>AY129+AY123+AY103</f>
        <v>#REF!</v>
      </c>
      <c r="AZ161" s="53" t="e">
        <f>AZ129+AZ123+AZ103</f>
        <v>#REF!</v>
      </c>
      <c r="BA161" s="53" t="e">
        <f>BA129+BA123+BA103</f>
        <v>#REF!</v>
      </c>
      <c r="BB161" s="53" t="e">
        <f>BB129+BB123+BB103</f>
        <v>#REF!</v>
      </c>
      <c r="BC161" s="53" t="e">
        <f>BC129+BC123+BC103</f>
        <v>#REF!</v>
      </c>
      <c r="BD161" s="53" t="e">
        <f>BD129+BD123+BD103</f>
        <v>#REF!</v>
      </c>
      <c r="BE161" s="53" t="e">
        <f>BE129+BE123+BE103</f>
        <v>#REF!</v>
      </c>
      <c r="BF161" s="53" t="e">
        <f>BF129+BF123+BF103</f>
        <v>#REF!</v>
      </c>
      <c r="BG161" s="53" t="e">
        <f>BG129+BG123+BG103</f>
        <v>#REF!</v>
      </c>
      <c r="BH161" s="53" t="e">
        <f>BH129+BH123+BH103</f>
        <v>#REF!</v>
      </c>
      <c r="BI161" s="53" t="e">
        <f>BI129+BI123+BI103</f>
        <v>#REF!</v>
      </c>
      <c r="BJ161" s="53" t="e">
        <f>BJ129+BJ123+BJ103</f>
        <v>#REF!</v>
      </c>
      <c r="BK161" s="53" t="e">
        <f>BK129+BK123+BK103</f>
        <v>#REF!</v>
      </c>
      <c r="BL161" s="53" t="e">
        <f>BL129+BL123+BL103</f>
        <v>#REF!</v>
      </c>
    </row>
    <row r="162" spans="2:64">
      <c r="B162" s="146" t="s">
        <v>470</v>
      </c>
      <c r="D162" s="53" t="e">
        <f>D161</f>
        <v>#REF!</v>
      </c>
      <c r="E162" s="53" t="e">
        <f>D162+E161</f>
        <v>#REF!</v>
      </c>
      <c r="F162" s="53" t="e">
        <f>E162+F161</f>
        <v>#REF!</v>
      </c>
      <c r="G162" s="53" t="e">
        <f>F162+G161</f>
        <v>#REF!</v>
      </c>
      <c r="H162" s="53" t="e">
        <f>G162+H161</f>
        <v>#REF!</v>
      </c>
      <c r="I162" s="53" t="e">
        <f>H162+I161</f>
        <v>#REF!</v>
      </c>
      <c r="J162" s="53" t="e">
        <f>I162+J161</f>
        <v>#REF!</v>
      </c>
      <c r="K162" s="53" t="e">
        <f>J162+K161</f>
        <v>#REF!</v>
      </c>
      <c r="L162" s="53" t="e">
        <f>K162+L161</f>
        <v>#REF!</v>
      </c>
      <c r="M162" s="53" t="e">
        <f>L162+M161</f>
        <v>#REF!</v>
      </c>
      <c r="N162" s="53" t="e">
        <f>M162+N161</f>
        <v>#REF!</v>
      </c>
      <c r="O162" s="53" t="e">
        <f>N162+O161</f>
        <v>#REF!</v>
      </c>
      <c r="P162" s="53" t="e">
        <f>O162+P161</f>
        <v>#REF!</v>
      </c>
      <c r="Q162" s="53" t="e">
        <f>P162+Q161</f>
        <v>#REF!</v>
      </c>
      <c r="R162" s="53" t="e">
        <f>Q162+R161</f>
        <v>#REF!</v>
      </c>
      <c r="S162" s="53" t="e">
        <f>R162+S161</f>
        <v>#REF!</v>
      </c>
      <c r="T162" s="53" t="e">
        <f>S162+T161</f>
        <v>#REF!</v>
      </c>
      <c r="U162" s="53" t="e">
        <f>T162+U161</f>
        <v>#REF!</v>
      </c>
      <c r="V162" s="53" t="e">
        <f>U162+V161</f>
        <v>#REF!</v>
      </c>
      <c r="W162" s="53" t="e">
        <f>V162+W161</f>
        <v>#REF!</v>
      </c>
      <c r="X162" s="53" t="e">
        <f>W162+X161</f>
        <v>#REF!</v>
      </c>
      <c r="Y162" s="53" t="e">
        <f>X162+Y161</f>
        <v>#REF!</v>
      </c>
      <c r="Z162" s="53" t="e">
        <f>Y162+Z161</f>
        <v>#REF!</v>
      </c>
      <c r="AA162" s="53" t="e">
        <f>Z162+AA161</f>
        <v>#REF!</v>
      </c>
      <c r="AB162" s="53" t="e">
        <f>AA162+AB161</f>
        <v>#REF!</v>
      </c>
      <c r="AC162" s="53" t="e">
        <f>AB162+AC161</f>
        <v>#REF!</v>
      </c>
      <c r="AD162" s="53" t="e">
        <f>AC162+AD161</f>
        <v>#REF!</v>
      </c>
      <c r="AE162" s="53" t="e">
        <f>AD162+AE161</f>
        <v>#REF!</v>
      </c>
      <c r="AF162" s="53" t="e">
        <f>AE162+AF161</f>
        <v>#REF!</v>
      </c>
      <c r="AG162" s="53" t="e">
        <f>AF162+AG161</f>
        <v>#REF!</v>
      </c>
      <c r="AH162" s="53" t="e">
        <f>AG162+AH161</f>
        <v>#REF!</v>
      </c>
      <c r="AI162" s="53" t="e">
        <f>AH162+AI161</f>
        <v>#REF!</v>
      </c>
      <c r="AJ162" s="53" t="e">
        <f>AI162+AJ161</f>
        <v>#REF!</v>
      </c>
      <c r="AK162" s="53" t="e">
        <f>AJ162+AK161</f>
        <v>#REF!</v>
      </c>
      <c r="AL162" s="53" t="e">
        <f>AK162+AL161</f>
        <v>#REF!</v>
      </c>
      <c r="AM162" s="53" t="e">
        <f>AL162+AM161</f>
        <v>#REF!</v>
      </c>
      <c r="AN162" s="53" t="e">
        <f>AM162+AN161</f>
        <v>#REF!</v>
      </c>
      <c r="AO162" s="53" t="e">
        <f>AN162+AO161</f>
        <v>#REF!</v>
      </c>
      <c r="AP162" s="53" t="e">
        <f>AO162+AP161</f>
        <v>#REF!</v>
      </c>
      <c r="AQ162" s="53" t="e">
        <f>AP162+AQ161</f>
        <v>#REF!</v>
      </c>
      <c r="AR162" s="53" t="e">
        <f>AQ162+AR161</f>
        <v>#REF!</v>
      </c>
      <c r="AS162" s="53" t="e">
        <f>AR162+AS161</f>
        <v>#REF!</v>
      </c>
      <c r="AT162" s="53" t="e">
        <f>AS162+AT161</f>
        <v>#REF!</v>
      </c>
      <c r="AU162" s="53" t="e">
        <f>AT162+AU161</f>
        <v>#REF!</v>
      </c>
      <c r="AV162" s="53" t="e">
        <f>AU162+AV161</f>
        <v>#REF!</v>
      </c>
      <c r="AW162" s="53" t="e">
        <f>AV162+AW161</f>
        <v>#REF!</v>
      </c>
      <c r="AX162" s="53" t="e">
        <f>AW162+AX161</f>
        <v>#REF!</v>
      </c>
      <c r="AY162" s="53" t="e">
        <f>AX162+AY161</f>
        <v>#REF!</v>
      </c>
      <c r="AZ162" s="53" t="e">
        <f>AY162+AZ161</f>
        <v>#REF!</v>
      </c>
      <c r="BA162" s="53" t="e">
        <f>AZ162+BA161</f>
        <v>#REF!</v>
      </c>
      <c r="BB162" s="53" t="e">
        <f>BA162+BB161</f>
        <v>#REF!</v>
      </c>
      <c r="BC162" s="53" t="e">
        <f>BB162+BC161</f>
        <v>#REF!</v>
      </c>
      <c r="BD162" s="53" t="e">
        <f>BC162+BD161</f>
        <v>#REF!</v>
      </c>
      <c r="BE162" s="53" t="e">
        <f>BD162+BE161</f>
        <v>#REF!</v>
      </c>
      <c r="BF162" s="53" t="e">
        <f>BE162+BF161</f>
        <v>#REF!</v>
      </c>
      <c r="BG162" s="53" t="e">
        <f>BF162+BG161</f>
        <v>#REF!</v>
      </c>
      <c r="BH162" s="53" t="e">
        <f>BG162+BH161</f>
        <v>#REF!</v>
      </c>
      <c r="BI162" s="53" t="e">
        <f>BH162+BI161</f>
        <v>#REF!</v>
      </c>
      <c r="BJ162" s="53" t="e">
        <f>BI162+BJ161</f>
        <v>#REF!</v>
      </c>
      <c r="BK162" s="53" t="e">
        <f>BJ162+BK161</f>
        <v>#REF!</v>
      </c>
      <c r="BL162" s="53" t="e">
        <f>BK162+BL161</f>
        <v>#REF!</v>
      </c>
    </row>
    <row r="163" spans="2:64" ht="3.75" customHeight="1">
      <c r="B163" s="146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</row>
    <row r="164" spans="2:64" ht="13.5" customHeight="1">
      <c r="B164" s="146" t="s">
        <v>471</v>
      </c>
      <c r="D164" s="53">
        <f>D155+D158</f>
        <v>9267897.107294064</v>
      </c>
      <c r="E164" s="53" t="e">
        <f>E155+E158</f>
        <v>#REF!</v>
      </c>
      <c r="F164" s="53" t="e">
        <f>F155+F158</f>
        <v>#REF!</v>
      </c>
      <c r="G164" s="53" t="e">
        <f>G155+G158</f>
        <v>#REF!</v>
      </c>
      <c r="H164" s="53" t="e">
        <f>H155+H158</f>
        <v>#REF!</v>
      </c>
      <c r="I164" s="53" t="e">
        <f>I155+I158</f>
        <v>#REF!</v>
      </c>
      <c r="J164" s="53" t="e">
        <f>J155+J158</f>
        <v>#REF!</v>
      </c>
      <c r="K164" s="53" t="e">
        <f>K155+K158</f>
        <v>#REF!</v>
      </c>
      <c r="L164" s="53" t="e">
        <f>L155+L158</f>
        <v>#REF!</v>
      </c>
      <c r="M164" s="53" t="e">
        <f>M155+M158</f>
        <v>#REF!</v>
      </c>
      <c r="N164" s="53" t="e">
        <f>N155+N158</f>
        <v>#REF!</v>
      </c>
      <c r="O164" s="53" t="e">
        <f>O155+O158</f>
        <v>#REF!</v>
      </c>
      <c r="P164" s="53" t="e">
        <f>P155+P158</f>
        <v>#REF!</v>
      </c>
      <c r="Q164" s="53" t="e">
        <f>Q155+Q158</f>
        <v>#REF!</v>
      </c>
      <c r="R164" s="53" t="e">
        <f>R155+R158</f>
        <v>#REF!</v>
      </c>
      <c r="S164" s="53" t="e">
        <f>S155+S158</f>
        <v>#REF!</v>
      </c>
      <c r="T164" s="53" t="e">
        <f>T155+T158</f>
        <v>#REF!</v>
      </c>
      <c r="U164" s="53" t="e">
        <f>U155+U158</f>
        <v>#REF!</v>
      </c>
      <c r="V164" s="53" t="e">
        <f>V155+V158</f>
        <v>#REF!</v>
      </c>
      <c r="W164" s="53" t="e">
        <f>W155+W158</f>
        <v>#REF!</v>
      </c>
      <c r="X164" s="53" t="e">
        <f>X155+X158</f>
        <v>#REF!</v>
      </c>
      <c r="Y164" s="53" t="e">
        <f>Y155+Y158</f>
        <v>#REF!</v>
      </c>
      <c r="Z164" s="53" t="e">
        <f>Z155+Z158</f>
        <v>#REF!</v>
      </c>
      <c r="AA164" s="53" t="e">
        <f>AA155+AA158</f>
        <v>#REF!</v>
      </c>
      <c r="AB164" s="53" t="e">
        <f>AB155+AB158</f>
        <v>#REF!</v>
      </c>
      <c r="AC164" s="53" t="e">
        <f>AC155+AC158</f>
        <v>#REF!</v>
      </c>
      <c r="AD164" s="53" t="e">
        <f>AD155+AD158</f>
        <v>#REF!</v>
      </c>
      <c r="AE164" s="53" t="e">
        <f>AE155+AE158</f>
        <v>#REF!</v>
      </c>
      <c r="AF164" s="53" t="e">
        <f>AF155+AF158</f>
        <v>#REF!</v>
      </c>
      <c r="AG164" s="53" t="e">
        <f>AG155+AG158</f>
        <v>#REF!</v>
      </c>
      <c r="AH164" s="53" t="e">
        <f>AH155+AH158</f>
        <v>#REF!</v>
      </c>
      <c r="AI164" s="53" t="e">
        <f>AI155+AI158</f>
        <v>#REF!</v>
      </c>
      <c r="AJ164" s="53" t="e">
        <f>AJ155+AJ158</f>
        <v>#REF!</v>
      </c>
      <c r="AK164" s="53" t="e">
        <f>AK155+AK158</f>
        <v>#REF!</v>
      </c>
      <c r="AL164" s="53" t="e">
        <f>AL155+AL158</f>
        <v>#REF!</v>
      </c>
      <c r="AM164" s="53" t="e">
        <f>AM155+AM158</f>
        <v>#REF!</v>
      </c>
      <c r="AN164" s="53" t="e">
        <f>AN155+AN158</f>
        <v>#REF!</v>
      </c>
      <c r="AO164" s="53" t="e">
        <f>AO155+AO158</f>
        <v>#REF!</v>
      </c>
      <c r="AP164" s="53" t="e">
        <f>AP155+AP158</f>
        <v>#REF!</v>
      </c>
      <c r="AQ164" s="53" t="e">
        <f>AQ155+AQ158</f>
        <v>#REF!</v>
      </c>
      <c r="AR164" s="53" t="e">
        <f>AR155+AR158</f>
        <v>#REF!</v>
      </c>
      <c r="AS164" s="53" t="e">
        <f>AS155+AS158</f>
        <v>#REF!</v>
      </c>
      <c r="AT164" s="53" t="e">
        <f>AT155+AT158</f>
        <v>#REF!</v>
      </c>
      <c r="AU164" s="53" t="e">
        <f>AU155+AU158</f>
        <v>#REF!</v>
      </c>
      <c r="AV164" s="53" t="e">
        <f>AV155+AV158</f>
        <v>#REF!</v>
      </c>
      <c r="AW164" s="53" t="e">
        <f>AW155+AW158</f>
        <v>#REF!</v>
      </c>
      <c r="AX164" s="53" t="e">
        <f>AX155+AX158</f>
        <v>#REF!</v>
      </c>
      <c r="AY164" s="53" t="e">
        <f>AY155+AY158</f>
        <v>#REF!</v>
      </c>
      <c r="AZ164" s="53" t="e">
        <f>AZ155+AZ158</f>
        <v>#REF!</v>
      </c>
      <c r="BA164" s="53" t="e">
        <f>BA155+BA158</f>
        <v>#REF!</v>
      </c>
      <c r="BB164" s="53" t="e">
        <f>BB155+BB158</f>
        <v>#REF!</v>
      </c>
      <c r="BC164" s="53" t="e">
        <f>BC155+BC158</f>
        <v>#REF!</v>
      </c>
      <c r="BD164" s="53" t="e">
        <f>BD155+BD158</f>
        <v>#REF!</v>
      </c>
      <c r="BE164" s="53" t="e">
        <f>BE155+BE158</f>
        <v>#REF!</v>
      </c>
      <c r="BF164" s="53" t="e">
        <f>BF155+BF158</f>
        <v>#REF!</v>
      </c>
      <c r="BG164" s="53" t="e">
        <f>BG155+BG158</f>
        <v>#REF!</v>
      </c>
      <c r="BH164" s="53" t="e">
        <f>BH155+BH158</f>
        <v>#REF!</v>
      </c>
      <c r="BI164" s="53" t="e">
        <f>BI155+BI158</f>
        <v>#REF!</v>
      </c>
      <c r="BJ164" s="53" t="e">
        <f>BJ155+BJ158</f>
        <v>#REF!</v>
      </c>
      <c r="BK164" s="53" t="e">
        <f>BK155+BK158</f>
        <v>#REF!</v>
      </c>
      <c r="BL164" s="53" t="e">
        <f>BL155+BL158</f>
        <v>#REF!</v>
      </c>
    </row>
    <row r="165" spans="2:64">
      <c r="B165" s="146" t="s">
        <v>471</v>
      </c>
      <c r="D165" s="69">
        <f>D156+D159</f>
        <v>9267897.107294064</v>
      </c>
      <c r="E165" s="69" t="e">
        <f>E156+E159</f>
        <v>#REF!</v>
      </c>
      <c r="F165" s="69" t="e">
        <f>F156+F159</f>
        <v>#REF!</v>
      </c>
      <c r="G165" s="69" t="e">
        <f>G156+G159</f>
        <v>#REF!</v>
      </c>
      <c r="H165" s="69" t="e">
        <f>H156+H159</f>
        <v>#REF!</v>
      </c>
      <c r="I165" s="69" t="e">
        <f>I156+I159</f>
        <v>#REF!</v>
      </c>
      <c r="J165" s="69" t="e">
        <f>J156+J159</f>
        <v>#REF!</v>
      </c>
      <c r="K165" s="69" t="e">
        <f>K156+K159</f>
        <v>#REF!</v>
      </c>
      <c r="L165" s="69" t="e">
        <f>L156+L159</f>
        <v>#REF!</v>
      </c>
      <c r="M165" s="69" t="e">
        <f>M156+M159</f>
        <v>#REF!</v>
      </c>
      <c r="N165" s="69" t="e">
        <f>N156+N159</f>
        <v>#REF!</v>
      </c>
      <c r="O165" s="69" t="e">
        <f>O156+O159</f>
        <v>#REF!</v>
      </c>
      <c r="P165" s="69" t="e">
        <f>P156+P159</f>
        <v>#REF!</v>
      </c>
      <c r="Q165" s="69" t="e">
        <f>Q156+Q159</f>
        <v>#REF!</v>
      </c>
      <c r="R165" s="69" t="e">
        <f>R156+R159</f>
        <v>#REF!</v>
      </c>
      <c r="S165" s="69" t="e">
        <f>S156+S159</f>
        <v>#REF!</v>
      </c>
      <c r="T165" s="69" t="e">
        <f>T156+T159</f>
        <v>#REF!</v>
      </c>
      <c r="U165" s="69" t="e">
        <f>U156+U159</f>
        <v>#REF!</v>
      </c>
      <c r="V165" s="69" t="e">
        <f>V156+V159</f>
        <v>#REF!</v>
      </c>
      <c r="W165" s="69" t="e">
        <f>W156+W159</f>
        <v>#REF!</v>
      </c>
      <c r="X165" s="69" t="e">
        <f>X156+X159</f>
        <v>#REF!</v>
      </c>
      <c r="Y165" s="69" t="e">
        <f>Y156+Y159</f>
        <v>#REF!</v>
      </c>
      <c r="Z165" s="69" t="e">
        <f>Z156+Z159</f>
        <v>#REF!</v>
      </c>
      <c r="AA165" s="69" t="e">
        <f>AA156+AA159</f>
        <v>#REF!</v>
      </c>
      <c r="AB165" s="69" t="e">
        <f>AB156+AB159</f>
        <v>#REF!</v>
      </c>
      <c r="AC165" s="69" t="e">
        <f>AC156+AC159</f>
        <v>#REF!</v>
      </c>
      <c r="AD165" s="69" t="e">
        <f>AD156+AD159</f>
        <v>#REF!</v>
      </c>
      <c r="AE165" s="69" t="e">
        <f>AE156+AE159</f>
        <v>#REF!</v>
      </c>
      <c r="AF165" s="69" t="e">
        <f>AF156+AF159</f>
        <v>#REF!</v>
      </c>
      <c r="AG165" s="69" t="e">
        <f>AG156+AG159</f>
        <v>#REF!</v>
      </c>
      <c r="AH165" s="69" t="e">
        <f>AH156+AH159</f>
        <v>#REF!</v>
      </c>
      <c r="AI165" s="69" t="e">
        <f>AI156+AI159</f>
        <v>#REF!</v>
      </c>
      <c r="AJ165" s="69" t="e">
        <f>AJ156+AJ159</f>
        <v>#REF!</v>
      </c>
      <c r="AK165" s="69" t="e">
        <f>AK156+AK159</f>
        <v>#REF!</v>
      </c>
      <c r="AL165" s="69" t="e">
        <f>AL156+AL159</f>
        <v>#REF!</v>
      </c>
      <c r="AM165" s="69" t="e">
        <f>AM156+AM159</f>
        <v>#REF!</v>
      </c>
      <c r="AN165" s="69" t="e">
        <f>AN156+AN159</f>
        <v>#REF!</v>
      </c>
      <c r="AO165" s="69" t="e">
        <f>AO156+AO159</f>
        <v>#REF!</v>
      </c>
      <c r="AP165" s="69" t="e">
        <f>AP156+AP159</f>
        <v>#REF!</v>
      </c>
      <c r="AQ165" s="69" t="e">
        <f>AQ156+AQ159</f>
        <v>#REF!</v>
      </c>
      <c r="AR165" s="69" t="e">
        <f>AR156+AR159</f>
        <v>#REF!</v>
      </c>
      <c r="AS165" s="69" t="e">
        <f>AS156+AS159</f>
        <v>#REF!</v>
      </c>
      <c r="AT165" s="69" t="e">
        <f>AT156+AT159</f>
        <v>#REF!</v>
      </c>
      <c r="AU165" s="69" t="e">
        <f>AU156+AU159</f>
        <v>#REF!</v>
      </c>
      <c r="AV165" s="69" t="e">
        <f>AV156+AV159</f>
        <v>#REF!</v>
      </c>
      <c r="AW165" s="69" t="e">
        <f>AW156+AW159</f>
        <v>#REF!</v>
      </c>
      <c r="AX165" s="69" t="e">
        <f>AX156+AX159</f>
        <v>#REF!</v>
      </c>
      <c r="AY165" s="69" t="e">
        <f>AY156+AY159</f>
        <v>#REF!</v>
      </c>
      <c r="AZ165" s="69" t="e">
        <f>AZ156+AZ159</f>
        <v>#REF!</v>
      </c>
      <c r="BA165" s="69" t="e">
        <f>BA156+BA159</f>
        <v>#REF!</v>
      </c>
      <c r="BB165" s="69" t="e">
        <f>BB156+BB159</f>
        <v>#REF!</v>
      </c>
      <c r="BC165" s="69" t="e">
        <f>BC156+BC159</f>
        <v>#REF!</v>
      </c>
      <c r="BD165" s="69" t="e">
        <f>BD156+BD159</f>
        <v>#REF!</v>
      </c>
      <c r="BE165" s="69" t="e">
        <f>BE156+BE159</f>
        <v>#REF!</v>
      </c>
      <c r="BF165" s="69" t="e">
        <f>BF156+BF159</f>
        <v>#REF!</v>
      </c>
      <c r="BG165" s="69" t="e">
        <f>BG156+BG159</f>
        <v>#REF!</v>
      </c>
      <c r="BH165" s="69" t="e">
        <f>BH156+BH159</f>
        <v>#REF!</v>
      </c>
      <c r="BI165" s="69" t="e">
        <f>BI156+BI159</f>
        <v>#REF!</v>
      </c>
      <c r="BJ165" s="69" t="e">
        <f>BJ156+BJ159</f>
        <v>#REF!</v>
      </c>
      <c r="BK165" s="69" t="e">
        <f>BK156+BK159</f>
        <v>#REF!</v>
      </c>
      <c r="BL165" s="69" t="e">
        <f>BL156+BL159</f>
        <v>#REF!</v>
      </c>
    </row>
    <row r="166" spans="2:64">
      <c r="D166" s="69"/>
      <c r="E166" s="69"/>
      <c r="F166" s="69"/>
      <c r="G166" s="69"/>
      <c r="H166" s="69"/>
      <c r="I166" s="69"/>
      <c r="J166" s="69"/>
      <c r="K166" s="69"/>
      <c r="L166" s="69"/>
      <c r="M166" s="69"/>
      <c r="N166" s="69"/>
      <c r="O166" s="69"/>
      <c r="P166" s="69"/>
      <c r="Q166" s="69"/>
      <c r="R166" s="69"/>
      <c r="S166" s="69"/>
      <c r="T166" s="69"/>
      <c r="U166" s="69"/>
      <c r="V166" s="69"/>
      <c r="W166" s="69"/>
      <c r="X166" s="69"/>
      <c r="Y166" s="69"/>
      <c r="Z166" s="69"/>
      <c r="AA166" s="69"/>
      <c r="AB166" s="69"/>
      <c r="AC166" s="69"/>
      <c r="AD166" s="69"/>
      <c r="AE166" s="69"/>
      <c r="AF166" s="69"/>
      <c r="AG166" s="69"/>
      <c r="AH166" s="69"/>
      <c r="AI166" s="69"/>
      <c r="AJ166" s="69"/>
      <c r="AK166" s="69"/>
      <c r="AL166" s="69"/>
      <c r="AM166" s="69"/>
      <c r="AN166" s="69"/>
      <c r="AO166" s="69"/>
      <c r="AP166" s="69"/>
      <c r="AQ166" s="69"/>
      <c r="AR166" s="69"/>
      <c r="AS166" s="69"/>
      <c r="AT166" s="69"/>
      <c r="AU166" s="69"/>
      <c r="AV166" s="69"/>
      <c r="AW166" s="69"/>
      <c r="AX166" s="69"/>
      <c r="AY166" s="69"/>
      <c r="AZ166" s="69"/>
      <c r="BA166" s="69"/>
      <c r="BB166" s="69"/>
      <c r="BC166" s="69"/>
      <c r="BD166" s="69"/>
      <c r="BE166" s="69"/>
      <c r="BF166" s="69"/>
      <c r="BG166" s="69"/>
      <c r="BH166" s="69"/>
      <c r="BI166" s="69"/>
      <c r="BJ166" s="69"/>
      <c r="BK166" s="69"/>
      <c r="BL166" s="69"/>
    </row>
    <row r="167" spans="2:64">
      <c r="C167" s="148"/>
    </row>
    <row r="168" spans="2:64">
      <c r="B168" s="145" t="s">
        <v>472</v>
      </c>
    </row>
    <row r="169" spans="2:64">
      <c r="B169" s="146" t="s">
        <v>415</v>
      </c>
      <c r="C169" s="53" t="e">
        <f>IF(Dashboard!$F$5=Lists!$B$12,XNPV(Dashboard!$C$24,'Financial Analysis'!D155:X155,'Financial Analysis'!$D$5:$X$5),IF(Dashboard!$F$5=Lists!$B$13,XNPV(Dashboard!$C$24,'Financial Analysis'!D155:AH155,'Financial Analysis'!$D$5:$AH$5),IF(Dashboard!$F$5=Lists!$B$14,XNPV(Dashboard!$C$24,'Financial Analysis'!D155:AR155,'Financial Analysis'!$D$5:$AR$5),XNPV(Dashboard!$C$24,'Financial Analysis'!D155:BL155,'Financial Analysis'!$D$5:$BL$5))))</f>
        <v>#REF!</v>
      </c>
    </row>
    <row r="170" spans="2:64">
      <c r="B170" s="146" t="s">
        <v>94</v>
      </c>
      <c r="C170" s="57" t="e">
        <f>IF(Dashboard!$F$5=Lists!$B$12,SUM(D137:X139)*100/SUM(D134:X134),IF(Dashboard!$F$5=Lists!$B$13,SUM(D137:AH139)*100/SUM(D134:AH134),IF(Dashboard!$F$5=Lists!$B$14,SUM(D137:AR139)*100/SUM(D134:AR134),SUM(D137:BL139)*100/SUM(D134:BL134))))</f>
        <v>#REF!</v>
      </c>
    </row>
    <row r="171" spans="2:64">
      <c r="B171" s="146" t="s">
        <v>323</v>
      </c>
      <c r="C171" s="53" t="e">
        <f>IF(Dashboard!$F$5=Lists!$B$12,XNPV(Dashboard!$C$24,'Financial Analysis'!D158:X158,'Financial Analysis'!$D$5:$X$5),IF(Dashboard!$F$5=Lists!$B$13,XNPV(Dashboard!$C$24,'Financial Analysis'!D158:AH158,'Financial Analysis'!$D$5:$AH$5),IF(Dashboard!$F$5=Lists!$B$14,XNPV(Dashboard!$C$24,'Financial Analysis'!D158:AR158,'Financial Analysis'!$D$5:$AR$5),XNPV(Dashboard!$C$24,'Financial Analysis'!D158:BL158,'Financial Analysis'!$D$5:$BL$5))))</f>
        <v>#REF!</v>
      </c>
    </row>
    <row r="172" spans="2:64">
      <c r="B172" s="216" t="s">
        <v>94</v>
      </c>
      <c r="C172" s="176">
        <f>IF(Dashboard!$C$36=Lists!$B$4,IF(Dashboard!$F$5=Lists!$B$12,SUM(D143:X145)*100/SUM(D142:X142),IF(Dashboard!$F$5=Lists!$B$13,SUM(D143:AH145)*100/SUM(D142:AH142),IF(Dashboard!$F$5=Lists!$B$14,SUM(D143:AR145)*100/SUM(D142:AR142),SUM(D143:BL145)*100/SUM(D142:BL142)))),0)</f>
        <v>0</v>
      </c>
    </row>
    <row r="173" spans="2:64">
      <c r="B173" s="146" t="s">
        <v>256</v>
      </c>
      <c r="C173" s="53" t="e">
        <f>IF(Dashboard!$F$5=Lists!$B$12,XNPV(Dashboard!$C$24,'Financial Analysis'!D161:X161,'Financial Analysis'!$D$5:$X$5),IF(Dashboard!$F$5=Lists!$B$13,XNPV(Dashboard!$C$24,'Financial Analysis'!D161:AH161,'Financial Analysis'!$D$5:$AH$5),IF(Dashboard!$F$5=Lists!$B$14,XNPV(Dashboard!$C$24,'Financial Analysis'!D161:AR161,'Financial Analysis'!$D$5:$AR$5),XNPV(Dashboard!$C$24,'Financial Analysis'!D161:BL161,'Financial Analysis'!$D$5:$BL$5))))</f>
        <v>#REF!</v>
      </c>
    </row>
    <row r="174" spans="2:64">
      <c r="B174" s="216" t="s">
        <v>94</v>
      </c>
      <c r="C174" s="221" t="e">
        <f>IF(Dashboard!$F$5=Lists!$B$12,SUM(D149:X151)*100/SUM(D148:X148),IF(Dashboard!$F$5=Lists!$B$13,SUM(D149:AH151)*100/SUM(D148:AH148),IF(Dashboard!$F$5=Lists!$B$14,SUM(D149:AR151)*100/SUM(D148:AR148),SUM(D149:BL151)*100/SUM(D148:BL148))))</f>
        <v>#REF!</v>
      </c>
    </row>
    <row r="175" spans="2:64">
      <c r="B175" s="216" t="s">
        <v>471</v>
      </c>
      <c r="C175" s="203" t="e">
        <f>IF(Dashboard!$F$5=Lists!$B$12,XNPV(Dashboard!$C$24,'Financial Analysis'!D164:X164,'Financial Analysis'!$D$5:$X$5),IF(Dashboard!$F$5=Lists!$B$13,XNPV(Dashboard!$C$24,'Financial Analysis'!D164:AH164,'Financial Analysis'!$D$5:$AH$5),IF(Dashboard!$F$5=Lists!$B$14,XNPV(Dashboard!$C$24,'Financial Analysis'!D164:AR164,'Financial Analysis'!$D$5:$AR$5),XNPV(Dashboard!$C$24,'Financial Analysis'!D164:BL164,'Financial Analysis'!$D$5:$BL$5))))</f>
        <v>#REF!</v>
      </c>
    </row>
    <row r="176" spans="2:64">
      <c r="B176" s="216" t="s">
        <v>94</v>
      </c>
      <c r="C176" s="221" t="e">
        <f>IF(Dashboard!$F$5=Lists!$B$12,SUM(D137:X139,D143:X145)*100/SUM(D134:X134,D142:X142),IF(Dashboard!$F$5=Lists!$B$13,SUM(D137:AH139,D143:AX145)*100/SUM(D134:AH134,D142:AH142),IF(Dashboard!$F$5=Lists!$B$14,SUM(D137:AR139,D143:AR145)*100/SUM(D134:AR134,D142:AR142),SUM(D137:BL139,D143:BL145)*100/SUM(D134:BL134,D142:BL142))))</f>
        <v>#REF!</v>
      </c>
    </row>
    <row r="177" spans="2:29">
      <c r="B177" s="146"/>
    </row>
    <row r="179" spans="2:29">
      <c r="B179" s="145" t="s">
        <v>473</v>
      </c>
    </row>
    <row r="180" spans="2:29">
      <c r="B180" s="212" t="s">
        <v>474</v>
      </c>
    </row>
    <row r="181" spans="2:29">
      <c r="B181" s="201" t="s">
        <v>475</v>
      </c>
      <c r="D181" s="69">
        <f>D$155</f>
        <v>9267897.107294064</v>
      </c>
      <c r="E181" s="69" t="e">
        <f>E$155</f>
        <v>#REF!</v>
      </c>
      <c r="F181" s="69" t="e">
        <f>F$155</f>
        <v>#REF!</v>
      </c>
      <c r="G181" s="69" t="e">
        <f>G$155</f>
        <v>#REF!</v>
      </c>
      <c r="H181" s="69" t="e">
        <f>H$155</f>
        <v>#REF!</v>
      </c>
      <c r="I181" s="69" t="e">
        <f>I$155</f>
        <v>#REF!</v>
      </c>
      <c r="J181" s="69" t="e">
        <f>J$155</f>
        <v>#REF!</v>
      </c>
      <c r="K181" s="69" t="e">
        <f>K$155</f>
        <v>#REF!</v>
      </c>
      <c r="L181" s="69" t="e">
        <f>L$155</f>
        <v>#REF!</v>
      </c>
      <c r="M181" s="69" t="e">
        <f>M$155</f>
        <v>#REF!</v>
      </c>
      <c r="N181" s="69" t="e">
        <f>N$155</f>
        <v>#REF!</v>
      </c>
      <c r="O181" s="69" t="e">
        <f>O$155</f>
        <v>#REF!</v>
      </c>
      <c r="P181" s="69" t="e">
        <f>P$155</f>
        <v>#REF!</v>
      </c>
      <c r="Q181" s="69" t="e">
        <f>Q$155</f>
        <v>#REF!</v>
      </c>
      <c r="R181" s="69" t="e">
        <f>R$155</f>
        <v>#REF!</v>
      </c>
      <c r="S181" s="69" t="e">
        <f>S$155</f>
        <v>#REF!</v>
      </c>
      <c r="T181" s="69" t="e">
        <f>T$155</f>
        <v>#REF!</v>
      </c>
      <c r="U181" s="69" t="e">
        <f>U$155</f>
        <v>#REF!</v>
      </c>
      <c r="V181" s="69" t="e">
        <f>V$155</f>
        <v>#REF!</v>
      </c>
      <c r="W181" s="69" t="e">
        <f>W$155</f>
        <v>#REF!</v>
      </c>
      <c r="X181" s="69" t="e">
        <f>X$155</f>
        <v>#REF!</v>
      </c>
    </row>
    <row r="182" spans="2:29">
      <c r="B182" s="201" t="s">
        <v>476</v>
      </c>
      <c r="D182" s="69">
        <f>D$110-D$181-D$87</f>
        <v>-9267897.107294064</v>
      </c>
      <c r="E182" s="69" t="e">
        <f>E$110-E$181-E$87</f>
        <v>#REF!</v>
      </c>
      <c r="F182" s="69" t="e">
        <f>F$110-F$181-F$87</f>
        <v>#REF!</v>
      </c>
      <c r="G182" s="69" t="e">
        <f>G$110-G$181-G$87</f>
        <v>#REF!</v>
      </c>
      <c r="H182" s="69" t="e">
        <f>H$110-H$181-H$87</f>
        <v>#REF!</v>
      </c>
      <c r="I182" s="69" t="e">
        <f>I$110-I$181-I$87</f>
        <v>#REF!</v>
      </c>
      <c r="J182" s="69" t="e">
        <f>J$110-J$181-J$87</f>
        <v>#REF!</v>
      </c>
      <c r="K182" s="69" t="e">
        <f>K$110-K$181-K$87</f>
        <v>#REF!</v>
      </c>
      <c r="L182" s="69" t="e">
        <f>L$110-L$181-L$87</f>
        <v>#REF!</v>
      </c>
      <c r="M182" s="69" t="e">
        <f>M$110-M$181-M$87</f>
        <v>#REF!</v>
      </c>
      <c r="N182" s="69" t="e">
        <f>N$110-N$181-N$87</f>
        <v>#REF!</v>
      </c>
      <c r="O182" s="69" t="e">
        <f>O$110-O$181-O$87</f>
        <v>#REF!</v>
      </c>
      <c r="P182" s="69" t="e">
        <f>P$110-P$181-P$87</f>
        <v>#REF!</v>
      </c>
      <c r="Q182" s="69" t="e">
        <f>Q$110-Q$181-Q$87</f>
        <v>#REF!</v>
      </c>
      <c r="R182" s="69" t="e">
        <f>R$110-R$181-R$87</f>
        <v>#REF!</v>
      </c>
      <c r="S182" s="69" t="e">
        <f>S$110-S$181-S$87</f>
        <v>#REF!</v>
      </c>
      <c r="T182" s="69" t="e">
        <f>T$110-T$181-T$87</f>
        <v>#REF!</v>
      </c>
      <c r="U182" s="69" t="e">
        <f>U$110-U$181-U$87</f>
        <v>#REF!</v>
      </c>
      <c r="V182" s="69" t="e">
        <f>V$110-V$181-V$87</f>
        <v>#REF!</v>
      </c>
      <c r="W182" s="69" t="e">
        <f>W$110-W$181-W$87</f>
        <v>#REF!</v>
      </c>
      <c r="X182" s="69" t="e">
        <f>X$110-X$181-X$87</f>
        <v>#REF!</v>
      </c>
      <c r="Y182" s="69"/>
      <c r="Z182" s="69"/>
      <c r="AA182" s="69"/>
      <c r="AB182" s="69"/>
      <c r="AC182" s="69"/>
    </row>
    <row r="183" spans="2:29">
      <c r="B183" s="201" t="s">
        <v>477</v>
      </c>
      <c r="D183" s="69">
        <f>D182</f>
        <v>-9267897.107294064</v>
      </c>
      <c r="E183" s="69" t="e">
        <f>E182</f>
        <v>#REF!</v>
      </c>
      <c r="F183" s="69" t="e">
        <f>F182</f>
        <v>#REF!</v>
      </c>
      <c r="G183" s="69" t="e">
        <f>G182</f>
        <v>#REF!</v>
      </c>
      <c r="H183" s="69" t="e">
        <f>H182</f>
        <v>#REF!</v>
      </c>
      <c r="I183" s="69" t="e">
        <f>I182</f>
        <v>#REF!</v>
      </c>
      <c r="J183" s="69" t="e">
        <f>J182</f>
        <v>#REF!</v>
      </c>
      <c r="K183" s="69" t="e">
        <f>K182</f>
        <v>#REF!</v>
      </c>
      <c r="L183" s="69" t="e">
        <f>L182</f>
        <v>#REF!</v>
      </c>
      <c r="M183" s="69" t="e">
        <f>M182</f>
        <v>#REF!</v>
      </c>
      <c r="N183" s="69" t="e">
        <f>N182</f>
        <v>#REF!</v>
      </c>
      <c r="O183" s="69" t="e">
        <f>O182</f>
        <v>#REF!</v>
      </c>
      <c r="P183" s="69" t="e">
        <f>P182</f>
        <v>#REF!</v>
      </c>
      <c r="Q183" s="69" t="e">
        <f>Q182</f>
        <v>#REF!</v>
      </c>
      <c r="R183" s="69" t="e">
        <f>R182</f>
        <v>#REF!</v>
      </c>
      <c r="S183" s="69" t="e">
        <f>S182</f>
        <v>#REF!</v>
      </c>
      <c r="T183" s="69" t="e">
        <f>T182</f>
        <v>#REF!</v>
      </c>
      <c r="U183" s="69" t="e">
        <f>U182</f>
        <v>#REF!</v>
      </c>
      <c r="V183" s="69" t="e">
        <f>V182</f>
        <v>#REF!</v>
      </c>
      <c r="W183" s="69" t="e">
        <f>W182</f>
        <v>#REF!</v>
      </c>
      <c r="X183" s="69" t="e">
        <f>X182</f>
        <v>#REF!</v>
      </c>
    </row>
    <row r="184" spans="2:29">
      <c r="B184" s="201"/>
      <c r="E184" s="11" t="e">
        <f>IF(E183&gt;0,E3,"")</f>
        <v>#REF!</v>
      </c>
      <c r="F184" s="11" t="e">
        <f>IF(F183&gt;0,F3,"")</f>
        <v>#REF!</v>
      </c>
      <c r="G184" s="11" t="e">
        <f>IF(G183&gt;0,G3,"")</f>
        <v>#REF!</v>
      </c>
      <c r="H184" s="11" t="e">
        <f>IF(H183&gt;0,H3,"")</f>
        <v>#REF!</v>
      </c>
      <c r="I184" s="11" t="e">
        <f>IF(I183&gt;0,I3,"")</f>
        <v>#REF!</v>
      </c>
      <c r="J184" s="11" t="e">
        <f>IF(J183&gt;0,J3,"")</f>
        <v>#REF!</v>
      </c>
      <c r="K184" s="11" t="e">
        <f>IF(K183&gt;0,K3,"")</f>
        <v>#REF!</v>
      </c>
      <c r="L184" s="11" t="e">
        <f>IF(L183&gt;0,L3,"")</f>
        <v>#REF!</v>
      </c>
      <c r="M184" s="11" t="e">
        <f>IF(M183&gt;0,M3,"")</f>
        <v>#REF!</v>
      </c>
      <c r="N184" s="11" t="e">
        <f>IF(N183&gt;0,N3,"")</f>
        <v>#REF!</v>
      </c>
      <c r="O184" s="11" t="e">
        <f>IF(O183&gt;0,O3,"")</f>
        <v>#REF!</v>
      </c>
      <c r="P184" s="11" t="e">
        <f>IF(P183&gt;0,P3,"")</f>
        <v>#REF!</v>
      </c>
      <c r="Q184" s="11" t="e">
        <f>IF(Q183&gt;0,Q3,"")</f>
        <v>#REF!</v>
      </c>
      <c r="R184" s="11" t="e">
        <f>IF(R183&gt;0,R3,"")</f>
        <v>#REF!</v>
      </c>
      <c r="S184" s="11" t="e">
        <f>IF(S183&gt;0,S3,"")</f>
        <v>#REF!</v>
      </c>
      <c r="T184" s="11" t="e">
        <f>IF(T183&gt;0,T3,"")</f>
        <v>#REF!</v>
      </c>
      <c r="U184" s="11" t="e">
        <f>IF(U183&gt;0,U3,"")</f>
        <v>#REF!</v>
      </c>
      <c r="V184" s="11" t="e">
        <f>IF(V183&gt;0,V3,"")</f>
        <v>#REF!</v>
      </c>
      <c r="W184" s="11" t="e">
        <f>IF(W183&gt;0,W3,"")</f>
        <v>#REF!</v>
      </c>
      <c r="X184" s="11" t="e">
        <f>IF(X183&gt;0,X3,"")</f>
        <v>#REF!</v>
      </c>
    </row>
    <row r="185" spans="2:29">
      <c r="B185" s="201" t="s">
        <v>478</v>
      </c>
      <c r="C185" s="222" t="e">
        <f>IRR(D182:X182,0.5)</f>
        <v>#VALUE!</v>
      </c>
    </row>
    <row r="186" spans="2:29">
      <c r="B186" s="201" t="s">
        <v>479</v>
      </c>
      <c r="C186" s="223" t="e">
        <f>NPV(Dashboard!$C$24,'Financial Analysis'!D182:X182,'Financial Analysis'!$D$5:$X$5)</f>
        <v>#REF!</v>
      </c>
    </row>
    <row r="187" spans="2:29">
      <c r="B187" s="201" t="s">
        <v>480</v>
      </c>
      <c r="C187" s="11" t="e">
        <f>MIN(E184:X184)</f>
        <v>#REF!</v>
      </c>
    </row>
    <row r="188" spans="2:29">
      <c r="B188" s="201" t="s">
        <v>481</v>
      </c>
      <c r="C188" s="69" t="e">
        <f>SUM(D182:X182)</f>
        <v>#REF!</v>
      </c>
    </row>
    <row r="189" spans="2:29">
      <c r="B189" s="201" t="s">
        <v>94</v>
      </c>
      <c r="C189" s="57" t="e">
        <f>SUM($D$138:$X$138,$D$139:$X$139,$D$137:$X$137)*100/SUM($D$134:$X$134)</f>
        <v>#REF!</v>
      </c>
    </row>
    <row r="190" spans="2:29">
      <c r="B190" s="201" t="s">
        <v>482</v>
      </c>
      <c r="C190" s="57" t="e">
        <f>SUM($D$135:$X$136)*100/SUM($D$134:$X$134)</f>
        <v>#REF!</v>
      </c>
    </row>
    <row r="191" spans="2:29">
      <c r="B191" s="146"/>
    </row>
    <row r="192" spans="2:29">
      <c r="B192" s="212" t="s">
        <v>483</v>
      </c>
    </row>
    <row r="193" spans="2:44">
      <c r="B193" s="201" t="s">
        <v>475</v>
      </c>
      <c r="D193" s="53">
        <f>D$155</f>
        <v>9267897.107294064</v>
      </c>
      <c r="E193" s="53" t="e">
        <f>E$155</f>
        <v>#REF!</v>
      </c>
      <c r="F193" s="53" t="e">
        <f>F$155</f>
        <v>#REF!</v>
      </c>
      <c r="G193" s="53" t="e">
        <f>G$155</f>
        <v>#REF!</v>
      </c>
      <c r="H193" s="53" t="e">
        <f>H$155</f>
        <v>#REF!</v>
      </c>
      <c r="I193" s="53" t="e">
        <f>I$155</f>
        <v>#REF!</v>
      </c>
      <c r="J193" s="53" t="e">
        <f>J$155</f>
        <v>#REF!</v>
      </c>
      <c r="K193" s="53" t="e">
        <f>K$155</f>
        <v>#REF!</v>
      </c>
      <c r="L193" s="53" t="e">
        <f>L$155</f>
        <v>#REF!</v>
      </c>
      <c r="M193" s="53" t="e">
        <f>M$155</f>
        <v>#REF!</v>
      </c>
      <c r="N193" s="53" t="e">
        <f>N$155</f>
        <v>#REF!</v>
      </c>
      <c r="O193" s="53" t="e">
        <f>O$155</f>
        <v>#REF!</v>
      </c>
      <c r="P193" s="53" t="e">
        <f>P$155</f>
        <v>#REF!</v>
      </c>
      <c r="Q193" s="53" t="e">
        <f>Q$155</f>
        <v>#REF!</v>
      </c>
      <c r="R193" s="53" t="e">
        <f>R$155</f>
        <v>#REF!</v>
      </c>
      <c r="S193" s="53" t="e">
        <f>S$155</f>
        <v>#REF!</v>
      </c>
      <c r="T193" s="53" t="e">
        <f>T$155</f>
        <v>#REF!</v>
      </c>
      <c r="U193" s="53" t="e">
        <f>U$155</f>
        <v>#REF!</v>
      </c>
      <c r="V193" s="53" t="e">
        <f>V$155</f>
        <v>#REF!</v>
      </c>
      <c r="W193" s="53" t="e">
        <f>W$155</f>
        <v>#REF!</v>
      </c>
      <c r="X193" s="53" t="e">
        <f>X$155</f>
        <v>#REF!</v>
      </c>
      <c r="Y193" s="53" t="e">
        <f>Y$155</f>
        <v>#REF!</v>
      </c>
      <c r="Z193" s="53" t="e">
        <f>Z$155</f>
        <v>#REF!</v>
      </c>
      <c r="AA193" s="53" t="e">
        <f>AA$155</f>
        <v>#REF!</v>
      </c>
      <c r="AB193" s="53" t="e">
        <f>AB$155</f>
        <v>#REF!</v>
      </c>
      <c r="AC193" s="53" t="e">
        <f>AC$155</f>
        <v>#REF!</v>
      </c>
      <c r="AD193" s="53" t="e">
        <f>AD$155</f>
        <v>#REF!</v>
      </c>
      <c r="AE193" s="53" t="e">
        <f>AE$155</f>
        <v>#REF!</v>
      </c>
      <c r="AF193" s="53" t="e">
        <f>AF$155</f>
        <v>#REF!</v>
      </c>
      <c r="AG193" s="53" t="e">
        <f>AG$155</f>
        <v>#REF!</v>
      </c>
      <c r="AH193" s="53" t="e">
        <f>AH$155</f>
        <v>#REF!</v>
      </c>
    </row>
    <row r="194" spans="2:44">
      <c r="B194" s="201" t="s">
        <v>476</v>
      </c>
      <c r="D194" s="53">
        <f>D$110-D$181-D$87</f>
        <v>-9267897.107294064</v>
      </c>
      <c r="E194" s="53" t="e">
        <f>E$110-E$181-E$87</f>
        <v>#REF!</v>
      </c>
      <c r="F194" s="53" t="e">
        <f>F$110-F$181-F$87</f>
        <v>#REF!</v>
      </c>
      <c r="G194" s="53" t="e">
        <f>G$110-G$181-G$87</f>
        <v>#REF!</v>
      </c>
      <c r="H194" s="53" t="e">
        <f>H$110-H$181-H$87</f>
        <v>#REF!</v>
      </c>
      <c r="I194" s="53" t="e">
        <f>I$110-I$181-I$87</f>
        <v>#REF!</v>
      </c>
      <c r="J194" s="53" t="e">
        <f>J$110-J$181-J$87</f>
        <v>#REF!</v>
      </c>
      <c r="K194" s="53" t="e">
        <f>K$110-K$181-K$87</f>
        <v>#REF!</v>
      </c>
      <c r="L194" s="53" t="e">
        <f>L$110-L$181-L$87</f>
        <v>#REF!</v>
      </c>
      <c r="M194" s="53" t="e">
        <f>M$110-M$181-M$87</f>
        <v>#REF!</v>
      </c>
      <c r="N194" s="53" t="e">
        <f>N$110-N$181-N$87</f>
        <v>#REF!</v>
      </c>
      <c r="O194" s="53" t="e">
        <f>O$110-O$181-O$87</f>
        <v>#REF!</v>
      </c>
      <c r="P194" s="53" t="e">
        <f>P$110-P$181-P$87</f>
        <v>#REF!</v>
      </c>
      <c r="Q194" s="53" t="e">
        <f>Q$110-Q$181-Q$87</f>
        <v>#REF!</v>
      </c>
      <c r="R194" s="53" t="e">
        <f>R$110-R$181-R$87</f>
        <v>#REF!</v>
      </c>
      <c r="S194" s="53" t="e">
        <f>S$110-S$181-S$87</f>
        <v>#REF!</v>
      </c>
      <c r="T194" s="53" t="e">
        <f>T$110-T$181-T$87</f>
        <v>#REF!</v>
      </c>
      <c r="U194" s="53" t="e">
        <f>U$110-U$181-U$87</f>
        <v>#REF!</v>
      </c>
      <c r="V194" s="53" t="e">
        <f>V$110-V$181-V$87</f>
        <v>#REF!</v>
      </c>
      <c r="W194" s="53" t="e">
        <f>W$110-W$181-W$87</f>
        <v>#REF!</v>
      </c>
      <c r="X194" s="53" t="e">
        <f>X$110-X$181-X$87</f>
        <v>#REF!</v>
      </c>
      <c r="Y194" s="53" t="e">
        <f>Y$110-Y$181-Y$87</f>
        <v>#REF!</v>
      </c>
      <c r="Z194" s="53" t="e">
        <f>Z$110-Z$181-Z$87</f>
        <v>#REF!</v>
      </c>
      <c r="AA194" s="53" t="e">
        <f>AA$110-AA$181-AA$87</f>
        <v>#REF!</v>
      </c>
      <c r="AB194" s="53" t="e">
        <f>AB$110-AB$181-AB$87</f>
        <v>#REF!</v>
      </c>
      <c r="AC194" s="53" t="e">
        <f>AC$110-AC$181-AC$87</f>
        <v>#REF!</v>
      </c>
      <c r="AD194" s="53" t="e">
        <f>AD$110-AD$181-AD$87</f>
        <v>#REF!</v>
      </c>
      <c r="AE194" s="53" t="e">
        <f>AE$110-AE$181-AE$87</f>
        <v>#REF!</v>
      </c>
      <c r="AF194" s="53" t="e">
        <f>AF$110-AF$181-AF$87</f>
        <v>#REF!</v>
      </c>
      <c r="AG194" s="53" t="e">
        <f>AG$110-AG$181-AG$87</f>
        <v>#REF!</v>
      </c>
      <c r="AH194" s="53" t="e">
        <f>AH$110-AH$181-AH$87</f>
        <v>#REF!</v>
      </c>
    </row>
    <row r="195" spans="2:44">
      <c r="B195" s="201" t="s">
        <v>477</v>
      </c>
      <c r="D195" s="53">
        <f>D194</f>
        <v>-9267897.107294064</v>
      </c>
      <c r="E195" s="53" t="e">
        <f>E194</f>
        <v>#REF!</v>
      </c>
      <c r="F195" s="53" t="e">
        <f>F194</f>
        <v>#REF!</v>
      </c>
      <c r="G195" s="53" t="e">
        <f>G194</f>
        <v>#REF!</v>
      </c>
      <c r="H195" s="53" t="e">
        <f>H194</f>
        <v>#REF!</v>
      </c>
      <c r="I195" s="53" t="e">
        <f>I194</f>
        <v>#REF!</v>
      </c>
      <c r="J195" s="53" t="e">
        <f>J194</f>
        <v>#REF!</v>
      </c>
      <c r="K195" s="53" t="e">
        <f>K194</f>
        <v>#REF!</v>
      </c>
      <c r="L195" s="53" t="e">
        <f>L194</f>
        <v>#REF!</v>
      </c>
      <c r="M195" s="53" t="e">
        <f>M194</f>
        <v>#REF!</v>
      </c>
      <c r="N195" s="53" t="e">
        <f>N194</f>
        <v>#REF!</v>
      </c>
      <c r="O195" s="53" t="e">
        <f>O194</f>
        <v>#REF!</v>
      </c>
      <c r="P195" s="53" t="e">
        <f>P194</f>
        <v>#REF!</v>
      </c>
      <c r="Q195" s="53" t="e">
        <f>Q194</f>
        <v>#REF!</v>
      </c>
      <c r="R195" s="53" t="e">
        <f>R194</f>
        <v>#REF!</v>
      </c>
      <c r="S195" s="53" t="e">
        <f>S194</f>
        <v>#REF!</v>
      </c>
      <c r="T195" s="53" t="e">
        <f>T194</f>
        <v>#REF!</v>
      </c>
      <c r="U195" s="53" t="e">
        <f>U194</f>
        <v>#REF!</v>
      </c>
      <c r="V195" s="53" t="e">
        <f>V194</f>
        <v>#REF!</v>
      </c>
      <c r="W195" s="53" t="e">
        <f>W194</f>
        <v>#REF!</v>
      </c>
      <c r="X195" s="53" t="e">
        <f>X194</f>
        <v>#REF!</v>
      </c>
      <c r="Y195" s="53" t="e">
        <f>Y194</f>
        <v>#REF!</v>
      </c>
      <c r="Z195" s="53" t="e">
        <f>Z194</f>
        <v>#REF!</v>
      </c>
      <c r="AA195" s="53" t="e">
        <f>AA194</f>
        <v>#REF!</v>
      </c>
      <c r="AB195" s="53" t="e">
        <f>AB194</f>
        <v>#REF!</v>
      </c>
      <c r="AC195" s="53" t="e">
        <f>AC194</f>
        <v>#REF!</v>
      </c>
      <c r="AD195" s="53" t="e">
        <f>AD194</f>
        <v>#REF!</v>
      </c>
      <c r="AE195" s="53" t="e">
        <f>AE194</f>
        <v>#REF!</v>
      </c>
      <c r="AF195" s="53" t="e">
        <f>AF194</f>
        <v>#REF!</v>
      </c>
      <c r="AG195" s="53" t="e">
        <f>AG194</f>
        <v>#REF!</v>
      </c>
      <c r="AH195" s="53" t="e">
        <f>AH194</f>
        <v>#REF!</v>
      </c>
    </row>
    <row r="196" spans="2:44">
      <c r="B196" s="201"/>
      <c r="E196" s="11" t="e">
        <f>IF(E195&gt;0,E3,"")</f>
        <v>#REF!</v>
      </c>
      <c r="F196" s="11" t="e">
        <f>IF(F195&gt;0,F3,"")</f>
        <v>#REF!</v>
      </c>
      <c r="G196" s="11" t="e">
        <f>IF(G195&gt;0,G3,"")</f>
        <v>#REF!</v>
      </c>
      <c r="H196" s="11" t="e">
        <f>IF(H195&gt;0,H3,"")</f>
        <v>#REF!</v>
      </c>
      <c r="I196" s="11" t="e">
        <f>IF(I195&gt;0,I3,"")</f>
        <v>#REF!</v>
      </c>
      <c r="J196" s="11" t="e">
        <f>IF(J195&gt;0,J3,"")</f>
        <v>#REF!</v>
      </c>
      <c r="K196" s="11" t="e">
        <f>IF(K195&gt;0,K3,"")</f>
        <v>#REF!</v>
      </c>
      <c r="L196" s="11" t="e">
        <f>IF(L195&gt;0,L3,"")</f>
        <v>#REF!</v>
      </c>
      <c r="M196" s="11" t="e">
        <f>IF(M195&gt;0,M3,"")</f>
        <v>#REF!</v>
      </c>
      <c r="N196" s="11" t="e">
        <f>IF(N195&gt;0,N3,"")</f>
        <v>#REF!</v>
      </c>
      <c r="O196" s="11" t="e">
        <f>IF(O195&gt;0,O3,"")</f>
        <v>#REF!</v>
      </c>
      <c r="P196" s="11" t="e">
        <f>IF(P195&gt;0,P3,"")</f>
        <v>#REF!</v>
      </c>
      <c r="Q196" s="11" t="e">
        <f>IF(Q195&gt;0,Q3,"")</f>
        <v>#REF!</v>
      </c>
      <c r="R196" s="11" t="e">
        <f>IF(R195&gt;0,R3,"")</f>
        <v>#REF!</v>
      </c>
      <c r="S196" s="11" t="e">
        <f>IF(S195&gt;0,S3,"")</f>
        <v>#REF!</v>
      </c>
      <c r="T196" s="11" t="e">
        <f>IF(T195&gt;0,T3,"")</f>
        <v>#REF!</v>
      </c>
      <c r="U196" s="11" t="e">
        <f>IF(U195&gt;0,U3,"")</f>
        <v>#REF!</v>
      </c>
      <c r="V196" s="11" t="e">
        <f>IF(V195&gt;0,V3,"")</f>
        <v>#REF!</v>
      </c>
      <c r="W196" s="11" t="e">
        <f>IF(W195&gt;0,W3,"")</f>
        <v>#REF!</v>
      </c>
      <c r="X196" s="11" t="e">
        <f>IF(X195&gt;0,X3,"")</f>
        <v>#REF!</v>
      </c>
      <c r="Y196" s="11" t="e">
        <f>IF(Y195&gt;0,Y3,"")</f>
        <v>#REF!</v>
      </c>
      <c r="Z196" s="11" t="e">
        <f>IF(Z195&gt;0,Z3,"")</f>
        <v>#REF!</v>
      </c>
      <c r="AA196" s="11" t="e">
        <f>IF(AA195&gt;0,AA3,"")</f>
        <v>#REF!</v>
      </c>
      <c r="AB196" s="11" t="e">
        <f>IF(AB195&gt;0,AB3,"")</f>
        <v>#REF!</v>
      </c>
      <c r="AC196" s="11" t="e">
        <f>IF(AC195&gt;0,AC3,"")</f>
        <v>#REF!</v>
      </c>
      <c r="AD196" s="11" t="e">
        <f>IF(AD195&gt;0,AD3,"")</f>
        <v>#REF!</v>
      </c>
      <c r="AE196" s="11" t="e">
        <f>IF(AE195&gt;0,AE3,"")</f>
        <v>#REF!</v>
      </c>
      <c r="AF196" s="11" t="e">
        <f>IF(AF195&gt;0,AF3,"")</f>
        <v>#REF!</v>
      </c>
      <c r="AG196" s="11" t="e">
        <f>IF(AG195&gt;0,AG3,"")</f>
        <v>#REF!</v>
      </c>
      <c r="AH196" s="11" t="e">
        <f>IF(AH195&gt;0,AH3,"")</f>
        <v>#REF!</v>
      </c>
    </row>
    <row r="197" spans="2:44">
      <c r="B197" s="201" t="s">
        <v>478</v>
      </c>
      <c r="C197" s="222" t="e">
        <f>IRR(D194:AH194,0.5)</f>
        <v>#VALUE!</v>
      </c>
    </row>
    <row r="198" spans="2:44">
      <c r="B198" s="201" t="s">
        <v>479</v>
      </c>
      <c r="C198" s="223" t="e">
        <f>NPV(Dashboard!$C$24,'Financial Analysis'!D194:AH194,'Financial Analysis'!$D$5:$AH$5)</f>
        <v>#REF!</v>
      </c>
    </row>
    <row r="199" spans="2:44">
      <c r="B199" s="201" t="s">
        <v>480</v>
      </c>
      <c r="C199" s="11" t="e">
        <f>MIN(E196:AH196)</f>
        <v>#REF!</v>
      </c>
    </row>
    <row r="200" spans="2:44">
      <c r="B200" s="201" t="s">
        <v>484</v>
      </c>
      <c r="C200" s="69" t="e">
        <f>SUM(D194:AH194)</f>
        <v>#REF!</v>
      </c>
    </row>
    <row r="201" spans="2:44">
      <c r="B201" s="201" t="s">
        <v>94</v>
      </c>
      <c r="C201" s="57" t="e">
        <f>SUM($D$138:$AH$138,$D$139:$AH$139,$D$137:$AH$137)*100/SUM($D$134:$AH$134)</f>
        <v>#REF!</v>
      </c>
    </row>
    <row r="202" spans="2:44">
      <c r="B202" s="201" t="s">
        <v>482</v>
      </c>
      <c r="C202" s="57" t="e">
        <f>SUM($D$135:$AH$136)*100/SUM($D$134:$AH$134)</f>
        <v>#REF!</v>
      </c>
    </row>
    <row r="203" spans="2:44">
      <c r="B203" s="146"/>
    </row>
    <row r="204" spans="2:44">
      <c r="B204" s="212" t="s">
        <v>485</v>
      </c>
    </row>
    <row r="205" spans="2:44">
      <c r="B205" s="201" t="s">
        <v>475</v>
      </c>
      <c r="D205" s="53">
        <f>D$155</f>
        <v>9267897.107294064</v>
      </c>
      <c r="E205" s="53" t="e">
        <f>E$155</f>
        <v>#REF!</v>
      </c>
      <c r="F205" s="53" t="e">
        <f>F$155</f>
        <v>#REF!</v>
      </c>
      <c r="G205" s="53" t="e">
        <f>G$155</f>
        <v>#REF!</v>
      </c>
      <c r="H205" s="53" t="e">
        <f>H$155</f>
        <v>#REF!</v>
      </c>
      <c r="I205" s="53" t="e">
        <f>I$155</f>
        <v>#REF!</v>
      </c>
      <c r="J205" s="53" t="e">
        <f>J$155</f>
        <v>#REF!</v>
      </c>
      <c r="K205" s="53" t="e">
        <f>K$155</f>
        <v>#REF!</v>
      </c>
      <c r="L205" s="53" t="e">
        <f>L$155</f>
        <v>#REF!</v>
      </c>
      <c r="M205" s="53" t="e">
        <f>M$155</f>
        <v>#REF!</v>
      </c>
      <c r="N205" s="53" t="e">
        <f>N$155</f>
        <v>#REF!</v>
      </c>
      <c r="O205" s="53" t="e">
        <f>O$155</f>
        <v>#REF!</v>
      </c>
      <c r="P205" s="53" t="e">
        <f>P$155</f>
        <v>#REF!</v>
      </c>
      <c r="Q205" s="53" t="e">
        <f>Q$155</f>
        <v>#REF!</v>
      </c>
      <c r="R205" s="53" t="e">
        <f>R$155</f>
        <v>#REF!</v>
      </c>
      <c r="S205" s="53" t="e">
        <f>S$155</f>
        <v>#REF!</v>
      </c>
      <c r="T205" s="53" t="e">
        <f>T$155</f>
        <v>#REF!</v>
      </c>
      <c r="U205" s="53" t="e">
        <f>U$155</f>
        <v>#REF!</v>
      </c>
      <c r="V205" s="53" t="e">
        <f>V$155</f>
        <v>#REF!</v>
      </c>
      <c r="W205" s="53" t="e">
        <f>W$155</f>
        <v>#REF!</v>
      </c>
      <c r="X205" s="53" t="e">
        <f>X$155</f>
        <v>#REF!</v>
      </c>
      <c r="Y205" s="53" t="e">
        <f>Y$155</f>
        <v>#REF!</v>
      </c>
      <c r="Z205" s="53" t="e">
        <f>Z$155</f>
        <v>#REF!</v>
      </c>
      <c r="AA205" s="53" t="e">
        <f>AA$155</f>
        <v>#REF!</v>
      </c>
      <c r="AB205" s="53" t="e">
        <f>AB$155</f>
        <v>#REF!</v>
      </c>
      <c r="AC205" s="53" t="e">
        <f>AC$155</f>
        <v>#REF!</v>
      </c>
      <c r="AD205" s="53" t="e">
        <f>AD$155</f>
        <v>#REF!</v>
      </c>
      <c r="AE205" s="53" t="e">
        <f>AE$155</f>
        <v>#REF!</v>
      </c>
      <c r="AF205" s="53" t="e">
        <f>AF$155</f>
        <v>#REF!</v>
      </c>
      <c r="AG205" s="53" t="e">
        <f>AG$155</f>
        <v>#REF!</v>
      </c>
      <c r="AH205" s="53" t="e">
        <f>AH$155</f>
        <v>#REF!</v>
      </c>
      <c r="AI205" s="53" t="e">
        <f>AI$155</f>
        <v>#REF!</v>
      </c>
      <c r="AJ205" s="53" t="e">
        <f>AJ$155</f>
        <v>#REF!</v>
      </c>
      <c r="AK205" s="53" t="e">
        <f>AK$155</f>
        <v>#REF!</v>
      </c>
      <c r="AL205" s="53" t="e">
        <f>AL$155</f>
        <v>#REF!</v>
      </c>
      <c r="AM205" s="53" t="e">
        <f>AM$155</f>
        <v>#REF!</v>
      </c>
      <c r="AN205" s="53" t="e">
        <f>AN$155</f>
        <v>#REF!</v>
      </c>
      <c r="AO205" s="53" t="e">
        <f>AO$155</f>
        <v>#REF!</v>
      </c>
      <c r="AP205" s="53" t="e">
        <f>AP$155</f>
        <v>#REF!</v>
      </c>
      <c r="AQ205" s="53" t="e">
        <f>AQ$155</f>
        <v>#REF!</v>
      </c>
      <c r="AR205" s="53" t="e">
        <f>AR$155</f>
        <v>#REF!</v>
      </c>
    </row>
    <row r="206" spans="2:44">
      <c r="B206" s="201" t="s">
        <v>476</v>
      </c>
      <c r="D206" s="53">
        <f>D$110-D$181-D$87</f>
        <v>-9267897.107294064</v>
      </c>
      <c r="E206" s="53" t="e">
        <f>E$110-E$181-E$87</f>
        <v>#REF!</v>
      </c>
      <c r="F206" s="53" t="e">
        <f>F$110-F$181-F$87</f>
        <v>#REF!</v>
      </c>
      <c r="G206" s="53" t="e">
        <f>G$110-G$181-G$87</f>
        <v>#REF!</v>
      </c>
      <c r="H206" s="53" t="e">
        <f>H$110-H$181-H$87</f>
        <v>#REF!</v>
      </c>
      <c r="I206" s="53" t="e">
        <f>I$110-I$181-I$87</f>
        <v>#REF!</v>
      </c>
      <c r="J206" s="53" t="e">
        <f>J$110-J$181-J$87</f>
        <v>#REF!</v>
      </c>
      <c r="K206" s="53" t="e">
        <f>K$110-K$181-K$87</f>
        <v>#REF!</v>
      </c>
      <c r="L206" s="53" t="e">
        <f>L$110-L$181-L$87</f>
        <v>#REF!</v>
      </c>
      <c r="M206" s="53" t="e">
        <f>M$110-M$181-M$87</f>
        <v>#REF!</v>
      </c>
      <c r="N206" s="53" t="e">
        <f>N$110-N$181-N$87</f>
        <v>#REF!</v>
      </c>
      <c r="O206" s="53" t="e">
        <f>O$110-O$181-O$87</f>
        <v>#REF!</v>
      </c>
      <c r="P206" s="53" t="e">
        <f>P$110-P$181-P$87</f>
        <v>#REF!</v>
      </c>
      <c r="Q206" s="53" t="e">
        <f>Q$110-Q$181-Q$87</f>
        <v>#REF!</v>
      </c>
      <c r="R206" s="53" t="e">
        <f>R$110-R$181-R$87</f>
        <v>#REF!</v>
      </c>
      <c r="S206" s="53" t="e">
        <f>S$110-S$181-S$87</f>
        <v>#REF!</v>
      </c>
      <c r="T206" s="53" t="e">
        <f>T$110-T$181-T$87</f>
        <v>#REF!</v>
      </c>
      <c r="U206" s="53" t="e">
        <f>U$110-U$181-U$87</f>
        <v>#REF!</v>
      </c>
      <c r="V206" s="53" t="e">
        <f>V$110-V$181-V$87</f>
        <v>#REF!</v>
      </c>
      <c r="W206" s="53" t="e">
        <f>W$110-W$181-W$87</f>
        <v>#REF!</v>
      </c>
      <c r="X206" s="53" t="e">
        <f>X$110-X$181-X$87</f>
        <v>#REF!</v>
      </c>
      <c r="Y206" s="53" t="e">
        <f>Y$110-Y$181-Y$87</f>
        <v>#REF!</v>
      </c>
      <c r="Z206" s="53" t="e">
        <f>Z$110-Z$181-Z$87</f>
        <v>#REF!</v>
      </c>
      <c r="AA206" s="53" t="e">
        <f>AA$110-AA$181-AA$87</f>
        <v>#REF!</v>
      </c>
      <c r="AB206" s="53" t="e">
        <f>AB$110-AB$181-AB$87</f>
        <v>#REF!</v>
      </c>
      <c r="AC206" s="53" t="e">
        <f>AC$110-AC$181-AC$87</f>
        <v>#REF!</v>
      </c>
      <c r="AD206" s="53" t="e">
        <f>AD$110-AD$181-AD$87</f>
        <v>#REF!</v>
      </c>
      <c r="AE206" s="53" t="e">
        <f>AE$110-AE$181-AE$87</f>
        <v>#REF!</v>
      </c>
      <c r="AF206" s="53" t="e">
        <f>AF$110-AF$181-AF$87</f>
        <v>#REF!</v>
      </c>
      <c r="AG206" s="53" t="e">
        <f>AG$110-AG$181-AG$87</f>
        <v>#REF!</v>
      </c>
      <c r="AH206" s="53" t="e">
        <f>AH$110-AH$181-AH$87</f>
        <v>#REF!</v>
      </c>
      <c r="AI206" s="53" t="e">
        <f>AI$110-AI$181-AI$87</f>
        <v>#REF!</v>
      </c>
      <c r="AJ206" s="53" t="e">
        <f>AJ$110-AJ$181-AJ$87</f>
        <v>#REF!</v>
      </c>
      <c r="AK206" s="53" t="e">
        <f>AK$110-AK$181-AK$87</f>
        <v>#REF!</v>
      </c>
      <c r="AL206" s="53" t="e">
        <f>AL$110-AL$181-AL$87</f>
        <v>#REF!</v>
      </c>
      <c r="AM206" s="53" t="e">
        <f>AM$110-AM$181-AM$87</f>
        <v>#REF!</v>
      </c>
      <c r="AN206" s="53" t="e">
        <f>AN$110-AN$181-AN$87</f>
        <v>#REF!</v>
      </c>
      <c r="AO206" s="53" t="e">
        <f>AO$110-AO$181-AO$87</f>
        <v>#REF!</v>
      </c>
      <c r="AP206" s="53" t="e">
        <f>AP$110-AP$181-AP$87</f>
        <v>#REF!</v>
      </c>
      <c r="AQ206" s="53" t="e">
        <f>AQ$110-AQ$181-AQ$87</f>
        <v>#REF!</v>
      </c>
      <c r="AR206" s="53" t="e">
        <f>AR$110-AR$181-AR$87</f>
        <v>#REF!</v>
      </c>
    </row>
    <row r="207" spans="2:44">
      <c r="B207" s="201" t="s">
        <v>477</v>
      </c>
      <c r="D207" s="53">
        <f>D206</f>
        <v>-9267897.107294064</v>
      </c>
      <c r="E207" s="53" t="e">
        <f>E206</f>
        <v>#REF!</v>
      </c>
      <c r="F207" s="53" t="e">
        <f>F206</f>
        <v>#REF!</v>
      </c>
      <c r="G207" s="53" t="e">
        <f>G206</f>
        <v>#REF!</v>
      </c>
      <c r="H207" s="53" t="e">
        <f>H206</f>
        <v>#REF!</v>
      </c>
      <c r="I207" s="53" t="e">
        <f>I206</f>
        <v>#REF!</v>
      </c>
      <c r="J207" s="53" t="e">
        <f>J206</f>
        <v>#REF!</v>
      </c>
      <c r="K207" s="53" t="e">
        <f>K206</f>
        <v>#REF!</v>
      </c>
      <c r="L207" s="53" t="e">
        <f>L206</f>
        <v>#REF!</v>
      </c>
      <c r="M207" s="53" t="e">
        <f>M206</f>
        <v>#REF!</v>
      </c>
      <c r="N207" s="53" t="e">
        <f>N206</f>
        <v>#REF!</v>
      </c>
      <c r="O207" s="53" t="e">
        <f>O206</f>
        <v>#REF!</v>
      </c>
      <c r="P207" s="53" t="e">
        <f>P206</f>
        <v>#REF!</v>
      </c>
      <c r="Q207" s="53" t="e">
        <f>Q206</f>
        <v>#REF!</v>
      </c>
      <c r="R207" s="53" t="e">
        <f>R206</f>
        <v>#REF!</v>
      </c>
      <c r="S207" s="53" t="e">
        <f>S206</f>
        <v>#REF!</v>
      </c>
      <c r="T207" s="53" t="e">
        <f>T206</f>
        <v>#REF!</v>
      </c>
      <c r="U207" s="53" t="e">
        <f>U206</f>
        <v>#REF!</v>
      </c>
      <c r="V207" s="53" t="e">
        <f>V206</f>
        <v>#REF!</v>
      </c>
      <c r="W207" s="53" t="e">
        <f>W206</f>
        <v>#REF!</v>
      </c>
      <c r="X207" s="53" t="e">
        <f>X206</f>
        <v>#REF!</v>
      </c>
      <c r="Y207" s="53" t="e">
        <f>Y206</f>
        <v>#REF!</v>
      </c>
      <c r="Z207" s="53" t="e">
        <f>Z206</f>
        <v>#REF!</v>
      </c>
      <c r="AA207" s="53" t="e">
        <f>AA206</f>
        <v>#REF!</v>
      </c>
      <c r="AB207" s="53" t="e">
        <f>AB206</f>
        <v>#REF!</v>
      </c>
      <c r="AC207" s="53" t="e">
        <f>AC206</f>
        <v>#REF!</v>
      </c>
      <c r="AD207" s="53" t="e">
        <f>AD206</f>
        <v>#REF!</v>
      </c>
      <c r="AE207" s="53" t="e">
        <f>AE206</f>
        <v>#REF!</v>
      </c>
      <c r="AF207" s="53" t="e">
        <f>AF206</f>
        <v>#REF!</v>
      </c>
      <c r="AG207" s="53" t="e">
        <f>AG206</f>
        <v>#REF!</v>
      </c>
      <c r="AH207" s="53" t="e">
        <f>AH206</f>
        <v>#REF!</v>
      </c>
      <c r="AI207" s="53" t="e">
        <f>AI206</f>
        <v>#REF!</v>
      </c>
      <c r="AJ207" s="53" t="e">
        <f>AJ206</f>
        <v>#REF!</v>
      </c>
      <c r="AK207" s="53" t="e">
        <f>AK206</f>
        <v>#REF!</v>
      </c>
      <c r="AL207" s="53" t="e">
        <f>AL206</f>
        <v>#REF!</v>
      </c>
      <c r="AM207" s="53" t="e">
        <f>AM206</f>
        <v>#REF!</v>
      </c>
      <c r="AN207" s="53" t="e">
        <f>AN206</f>
        <v>#REF!</v>
      </c>
      <c r="AO207" s="53" t="e">
        <f>AO206</f>
        <v>#REF!</v>
      </c>
      <c r="AP207" s="53" t="e">
        <f>AP206</f>
        <v>#REF!</v>
      </c>
      <c r="AQ207" s="53" t="e">
        <f>AQ206</f>
        <v>#REF!</v>
      </c>
      <c r="AR207" s="53" t="e">
        <f>AR206</f>
        <v>#REF!</v>
      </c>
    </row>
    <row r="208" spans="2:44">
      <c r="B208" s="201"/>
      <c r="E208" s="11" t="e">
        <f>IF(E207&gt;0,E3,"")</f>
        <v>#REF!</v>
      </c>
      <c r="F208" s="11" t="e">
        <f>IF(F207&gt;0,F3,"")</f>
        <v>#REF!</v>
      </c>
      <c r="G208" s="11" t="e">
        <f>IF(G207&gt;0,G3,"")</f>
        <v>#REF!</v>
      </c>
      <c r="H208" s="11" t="e">
        <f>IF(H207&gt;0,H3,"")</f>
        <v>#REF!</v>
      </c>
      <c r="I208" s="11" t="e">
        <f>IF(I207&gt;0,I3,"")</f>
        <v>#REF!</v>
      </c>
      <c r="J208" s="11" t="e">
        <f>IF(J207&gt;0,J3,"")</f>
        <v>#REF!</v>
      </c>
      <c r="K208" s="11" t="e">
        <f>IF(K207&gt;0,K3,"")</f>
        <v>#REF!</v>
      </c>
      <c r="L208" s="11" t="e">
        <f>IF(L207&gt;0,L3,"")</f>
        <v>#REF!</v>
      </c>
      <c r="M208" s="11" t="e">
        <f>IF(M207&gt;0,M3,"")</f>
        <v>#REF!</v>
      </c>
      <c r="N208" s="11" t="e">
        <f>IF(N207&gt;0,N3,"")</f>
        <v>#REF!</v>
      </c>
      <c r="O208" s="11" t="e">
        <f>IF(O207&gt;0,O3,"")</f>
        <v>#REF!</v>
      </c>
      <c r="P208" s="11" t="e">
        <f>IF(P207&gt;0,P3,"")</f>
        <v>#REF!</v>
      </c>
      <c r="Q208" s="11" t="e">
        <f>IF(Q207&gt;0,Q3,"")</f>
        <v>#REF!</v>
      </c>
      <c r="R208" s="11" t="e">
        <f>IF(R207&gt;0,R3,"")</f>
        <v>#REF!</v>
      </c>
      <c r="S208" s="11" t="e">
        <f>IF(S207&gt;0,S3,"")</f>
        <v>#REF!</v>
      </c>
      <c r="T208" s="11" t="e">
        <f>IF(T207&gt;0,T3,"")</f>
        <v>#REF!</v>
      </c>
      <c r="U208" s="11" t="e">
        <f>IF(U207&gt;0,U3,"")</f>
        <v>#REF!</v>
      </c>
      <c r="V208" s="11" t="e">
        <f>IF(V207&gt;0,V3,"")</f>
        <v>#REF!</v>
      </c>
      <c r="W208" s="11" t="e">
        <f>IF(W207&gt;0,W3,"")</f>
        <v>#REF!</v>
      </c>
      <c r="X208" s="11" t="e">
        <f>IF(X207&gt;0,X3,"")</f>
        <v>#REF!</v>
      </c>
      <c r="Y208" s="11" t="e">
        <f>IF(Y207&gt;0,Y3,"")</f>
        <v>#REF!</v>
      </c>
      <c r="Z208" s="11" t="e">
        <f>IF(Z207&gt;0,Z3,"")</f>
        <v>#REF!</v>
      </c>
      <c r="AA208" s="11" t="e">
        <f>IF(AA207&gt;0,AA3,"")</f>
        <v>#REF!</v>
      </c>
      <c r="AB208" s="11" t="e">
        <f>IF(AB207&gt;0,AB3,"")</f>
        <v>#REF!</v>
      </c>
      <c r="AC208" s="11" t="e">
        <f>IF(AC207&gt;0,AC3,"")</f>
        <v>#REF!</v>
      </c>
      <c r="AD208" s="11" t="e">
        <f>IF(AD207&gt;0,AD3,"")</f>
        <v>#REF!</v>
      </c>
      <c r="AE208" s="11" t="e">
        <f>IF(AE207&gt;0,AE3,"")</f>
        <v>#REF!</v>
      </c>
      <c r="AF208" s="11" t="e">
        <f>IF(AF207&gt;0,AF3,"")</f>
        <v>#REF!</v>
      </c>
      <c r="AG208" s="11" t="e">
        <f>IF(AG207&gt;0,AG3,"")</f>
        <v>#REF!</v>
      </c>
      <c r="AH208" s="11" t="e">
        <f>IF(AH207&gt;0,AH3,"")</f>
        <v>#REF!</v>
      </c>
      <c r="AI208" s="11" t="e">
        <f>IF(AI207&gt;0,AI3,"")</f>
        <v>#REF!</v>
      </c>
      <c r="AJ208" s="11" t="e">
        <f>IF(AJ207&gt;0,AJ3,"")</f>
        <v>#REF!</v>
      </c>
      <c r="AK208" s="11" t="e">
        <f>IF(AK207&gt;0,AK3,"")</f>
        <v>#REF!</v>
      </c>
      <c r="AL208" s="11" t="e">
        <f>IF(AL207&gt;0,AL3,"")</f>
        <v>#REF!</v>
      </c>
      <c r="AM208" s="11" t="e">
        <f>IF(AM207&gt;0,AM3,"")</f>
        <v>#REF!</v>
      </c>
      <c r="AN208" s="11" t="e">
        <f>IF(AN207&gt;0,AN3,"")</f>
        <v>#REF!</v>
      </c>
      <c r="AO208" s="11" t="e">
        <f>IF(AO207&gt;0,AO3,"")</f>
        <v>#REF!</v>
      </c>
      <c r="AP208" s="11" t="e">
        <f>IF(AP207&gt;0,AP3,"")</f>
        <v>#REF!</v>
      </c>
      <c r="AQ208" s="11" t="e">
        <f>IF(AQ207&gt;0,AQ3,"")</f>
        <v>#REF!</v>
      </c>
      <c r="AR208" s="11" t="e">
        <f>IF(AR207&gt;0,AR3,"")</f>
        <v>#REF!</v>
      </c>
    </row>
    <row r="209" spans="2:44">
      <c r="B209" s="201" t="s">
        <v>478</v>
      </c>
      <c r="C209" s="222" t="e">
        <f>IRR(D206:AR206,0.5)</f>
        <v>#VALUE!</v>
      </c>
    </row>
    <row r="210" spans="2:44">
      <c r="B210" s="201" t="s">
        <v>479</v>
      </c>
      <c r="C210" s="223" t="e">
        <f>NPV(Dashboard!$C$24,'Financial Analysis'!D206:AR206,'Financial Analysis'!$D$5:$AR$5)</f>
        <v>#REF!</v>
      </c>
    </row>
    <row r="211" spans="2:44">
      <c r="B211" s="201" t="s">
        <v>480</v>
      </c>
      <c r="C211" s="11" t="e">
        <f>MIN(E208:AR208)</f>
        <v>#REF!</v>
      </c>
    </row>
    <row r="212" spans="2:44">
      <c r="B212" s="201" t="s">
        <v>486</v>
      </c>
      <c r="C212" s="69" t="e">
        <f>SUM(D206:AR206)</f>
        <v>#REF!</v>
      </c>
    </row>
    <row r="213" spans="2:44">
      <c r="B213" s="201" t="s">
        <v>94</v>
      </c>
      <c r="C213" s="57" t="e">
        <f>SUM($D$138:$AR$138,$D$139:$AR$139,$D$137:$AR$137)*100/SUM($D$134:$AR$134)</f>
        <v>#REF!</v>
      </c>
    </row>
    <row r="214" spans="2:44">
      <c r="B214" s="201" t="s">
        <v>482</v>
      </c>
      <c r="C214" s="57" t="e">
        <f>SUM($D$135:$AR$136)*100/SUM($D$134:$AR$134)</f>
        <v>#REF!</v>
      </c>
    </row>
    <row r="216" spans="2:44">
      <c r="B216" s="145" t="s">
        <v>487</v>
      </c>
    </row>
    <row r="217" spans="2:44">
      <c r="B217" s="146" t="s">
        <v>488</v>
      </c>
      <c r="D217" s="11">
        <f>D3</f>
        <v>0</v>
      </c>
      <c r="E217" s="11">
        <f>E3</f>
        <v>1</v>
      </c>
      <c r="F217" s="11">
        <f>F3</f>
        <v>2</v>
      </c>
      <c r="G217" s="11">
        <f>G3</f>
        <v>3</v>
      </c>
      <c r="H217" s="11">
        <f>H3</f>
        <v>4</v>
      </c>
      <c r="I217" s="11">
        <f>I3</f>
        <v>5</v>
      </c>
      <c r="J217" s="11">
        <f>J3</f>
        <v>6</v>
      </c>
      <c r="K217" s="11">
        <f>K3</f>
        <v>7</v>
      </c>
      <c r="L217" s="11">
        <f>L3</f>
        <v>8</v>
      </c>
      <c r="M217" s="11">
        <f>M3</f>
        <v>9</v>
      </c>
      <c r="N217" s="11">
        <f>N3</f>
        <v>10</v>
      </c>
      <c r="O217" s="11">
        <f>O3</f>
        <v>11</v>
      </c>
      <c r="P217" s="11">
        <f>P3</f>
        <v>12</v>
      </c>
      <c r="Q217" s="11">
        <f>Q3</f>
        <v>13</v>
      </c>
      <c r="R217" s="11">
        <f>R3</f>
        <v>14</v>
      </c>
      <c r="S217" s="11">
        <f>S3</f>
        <v>15</v>
      </c>
      <c r="T217" s="11">
        <f>T3</f>
        <v>16</v>
      </c>
      <c r="U217" s="11">
        <f>U3</f>
        <v>17</v>
      </c>
      <c r="V217" s="11">
        <f>V3</f>
        <v>18</v>
      </c>
      <c r="W217" s="11">
        <f>W3</f>
        <v>19</v>
      </c>
      <c r="X217" s="11">
        <f>X3</f>
        <v>20</v>
      </c>
      <c r="Y217" s="11">
        <f>Y3</f>
        <v>21</v>
      </c>
      <c r="Z217" s="11">
        <f>Z3</f>
        <v>22</v>
      </c>
      <c r="AA217" s="11">
        <f>AA3</f>
        <v>23</v>
      </c>
      <c r="AB217" s="11">
        <f>AB3</f>
        <v>24</v>
      </c>
      <c r="AC217" s="11">
        <f>AC3</f>
        <v>25</v>
      </c>
      <c r="AD217" s="11">
        <f>AD3</f>
        <v>26</v>
      </c>
      <c r="AE217" s="11">
        <f>AE3</f>
        <v>27</v>
      </c>
      <c r="AF217" s="11">
        <f>AF3</f>
        <v>28</v>
      </c>
      <c r="AG217" s="11">
        <f>AG3</f>
        <v>29</v>
      </c>
      <c r="AH217" s="11">
        <f>AH3</f>
        <v>30</v>
      </c>
      <c r="AI217" s="11">
        <f>AI3</f>
        <v>31</v>
      </c>
      <c r="AJ217" s="11">
        <f>AJ3</f>
        <v>32</v>
      </c>
      <c r="AK217" s="11">
        <f>AK3</f>
        <v>33</v>
      </c>
      <c r="AL217" s="11">
        <f>AL3</f>
        <v>34</v>
      </c>
      <c r="AM217" s="11">
        <f>AM3</f>
        <v>35</v>
      </c>
      <c r="AN217" s="11">
        <f>AN3</f>
        <v>36</v>
      </c>
      <c r="AO217" s="11">
        <f>AO3</f>
        <v>37</v>
      </c>
      <c r="AP217" s="11">
        <f>AP3</f>
        <v>38</v>
      </c>
      <c r="AQ217" s="11">
        <f>AQ3</f>
        <v>39</v>
      </c>
      <c r="AR217" s="11">
        <f>AR3</f>
        <v>40</v>
      </c>
    </row>
    <row r="218" spans="2:44">
      <c r="B218" s="146" t="s">
        <v>63</v>
      </c>
      <c r="D218" s="69">
        <f t="array" ref="D218:AR218">_xlfn._xlws.FILTER(D205:AR205,D3:AR3&lt;IF(Dashboard!$F$5=Lists!$B$12,21,IF(Dashboard!$F$5=Lists!$B$13,31,41)),"0")</f>
        <v>9267897.107294064</v>
      </c>
      <c r="E218" s="69" t="e">
        <v>#REF!</v>
      </c>
      <c r="F218" s="69" t="e">
        <v>#REF!</v>
      </c>
      <c r="G218" s="69" t="e">
        <v>#REF!</v>
      </c>
      <c r="H218" s="69" t="e">
        <v>#REF!</v>
      </c>
      <c r="I218" s="69" t="e">
        <v>#REF!</v>
      </c>
      <c r="J218" s="69" t="e">
        <v>#REF!</v>
      </c>
      <c r="K218" s="69" t="e">
        <v>#REF!</v>
      </c>
      <c r="L218" s="69" t="e">
        <v>#REF!</v>
      </c>
      <c r="M218" s="69" t="e">
        <v>#REF!</v>
      </c>
      <c r="N218" s="69" t="e">
        <v>#REF!</v>
      </c>
      <c r="O218" s="69" t="e">
        <v>#REF!</v>
      </c>
      <c r="P218" s="69" t="e">
        <v>#REF!</v>
      </c>
      <c r="Q218" s="69" t="e">
        <v>#REF!</v>
      </c>
      <c r="R218" s="69" t="e">
        <v>#REF!</v>
      </c>
      <c r="S218" s="69" t="e">
        <v>#REF!</v>
      </c>
      <c r="T218" s="69" t="e">
        <v>#REF!</v>
      </c>
      <c r="U218" s="69" t="e">
        <v>#REF!</v>
      </c>
      <c r="V218" s="69" t="e">
        <v>#REF!</v>
      </c>
      <c r="W218" s="69" t="e">
        <v>#REF!</v>
      </c>
      <c r="X218" s="69" t="e">
        <v>#REF!</v>
      </c>
      <c r="Y218" s="69" t="e">
        <v>#REF!</v>
      </c>
      <c r="Z218" s="69" t="e">
        <v>#REF!</v>
      </c>
      <c r="AA218" s="69" t="e">
        <v>#REF!</v>
      </c>
      <c r="AB218" s="69" t="e">
        <v>#REF!</v>
      </c>
      <c r="AC218" s="69" t="e">
        <v>#REF!</v>
      </c>
      <c r="AD218" s="69" t="e">
        <v>#REF!</v>
      </c>
      <c r="AE218" s="69" t="e">
        <v>#REF!</v>
      </c>
      <c r="AF218" s="69" t="e">
        <v>#REF!</v>
      </c>
      <c r="AG218" s="69" t="e">
        <v>#REF!</v>
      </c>
      <c r="AH218" s="69" t="e">
        <v>#REF!</v>
      </c>
      <c r="AI218" s="69" t="e">
        <v>#REF!</v>
      </c>
      <c r="AJ218" s="69" t="e">
        <v>#REF!</v>
      </c>
      <c r="AK218" s="69" t="e">
        <v>#REF!</v>
      </c>
      <c r="AL218" s="69" t="e">
        <v>#REF!</v>
      </c>
      <c r="AM218" s="69" t="e">
        <v>#REF!</v>
      </c>
      <c r="AN218" s="69" t="e">
        <v>#REF!</v>
      </c>
      <c r="AO218" s="69" t="e">
        <v>#REF!</v>
      </c>
      <c r="AP218" s="69" t="e">
        <v>#REF!</v>
      </c>
      <c r="AQ218" s="69" t="e">
        <v>#REF!</v>
      </c>
      <c r="AR218" s="69" t="e">
        <v>#REF!</v>
      </c>
    </row>
    <row r="219" spans="2:44">
      <c r="B219" s="146" t="s">
        <v>489</v>
      </c>
      <c r="D219" s="224">
        <f t="array" ref="D219:AR219">_xlfn._xlws.FILTER(D206:AR206,D3:AR3&lt;IF(Dashboard!$F$5=Lists!$B$12,21,IF(Dashboard!$F$5=Lists!$B$13,31,41)),"0")</f>
        <v>-9267897.107294064</v>
      </c>
      <c r="E219" s="69" t="e">
        <v>#REF!</v>
      </c>
      <c r="F219" s="69" t="e">
        <v>#REF!</v>
      </c>
      <c r="G219" s="69" t="e">
        <v>#REF!</v>
      </c>
      <c r="H219" s="69" t="e">
        <v>#REF!</v>
      </c>
      <c r="I219" s="69" t="e">
        <v>#REF!</v>
      </c>
      <c r="J219" s="69" t="e">
        <v>#REF!</v>
      </c>
      <c r="K219" s="69" t="e">
        <v>#REF!</v>
      </c>
      <c r="L219" s="69" t="e">
        <v>#REF!</v>
      </c>
      <c r="M219" s="69" t="e">
        <v>#REF!</v>
      </c>
      <c r="N219" s="69" t="e">
        <v>#REF!</v>
      </c>
      <c r="O219" s="69" t="e">
        <v>#REF!</v>
      </c>
      <c r="P219" s="69" t="e">
        <v>#REF!</v>
      </c>
      <c r="Q219" s="69" t="e">
        <v>#REF!</v>
      </c>
      <c r="R219" s="69" t="e">
        <v>#REF!</v>
      </c>
      <c r="S219" s="69" t="e">
        <v>#REF!</v>
      </c>
      <c r="T219" s="69" t="e">
        <v>#REF!</v>
      </c>
      <c r="U219" s="69" t="e">
        <v>#REF!</v>
      </c>
      <c r="V219" s="69" t="e">
        <v>#REF!</v>
      </c>
      <c r="W219" s="69" t="e">
        <v>#REF!</v>
      </c>
      <c r="X219" s="69" t="e">
        <v>#REF!</v>
      </c>
      <c r="Y219" s="11" t="e">
        <v>#REF!</v>
      </c>
      <c r="Z219" s="11" t="e">
        <v>#REF!</v>
      </c>
      <c r="AA219" s="11" t="e">
        <v>#REF!</v>
      </c>
      <c r="AB219" s="11" t="e">
        <v>#REF!</v>
      </c>
      <c r="AC219" s="11" t="e">
        <v>#REF!</v>
      </c>
      <c r="AD219" s="11" t="e">
        <v>#REF!</v>
      </c>
      <c r="AE219" s="11" t="e">
        <v>#REF!</v>
      </c>
      <c r="AF219" s="11" t="e">
        <v>#REF!</v>
      </c>
      <c r="AG219" s="11" t="e">
        <v>#REF!</v>
      </c>
      <c r="AH219" s="11" t="e">
        <v>#REF!</v>
      </c>
      <c r="AI219" s="11" t="e">
        <v>#REF!</v>
      </c>
      <c r="AJ219" s="11" t="e">
        <v>#REF!</v>
      </c>
      <c r="AK219" s="11" t="e">
        <v>#REF!</v>
      </c>
      <c r="AL219" s="11" t="e">
        <v>#REF!</v>
      </c>
      <c r="AM219" s="11" t="e">
        <v>#REF!</v>
      </c>
      <c r="AN219" s="11" t="e">
        <v>#REF!</v>
      </c>
      <c r="AO219" s="11" t="e">
        <v>#REF!</v>
      </c>
      <c r="AP219" s="11" t="e">
        <v>#REF!</v>
      </c>
      <c r="AQ219" s="11" t="e">
        <v>#REF!</v>
      </c>
      <c r="AR219" s="11" t="e">
        <v>#REF!</v>
      </c>
    </row>
    <row r="220" spans="2:44">
      <c r="B220" s="146" t="s">
        <v>490</v>
      </c>
      <c r="C220" s="53"/>
      <c r="D220" s="53">
        <f t="array" ref="D220:AR220">_xlfn._xlws.FILTER(D207:AR207,D3:AR3&lt;IF(Dashboard!$F$5=Lists!$B$12,21,IF(Dashboard!$F$5=Lists!$B$13,31,41)),"0")</f>
        <v>-9267897.107294064</v>
      </c>
      <c r="E220" s="53" t="e">
        <v>#REF!</v>
      </c>
      <c r="F220" s="53" t="e">
        <v>#REF!</v>
      </c>
      <c r="G220" s="53" t="e">
        <v>#REF!</v>
      </c>
      <c r="H220" s="53" t="e">
        <v>#REF!</v>
      </c>
      <c r="I220" s="53" t="e">
        <v>#REF!</v>
      </c>
      <c r="J220" s="53" t="e">
        <v>#REF!</v>
      </c>
      <c r="K220" s="53" t="e">
        <v>#REF!</v>
      </c>
      <c r="L220" s="53" t="e">
        <v>#REF!</v>
      </c>
      <c r="M220" s="53" t="e">
        <v>#REF!</v>
      </c>
      <c r="N220" s="53" t="e">
        <v>#REF!</v>
      </c>
      <c r="O220" s="53" t="e">
        <v>#REF!</v>
      </c>
      <c r="P220" s="53" t="e">
        <v>#REF!</v>
      </c>
      <c r="Q220" s="53" t="e">
        <v>#REF!</v>
      </c>
      <c r="R220" s="53" t="e">
        <v>#REF!</v>
      </c>
      <c r="S220" s="53" t="e">
        <v>#REF!</v>
      </c>
      <c r="T220" s="53" t="e">
        <v>#REF!</v>
      </c>
      <c r="U220" s="53" t="e">
        <v>#REF!</v>
      </c>
      <c r="V220" s="53" t="e">
        <v>#REF!</v>
      </c>
      <c r="W220" s="53" t="e">
        <v>#REF!</v>
      </c>
      <c r="X220" s="53" t="e">
        <v>#REF!</v>
      </c>
      <c r="Y220" s="11" t="e">
        <v>#REF!</v>
      </c>
      <c r="Z220" s="11" t="e">
        <v>#REF!</v>
      </c>
      <c r="AA220" s="11" t="e">
        <v>#REF!</v>
      </c>
      <c r="AB220" s="11" t="e">
        <v>#REF!</v>
      </c>
      <c r="AC220" s="11" t="e">
        <v>#REF!</v>
      </c>
      <c r="AD220" s="11" t="e">
        <v>#REF!</v>
      </c>
      <c r="AE220" s="11" t="e">
        <v>#REF!</v>
      </c>
      <c r="AF220" s="11" t="e">
        <v>#REF!</v>
      </c>
      <c r="AG220" s="11" t="e">
        <v>#REF!</v>
      </c>
      <c r="AH220" s="11" t="e">
        <v>#REF!</v>
      </c>
      <c r="AI220" s="11" t="e">
        <v>#REF!</v>
      </c>
      <c r="AJ220" s="11" t="e">
        <v>#REF!</v>
      </c>
      <c r="AK220" s="11" t="e">
        <v>#REF!</v>
      </c>
      <c r="AL220" s="11" t="e">
        <v>#REF!</v>
      </c>
      <c r="AM220" s="11" t="e">
        <v>#REF!</v>
      </c>
      <c r="AN220" s="11" t="e">
        <v>#REF!</v>
      </c>
      <c r="AO220" s="11" t="e">
        <v>#REF!</v>
      </c>
      <c r="AP220" s="11" t="e">
        <v>#REF!</v>
      </c>
      <c r="AQ220" s="11" t="e">
        <v>#REF!</v>
      </c>
      <c r="AR220" s="11" t="e">
        <v>#REF!</v>
      </c>
    </row>
    <row r="221" spans="2:44">
      <c r="B221" s="146" t="s">
        <v>73</v>
      </c>
      <c r="C221" s="53"/>
      <c r="D221" s="53" t="e">
        <f t="array" ref="D221:AR221">_xlfn._xlws.FILTER(-E87:AS87+E110:AS110,D3:AR3&lt;IF(Dashboard!$F$5=Lists!$B$12,21,IF(Dashboard!$F$5=Lists!$B$13,31,41)),"0")</f>
        <v>#REF!</v>
      </c>
      <c r="E221" s="53" t="e">
        <v>#REF!</v>
      </c>
      <c r="F221" s="53" t="e">
        <v>#REF!</v>
      </c>
      <c r="G221" s="53" t="e">
        <v>#REF!</v>
      </c>
      <c r="H221" s="53" t="e">
        <v>#REF!</v>
      </c>
      <c r="I221" s="53" t="e">
        <v>#REF!</v>
      </c>
      <c r="J221" s="53" t="e">
        <v>#REF!</v>
      </c>
      <c r="K221" s="53" t="e">
        <v>#REF!</v>
      </c>
      <c r="L221" s="53" t="e">
        <v>#REF!</v>
      </c>
      <c r="M221" s="53" t="e">
        <v>#REF!</v>
      </c>
      <c r="N221" s="53" t="e">
        <v>#REF!</v>
      </c>
      <c r="O221" s="53" t="e">
        <v>#REF!</v>
      </c>
      <c r="P221" s="53" t="e">
        <v>#REF!</v>
      </c>
      <c r="Q221" s="53" t="e">
        <v>#REF!</v>
      </c>
      <c r="R221" s="53" t="e">
        <v>#REF!</v>
      </c>
      <c r="S221" s="53" t="e">
        <v>#REF!</v>
      </c>
      <c r="T221" s="53" t="e">
        <v>#REF!</v>
      </c>
      <c r="U221" s="53" t="e">
        <v>#REF!</v>
      </c>
      <c r="V221" s="53" t="e">
        <v>#REF!</v>
      </c>
      <c r="W221" s="53" t="e">
        <v>#REF!</v>
      </c>
      <c r="X221" s="53" t="e">
        <v>#REF!</v>
      </c>
      <c r="Y221" s="11" t="e">
        <v>#REF!</v>
      </c>
      <c r="Z221" s="11" t="e">
        <v>#REF!</v>
      </c>
      <c r="AA221" s="11" t="e">
        <v>#REF!</v>
      </c>
      <c r="AB221" s="11" t="e">
        <v>#REF!</v>
      </c>
      <c r="AC221" s="11" t="e">
        <v>#REF!</v>
      </c>
      <c r="AD221" s="11" t="e">
        <v>#REF!</v>
      </c>
      <c r="AE221" s="11" t="e">
        <v>#REF!</v>
      </c>
      <c r="AF221" s="11" t="e">
        <v>#REF!</v>
      </c>
      <c r="AG221" s="11" t="e">
        <v>#REF!</v>
      </c>
      <c r="AH221" s="11" t="e">
        <v>#REF!</v>
      </c>
      <c r="AI221" s="11" t="e">
        <v>#REF!</v>
      </c>
      <c r="AJ221" s="11" t="e">
        <v>#REF!</v>
      </c>
      <c r="AK221" s="11" t="e">
        <v>#REF!</v>
      </c>
      <c r="AL221" s="11" t="e">
        <v>#REF!</v>
      </c>
      <c r="AM221" s="11" t="e">
        <v>#REF!</v>
      </c>
      <c r="AN221" s="11" t="e">
        <v>#REF!</v>
      </c>
      <c r="AO221" s="11" t="e">
        <v>#REF!</v>
      </c>
      <c r="AP221" s="11" t="e">
        <v>#REF!</v>
      </c>
      <c r="AQ221" s="11" t="e">
        <v>#REF!</v>
      </c>
      <c r="AR221" s="11" t="e">
        <v>#REF!</v>
      </c>
    </row>
    <row r="222" spans="2:44">
      <c r="B222" s="146" t="s">
        <v>62</v>
      </c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</row>
    <row r="223" spans="2:44">
      <c r="B223" s="146" t="s">
        <v>72</v>
      </c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</row>
    <row r="224" spans="2:44">
      <c r="B224" s="146" t="s">
        <v>491</v>
      </c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</row>
    <row r="226" spans="1:64">
      <c r="A226" s="116"/>
      <c r="B226" s="117" t="s">
        <v>75</v>
      </c>
      <c r="C226" s="117"/>
      <c r="D226" s="116"/>
      <c r="E226" s="116"/>
      <c r="F226" s="116"/>
      <c r="G226" s="116"/>
      <c r="H226" s="116"/>
      <c r="I226" s="116"/>
      <c r="J226" s="116"/>
      <c r="K226" s="116"/>
      <c r="L226" s="116"/>
      <c r="M226" s="116"/>
      <c r="N226" s="116"/>
      <c r="O226" s="116"/>
      <c r="P226" s="116"/>
      <c r="Q226" s="116"/>
      <c r="R226" s="116"/>
      <c r="S226" s="116"/>
      <c r="T226" s="116"/>
      <c r="U226" s="116"/>
      <c r="V226" s="116"/>
      <c r="W226" s="116"/>
      <c r="X226" s="116"/>
      <c r="Y226" s="116"/>
      <c r="Z226" s="116"/>
      <c r="AA226" s="116"/>
      <c r="AB226" s="116"/>
      <c r="AC226" s="116"/>
      <c r="AD226" s="116"/>
      <c r="AE226" s="116"/>
      <c r="AF226" s="116"/>
      <c r="AG226" s="116"/>
      <c r="AH226" s="116"/>
      <c r="AI226" s="116"/>
      <c r="AJ226" s="116"/>
      <c r="AK226" s="116"/>
      <c r="AL226" s="116"/>
      <c r="AM226" s="116"/>
      <c r="AN226" s="116"/>
      <c r="AO226" s="116"/>
      <c r="AP226" s="116"/>
      <c r="AQ226" s="116"/>
      <c r="AR226" s="116"/>
      <c r="AS226" s="116"/>
      <c r="AT226" s="116"/>
      <c r="AU226" s="116"/>
      <c r="AV226" s="116"/>
      <c r="AW226" s="116"/>
      <c r="AX226" s="116"/>
      <c r="AY226" s="116"/>
      <c r="AZ226" s="116"/>
      <c r="BA226" s="116"/>
      <c r="BB226" s="116"/>
      <c r="BC226" s="116"/>
      <c r="BD226" s="116"/>
      <c r="BE226" s="116"/>
      <c r="BF226" s="116"/>
      <c r="BG226" s="116"/>
      <c r="BH226" s="116"/>
      <c r="BI226" s="116"/>
      <c r="BJ226" s="116"/>
      <c r="BK226" s="116"/>
      <c r="BL226" s="11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AMJ86"/>
  <sheetViews>
    <sheetView topLeftCell="A56" zoomScaleNormal="100" workbookViewId="0">
      <selection activeCell="E102" sqref="E102"/>
    </sheetView>
  </sheetViews>
  <sheetFormatPr defaultColWidth="9.140625" defaultRowHeight="12.75"/>
  <cols>
    <col min="1" max="1" width="3" style="11" customWidth="1"/>
    <col min="2" max="2" width="72.7109375" style="11" customWidth="1"/>
    <col min="3" max="3" width="12" style="11" customWidth="1"/>
    <col min="4" max="67" width="15.28515625" style="11" customWidth="1"/>
    <col min="68" max="1024" width="9.140625" style="11"/>
  </cols>
  <sheetData>
    <row r="2" spans="1:67">
      <c r="B2" s="202" t="s">
        <v>193</v>
      </c>
      <c r="D2" s="11">
        <f>'Financial Analysis'!E4</f>
        <v>1</v>
      </c>
      <c r="E2" s="11">
        <f>'Financial Analysis'!F4</f>
        <v>1</v>
      </c>
      <c r="F2" s="11">
        <f>'Financial Analysis'!G4</f>
        <v>1</v>
      </c>
      <c r="G2" s="11">
        <f>'Financial Analysis'!H4</f>
        <v>1</v>
      </c>
      <c r="H2" s="11">
        <f>'Financial Analysis'!I4</f>
        <v>1</v>
      </c>
      <c r="I2" s="11">
        <f>'Financial Analysis'!J4</f>
        <v>2</v>
      </c>
      <c r="J2" s="11">
        <f>'Financial Analysis'!K4</f>
        <v>2</v>
      </c>
      <c r="K2" s="11">
        <f>'Financial Analysis'!L4</f>
        <v>2</v>
      </c>
      <c r="L2" s="11">
        <f>'Financial Analysis'!M4</f>
        <v>2</v>
      </c>
      <c r="M2" s="11">
        <f>'Financial Analysis'!N4</f>
        <v>2</v>
      </c>
      <c r="N2" s="11">
        <f>'Financial Analysis'!O4</f>
        <v>3</v>
      </c>
      <c r="O2" s="11">
        <f>'Financial Analysis'!P4</f>
        <v>3</v>
      </c>
      <c r="P2" s="11">
        <f>'Financial Analysis'!Q4</f>
        <v>3</v>
      </c>
      <c r="Q2" s="11">
        <f>'Financial Analysis'!R4</f>
        <v>3</v>
      </c>
      <c r="R2" s="11">
        <f>'Financial Analysis'!S4</f>
        <v>3</v>
      </c>
      <c r="S2" s="11">
        <f>'Financial Analysis'!T4</f>
        <v>3</v>
      </c>
      <c r="T2" s="11">
        <f>'Financial Analysis'!U4</f>
        <v>3</v>
      </c>
      <c r="U2" s="11">
        <f>'Financial Analysis'!V4</f>
        <v>3</v>
      </c>
      <c r="V2" s="11">
        <f>'Financial Analysis'!W4</f>
        <v>3</v>
      </c>
      <c r="W2" s="11">
        <f>'Financial Analysis'!X4</f>
        <v>3</v>
      </c>
      <c r="X2" s="11">
        <f>'Financial Analysis'!Y4</f>
        <v>3</v>
      </c>
      <c r="Y2" s="11">
        <f>'Financial Analysis'!Z4</f>
        <v>3</v>
      </c>
      <c r="Z2" s="11">
        <f>'Financial Analysis'!AA4</f>
        <v>3</v>
      </c>
      <c r="AA2" s="11">
        <f>'Financial Analysis'!AB4</f>
        <v>3</v>
      </c>
      <c r="AB2" s="11">
        <f>'Financial Analysis'!AC4</f>
        <v>3</v>
      </c>
      <c r="AC2" s="11">
        <f>'Financial Analysis'!AD4</f>
        <v>3</v>
      </c>
      <c r="AD2" s="11">
        <f>'Financial Analysis'!AE4</f>
        <v>3</v>
      </c>
      <c r="AE2" s="11">
        <f>'Financial Analysis'!AF4</f>
        <v>3</v>
      </c>
      <c r="AF2" s="11">
        <f>'Financial Analysis'!AG4</f>
        <v>3</v>
      </c>
      <c r="AG2" s="11">
        <f>'Financial Analysis'!AH4</f>
        <v>3</v>
      </c>
      <c r="AH2" s="11">
        <f>'Financial Analysis'!AI4</f>
        <v>3</v>
      </c>
      <c r="AI2" s="11">
        <f>'Financial Analysis'!AJ4</f>
        <v>3</v>
      </c>
      <c r="AJ2" s="11">
        <f>'Financial Analysis'!AK4</f>
        <v>3</v>
      </c>
      <c r="AK2" s="11">
        <f>'Financial Analysis'!AL4</f>
        <v>3</v>
      </c>
      <c r="AL2" s="11">
        <f>'Financial Analysis'!AM4</f>
        <v>3</v>
      </c>
      <c r="AM2" s="11">
        <f>'Financial Analysis'!AN4</f>
        <v>3</v>
      </c>
      <c r="AN2" s="11">
        <f>'Financial Analysis'!AO4</f>
        <v>3</v>
      </c>
      <c r="AO2" s="11">
        <f>'Financial Analysis'!AP4</f>
        <v>3</v>
      </c>
      <c r="AP2" s="11">
        <f>'Financial Analysis'!AQ4</f>
        <v>3</v>
      </c>
      <c r="AQ2" s="11">
        <f>'Financial Analysis'!AR4</f>
        <v>3</v>
      </c>
      <c r="AR2" s="11">
        <f>'Financial Analysis'!AS4</f>
        <v>3</v>
      </c>
      <c r="AS2" s="11">
        <f>'Financial Analysis'!AT4</f>
        <v>3</v>
      </c>
      <c r="AT2" s="11">
        <f>'Financial Analysis'!AU4</f>
        <v>3</v>
      </c>
      <c r="AU2" s="11">
        <f>'Financial Analysis'!AV4</f>
        <v>3</v>
      </c>
      <c r="AV2" s="11">
        <f>'Financial Analysis'!AW4</f>
        <v>3</v>
      </c>
      <c r="AW2" s="11">
        <f>'Financial Analysis'!AX4</f>
        <v>3</v>
      </c>
      <c r="AX2" s="11">
        <f>'Financial Analysis'!AY4</f>
        <v>3</v>
      </c>
      <c r="AY2" s="11">
        <f>'Financial Analysis'!AZ4</f>
        <v>3</v>
      </c>
      <c r="AZ2" s="11">
        <f>'Financial Analysis'!BA4</f>
        <v>3</v>
      </c>
      <c r="BA2" s="11">
        <f>'Financial Analysis'!BB4</f>
        <v>3</v>
      </c>
      <c r="BB2" s="11">
        <f>'Financial Analysis'!BC4</f>
        <v>3</v>
      </c>
      <c r="BC2" s="11">
        <f>'Financial Analysis'!BD4</f>
        <v>3</v>
      </c>
      <c r="BD2" s="11">
        <f>'Financial Analysis'!BE4</f>
        <v>3</v>
      </c>
      <c r="BE2" s="11">
        <f>'Financial Analysis'!BF4</f>
        <v>3</v>
      </c>
      <c r="BF2" s="11">
        <f>'Financial Analysis'!BG4</f>
        <v>3</v>
      </c>
      <c r="BG2" s="11">
        <f>'Financial Analysis'!BH4</f>
        <v>3</v>
      </c>
      <c r="BH2" s="11">
        <f>'Financial Analysis'!BI4</f>
        <v>3</v>
      </c>
      <c r="BI2" s="11">
        <f>'Financial Analysis'!BJ4</f>
        <v>3</v>
      </c>
      <c r="BJ2" s="11">
        <f>'Financial Analysis'!BK4</f>
        <v>3</v>
      </c>
      <c r="BK2" s="11">
        <f>'Financial Analysis'!BL4</f>
        <v>3</v>
      </c>
    </row>
    <row r="3" spans="1:67">
      <c r="B3" s="186" t="s">
        <v>408</v>
      </c>
      <c r="D3" s="11">
        <f>IF(Dashboard!$C$28&lt;=CO2e!D21,1,0)</f>
        <v>1</v>
      </c>
      <c r="E3" s="11">
        <f>IF(Dashboard!$C$28&lt;=CO2e!E21,1,0)</f>
        <v>1</v>
      </c>
      <c r="F3" s="11">
        <f>IF(Dashboard!$C$28&lt;=CO2e!F21,1,0)</f>
        <v>1</v>
      </c>
      <c r="G3" s="11">
        <f>IF(Dashboard!$C$28&lt;=CO2e!G21,1,0)</f>
        <v>1</v>
      </c>
      <c r="H3" s="11">
        <f>IF(Dashboard!$C$28&lt;=CO2e!H21,1,0)</f>
        <v>1</v>
      </c>
      <c r="I3" s="11">
        <f>IF(Dashboard!$C$28&lt;=CO2e!I21,1,0)</f>
        <v>1</v>
      </c>
      <c r="J3" s="11">
        <f>IF(Dashboard!$C$28&lt;=CO2e!J21,1,0)</f>
        <v>1</v>
      </c>
      <c r="K3" s="11">
        <f>IF(Dashboard!$C$28&lt;=CO2e!K21,1,0)</f>
        <v>1</v>
      </c>
      <c r="L3" s="11">
        <f>IF(Dashboard!$C$28&lt;=CO2e!L21,1,0)</f>
        <v>1</v>
      </c>
      <c r="M3" s="11">
        <f>IF(Dashboard!$C$28&lt;=CO2e!M21,1,0)</f>
        <v>1</v>
      </c>
      <c r="N3" s="11">
        <f>IF(Dashboard!$C$28&lt;=CO2e!N21,1,0)</f>
        <v>1</v>
      </c>
      <c r="O3" s="11">
        <f>IF(Dashboard!$C$28&lt;=CO2e!O21,1,0)</f>
        <v>1</v>
      </c>
      <c r="P3" s="11">
        <f>IF(Dashboard!$C$28&lt;=CO2e!P21,1,0)</f>
        <v>1</v>
      </c>
      <c r="Q3" s="11">
        <f>IF(Dashboard!$C$28&lt;=CO2e!Q21,1,0)</f>
        <v>1</v>
      </c>
      <c r="R3" s="11">
        <f>IF(Dashboard!$C$28&lt;=CO2e!R21,1,0)</f>
        <v>1</v>
      </c>
      <c r="S3" s="11">
        <f>IF(Dashboard!$C$28&lt;=CO2e!S21,1,0)</f>
        <v>1</v>
      </c>
      <c r="T3" s="11">
        <f>IF(Dashboard!$C$28&lt;=CO2e!T21,1,0)</f>
        <v>1</v>
      </c>
      <c r="U3" s="11">
        <f>IF(Dashboard!$C$28&lt;=CO2e!U21,1,0)</f>
        <v>1</v>
      </c>
      <c r="V3" s="11">
        <f>IF(Dashboard!$C$28&lt;=CO2e!V21,1,0)</f>
        <v>1</v>
      </c>
      <c r="W3" s="11">
        <f>IF(Dashboard!$C$28&lt;=CO2e!W21,1,0)</f>
        <v>1</v>
      </c>
      <c r="X3" s="11">
        <f>IF(Dashboard!$C$28&lt;=CO2e!X21,1,0)</f>
        <v>1</v>
      </c>
      <c r="Y3" s="11">
        <f>IF(Dashboard!$C$28&lt;=CO2e!Y21,1,0)</f>
        <v>1</v>
      </c>
      <c r="Z3" s="11">
        <f>IF(Dashboard!$C$28&lt;=CO2e!Z21,1,0)</f>
        <v>1</v>
      </c>
      <c r="AA3" s="11">
        <f>IF(Dashboard!$C$28&lt;=CO2e!AA21,1,0)</f>
        <v>1</v>
      </c>
      <c r="AB3" s="11">
        <f>IF(Dashboard!$C$28&lt;=CO2e!AB21,1,0)</f>
        <v>1</v>
      </c>
      <c r="AC3" s="11">
        <f>IF(Dashboard!$C$28&lt;=CO2e!AC21,1,0)</f>
        <v>1</v>
      </c>
      <c r="AD3" s="11">
        <f>IF(Dashboard!$C$28&lt;=CO2e!AD21,1,0)</f>
        <v>1</v>
      </c>
      <c r="AE3" s="11">
        <f>IF(Dashboard!$C$28&lt;=CO2e!AE21,1,0)</f>
        <v>1</v>
      </c>
      <c r="AF3" s="11">
        <f>IF(Dashboard!$C$28&lt;=CO2e!AF21,1,0)</f>
        <v>1</v>
      </c>
      <c r="AG3" s="11">
        <f>IF(Dashboard!$C$28&lt;=CO2e!AG21,1,0)</f>
        <v>1</v>
      </c>
      <c r="AH3" s="11">
        <f>IF(Dashboard!$C$28&lt;=CO2e!AH21,1,0)</f>
        <v>1</v>
      </c>
      <c r="AI3" s="11">
        <f>IF(Dashboard!$C$28&lt;=CO2e!AI21,1,0)</f>
        <v>1</v>
      </c>
      <c r="AJ3" s="11">
        <f>IF(Dashboard!$C$28&lt;=CO2e!AJ21,1,0)</f>
        <v>1</v>
      </c>
      <c r="AK3" s="11">
        <f>IF(Dashboard!$C$28&lt;=CO2e!AK21,1,0)</f>
        <v>1</v>
      </c>
      <c r="AL3" s="11">
        <f>IF(Dashboard!$C$28&lt;=CO2e!AL21,1,0)</f>
        <v>1</v>
      </c>
      <c r="AM3" s="11">
        <f>IF(Dashboard!$C$28&lt;=CO2e!AM21,1,0)</f>
        <v>1</v>
      </c>
      <c r="AN3" s="11">
        <f>IF(Dashboard!$C$28&lt;=CO2e!AN21,1,0)</f>
        <v>1</v>
      </c>
      <c r="AO3" s="11">
        <f>IF(Dashboard!$C$28&lt;=CO2e!AO21,1,0)</f>
        <v>1</v>
      </c>
      <c r="AP3" s="11">
        <f>IF(Dashboard!$C$28&lt;=CO2e!AP21,1,0)</f>
        <v>1</v>
      </c>
      <c r="AQ3" s="11">
        <f>IF(Dashboard!$C$28&lt;=CO2e!AQ21,1,0)</f>
        <v>1</v>
      </c>
      <c r="AR3" s="11">
        <f>IF(Dashboard!$C$28&lt;=CO2e!AR21,1,0)</f>
        <v>1</v>
      </c>
      <c r="AS3" s="11">
        <f>IF(Dashboard!$C$28&lt;=CO2e!AS21,1,0)</f>
        <v>1</v>
      </c>
      <c r="AT3" s="11">
        <f>IF(Dashboard!$C$28&lt;=CO2e!AT21,1,0)</f>
        <v>1</v>
      </c>
      <c r="AU3" s="11">
        <f>IF(Dashboard!$C$28&lt;=CO2e!AU21,1,0)</f>
        <v>1</v>
      </c>
      <c r="AV3" s="11">
        <f>IF(Dashboard!$C$28&lt;=CO2e!AV21,1,0)</f>
        <v>1</v>
      </c>
      <c r="AW3" s="11">
        <f>IF(Dashboard!$C$28&lt;=CO2e!AW21,1,0)</f>
        <v>1</v>
      </c>
      <c r="AX3" s="11">
        <f>IF(Dashboard!$C$28&lt;=CO2e!AX21,1,0)</f>
        <v>1</v>
      </c>
      <c r="AY3" s="11">
        <f>IF(Dashboard!$C$28&lt;=CO2e!AY21,1,0)</f>
        <v>1</v>
      </c>
      <c r="AZ3" s="11">
        <f>IF(Dashboard!$C$28&lt;=CO2e!AZ21,1,0)</f>
        <v>1</v>
      </c>
      <c r="BA3" s="11">
        <f>IF(Dashboard!$C$28&lt;=CO2e!BA21,1,0)</f>
        <v>1</v>
      </c>
      <c r="BB3" s="11">
        <f>IF(Dashboard!$C$28&lt;=CO2e!BB21,1,0)</f>
        <v>1</v>
      </c>
      <c r="BC3" s="11">
        <f>IF(Dashboard!$C$28&lt;=CO2e!BC21,1,0)</f>
        <v>1</v>
      </c>
      <c r="BD3" s="11">
        <f>IF(Dashboard!$C$28&lt;=CO2e!BD21,1,0)</f>
        <v>1</v>
      </c>
      <c r="BE3" s="11">
        <f>IF(Dashboard!$C$28&lt;=CO2e!BE21,1,0)</f>
        <v>1</v>
      </c>
      <c r="BF3" s="11">
        <f>IF(Dashboard!$C$28&lt;=CO2e!BF21,1,0)</f>
        <v>1</v>
      </c>
      <c r="BG3" s="11">
        <f>IF(Dashboard!$C$28&lt;=CO2e!BG21,1,0)</f>
        <v>1</v>
      </c>
      <c r="BH3" s="11">
        <f>IF(Dashboard!$C$28&lt;=CO2e!BH21,1,0)</f>
        <v>1</v>
      </c>
      <c r="BI3" s="11">
        <f>IF(Dashboard!$C$28&lt;=CO2e!BI21,1,0)</f>
        <v>1</v>
      </c>
      <c r="BJ3" s="11">
        <f>IF(Dashboard!$C$28&lt;=CO2e!BJ21,1,0)</f>
        <v>1</v>
      </c>
      <c r="BK3" s="11">
        <f>IF(Dashboard!$C$28&lt;=CO2e!BK21,1,0)</f>
        <v>1</v>
      </c>
    </row>
    <row r="4" spans="1:67">
      <c r="B4" s="186" t="s">
        <v>409</v>
      </c>
      <c r="D4" s="11">
        <f>'Financial Analysis'!E7</f>
        <v>0</v>
      </c>
      <c r="E4" s="11">
        <f>'Financial Analysis'!F7</f>
        <v>0</v>
      </c>
      <c r="F4" s="11">
        <f>'Financial Analysis'!G7</f>
        <v>0</v>
      </c>
      <c r="G4" s="11">
        <f>'Financial Analysis'!H7</f>
        <v>0</v>
      </c>
      <c r="H4" s="11">
        <f>'Financial Analysis'!I7</f>
        <v>0</v>
      </c>
      <c r="I4" s="11">
        <f>'Financial Analysis'!J7</f>
        <v>1</v>
      </c>
      <c r="J4" s="11">
        <f>'Financial Analysis'!K7</f>
        <v>1</v>
      </c>
      <c r="K4" s="11">
        <f>'Financial Analysis'!L7</f>
        <v>1</v>
      </c>
      <c r="L4" s="11">
        <f>'Financial Analysis'!M7</f>
        <v>1</v>
      </c>
      <c r="M4" s="11">
        <f>'Financial Analysis'!N7</f>
        <v>1</v>
      </c>
      <c r="N4" s="11">
        <f>'Financial Analysis'!O7</f>
        <v>1</v>
      </c>
      <c r="O4" s="11">
        <f>'Financial Analysis'!P7</f>
        <v>1</v>
      </c>
      <c r="P4" s="11">
        <f>'Financial Analysis'!Q7</f>
        <v>1</v>
      </c>
      <c r="Q4" s="11">
        <f>'Financial Analysis'!R7</f>
        <v>1</v>
      </c>
      <c r="R4" s="11">
        <f>'Financial Analysis'!S7</f>
        <v>1</v>
      </c>
      <c r="S4" s="11">
        <f>'Financial Analysis'!T7</f>
        <v>1</v>
      </c>
      <c r="T4" s="11">
        <f>'Financial Analysis'!U7</f>
        <v>1</v>
      </c>
      <c r="U4" s="11">
        <f>'Financial Analysis'!V7</f>
        <v>1</v>
      </c>
      <c r="V4" s="11">
        <f>'Financial Analysis'!W7</f>
        <v>1</v>
      </c>
      <c r="W4" s="11">
        <f>'Financial Analysis'!X7</f>
        <v>1</v>
      </c>
      <c r="X4" s="11">
        <f>'Financial Analysis'!Y7</f>
        <v>1</v>
      </c>
      <c r="Y4" s="11">
        <f>'Financial Analysis'!Z7</f>
        <v>1</v>
      </c>
      <c r="Z4" s="11">
        <f>'Financial Analysis'!AA7</f>
        <v>1</v>
      </c>
      <c r="AA4" s="11">
        <f>'Financial Analysis'!AB7</f>
        <v>1</v>
      </c>
      <c r="AB4" s="11">
        <f>'Financial Analysis'!AC7</f>
        <v>1</v>
      </c>
      <c r="AC4" s="11">
        <f>'Financial Analysis'!AD7</f>
        <v>1</v>
      </c>
      <c r="AD4" s="11">
        <f>'Financial Analysis'!AE7</f>
        <v>1</v>
      </c>
      <c r="AE4" s="11">
        <f>'Financial Analysis'!AF7</f>
        <v>1</v>
      </c>
      <c r="AF4" s="11">
        <f>'Financial Analysis'!AG7</f>
        <v>1</v>
      </c>
      <c r="AG4" s="11">
        <f>'Financial Analysis'!AH7</f>
        <v>1</v>
      </c>
      <c r="AH4" s="11">
        <f>'Financial Analysis'!AI7</f>
        <v>1</v>
      </c>
      <c r="AI4" s="11">
        <f>'Financial Analysis'!AJ7</f>
        <v>1</v>
      </c>
      <c r="AJ4" s="11">
        <f>'Financial Analysis'!AK7</f>
        <v>1</v>
      </c>
      <c r="AK4" s="11">
        <f>'Financial Analysis'!AL7</f>
        <v>1</v>
      </c>
      <c r="AL4" s="11">
        <f>'Financial Analysis'!AM7</f>
        <v>1</v>
      </c>
      <c r="AM4" s="11">
        <f>'Financial Analysis'!AN7</f>
        <v>1</v>
      </c>
      <c r="AN4" s="11">
        <f>'Financial Analysis'!AO7</f>
        <v>1</v>
      </c>
      <c r="AO4" s="11">
        <f>'Financial Analysis'!AP7</f>
        <v>1</v>
      </c>
      <c r="AP4" s="11">
        <f>'Financial Analysis'!AQ7</f>
        <v>1</v>
      </c>
      <c r="AQ4" s="11">
        <f>'Financial Analysis'!AR7</f>
        <v>1</v>
      </c>
      <c r="AR4" s="11">
        <f>'Financial Analysis'!AS7</f>
        <v>1</v>
      </c>
      <c r="AS4" s="11">
        <f>'Financial Analysis'!AT7</f>
        <v>1</v>
      </c>
      <c r="AT4" s="11">
        <f>'Financial Analysis'!AU7</f>
        <v>1</v>
      </c>
      <c r="AU4" s="11">
        <f>'Financial Analysis'!AV7</f>
        <v>1</v>
      </c>
      <c r="AV4" s="11">
        <f>'Financial Analysis'!AW7</f>
        <v>1</v>
      </c>
      <c r="AW4" s="11">
        <f>'Financial Analysis'!AX7</f>
        <v>1</v>
      </c>
      <c r="AX4" s="11">
        <f>'Financial Analysis'!AY7</f>
        <v>1</v>
      </c>
      <c r="AY4" s="11">
        <f>'Financial Analysis'!AZ7</f>
        <v>1</v>
      </c>
      <c r="AZ4" s="11">
        <f>'Financial Analysis'!BA7</f>
        <v>1</v>
      </c>
      <c r="BA4" s="11">
        <f>'Financial Analysis'!BB7</f>
        <v>1</v>
      </c>
      <c r="BB4" s="11">
        <f>'Financial Analysis'!BC7</f>
        <v>1</v>
      </c>
      <c r="BC4" s="11">
        <f>'Financial Analysis'!BD7</f>
        <v>1</v>
      </c>
      <c r="BD4" s="11">
        <f>'Financial Analysis'!BE7</f>
        <v>1</v>
      </c>
      <c r="BE4" s="11">
        <f>'Financial Analysis'!BF7</f>
        <v>1</v>
      </c>
      <c r="BF4" s="11">
        <f>'Financial Analysis'!BG7</f>
        <v>1</v>
      </c>
      <c r="BG4" s="11">
        <f>'Financial Analysis'!BH7</f>
        <v>1</v>
      </c>
      <c r="BH4" s="11">
        <f>'Financial Analysis'!BI7</f>
        <v>1</v>
      </c>
      <c r="BI4" s="11">
        <f>'Financial Analysis'!BJ7</f>
        <v>1</v>
      </c>
      <c r="BJ4" s="11">
        <f>'Financial Analysis'!BK7</f>
        <v>1</v>
      </c>
      <c r="BK4" s="11">
        <f>'Financial Analysis'!BL7</f>
        <v>1</v>
      </c>
    </row>
    <row r="5" spans="1:67">
      <c r="B5" s="186" t="s">
        <v>410</v>
      </c>
      <c r="D5" s="11">
        <f>'Financial Analysis'!E8</f>
        <v>0</v>
      </c>
      <c r="E5" s="11">
        <f>'Financial Analysis'!F8</f>
        <v>0</v>
      </c>
      <c r="F5" s="11">
        <f>'Financial Analysis'!G8</f>
        <v>0</v>
      </c>
      <c r="G5" s="11">
        <f>'Financial Analysis'!H8</f>
        <v>0</v>
      </c>
      <c r="H5" s="11">
        <f>'Financial Analysis'!I8</f>
        <v>0</v>
      </c>
      <c r="I5" s="11">
        <f>'Financial Analysis'!J8</f>
        <v>0</v>
      </c>
      <c r="J5" s="11">
        <f>'Financial Analysis'!K8</f>
        <v>0</v>
      </c>
      <c r="K5" s="11">
        <f>'Financial Analysis'!L8</f>
        <v>0</v>
      </c>
      <c r="L5" s="11">
        <f>'Financial Analysis'!M8</f>
        <v>0</v>
      </c>
      <c r="M5" s="11">
        <f>'Financial Analysis'!N8</f>
        <v>0</v>
      </c>
      <c r="N5" s="11">
        <f>'Financial Analysis'!O8</f>
        <v>1</v>
      </c>
      <c r="O5" s="11">
        <f>'Financial Analysis'!P8</f>
        <v>1</v>
      </c>
      <c r="P5" s="11">
        <f>'Financial Analysis'!Q8</f>
        <v>1</v>
      </c>
      <c r="Q5" s="11">
        <f>'Financial Analysis'!R8</f>
        <v>1</v>
      </c>
      <c r="R5" s="11">
        <f>'Financial Analysis'!S8</f>
        <v>1</v>
      </c>
      <c r="S5" s="11">
        <f>'Financial Analysis'!T8</f>
        <v>1</v>
      </c>
      <c r="T5" s="11">
        <f>'Financial Analysis'!U8</f>
        <v>1</v>
      </c>
      <c r="U5" s="11">
        <f>'Financial Analysis'!V8</f>
        <v>1</v>
      </c>
      <c r="V5" s="11">
        <f>'Financial Analysis'!W8</f>
        <v>1</v>
      </c>
      <c r="W5" s="11">
        <f>'Financial Analysis'!X8</f>
        <v>1</v>
      </c>
      <c r="X5" s="11">
        <f>'Financial Analysis'!Y8</f>
        <v>1</v>
      </c>
      <c r="Y5" s="11">
        <f>'Financial Analysis'!Z8</f>
        <v>1</v>
      </c>
      <c r="Z5" s="11">
        <f>'Financial Analysis'!AA8</f>
        <v>1</v>
      </c>
      <c r="AA5" s="11">
        <f>'Financial Analysis'!AB8</f>
        <v>1</v>
      </c>
      <c r="AB5" s="11">
        <f>'Financial Analysis'!AC8</f>
        <v>1</v>
      </c>
      <c r="AC5" s="11">
        <f>'Financial Analysis'!AD8</f>
        <v>1</v>
      </c>
      <c r="AD5" s="11">
        <f>'Financial Analysis'!AE8</f>
        <v>1</v>
      </c>
      <c r="AE5" s="11">
        <f>'Financial Analysis'!AF8</f>
        <v>1</v>
      </c>
      <c r="AF5" s="11">
        <f>'Financial Analysis'!AG8</f>
        <v>1</v>
      </c>
      <c r="AG5" s="11">
        <f>'Financial Analysis'!AH8</f>
        <v>1</v>
      </c>
      <c r="AH5" s="11">
        <f>'Financial Analysis'!AI8</f>
        <v>1</v>
      </c>
      <c r="AI5" s="11">
        <f>'Financial Analysis'!AJ8</f>
        <v>1</v>
      </c>
      <c r="AJ5" s="11">
        <f>'Financial Analysis'!AK8</f>
        <v>1</v>
      </c>
      <c r="AK5" s="11">
        <f>'Financial Analysis'!AL8</f>
        <v>1</v>
      </c>
      <c r="AL5" s="11">
        <f>'Financial Analysis'!AM8</f>
        <v>1</v>
      </c>
      <c r="AM5" s="11">
        <f>'Financial Analysis'!AN8</f>
        <v>1</v>
      </c>
      <c r="AN5" s="11">
        <f>'Financial Analysis'!AO8</f>
        <v>1</v>
      </c>
      <c r="AO5" s="11">
        <f>'Financial Analysis'!AP8</f>
        <v>1</v>
      </c>
      <c r="AP5" s="11">
        <f>'Financial Analysis'!AQ8</f>
        <v>1</v>
      </c>
      <c r="AQ5" s="11">
        <f>'Financial Analysis'!AR8</f>
        <v>1</v>
      </c>
      <c r="AR5" s="11">
        <f>'Financial Analysis'!AS8</f>
        <v>1</v>
      </c>
      <c r="AS5" s="11">
        <f>'Financial Analysis'!AT8</f>
        <v>1</v>
      </c>
      <c r="AT5" s="11">
        <f>'Financial Analysis'!AU8</f>
        <v>1</v>
      </c>
      <c r="AU5" s="11">
        <f>'Financial Analysis'!AV8</f>
        <v>1</v>
      </c>
      <c r="AV5" s="11">
        <f>'Financial Analysis'!AW8</f>
        <v>1</v>
      </c>
      <c r="AW5" s="11">
        <f>'Financial Analysis'!AX8</f>
        <v>1</v>
      </c>
      <c r="AX5" s="11">
        <f>'Financial Analysis'!AY8</f>
        <v>1</v>
      </c>
      <c r="AY5" s="11">
        <f>'Financial Analysis'!AZ8</f>
        <v>1</v>
      </c>
      <c r="AZ5" s="11">
        <f>'Financial Analysis'!BA8</f>
        <v>1</v>
      </c>
      <c r="BA5" s="11">
        <f>'Financial Analysis'!BB8</f>
        <v>1</v>
      </c>
      <c r="BB5" s="11">
        <f>'Financial Analysis'!BC8</f>
        <v>1</v>
      </c>
      <c r="BC5" s="11">
        <f>'Financial Analysis'!BD8</f>
        <v>1</v>
      </c>
      <c r="BD5" s="11">
        <f>'Financial Analysis'!BE8</f>
        <v>1</v>
      </c>
      <c r="BE5" s="11">
        <f>'Financial Analysis'!BF8</f>
        <v>1</v>
      </c>
      <c r="BF5" s="11">
        <f>'Financial Analysis'!BG8</f>
        <v>1</v>
      </c>
      <c r="BG5" s="11">
        <f>'Financial Analysis'!BH8</f>
        <v>1</v>
      </c>
      <c r="BH5" s="11">
        <f>'Financial Analysis'!BI8</f>
        <v>1</v>
      </c>
      <c r="BI5" s="11">
        <f>'Financial Analysis'!BJ8</f>
        <v>1</v>
      </c>
      <c r="BJ5" s="11">
        <f>'Financial Analysis'!BK8</f>
        <v>1</v>
      </c>
      <c r="BK5" s="11">
        <f>'Financial Analysis'!BL8</f>
        <v>1</v>
      </c>
    </row>
    <row r="7" spans="1:67" ht="15">
      <c r="A7" s="118">
        <v>1</v>
      </c>
      <c r="B7" s="118" t="s">
        <v>492</v>
      </c>
      <c r="C7" s="118"/>
      <c r="D7" s="118"/>
      <c r="E7" s="118"/>
      <c r="F7" s="118"/>
      <c r="G7" s="118"/>
      <c r="H7" s="118"/>
      <c r="I7" s="118"/>
      <c r="J7" s="118"/>
      <c r="K7" s="118"/>
      <c r="L7" s="118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  <c r="AL7" s="118"/>
      <c r="AM7" s="118"/>
      <c r="AN7" s="118"/>
      <c r="AO7" s="118"/>
      <c r="AP7" s="118"/>
      <c r="AQ7" s="118"/>
      <c r="AR7" s="118"/>
      <c r="AS7" s="118"/>
      <c r="AT7" s="118"/>
      <c r="AU7" s="118"/>
      <c r="AV7" s="118"/>
      <c r="AW7" s="118"/>
      <c r="AX7" s="118"/>
      <c r="AY7" s="118"/>
      <c r="AZ7" s="118"/>
      <c r="BA7" s="118"/>
      <c r="BB7" s="118"/>
      <c r="BC7" s="118"/>
      <c r="BD7" s="118"/>
      <c r="BE7" s="118"/>
      <c r="BF7" s="118"/>
      <c r="BG7" s="118"/>
      <c r="BH7" s="118"/>
      <c r="BI7" s="118"/>
      <c r="BJ7" s="118"/>
      <c r="BK7" s="118"/>
      <c r="BL7" s="118"/>
      <c r="BM7" s="118"/>
      <c r="BN7" s="118"/>
      <c r="BO7" s="118"/>
    </row>
    <row r="9" spans="1:67">
      <c r="B9" s="11" t="s">
        <v>493</v>
      </c>
      <c r="C9" s="37">
        <v>0.18387000000000001</v>
      </c>
    </row>
    <row r="10" spans="1:67">
      <c r="B10" s="11" t="s">
        <v>494</v>
      </c>
      <c r="C10" s="104">
        <f>'Technical inputs'!C47</f>
        <v>0.85</v>
      </c>
    </row>
    <row r="11" spans="1:67">
      <c r="B11" s="11" t="s">
        <v>495</v>
      </c>
      <c r="C11" s="11">
        <f>'Technical inputs'!C44</f>
        <v>2.4</v>
      </c>
    </row>
    <row r="12" spans="1:67">
      <c r="B12" s="11" t="s">
        <v>496</v>
      </c>
      <c r="C12" s="11">
        <f>'Technical inputs'!C45</f>
        <v>2</v>
      </c>
    </row>
    <row r="13" spans="1:67">
      <c r="B13" s="11" t="s">
        <v>497</v>
      </c>
      <c r="C13" s="222">
        <f>'Technical inputs'!C46</f>
        <v>1</v>
      </c>
    </row>
    <row r="15" spans="1:67">
      <c r="B15" s="225" t="s">
        <v>498</v>
      </c>
      <c r="C15" s="226">
        <v>2022</v>
      </c>
      <c r="D15" s="226">
        <v>2023</v>
      </c>
      <c r="E15" s="226">
        <v>2024</v>
      </c>
      <c r="F15" s="226">
        <v>2025</v>
      </c>
      <c r="G15" s="226">
        <v>2026</v>
      </c>
      <c r="H15" s="226">
        <v>2027</v>
      </c>
      <c r="I15" s="226">
        <v>2028</v>
      </c>
      <c r="J15" s="226">
        <v>2029</v>
      </c>
      <c r="K15" s="226">
        <v>2030</v>
      </c>
      <c r="L15" s="226">
        <v>2031</v>
      </c>
      <c r="M15" s="226">
        <v>2032</v>
      </c>
      <c r="N15" s="226">
        <v>2033</v>
      </c>
      <c r="O15" s="226">
        <v>2034</v>
      </c>
      <c r="P15" s="226">
        <v>2035</v>
      </c>
      <c r="Q15" s="226">
        <v>2036</v>
      </c>
      <c r="R15" s="226">
        <v>2037</v>
      </c>
      <c r="S15" s="226">
        <v>2038</v>
      </c>
      <c r="T15" s="226">
        <v>2039</v>
      </c>
      <c r="U15" s="226">
        <v>2040</v>
      </c>
      <c r="V15" s="226">
        <v>2041</v>
      </c>
      <c r="W15" s="226">
        <v>2042</v>
      </c>
      <c r="X15" s="226">
        <v>2043</v>
      </c>
      <c r="Y15" s="226">
        <v>2044</v>
      </c>
      <c r="Z15" s="226">
        <v>2045</v>
      </c>
      <c r="AA15" s="226">
        <v>2046</v>
      </c>
      <c r="AB15" s="226">
        <v>2047</v>
      </c>
      <c r="AC15" s="226">
        <v>2048</v>
      </c>
      <c r="AD15" s="226">
        <v>2049</v>
      </c>
      <c r="AE15" s="226">
        <v>2050</v>
      </c>
      <c r="AF15" s="226">
        <v>2051</v>
      </c>
      <c r="AG15" s="226">
        <v>2052</v>
      </c>
      <c r="AH15" s="226">
        <v>2053</v>
      </c>
      <c r="AI15" s="226">
        <v>2054</v>
      </c>
      <c r="AJ15" s="226">
        <v>2055</v>
      </c>
      <c r="AK15" s="226">
        <v>2056</v>
      </c>
      <c r="AL15" s="226">
        <v>2057</v>
      </c>
      <c r="AM15" s="226">
        <v>2058</v>
      </c>
      <c r="AN15" s="226">
        <v>2059</v>
      </c>
      <c r="AO15" s="226">
        <v>2060</v>
      </c>
      <c r="AP15" s="226">
        <v>2061</v>
      </c>
      <c r="AQ15" s="226">
        <v>2062</v>
      </c>
      <c r="AR15" s="226">
        <v>2063</v>
      </c>
      <c r="AS15" s="226">
        <v>2064</v>
      </c>
      <c r="AT15" s="226">
        <v>2065</v>
      </c>
      <c r="AU15" s="226">
        <v>2066</v>
      </c>
      <c r="AV15" s="226">
        <v>2067</v>
      </c>
      <c r="AW15" s="226">
        <v>2068</v>
      </c>
      <c r="AX15" s="226">
        <v>2069</v>
      </c>
      <c r="AY15" s="226">
        <v>2070</v>
      </c>
      <c r="AZ15" s="226">
        <v>2071</v>
      </c>
      <c r="BA15" s="226">
        <v>2072</v>
      </c>
      <c r="BB15" s="226">
        <v>2073</v>
      </c>
      <c r="BC15" s="226">
        <v>2074</v>
      </c>
      <c r="BD15" s="226">
        <v>2075</v>
      </c>
      <c r="BE15" s="226">
        <v>2076</v>
      </c>
      <c r="BF15" s="226">
        <v>2077</v>
      </c>
      <c r="BG15" s="226">
        <v>2078</v>
      </c>
      <c r="BH15" s="226">
        <v>2079</v>
      </c>
      <c r="BI15" s="226">
        <v>2080</v>
      </c>
      <c r="BJ15" s="226">
        <v>2081</v>
      </c>
      <c r="BK15" s="226">
        <v>2082</v>
      </c>
      <c r="BL15" s="226">
        <v>2083</v>
      </c>
      <c r="BM15" s="226">
        <v>2084</v>
      </c>
      <c r="BN15" s="226">
        <v>2085</v>
      </c>
      <c r="BO15" s="226">
        <v>2086</v>
      </c>
    </row>
    <row r="16" spans="1:67">
      <c r="B16" s="186" t="s">
        <v>499</v>
      </c>
      <c r="C16" s="227">
        <v>401.93926760307301</v>
      </c>
      <c r="D16" s="227">
        <v>382.757729121772</v>
      </c>
      <c r="E16" s="227">
        <v>381.07852390396698</v>
      </c>
      <c r="F16" s="227">
        <v>381.18015023796602</v>
      </c>
      <c r="G16" s="227">
        <v>382.00718422436898</v>
      </c>
      <c r="H16" s="227">
        <v>367.90395257440099</v>
      </c>
      <c r="I16" s="227">
        <v>359.15945263623098</v>
      </c>
      <c r="J16" s="227">
        <v>333.84461870231098</v>
      </c>
      <c r="K16" s="227">
        <v>311.898845792592</v>
      </c>
      <c r="L16" s="227">
        <v>316.08801161777097</v>
      </c>
      <c r="M16" s="227">
        <v>292.959129285095</v>
      </c>
      <c r="N16" s="227">
        <v>279.50364226631899</v>
      </c>
      <c r="O16" s="227">
        <v>260.00804455233299</v>
      </c>
      <c r="P16" s="227">
        <v>248.252046953752</v>
      </c>
      <c r="Q16" s="227">
        <v>263.79962912060302</v>
      </c>
      <c r="R16" s="227">
        <v>249.963129750256</v>
      </c>
      <c r="S16" s="227">
        <v>248.87846868567499</v>
      </c>
      <c r="T16" s="227">
        <v>249.48393198976501</v>
      </c>
      <c r="U16" s="227">
        <v>243.407593061678</v>
      </c>
      <c r="V16" s="227">
        <v>239.26072866787001</v>
      </c>
      <c r="W16" s="227">
        <v>248.975777473769</v>
      </c>
      <c r="X16" s="227">
        <v>246.89697493929299</v>
      </c>
      <c r="Y16" s="227">
        <v>228.69081300551301</v>
      </c>
      <c r="Z16" s="227">
        <v>228.69081300551301</v>
      </c>
      <c r="AA16" s="227">
        <v>228.69081300551301</v>
      </c>
      <c r="AB16" s="227">
        <v>228.69081300551301</v>
      </c>
      <c r="AC16" s="227">
        <v>228.69081300551301</v>
      </c>
      <c r="AD16" s="227">
        <v>228.69081300551301</v>
      </c>
      <c r="AE16" s="227">
        <v>228.69081300551301</v>
      </c>
      <c r="AF16" s="227">
        <v>228.69081300551301</v>
      </c>
      <c r="AG16" s="227">
        <v>228.69081300551301</v>
      </c>
      <c r="AH16" s="227">
        <v>228.69081300551301</v>
      </c>
      <c r="AI16" s="227">
        <v>228.69081300551301</v>
      </c>
      <c r="AJ16" s="227">
        <v>228.69081300551301</v>
      </c>
      <c r="AK16" s="227">
        <v>228.69081300551301</v>
      </c>
      <c r="AL16" s="227">
        <v>228.69081300551301</v>
      </c>
      <c r="AM16" s="227">
        <v>228.69081300551301</v>
      </c>
      <c r="AN16" s="227">
        <v>228.69081300551301</v>
      </c>
      <c r="AO16" s="227">
        <v>228.69081300551301</v>
      </c>
      <c r="AP16" s="227">
        <v>228.69081300551301</v>
      </c>
      <c r="AQ16" s="227">
        <v>228.69081300551301</v>
      </c>
      <c r="AR16" s="227">
        <v>228.69081300551301</v>
      </c>
      <c r="AS16" s="227">
        <v>228.69081300551301</v>
      </c>
      <c r="AT16" s="227">
        <v>228.69081300551301</v>
      </c>
      <c r="AU16" s="227">
        <v>228.69081300551301</v>
      </c>
      <c r="AV16" s="227">
        <v>228.69081300551301</v>
      </c>
      <c r="AW16" s="227">
        <v>228.69081300551301</v>
      </c>
      <c r="AX16" s="227">
        <v>228.69081300551301</v>
      </c>
      <c r="AY16" s="227">
        <v>228.69081300551301</v>
      </c>
      <c r="AZ16" s="227">
        <v>228.69081300551301</v>
      </c>
      <c r="BA16" s="227">
        <v>228.69081300551301</v>
      </c>
      <c r="BB16" s="227">
        <v>228.69081300551301</v>
      </c>
      <c r="BC16" s="227">
        <v>228.69081300551301</v>
      </c>
      <c r="BD16" s="227">
        <v>228.69081300551301</v>
      </c>
      <c r="BE16" s="227">
        <v>228.69081300551301</v>
      </c>
      <c r="BF16" s="227">
        <v>228.69081300551301</v>
      </c>
      <c r="BG16" s="227">
        <v>228.69081300551301</v>
      </c>
      <c r="BH16" s="227">
        <v>228.69081300551301</v>
      </c>
      <c r="BI16" s="227">
        <v>228.69081300551301</v>
      </c>
      <c r="BJ16" s="227">
        <v>228.69081300551301</v>
      </c>
      <c r="BK16" s="227">
        <v>228.69081300551301</v>
      </c>
      <c r="BL16" s="227">
        <v>228.69081300551301</v>
      </c>
      <c r="BM16" s="227">
        <v>228.69081300551301</v>
      </c>
      <c r="BN16" s="227">
        <v>228.69081300551301</v>
      </c>
      <c r="BO16" s="227">
        <v>228.69081300551301</v>
      </c>
    </row>
    <row r="17" spans="2:67">
      <c r="B17" s="186" t="s">
        <v>500</v>
      </c>
      <c r="C17" s="227">
        <v>264.39739593969699</v>
      </c>
      <c r="D17" s="227">
        <v>250.38317168538799</v>
      </c>
      <c r="E17" s="227">
        <v>235.57350111999699</v>
      </c>
      <c r="F17" s="227">
        <v>219.92323477093501</v>
      </c>
      <c r="G17" s="227">
        <v>203.384660484958</v>
      </c>
      <c r="H17" s="227">
        <v>185.90735797060199</v>
      </c>
      <c r="I17" s="227">
        <v>167.43804508446701</v>
      </c>
      <c r="J17" s="227">
        <v>147.92041539271401</v>
      </c>
      <c r="K17" s="227">
        <v>127.29496651256601</v>
      </c>
      <c r="L17" s="227">
        <v>102.99528453196901</v>
      </c>
      <c r="M17" s="227">
        <v>83.334234859742097</v>
      </c>
      <c r="N17" s="227">
        <v>67.426336372740707</v>
      </c>
      <c r="O17" s="227">
        <v>54.555139845008</v>
      </c>
      <c r="P17" s="227">
        <v>44.140960989712497</v>
      </c>
      <c r="Q17" s="227">
        <v>35.714773028367702</v>
      </c>
      <c r="R17" s="227">
        <v>28.897082978440402</v>
      </c>
      <c r="S17" s="227">
        <v>23.3808403038039</v>
      </c>
      <c r="T17" s="227">
        <v>18.917608179338998</v>
      </c>
      <c r="U17" s="227">
        <v>15.306374560403199</v>
      </c>
      <c r="V17" s="227">
        <v>12.7064093188859</v>
      </c>
      <c r="W17" s="227">
        <v>12.058575421494201</v>
      </c>
      <c r="X17" s="227">
        <v>11.8123802577118</v>
      </c>
      <c r="Y17" s="227">
        <v>11.102442959280699</v>
      </c>
      <c r="Z17" s="227">
        <v>9.4285490555447709</v>
      </c>
      <c r="AA17" s="227">
        <v>8.5603307175814098</v>
      </c>
      <c r="AB17" s="227">
        <v>7.8929845517568404</v>
      </c>
      <c r="AC17" s="227">
        <v>7.4912625284179999</v>
      </c>
      <c r="AD17" s="227">
        <v>6.9709267311264602</v>
      </c>
      <c r="AE17" s="227">
        <v>6.8512486237139996</v>
      </c>
      <c r="AF17" s="227">
        <v>6.8512486237139996</v>
      </c>
      <c r="AG17" s="227">
        <v>6.8512486237139996</v>
      </c>
      <c r="AH17" s="227">
        <v>6.8512486237139996</v>
      </c>
      <c r="AI17" s="227">
        <v>6.8512486237139996</v>
      </c>
      <c r="AJ17" s="227">
        <v>6.8512486237139996</v>
      </c>
      <c r="AK17" s="227">
        <v>6.8512486237139996</v>
      </c>
      <c r="AL17" s="227">
        <v>6.8512486237139996</v>
      </c>
      <c r="AM17" s="227">
        <v>6.8512486237139996</v>
      </c>
      <c r="AN17" s="227">
        <v>6.8512486237139996</v>
      </c>
      <c r="AO17" s="227">
        <v>6.8512486237139996</v>
      </c>
      <c r="AP17" s="227">
        <v>6.8512486237139996</v>
      </c>
      <c r="AQ17" s="227">
        <v>6.8512486237139996</v>
      </c>
      <c r="AR17" s="227">
        <v>6.8512486237139996</v>
      </c>
      <c r="AS17" s="227">
        <v>6.8512486237139996</v>
      </c>
      <c r="AT17" s="227">
        <v>6.8512486237139996</v>
      </c>
      <c r="AU17" s="227">
        <v>6.8512486237139996</v>
      </c>
      <c r="AV17" s="227">
        <v>6.8512486237139996</v>
      </c>
      <c r="AW17" s="227">
        <v>6.8512486237139996</v>
      </c>
      <c r="AX17" s="227">
        <v>6.8512486237139996</v>
      </c>
      <c r="AY17" s="227">
        <v>6.8512486237139996</v>
      </c>
      <c r="AZ17" s="227">
        <v>6.8512486237139996</v>
      </c>
      <c r="BA17" s="227">
        <v>6.8512486237139996</v>
      </c>
      <c r="BB17" s="227">
        <v>6.8512486237139996</v>
      </c>
      <c r="BC17" s="227">
        <v>6.8512486237139996</v>
      </c>
      <c r="BD17" s="227">
        <v>6.8512486237139996</v>
      </c>
      <c r="BE17" s="227">
        <v>6.8512486237139996</v>
      </c>
      <c r="BF17" s="227">
        <v>6.8512486237139996</v>
      </c>
      <c r="BG17" s="227">
        <v>6.8512486237139996</v>
      </c>
      <c r="BH17" s="227">
        <v>6.8512486237139996</v>
      </c>
      <c r="BI17" s="227">
        <v>6.8512486237139996</v>
      </c>
      <c r="BJ17" s="227">
        <v>6.8512486237139996</v>
      </c>
      <c r="BK17" s="227">
        <v>6.8512486237139996</v>
      </c>
      <c r="BL17" s="227">
        <v>6.8512486237139996</v>
      </c>
      <c r="BM17" s="227">
        <v>6.8512486237139996</v>
      </c>
      <c r="BN17" s="227">
        <v>6.8512486237139996</v>
      </c>
      <c r="BO17" s="227">
        <v>6.8512486237139996</v>
      </c>
    </row>
    <row r="18" spans="2:67">
      <c r="B18" s="186" t="s">
        <v>501</v>
      </c>
      <c r="C18" s="227">
        <v>269.31548625284199</v>
      </c>
      <c r="D18" s="227">
        <v>255.040581592411</v>
      </c>
      <c r="E18" s="227">
        <v>239.95543442071801</v>
      </c>
      <c r="F18" s="227">
        <v>224.01405543396899</v>
      </c>
      <c r="G18" s="227">
        <v>207.16784497896001</v>
      </c>
      <c r="H18" s="227">
        <v>189.36544488983299</v>
      </c>
      <c r="I18" s="227">
        <v>170.552581915117</v>
      </c>
      <c r="J18" s="227">
        <v>150.67190225767999</v>
      </c>
      <c r="K18" s="227">
        <v>129.66279672319499</v>
      </c>
      <c r="L18" s="227">
        <v>104.91111320099201</v>
      </c>
      <c r="M18" s="227">
        <v>84.884345789392</v>
      </c>
      <c r="N18" s="227">
        <v>68.680542415833898</v>
      </c>
      <c r="O18" s="227">
        <v>55.569927089225899</v>
      </c>
      <c r="P18" s="227">
        <v>44.962032740002897</v>
      </c>
      <c r="Q18" s="227">
        <v>36.379108161634598</v>
      </c>
      <c r="R18" s="227">
        <v>29.434601373314599</v>
      </c>
      <c r="S18" s="227">
        <v>23.8157503520011</v>
      </c>
      <c r="T18" s="227">
        <v>19.269497066913001</v>
      </c>
      <c r="U18" s="227">
        <v>15.591090422249501</v>
      </c>
      <c r="V18" s="227">
        <v>12.9427628894798</v>
      </c>
      <c r="W18" s="227">
        <v>12.2828785495942</v>
      </c>
      <c r="X18" s="227">
        <v>12.0321038775839</v>
      </c>
      <c r="Y18" s="227">
        <v>11.308960943227699</v>
      </c>
      <c r="Z18" s="227">
        <v>9.60393072151121</v>
      </c>
      <c r="AA18" s="227">
        <v>8.7195625414419702</v>
      </c>
      <c r="AB18" s="227">
        <v>8.0398029828833604</v>
      </c>
      <c r="AC18" s="227">
        <v>7.6306084759955102</v>
      </c>
      <c r="AD18" s="227">
        <v>7.1005938449350197</v>
      </c>
      <c r="AE18" s="227">
        <v>6.9786895894976597</v>
      </c>
      <c r="AF18" s="227">
        <v>6.9786895894976597</v>
      </c>
      <c r="AG18" s="227">
        <v>6.9786895894976597</v>
      </c>
      <c r="AH18" s="227">
        <v>6.9786895894976597</v>
      </c>
      <c r="AI18" s="227">
        <v>6.9786895894976597</v>
      </c>
      <c r="AJ18" s="227">
        <v>6.9786895894976597</v>
      </c>
      <c r="AK18" s="227">
        <v>6.9786895894976597</v>
      </c>
      <c r="AL18" s="227">
        <v>6.9786895894976597</v>
      </c>
      <c r="AM18" s="227">
        <v>6.9786895894976597</v>
      </c>
      <c r="AN18" s="227">
        <v>6.9786895894976597</v>
      </c>
      <c r="AO18" s="227">
        <v>6.9786895894976597</v>
      </c>
      <c r="AP18" s="227">
        <v>6.9786895894976597</v>
      </c>
      <c r="AQ18" s="227">
        <v>6.9786895894976597</v>
      </c>
      <c r="AR18" s="227">
        <v>6.9786895894976597</v>
      </c>
      <c r="AS18" s="227">
        <v>6.9786895894976597</v>
      </c>
      <c r="AT18" s="227">
        <v>6.9786895894976597</v>
      </c>
      <c r="AU18" s="227">
        <v>6.9786895894976597</v>
      </c>
      <c r="AV18" s="227">
        <v>6.9786895894976597</v>
      </c>
      <c r="AW18" s="227">
        <v>6.9786895894976597</v>
      </c>
      <c r="AX18" s="227">
        <v>6.9786895894976597</v>
      </c>
      <c r="AY18" s="227">
        <v>6.9786895894976597</v>
      </c>
      <c r="AZ18" s="227">
        <v>6.9786895894976597</v>
      </c>
      <c r="BA18" s="227">
        <v>6.9786895894976597</v>
      </c>
      <c r="BB18" s="227">
        <v>6.9786895894976597</v>
      </c>
      <c r="BC18" s="227">
        <v>6.9786895894976597</v>
      </c>
      <c r="BD18" s="227">
        <v>6.9786895894976597</v>
      </c>
      <c r="BE18" s="227">
        <v>6.9786895894976597</v>
      </c>
      <c r="BF18" s="227">
        <v>6.9786895894976597</v>
      </c>
      <c r="BG18" s="227">
        <v>6.9786895894976597</v>
      </c>
      <c r="BH18" s="227">
        <v>6.9786895894976597</v>
      </c>
      <c r="BI18" s="227">
        <v>6.9786895894976597</v>
      </c>
      <c r="BJ18" s="227">
        <v>6.9786895894976597</v>
      </c>
      <c r="BK18" s="227">
        <v>6.9786895894976597</v>
      </c>
      <c r="BL18" s="227">
        <v>6.9786895894976597</v>
      </c>
      <c r="BM18" s="227">
        <v>6.9786895894976597</v>
      </c>
      <c r="BN18" s="227">
        <v>6.9786895894976597</v>
      </c>
      <c r="BO18" s="227">
        <v>6.9786895894976597</v>
      </c>
    </row>
    <row r="20" spans="2:67">
      <c r="B20" s="202" t="s">
        <v>406</v>
      </c>
      <c r="C20" s="11">
        <v>0</v>
      </c>
      <c r="D20" s="11">
        <v>1</v>
      </c>
      <c r="E20" s="11">
        <v>2</v>
      </c>
      <c r="F20" s="11">
        <v>3</v>
      </c>
      <c r="G20" s="11">
        <v>4</v>
      </c>
      <c r="H20" s="11">
        <v>5</v>
      </c>
      <c r="I20" s="11">
        <v>6</v>
      </c>
      <c r="J20" s="11">
        <v>7</v>
      </c>
      <c r="K20" s="11">
        <v>8</v>
      </c>
      <c r="L20" s="11">
        <v>9</v>
      </c>
      <c r="M20" s="11">
        <v>10</v>
      </c>
      <c r="N20" s="11">
        <v>11</v>
      </c>
      <c r="O20" s="11">
        <v>12</v>
      </c>
      <c r="P20" s="11">
        <v>13</v>
      </c>
      <c r="Q20" s="11">
        <v>14</v>
      </c>
      <c r="R20" s="11">
        <v>15</v>
      </c>
      <c r="S20" s="11">
        <v>16</v>
      </c>
      <c r="T20" s="11">
        <v>17</v>
      </c>
      <c r="U20" s="11">
        <v>18</v>
      </c>
      <c r="V20" s="11">
        <v>19</v>
      </c>
      <c r="W20" s="11">
        <v>20</v>
      </c>
      <c r="X20" s="11">
        <v>21</v>
      </c>
      <c r="Y20" s="11">
        <v>22</v>
      </c>
      <c r="Z20" s="11">
        <v>23</v>
      </c>
      <c r="AA20" s="11">
        <v>24</v>
      </c>
      <c r="AB20" s="11">
        <v>25</v>
      </c>
      <c r="AC20" s="11">
        <v>26</v>
      </c>
      <c r="AD20" s="11">
        <v>27</v>
      </c>
      <c r="AE20" s="11">
        <v>28</v>
      </c>
      <c r="AF20" s="11">
        <v>29</v>
      </c>
      <c r="AG20" s="11">
        <v>30</v>
      </c>
      <c r="AH20" s="11">
        <v>31</v>
      </c>
      <c r="AI20" s="11">
        <v>32</v>
      </c>
      <c r="AJ20" s="11">
        <v>33</v>
      </c>
      <c r="AK20" s="11">
        <v>34</v>
      </c>
      <c r="AL20" s="11">
        <v>35</v>
      </c>
      <c r="AM20" s="11">
        <v>36</v>
      </c>
      <c r="AN20" s="11">
        <v>37</v>
      </c>
      <c r="AO20" s="11">
        <v>38</v>
      </c>
      <c r="AP20" s="11">
        <v>39</v>
      </c>
      <c r="AQ20" s="11">
        <v>40</v>
      </c>
      <c r="AR20" s="11">
        <v>41</v>
      </c>
      <c r="AS20" s="11">
        <v>42</v>
      </c>
      <c r="AT20" s="11">
        <v>43</v>
      </c>
      <c r="AU20" s="11">
        <v>44</v>
      </c>
      <c r="AV20" s="11">
        <v>45</v>
      </c>
      <c r="AW20" s="11">
        <v>46</v>
      </c>
      <c r="AX20" s="11">
        <v>47</v>
      </c>
      <c r="AY20" s="11">
        <v>48</v>
      </c>
      <c r="AZ20" s="11">
        <v>49</v>
      </c>
      <c r="BA20" s="11">
        <v>50</v>
      </c>
      <c r="BB20" s="11">
        <v>51</v>
      </c>
      <c r="BC20" s="11">
        <v>52</v>
      </c>
      <c r="BD20" s="11">
        <v>53</v>
      </c>
      <c r="BE20" s="11">
        <v>54</v>
      </c>
      <c r="BF20" s="11">
        <v>55</v>
      </c>
      <c r="BG20" s="11">
        <v>56</v>
      </c>
      <c r="BH20" s="11">
        <v>57</v>
      </c>
      <c r="BI20" s="11">
        <v>58</v>
      </c>
      <c r="BJ20" s="11">
        <v>59</v>
      </c>
      <c r="BK20" s="11">
        <v>60</v>
      </c>
    </row>
    <row r="21" spans="2:67">
      <c r="B21" s="202" t="s">
        <v>502</v>
      </c>
      <c r="C21" s="145">
        <f>D21-1</f>
        <v>2026</v>
      </c>
      <c r="D21" s="145">
        <f>Dashboard!$C$28</f>
        <v>2027</v>
      </c>
      <c r="E21" s="145">
        <f>D21+1</f>
        <v>2028</v>
      </c>
      <c r="F21" s="145">
        <f>E21+1</f>
        <v>2029</v>
      </c>
      <c r="G21" s="145">
        <f>F21+1</f>
        <v>2030</v>
      </c>
      <c r="H21" s="145">
        <f>G21+1</f>
        <v>2031</v>
      </c>
      <c r="I21" s="145">
        <f>H21+1</f>
        <v>2032</v>
      </c>
      <c r="J21" s="145">
        <f>I21+1</f>
        <v>2033</v>
      </c>
      <c r="K21" s="145">
        <f>J21+1</f>
        <v>2034</v>
      </c>
      <c r="L21" s="145">
        <f>K21+1</f>
        <v>2035</v>
      </c>
      <c r="M21" s="145">
        <f>L21+1</f>
        <v>2036</v>
      </c>
      <c r="N21" s="145">
        <f>M21+1</f>
        <v>2037</v>
      </c>
      <c r="O21" s="145">
        <f>N21+1</f>
        <v>2038</v>
      </c>
      <c r="P21" s="145">
        <f>O21+1</f>
        <v>2039</v>
      </c>
      <c r="Q21" s="145">
        <f>P21+1</f>
        <v>2040</v>
      </c>
      <c r="R21" s="145">
        <f>Q21+1</f>
        <v>2041</v>
      </c>
      <c r="S21" s="145">
        <f>R21+1</f>
        <v>2042</v>
      </c>
      <c r="T21" s="145">
        <f>S21+1</f>
        <v>2043</v>
      </c>
      <c r="U21" s="145">
        <f>T21+1</f>
        <v>2044</v>
      </c>
      <c r="V21" s="145">
        <f>U21+1</f>
        <v>2045</v>
      </c>
      <c r="W21" s="145">
        <f>V21+1</f>
        <v>2046</v>
      </c>
      <c r="X21" s="145">
        <f>W21+1</f>
        <v>2047</v>
      </c>
      <c r="Y21" s="145">
        <f>X21+1</f>
        <v>2048</v>
      </c>
      <c r="Z21" s="145">
        <f>Y21+1</f>
        <v>2049</v>
      </c>
      <c r="AA21" s="145">
        <f>Z21+1</f>
        <v>2050</v>
      </c>
      <c r="AB21" s="145">
        <f>AA21+1</f>
        <v>2051</v>
      </c>
      <c r="AC21" s="145">
        <f>AB21+1</f>
        <v>2052</v>
      </c>
      <c r="AD21" s="145">
        <f>AC21+1</f>
        <v>2053</v>
      </c>
      <c r="AE21" s="145">
        <f>AD21+1</f>
        <v>2054</v>
      </c>
      <c r="AF21" s="145">
        <f>AE21+1</f>
        <v>2055</v>
      </c>
      <c r="AG21" s="145">
        <f>AF21+1</f>
        <v>2056</v>
      </c>
      <c r="AH21" s="145">
        <f>AG21+1</f>
        <v>2057</v>
      </c>
      <c r="AI21" s="145">
        <f>AH21+1</f>
        <v>2058</v>
      </c>
      <c r="AJ21" s="145">
        <f>AI21+1</f>
        <v>2059</v>
      </c>
      <c r="AK21" s="145">
        <f>AJ21+1</f>
        <v>2060</v>
      </c>
      <c r="AL21" s="145">
        <f>AK21+1</f>
        <v>2061</v>
      </c>
      <c r="AM21" s="145">
        <f>AL21+1</f>
        <v>2062</v>
      </c>
      <c r="AN21" s="145">
        <f>AM21+1</f>
        <v>2063</v>
      </c>
      <c r="AO21" s="145">
        <f>AN21+1</f>
        <v>2064</v>
      </c>
      <c r="AP21" s="145">
        <f>AO21+1</f>
        <v>2065</v>
      </c>
      <c r="AQ21" s="145">
        <f>AP21+1</f>
        <v>2066</v>
      </c>
      <c r="AR21" s="145">
        <f>AQ21+1</f>
        <v>2067</v>
      </c>
      <c r="AS21" s="145">
        <f>AR21+1</f>
        <v>2068</v>
      </c>
      <c r="AT21" s="145">
        <f>AS21+1</f>
        <v>2069</v>
      </c>
      <c r="AU21" s="145">
        <f>AT21+1</f>
        <v>2070</v>
      </c>
      <c r="AV21" s="145">
        <f>AU21+1</f>
        <v>2071</v>
      </c>
      <c r="AW21" s="145">
        <f>AV21+1</f>
        <v>2072</v>
      </c>
      <c r="AX21" s="145">
        <f>AW21+1</f>
        <v>2073</v>
      </c>
      <c r="AY21" s="145">
        <f>AX21+1</f>
        <v>2074</v>
      </c>
      <c r="AZ21" s="145">
        <f>AY21+1</f>
        <v>2075</v>
      </c>
      <c r="BA21" s="145">
        <f>AZ21+1</f>
        <v>2076</v>
      </c>
      <c r="BB21" s="145">
        <f>BA21+1</f>
        <v>2077</v>
      </c>
      <c r="BC21" s="145">
        <f>BB21+1</f>
        <v>2078</v>
      </c>
      <c r="BD21" s="145">
        <f>BC21+1</f>
        <v>2079</v>
      </c>
      <c r="BE21" s="145">
        <f>BD21+1</f>
        <v>2080</v>
      </c>
      <c r="BF21" s="145">
        <f>BE21+1</f>
        <v>2081</v>
      </c>
      <c r="BG21" s="145">
        <f>BF21+1</f>
        <v>2082</v>
      </c>
      <c r="BH21" s="145">
        <f>BG21+1</f>
        <v>2083</v>
      </c>
      <c r="BI21" s="145">
        <f>BH21+1</f>
        <v>2084</v>
      </c>
      <c r="BJ21" s="145">
        <f>BI21+1</f>
        <v>2085</v>
      </c>
      <c r="BK21" s="145">
        <f>BJ21+1</f>
        <v>2086</v>
      </c>
    </row>
    <row r="23" spans="2:67">
      <c r="B23" s="34" t="s">
        <v>503</v>
      </c>
      <c r="C23" s="228">
        <f>_xlfn.XLOOKUP(C21,$C$15:$BO$15,$C$16:$BO$16,NA(),0)/1000</f>
        <v>0.38200718422436897</v>
      </c>
      <c r="D23" s="228">
        <f>_xlfn.XLOOKUP(D21,$C$15:$BO$15,$C$16:$BO$16,NA(),0)/1000</f>
        <v>0.36790395257440101</v>
      </c>
      <c r="E23" s="228">
        <f>_xlfn.XLOOKUP(E21,$C$15:$BO$15,$C$16:$BO$16,NA(),0)/1000</f>
        <v>0.359159452636231</v>
      </c>
      <c r="F23" s="228">
        <f>_xlfn.XLOOKUP(F21,$C$15:$BO$15,$C$16:$BO$16,NA(),0)/1000</f>
        <v>0.33384461870231097</v>
      </c>
      <c r="G23" s="228">
        <f>_xlfn.XLOOKUP(G21,$C$15:$BO$15,$C$16:$BO$16,NA(),0)/1000</f>
        <v>0.31189884579259197</v>
      </c>
      <c r="H23" s="228">
        <f>_xlfn.XLOOKUP(H21,$C$15:$BO$15,$C$16:$BO$16,NA(),0)/1000</f>
        <v>0.31608801161777095</v>
      </c>
      <c r="I23" s="228">
        <f>_xlfn.XLOOKUP(I21,$C$15:$BO$15,$C$16:$BO$16,NA(),0)/1000</f>
        <v>0.29295912928509499</v>
      </c>
      <c r="J23" s="228">
        <f>_xlfn.XLOOKUP(J21,$C$15:$BO$15,$C$16:$BO$16,NA(),0)/1000</f>
        <v>0.27950364226631896</v>
      </c>
      <c r="K23" s="228">
        <f>_xlfn.XLOOKUP(K21,$C$15:$BO$15,$C$16:$BO$16,NA(),0)/1000</f>
        <v>0.26000804455233301</v>
      </c>
      <c r="L23" s="228">
        <f>_xlfn.XLOOKUP(L21,$C$15:$BO$15,$C$16:$BO$16,NA(),0)/1000</f>
        <v>0.248252046953752</v>
      </c>
      <c r="M23" s="228">
        <f>_xlfn.XLOOKUP(M21,$C$15:$BO$15,$C$16:$BO$16,NA(),0)/1000</f>
        <v>0.26379962912060301</v>
      </c>
      <c r="N23" s="228">
        <f>_xlfn.XLOOKUP(N21,$C$15:$BO$15,$C$16:$BO$16,NA(),0)/1000</f>
        <v>0.249963129750256</v>
      </c>
      <c r="O23" s="228">
        <f>_xlfn.XLOOKUP(O21,$C$15:$BO$15,$C$16:$BO$16,NA(),0)/1000</f>
        <v>0.24887846868567498</v>
      </c>
      <c r="P23" s="228">
        <f>_xlfn.XLOOKUP(P21,$C$15:$BO$15,$C$16:$BO$16,NA(),0)/1000</f>
        <v>0.24948393198976501</v>
      </c>
      <c r="Q23" s="228">
        <f>_xlfn.XLOOKUP(Q21,$C$15:$BO$15,$C$16:$BO$16,NA(),0)/1000</f>
        <v>0.243407593061678</v>
      </c>
      <c r="R23" s="228">
        <f>_xlfn.XLOOKUP(R21,$C$15:$BO$15,$C$16:$BO$16,NA(),0)/1000</f>
        <v>0.23926072866787002</v>
      </c>
      <c r="S23" s="228">
        <f>_xlfn.XLOOKUP(S21,$C$15:$BO$15,$C$16:$BO$16,NA(),0)/1000</f>
        <v>0.24897577747376901</v>
      </c>
      <c r="T23" s="228">
        <f>_xlfn.XLOOKUP(T21,$C$15:$BO$15,$C$16:$BO$16,NA(),0)/1000</f>
        <v>0.246896974939293</v>
      </c>
      <c r="U23" s="228">
        <f>_xlfn.XLOOKUP(U21,$C$15:$BO$15,$C$16:$BO$16,NA(),0)/1000</f>
        <v>0.228690813005513</v>
      </c>
      <c r="V23" s="228">
        <f>_xlfn.XLOOKUP(V21,$C$15:$BO$15,$C$16:$BO$16,NA(),0)/1000</f>
        <v>0.228690813005513</v>
      </c>
      <c r="W23" s="228">
        <f>_xlfn.XLOOKUP(W21,$C$15:$BO$15,$C$16:$BO$16,NA(),0)/1000</f>
        <v>0.228690813005513</v>
      </c>
      <c r="X23" s="228">
        <f>_xlfn.XLOOKUP(X21,$C$15:$BO$15,$C$16:$BO$16,NA(),0)/1000</f>
        <v>0.228690813005513</v>
      </c>
      <c r="Y23" s="228">
        <f>_xlfn.XLOOKUP(Y21,$C$15:$BO$15,$C$16:$BO$16,NA(),0)/1000</f>
        <v>0.228690813005513</v>
      </c>
      <c r="Z23" s="228">
        <f>_xlfn.XLOOKUP(Z21,$C$15:$BO$15,$C$16:$BO$16,NA(),0)/1000</f>
        <v>0.228690813005513</v>
      </c>
      <c r="AA23" s="228">
        <f>_xlfn.XLOOKUP(AA21,$C$15:$BO$15,$C$16:$BO$16,NA(),0)/1000</f>
        <v>0.228690813005513</v>
      </c>
      <c r="AB23" s="228">
        <f>_xlfn.XLOOKUP(AB21,$C$15:$BO$15,$C$16:$BO$16,NA(),0)/1000</f>
        <v>0.228690813005513</v>
      </c>
      <c r="AC23" s="228">
        <f>_xlfn.XLOOKUP(AC21,$C$15:$BO$15,$C$16:$BO$16,NA(),0)/1000</f>
        <v>0.228690813005513</v>
      </c>
      <c r="AD23" s="228">
        <f>_xlfn.XLOOKUP(AD21,$C$15:$BO$15,$C$16:$BO$16,NA(),0)/1000</f>
        <v>0.228690813005513</v>
      </c>
      <c r="AE23" s="228">
        <f>_xlfn.XLOOKUP(AE21,$C$15:$BO$15,$C$16:$BO$16,NA(),0)/1000</f>
        <v>0.228690813005513</v>
      </c>
      <c r="AF23" s="228">
        <f>_xlfn.XLOOKUP(AF21,$C$15:$BO$15,$C$16:$BO$16,NA(),0)/1000</f>
        <v>0.228690813005513</v>
      </c>
      <c r="AG23" s="228">
        <f>_xlfn.XLOOKUP(AG21,$C$15:$BO$15,$C$16:$BO$16,NA(),0)/1000</f>
        <v>0.228690813005513</v>
      </c>
      <c r="AH23" s="228">
        <f>_xlfn.XLOOKUP(AH21,$C$15:$BO$15,$C$16:$BO$16,NA(),0)/1000</f>
        <v>0.228690813005513</v>
      </c>
      <c r="AI23" s="228">
        <f>_xlfn.XLOOKUP(AI21,$C$15:$BO$15,$C$16:$BO$16,NA(),0)/1000</f>
        <v>0.228690813005513</v>
      </c>
      <c r="AJ23" s="228">
        <f>_xlfn.XLOOKUP(AJ21,$C$15:$BO$15,$C$16:$BO$16,NA(),0)/1000</f>
        <v>0.228690813005513</v>
      </c>
      <c r="AK23" s="228">
        <f>_xlfn.XLOOKUP(AK21,$C$15:$BO$15,$C$16:$BO$16,NA(),0)/1000</f>
        <v>0.228690813005513</v>
      </c>
      <c r="AL23" s="228">
        <f>_xlfn.XLOOKUP(AL21,$C$15:$BO$15,$C$16:$BO$16,NA(),0)/1000</f>
        <v>0.228690813005513</v>
      </c>
      <c r="AM23" s="228">
        <f>_xlfn.XLOOKUP(AM21,$C$15:$BO$15,$C$16:$BO$16,NA(),0)/1000</f>
        <v>0.228690813005513</v>
      </c>
      <c r="AN23" s="228">
        <f>_xlfn.XLOOKUP(AN21,$C$15:$BO$15,$C$16:$BO$16,NA(),0)/1000</f>
        <v>0.228690813005513</v>
      </c>
      <c r="AO23" s="228">
        <f>_xlfn.XLOOKUP(AO21,$C$15:$BO$15,$C$16:$BO$16,NA(),0)/1000</f>
        <v>0.228690813005513</v>
      </c>
      <c r="AP23" s="228">
        <f>_xlfn.XLOOKUP(AP21,$C$15:$BO$15,$C$16:$BO$16,NA(),0)/1000</f>
        <v>0.228690813005513</v>
      </c>
      <c r="AQ23" s="228">
        <f>_xlfn.XLOOKUP(AQ21,$C$15:$BO$15,$C$16:$BO$16,NA(),0)/1000</f>
        <v>0.228690813005513</v>
      </c>
      <c r="AR23" s="228">
        <f>_xlfn.XLOOKUP(AR21,$C$15:$BO$15,$C$16:$BO$16,NA(),0)/1000</f>
        <v>0.228690813005513</v>
      </c>
      <c r="AS23" s="228">
        <f>_xlfn.XLOOKUP(AS21,$C$15:$BO$15,$C$16:$BO$16,NA(),0)/1000</f>
        <v>0.228690813005513</v>
      </c>
      <c r="AT23" s="228">
        <f>_xlfn.XLOOKUP(AT21,$C$15:$BO$15,$C$16:$BO$16,NA(),0)/1000</f>
        <v>0.228690813005513</v>
      </c>
      <c r="AU23" s="228">
        <f>_xlfn.XLOOKUP(AU21,$C$15:$BO$15,$C$16:$BO$16,NA(),0)/1000</f>
        <v>0.228690813005513</v>
      </c>
      <c r="AV23" s="228">
        <f>_xlfn.XLOOKUP(AV21,$C$15:$BO$15,$C$16:$BO$16,NA(),0)/1000</f>
        <v>0.228690813005513</v>
      </c>
      <c r="AW23" s="228">
        <f>_xlfn.XLOOKUP(AW21,$C$15:$BO$15,$C$16:$BO$16,NA(),0)/1000</f>
        <v>0.228690813005513</v>
      </c>
      <c r="AX23" s="228">
        <f>_xlfn.XLOOKUP(AX21,$C$15:$BO$15,$C$16:$BO$16,NA(),0)/1000</f>
        <v>0.228690813005513</v>
      </c>
      <c r="AY23" s="228">
        <f>_xlfn.XLOOKUP(AY21,$C$15:$BO$15,$C$16:$BO$16,NA(),0)/1000</f>
        <v>0.228690813005513</v>
      </c>
      <c r="AZ23" s="228">
        <f>_xlfn.XLOOKUP(AZ21,$C$15:$BO$15,$C$16:$BO$16,NA(),0)/1000</f>
        <v>0.228690813005513</v>
      </c>
      <c r="BA23" s="228">
        <f>_xlfn.XLOOKUP(BA21,$C$15:$BO$15,$C$16:$BO$16,NA(),0)/1000</f>
        <v>0.228690813005513</v>
      </c>
      <c r="BB23" s="228">
        <f>_xlfn.XLOOKUP(BB21,$C$15:$BO$15,$C$16:$BO$16,NA(),0)/1000</f>
        <v>0.228690813005513</v>
      </c>
      <c r="BC23" s="228">
        <f>_xlfn.XLOOKUP(BC21,$C$15:$BO$15,$C$16:$BO$16,NA(),0)/1000</f>
        <v>0.228690813005513</v>
      </c>
      <c r="BD23" s="228">
        <f>_xlfn.XLOOKUP(BD21,$C$15:$BO$15,$C$16:$BO$16,NA(),0)/1000</f>
        <v>0.228690813005513</v>
      </c>
      <c r="BE23" s="228">
        <f>_xlfn.XLOOKUP(BE21,$C$15:$BO$15,$C$16:$BO$16,NA(),0)/1000</f>
        <v>0.228690813005513</v>
      </c>
      <c r="BF23" s="228">
        <f>_xlfn.XLOOKUP(BF21,$C$15:$BO$15,$C$16:$BO$16,NA(),0)/1000</f>
        <v>0.228690813005513</v>
      </c>
      <c r="BG23" s="228">
        <f>_xlfn.XLOOKUP(BG21,$C$15:$BO$15,$C$16:$BO$16,NA(),0)/1000</f>
        <v>0.228690813005513</v>
      </c>
      <c r="BH23" s="228">
        <f>_xlfn.XLOOKUP(BH21,$C$15:$BO$15,$C$16:$BO$16,NA(),0)/1000</f>
        <v>0.228690813005513</v>
      </c>
      <c r="BI23" s="228">
        <f>_xlfn.XLOOKUP(BI21,$C$15:$BO$15,$C$16:$BO$16,NA(),0)/1000</f>
        <v>0.228690813005513</v>
      </c>
      <c r="BJ23" s="228">
        <f>_xlfn.XLOOKUP(BJ21,$C$15:$BO$15,$C$16:$BO$16,NA(),0)/1000</f>
        <v>0.228690813005513</v>
      </c>
      <c r="BK23" s="228">
        <f>_xlfn.XLOOKUP(BK21,$C$15:$BO$15,$C$16:$BO$16,NA(),0)/1000</f>
        <v>0.228690813005513</v>
      </c>
    </row>
    <row r="24" spans="2:67">
      <c r="B24" s="34" t="s">
        <v>504</v>
      </c>
      <c r="C24" s="228">
        <f>_xlfn.XLOOKUP(C21,$C$15:$BO$15,$C$17:$BO$17,NA(),0)/1000</f>
        <v>0.20338466048495801</v>
      </c>
      <c r="D24" s="228">
        <f>_xlfn.XLOOKUP(D21,$C$15:$BO$15,$C$17:$BO$17,NA(),0)/1000</f>
        <v>0.18590735797060198</v>
      </c>
      <c r="E24" s="228">
        <f>_xlfn.XLOOKUP(E21,$C$15:$BO$15,$C$17:$BO$17,NA(),0)/1000</f>
        <v>0.167438045084467</v>
      </c>
      <c r="F24" s="228">
        <f>_xlfn.XLOOKUP(F21,$C$15:$BO$15,$C$17:$BO$17,NA(),0)/1000</f>
        <v>0.147920415392714</v>
      </c>
      <c r="G24" s="228">
        <f>_xlfn.XLOOKUP(G21,$C$15:$BO$15,$C$17:$BO$17,NA(),0)/1000</f>
        <v>0.127294966512566</v>
      </c>
      <c r="H24" s="228">
        <f>_xlfn.XLOOKUP(H21,$C$15:$BO$15,$C$17:$BO$17,NA(),0)/1000</f>
        <v>0.102995284531969</v>
      </c>
      <c r="I24" s="228">
        <f>_xlfn.XLOOKUP(I21,$C$15:$BO$15,$C$17:$BO$17,NA(),0)/1000</f>
        <v>8.333423485974209E-2</v>
      </c>
      <c r="J24" s="228">
        <f>_xlfn.XLOOKUP(J21,$C$15:$BO$15,$C$17:$BO$17,NA(),0)/1000</f>
        <v>6.7426336372740703E-2</v>
      </c>
      <c r="K24" s="228">
        <f>_xlfn.XLOOKUP(K21,$C$15:$BO$15,$C$17:$BO$17,NA(),0)/1000</f>
        <v>5.4555139845007997E-2</v>
      </c>
      <c r="L24" s="228">
        <f>_xlfn.XLOOKUP(L21,$C$15:$BO$15,$C$17:$BO$17,NA(),0)/1000</f>
        <v>4.4140960989712499E-2</v>
      </c>
      <c r="M24" s="228">
        <f>_xlfn.XLOOKUP(M21,$C$15:$BO$15,$C$17:$BO$17,NA(),0)/1000</f>
        <v>3.5714773028367702E-2</v>
      </c>
      <c r="N24" s="228">
        <f>_xlfn.XLOOKUP(N21,$C$15:$BO$15,$C$17:$BO$17,NA(),0)/1000</f>
        <v>2.8897082978440403E-2</v>
      </c>
      <c r="O24" s="228">
        <f>_xlfn.XLOOKUP(O21,$C$15:$BO$15,$C$17:$BO$17,NA(),0)/1000</f>
        <v>2.3380840303803899E-2</v>
      </c>
      <c r="P24" s="228">
        <f>_xlfn.XLOOKUP(P21,$C$15:$BO$15,$C$17:$BO$17,NA(),0)/1000</f>
        <v>1.8917608179338997E-2</v>
      </c>
      <c r="Q24" s="228">
        <f>_xlfn.XLOOKUP(Q21,$C$15:$BO$15,$C$17:$BO$17,NA(),0)/1000</f>
        <v>1.5306374560403199E-2</v>
      </c>
      <c r="R24" s="228">
        <f>_xlfn.XLOOKUP(R21,$C$15:$BO$15,$C$17:$BO$17,NA(),0)/1000</f>
        <v>1.27064093188859E-2</v>
      </c>
      <c r="S24" s="228">
        <f>_xlfn.XLOOKUP(S21,$C$15:$BO$15,$C$17:$BO$17,NA(),0)/1000</f>
        <v>1.2058575421494201E-2</v>
      </c>
      <c r="T24" s="228">
        <f>_xlfn.XLOOKUP(T21,$C$15:$BO$15,$C$17:$BO$17,NA(),0)/1000</f>
        <v>1.1812380257711799E-2</v>
      </c>
      <c r="U24" s="228">
        <f>_xlfn.XLOOKUP(U21,$C$15:$BO$15,$C$17:$BO$17,NA(),0)/1000</f>
        <v>1.1102442959280699E-2</v>
      </c>
      <c r="V24" s="228">
        <f>_xlfn.XLOOKUP(V21,$C$15:$BO$15,$C$17:$BO$17,NA(),0)/1000</f>
        <v>9.4285490555447715E-3</v>
      </c>
      <c r="W24" s="228">
        <f>_xlfn.XLOOKUP(W21,$C$15:$BO$15,$C$17:$BO$17,NA(),0)/1000</f>
        <v>8.5603307175814106E-3</v>
      </c>
      <c r="X24" s="228">
        <f>_xlfn.XLOOKUP(X21,$C$15:$BO$15,$C$17:$BO$17,NA(),0)/1000</f>
        <v>7.8929845517568403E-3</v>
      </c>
      <c r="Y24" s="228">
        <f>_xlfn.XLOOKUP(Y21,$C$15:$BO$15,$C$17:$BO$17,NA(),0)/1000</f>
        <v>7.4912625284179997E-3</v>
      </c>
      <c r="Z24" s="228">
        <f>_xlfn.XLOOKUP(Z21,$C$15:$BO$15,$C$17:$BO$17,NA(),0)/1000</f>
        <v>6.9709267311264603E-3</v>
      </c>
      <c r="AA24" s="228">
        <f>_xlfn.XLOOKUP(AA21,$C$15:$BO$15,$C$17:$BO$17,NA(),0)/1000</f>
        <v>6.8512486237139996E-3</v>
      </c>
      <c r="AB24" s="228">
        <f>_xlfn.XLOOKUP(AB21,$C$15:$BO$15,$C$17:$BO$17,NA(),0)/1000</f>
        <v>6.8512486237139996E-3</v>
      </c>
      <c r="AC24" s="228">
        <f>_xlfn.XLOOKUP(AC21,$C$15:$BO$15,$C$17:$BO$17,NA(),0)/1000</f>
        <v>6.8512486237139996E-3</v>
      </c>
      <c r="AD24" s="228">
        <f>_xlfn.XLOOKUP(AD21,$C$15:$BO$15,$C$17:$BO$17,NA(),0)/1000</f>
        <v>6.8512486237139996E-3</v>
      </c>
      <c r="AE24" s="228">
        <f>_xlfn.XLOOKUP(AE21,$C$15:$BO$15,$C$17:$BO$17,NA(),0)/1000</f>
        <v>6.8512486237139996E-3</v>
      </c>
      <c r="AF24" s="228">
        <f>_xlfn.XLOOKUP(AF21,$C$15:$BO$15,$C$17:$BO$17,NA(),0)/1000</f>
        <v>6.8512486237139996E-3</v>
      </c>
      <c r="AG24" s="228">
        <f>_xlfn.XLOOKUP(AG21,$C$15:$BO$15,$C$17:$BO$17,NA(),0)/1000</f>
        <v>6.8512486237139996E-3</v>
      </c>
      <c r="AH24" s="228">
        <f>_xlfn.XLOOKUP(AH21,$C$15:$BO$15,$C$17:$BO$17,NA(),0)/1000</f>
        <v>6.8512486237139996E-3</v>
      </c>
      <c r="AI24" s="228">
        <f>_xlfn.XLOOKUP(AI21,$C$15:$BO$15,$C$17:$BO$17,NA(),0)/1000</f>
        <v>6.8512486237139996E-3</v>
      </c>
      <c r="AJ24" s="228">
        <f>_xlfn.XLOOKUP(AJ21,$C$15:$BO$15,$C$17:$BO$17,NA(),0)/1000</f>
        <v>6.8512486237139996E-3</v>
      </c>
      <c r="AK24" s="228">
        <f>_xlfn.XLOOKUP(AK21,$C$15:$BO$15,$C$17:$BO$17,NA(),0)/1000</f>
        <v>6.8512486237139996E-3</v>
      </c>
      <c r="AL24" s="228">
        <f>_xlfn.XLOOKUP(AL21,$C$15:$BO$15,$C$17:$BO$17,NA(),0)/1000</f>
        <v>6.8512486237139996E-3</v>
      </c>
      <c r="AM24" s="228">
        <f>_xlfn.XLOOKUP(AM21,$C$15:$BO$15,$C$17:$BO$17,NA(),0)/1000</f>
        <v>6.8512486237139996E-3</v>
      </c>
      <c r="AN24" s="228">
        <f>_xlfn.XLOOKUP(AN21,$C$15:$BO$15,$C$17:$BO$17,NA(),0)/1000</f>
        <v>6.8512486237139996E-3</v>
      </c>
      <c r="AO24" s="228">
        <f>_xlfn.XLOOKUP(AO21,$C$15:$BO$15,$C$17:$BO$17,NA(),0)/1000</f>
        <v>6.8512486237139996E-3</v>
      </c>
      <c r="AP24" s="228">
        <f>_xlfn.XLOOKUP(AP21,$C$15:$BO$15,$C$17:$BO$17,NA(),0)/1000</f>
        <v>6.8512486237139996E-3</v>
      </c>
      <c r="AQ24" s="228">
        <f>_xlfn.XLOOKUP(AQ21,$C$15:$BO$15,$C$17:$BO$17,NA(),0)/1000</f>
        <v>6.8512486237139996E-3</v>
      </c>
      <c r="AR24" s="228">
        <f>_xlfn.XLOOKUP(AR21,$C$15:$BO$15,$C$17:$BO$17,NA(),0)/1000</f>
        <v>6.8512486237139996E-3</v>
      </c>
      <c r="AS24" s="228">
        <f>_xlfn.XLOOKUP(AS21,$C$15:$BO$15,$C$17:$BO$17,NA(),0)/1000</f>
        <v>6.8512486237139996E-3</v>
      </c>
      <c r="AT24" s="228">
        <f>_xlfn.XLOOKUP(AT21,$C$15:$BO$15,$C$17:$BO$17,NA(),0)/1000</f>
        <v>6.8512486237139996E-3</v>
      </c>
      <c r="AU24" s="228">
        <f>_xlfn.XLOOKUP(AU21,$C$15:$BO$15,$C$17:$BO$17,NA(),0)/1000</f>
        <v>6.8512486237139996E-3</v>
      </c>
      <c r="AV24" s="228">
        <f>_xlfn.XLOOKUP(AV21,$C$15:$BO$15,$C$17:$BO$17,NA(),0)/1000</f>
        <v>6.8512486237139996E-3</v>
      </c>
      <c r="AW24" s="228">
        <f>_xlfn.XLOOKUP(AW21,$C$15:$BO$15,$C$17:$BO$17,NA(),0)/1000</f>
        <v>6.8512486237139996E-3</v>
      </c>
      <c r="AX24" s="228">
        <f>_xlfn.XLOOKUP(AX21,$C$15:$BO$15,$C$17:$BO$17,NA(),0)/1000</f>
        <v>6.8512486237139996E-3</v>
      </c>
      <c r="AY24" s="228">
        <f>_xlfn.XLOOKUP(AY21,$C$15:$BO$15,$C$17:$BO$17,NA(),0)/1000</f>
        <v>6.8512486237139996E-3</v>
      </c>
      <c r="AZ24" s="228">
        <f>_xlfn.XLOOKUP(AZ21,$C$15:$BO$15,$C$17:$BO$17,NA(),0)/1000</f>
        <v>6.8512486237139996E-3</v>
      </c>
      <c r="BA24" s="228">
        <f>_xlfn.XLOOKUP(BA21,$C$15:$BO$15,$C$17:$BO$17,NA(),0)/1000</f>
        <v>6.8512486237139996E-3</v>
      </c>
      <c r="BB24" s="228">
        <f>_xlfn.XLOOKUP(BB21,$C$15:$BO$15,$C$17:$BO$17,NA(),0)/1000</f>
        <v>6.8512486237139996E-3</v>
      </c>
      <c r="BC24" s="228">
        <f>_xlfn.XLOOKUP(BC21,$C$15:$BO$15,$C$17:$BO$17,NA(),0)/1000</f>
        <v>6.8512486237139996E-3</v>
      </c>
      <c r="BD24" s="228">
        <f>_xlfn.XLOOKUP(BD21,$C$15:$BO$15,$C$17:$BO$17,NA(),0)/1000</f>
        <v>6.8512486237139996E-3</v>
      </c>
      <c r="BE24" s="228">
        <f>_xlfn.XLOOKUP(BE21,$C$15:$BO$15,$C$17:$BO$17,NA(),0)/1000</f>
        <v>6.8512486237139996E-3</v>
      </c>
      <c r="BF24" s="228">
        <f>_xlfn.XLOOKUP(BF21,$C$15:$BO$15,$C$17:$BO$17,NA(),0)/1000</f>
        <v>6.8512486237139996E-3</v>
      </c>
      <c r="BG24" s="228">
        <f>_xlfn.XLOOKUP(BG21,$C$15:$BO$15,$C$17:$BO$17,NA(),0)/1000</f>
        <v>6.8512486237139996E-3</v>
      </c>
      <c r="BH24" s="228">
        <f>_xlfn.XLOOKUP(BH21,$C$15:$BO$15,$C$17:$BO$17,NA(),0)/1000</f>
        <v>6.8512486237139996E-3</v>
      </c>
      <c r="BI24" s="228">
        <f>_xlfn.XLOOKUP(BI21,$C$15:$BO$15,$C$17:$BO$17,NA(),0)/1000</f>
        <v>6.8512486237139996E-3</v>
      </c>
      <c r="BJ24" s="228">
        <f>_xlfn.XLOOKUP(BJ21,$C$15:$BO$15,$C$17:$BO$17,NA(),0)/1000</f>
        <v>6.8512486237139996E-3</v>
      </c>
      <c r="BK24" s="228">
        <f>_xlfn.XLOOKUP(BK21,$C$15:$BO$15,$C$17:$BO$17,NA(),0)/1000</f>
        <v>6.8512486237139996E-3</v>
      </c>
    </row>
    <row r="25" spans="2:67">
      <c r="B25" s="34" t="s">
        <v>505</v>
      </c>
      <c r="C25" s="228">
        <f>_xlfn.XLOOKUP(C21,$C$15:$BO$15,$C$18:$BO$18,NA(),0)/1000</f>
        <v>0.20716784497896001</v>
      </c>
      <c r="D25" s="228">
        <f>_xlfn.XLOOKUP(D21,$C$15:$BO$15,$C$18:$BO$18,NA(),0)/1000</f>
        <v>0.18936544488983298</v>
      </c>
      <c r="E25" s="228">
        <f>_xlfn.XLOOKUP(E21,$C$15:$BO$15,$C$18:$BO$18,NA(),0)/1000</f>
        <v>0.17055258191511699</v>
      </c>
      <c r="F25" s="228">
        <f>_xlfn.XLOOKUP(F21,$C$15:$BO$15,$C$18:$BO$18,NA(),0)/1000</f>
        <v>0.15067190225767998</v>
      </c>
      <c r="G25" s="228">
        <f>_xlfn.XLOOKUP(G21,$C$15:$BO$15,$C$18:$BO$18,NA(),0)/1000</f>
        <v>0.12966279672319497</v>
      </c>
      <c r="H25" s="228">
        <f>_xlfn.XLOOKUP(H21,$C$15:$BO$15,$C$18:$BO$18,NA(),0)/1000</f>
        <v>0.104911113200992</v>
      </c>
      <c r="I25" s="228">
        <f>_xlfn.XLOOKUP(I21,$C$15:$BO$15,$C$18:$BO$18,NA(),0)/1000</f>
        <v>8.4884345789391996E-2</v>
      </c>
      <c r="J25" s="228">
        <f>_xlfn.XLOOKUP(J21,$C$15:$BO$15,$C$18:$BO$18,NA(),0)/1000</f>
        <v>6.8680542415833892E-2</v>
      </c>
      <c r="K25" s="228">
        <f>_xlfn.XLOOKUP(K21,$C$15:$BO$15,$C$18:$BO$18,NA(),0)/1000</f>
        <v>5.5569927089225903E-2</v>
      </c>
      <c r="L25" s="228">
        <f>_xlfn.XLOOKUP(L21,$C$15:$BO$15,$C$18:$BO$18,NA(),0)/1000</f>
        <v>4.4962032740002898E-2</v>
      </c>
      <c r="M25" s="228">
        <f>_xlfn.XLOOKUP(M21,$C$15:$BO$15,$C$18:$BO$18,NA(),0)/1000</f>
        <v>3.6379108161634595E-2</v>
      </c>
      <c r="N25" s="228">
        <f>_xlfn.XLOOKUP(N21,$C$15:$BO$15,$C$18:$BO$18,NA(),0)/1000</f>
        <v>2.9434601373314599E-2</v>
      </c>
      <c r="O25" s="228">
        <f>_xlfn.XLOOKUP(O21,$C$15:$BO$15,$C$18:$BO$18,NA(),0)/1000</f>
        <v>2.3815750352001099E-2</v>
      </c>
      <c r="P25" s="228">
        <f>_xlfn.XLOOKUP(P21,$C$15:$BO$15,$C$18:$BO$18,NA(),0)/1000</f>
        <v>1.9269497066912999E-2</v>
      </c>
      <c r="Q25" s="228">
        <f>_xlfn.XLOOKUP(Q21,$C$15:$BO$15,$C$18:$BO$18,NA(),0)/1000</f>
        <v>1.5591090422249501E-2</v>
      </c>
      <c r="R25" s="228">
        <f>_xlfn.XLOOKUP(R21,$C$15:$BO$15,$C$18:$BO$18,NA(),0)/1000</f>
        <v>1.2942762889479801E-2</v>
      </c>
      <c r="S25" s="228">
        <f>_xlfn.XLOOKUP(S21,$C$15:$BO$15,$C$18:$BO$18,NA(),0)/1000</f>
        <v>1.2282878549594199E-2</v>
      </c>
      <c r="T25" s="228">
        <f>_xlfn.XLOOKUP(T21,$C$15:$BO$15,$C$18:$BO$18,NA(),0)/1000</f>
        <v>1.20321038775839E-2</v>
      </c>
      <c r="U25" s="228">
        <f>_xlfn.XLOOKUP(U21,$C$15:$BO$15,$C$18:$BO$18,NA(),0)/1000</f>
        <v>1.1308960943227699E-2</v>
      </c>
      <c r="V25" s="228">
        <f>_xlfn.XLOOKUP(V21,$C$15:$BO$15,$C$18:$BO$18,NA(),0)/1000</f>
        <v>9.6039307215112103E-3</v>
      </c>
      <c r="W25" s="228">
        <f>_xlfn.XLOOKUP(W21,$C$15:$BO$15,$C$18:$BO$18,NA(),0)/1000</f>
        <v>8.7195625414419695E-3</v>
      </c>
      <c r="X25" s="228">
        <f>_xlfn.XLOOKUP(X21,$C$15:$BO$15,$C$18:$BO$18,NA(),0)/1000</f>
        <v>8.0398029828833602E-3</v>
      </c>
      <c r="Y25" s="228">
        <f>_xlfn.XLOOKUP(Y21,$C$15:$BO$15,$C$18:$BO$18,NA(),0)/1000</f>
        <v>7.63060847599551E-3</v>
      </c>
      <c r="Z25" s="228">
        <f>_xlfn.XLOOKUP(Z21,$C$15:$BO$15,$C$18:$BO$18,NA(),0)/1000</f>
        <v>7.10059384493502E-3</v>
      </c>
      <c r="AA25" s="228">
        <f>_xlfn.XLOOKUP(AA21,$C$15:$BO$15,$C$18:$BO$18,NA(),0)/1000</f>
        <v>6.9786895894976596E-3</v>
      </c>
      <c r="AB25" s="228">
        <f>_xlfn.XLOOKUP(AB21,$C$15:$BO$15,$C$18:$BO$18,NA(),0)/1000</f>
        <v>6.9786895894976596E-3</v>
      </c>
      <c r="AC25" s="228">
        <f>_xlfn.XLOOKUP(AC21,$C$15:$BO$15,$C$18:$BO$18,NA(),0)/1000</f>
        <v>6.9786895894976596E-3</v>
      </c>
      <c r="AD25" s="228">
        <f>_xlfn.XLOOKUP(AD21,$C$15:$BO$15,$C$18:$BO$18,NA(),0)/1000</f>
        <v>6.9786895894976596E-3</v>
      </c>
      <c r="AE25" s="228">
        <f>_xlfn.XLOOKUP(AE21,$C$15:$BO$15,$C$18:$BO$18,NA(),0)/1000</f>
        <v>6.9786895894976596E-3</v>
      </c>
      <c r="AF25" s="228">
        <f>_xlfn.XLOOKUP(AF21,$C$15:$BO$15,$C$18:$BO$18,NA(),0)/1000</f>
        <v>6.9786895894976596E-3</v>
      </c>
      <c r="AG25" s="228">
        <f>_xlfn.XLOOKUP(AG21,$C$15:$BO$15,$C$18:$BO$18,NA(),0)/1000</f>
        <v>6.9786895894976596E-3</v>
      </c>
      <c r="AH25" s="228">
        <f>_xlfn.XLOOKUP(AH21,$C$15:$BO$15,$C$18:$BO$18,NA(),0)/1000</f>
        <v>6.9786895894976596E-3</v>
      </c>
      <c r="AI25" s="228">
        <f>_xlfn.XLOOKUP(AI21,$C$15:$BO$15,$C$18:$BO$18,NA(),0)/1000</f>
        <v>6.9786895894976596E-3</v>
      </c>
      <c r="AJ25" s="228">
        <f>_xlfn.XLOOKUP(AJ21,$C$15:$BO$15,$C$18:$BO$18,NA(),0)/1000</f>
        <v>6.9786895894976596E-3</v>
      </c>
      <c r="AK25" s="228">
        <f>_xlfn.XLOOKUP(AK21,$C$15:$BO$15,$C$18:$BO$18,NA(),0)/1000</f>
        <v>6.9786895894976596E-3</v>
      </c>
      <c r="AL25" s="228">
        <f>_xlfn.XLOOKUP(AL21,$C$15:$BO$15,$C$18:$BO$18,NA(),0)/1000</f>
        <v>6.9786895894976596E-3</v>
      </c>
      <c r="AM25" s="228">
        <f>_xlfn.XLOOKUP(AM21,$C$15:$BO$15,$C$18:$BO$18,NA(),0)/1000</f>
        <v>6.9786895894976596E-3</v>
      </c>
      <c r="AN25" s="228">
        <f>_xlfn.XLOOKUP(AN21,$C$15:$BO$15,$C$18:$BO$18,NA(),0)/1000</f>
        <v>6.9786895894976596E-3</v>
      </c>
      <c r="AO25" s="228">
        <f>_xlfn.XLOOKUP(AO21,$C$15:$BO$15,$C$18:$BO$18,NA(),0)/1000</f>
        <v>6.9786895894976596E-3</v>
      </c>
      <c r="AP25" s="228">
        <f>_xlfn.XLOOKUP(AP21,$C$15:$BO$15,$C$18:$BO$18,NA(),0)/1000</f>
        <v>6.9786895894976596E-3</v>
      </c>
      <c r="AQ25" s="228">
        <f>_xlfn.XLOOKUP(AQ21,$C$15:$BO$15,$C$18:$BO$18,NA(),0)/1000</f>
        <v>6.9786895894976596E-3</v>
      </c>
      <c r="AR25" s="228">
        <f>_xlfn.XLOOKUP(AR21,$C$15:$BO$15,$C$18:$BO$18,NA(),0)/1000</f>
        <v>6.9786895894976596E-3</v>
      </c>
      <c r="AS25" s="228">
        <f>_xlfn.XLOOKUP(AS21,$C$15:$BO$15,$C$18:$BO$18,NA(),0)/1000</f>
        <v>6.9786895894976596E-3</v>
      </c>
      <c r="AT25" s="228">
        <f>_xlfn.XLOOKUP(AT21,$C$15:$BO$15,$C$18:$BO$18,NA(),0)/1000</f>
        <v>6.9786895894976596E-3</v>
      </c>
      <c r="AU25" s="228">
        <f>_xlfn.XLOOKUP(AU21,$C$15:$BO$15,$C$18:$BO$18,NA(),0)/1000</f>
        <v>6.9786895894976596E-3</v>
      </c>
      <c r="AV25" s="228">
        <f>_xlfn.XLOOKUP(AV21,$C$15:$BO$15,$C$18:$BO$18,NA(),0)/1000</f>
        <v>6.9786895894976596E-3</v>
      </c>
      <c r="AW25" s="228">
        <f>_xlfn.XLOOKUP(AW21,$C$15:$BO$15,$C$18:$BO$18,NA(),0)/1000</f>
        <v>6.9786895894976596E-3</v>
      </c>
      <c r="AX25" s="228">
        <f>_xlfn.XLOOKUP(AX21,$C$15:$BO$15,$C$18:$BO$18,NA(),0)/1000</f>
        <v>6.9786895894976596E-3</v>
      </c>
      <c r="AY25" s="228">
        <f>_xlfn.XLOOKUP(AY21,$C$15:$BO$15,$C$18:$BO$18,NA(),0)/1000</f>
        <v>6.9786895894976596E-3</v>
      </c>
      <c r="AZ25" s="228">
        <f>_xlfn.XLOOKUP(AZ21,$C$15:$BO$15,$C$18:$BO$18,NA(),0)/1000</f>
        <v>6.9786895894976596E-3</v>
      </c>
      <c r="BA25" s="228">
        <f>_xlfn.XLOOKUP(BA21,$C$15:$BO$15,$C$18:$BO$18,NA(),0)/1000</f>
        <v>6.9786895894976596E-3</v>
      </c>
      <c r="BB25" s="228">
        <f>_xlfn.XLOOKUP(BB21,$C$15:$BO$15,$C$18:$BO$18,NA(),0)/1000</f>
        <v>6.9786895894976596E-3</v>
      </c>
      <c r="BC25" s="228">
        <f>_xlfn.XLOOKUP(BC21,$C$15:$BO$15,$C$18:$BO$18,NA(),0)/1000</f>
        <v>6.9786895894976596E-3</v>
      </c>
      <c r="BD25" s="228">
        <f>_xlfn.XLOOKUP(BD21,$C$15:$BO$15,$C$18:$BO$18,NA(),0)/1000</f>
        <v>6.9786895894976596E-3</v>
      </c>
      <c r="BE25" s="228">
        <f>_xlfn.XLOOKUP(BE21,$C$15:$BO$15,$C$18:$BO$18,NA(),0)/1000</f>
        <v>6.9786895894976596E-3</v>
      </c>
      <c r="BF25" s="228">
        <f>_xlfn.XLOOKUP(BF21,$C$15:$BO$15,$C$18:$BO$18,NA(),0)/1000</f>
        <v>6.9786895894976596E-3</v>
      </c>
      <c r="BG25" s="228">
        <f>_xlfn.XLOOKUP(BG21,$C$15:$BO$15,$C$18:$BO$18,NA(),0)/1000</f>
        <v>6.9786895894976596E-3</v>
      </c>
      <c r="BH25" s="228">
        <f>_xlfn.XLOOKUP(BH21,$C$15:$BO$15,$C$18:$BO$18,NA(),0)/1000</f>
        <v>6.9786895894976596E-3</v>
      </c>
      <c r="BI25" s="228">
        <f>_xlfn.XLOOKUP(BI21,$C$15:$BO$15,$C$18:$BO$18,NA(),0)/1000</f>
        <v>6.9786895894976596E-3</v>
      </c>
      <c r="BJ25" s="228">
        <f>_xlfn.XLOOKUP(BJ21,$C$15:$BO$15,$C$18:$BO$18,NA(),0)/1000</f>
        <v>6.9786895894976596E-3</v>
      </c>
      <c r="BK25" s="228">
        <f>_xlfn.XLOOKUP(BK21,$C$15:$BO$15,$C$18:$BO$18,NA(),0)/1000</f>
        <v>6.9786895894976596E-3</v>
      </c>
    </row>
    <row r="27" spans="2:67">
      <c r="B27" s="145" t="s">
        <v>415</v>
      </c>
    </row>
    <row r="28" spans="2:67">
      <c r="B28" s="146" t="s">
        <v>506</v>
      </c>
      <c r="D28" s="76" t="e">
        <f>'Financial Analysis'!E16/CO2e!$C$10*$C$9/1000</f>
        <v>#REF!</v>
      </c>
      <c r="E28" s="76" t="e">
        <f>'Financial Analysis'!F16/CO2e!$C$10*$C$9/1000</f>
        <v>#REF!</v>
      </c>
      <c r="F28" s="76" t="e">
        <f>'Financial Analysis'!G16/CO2e!$C$10*$C$9/1000</f>
        <v>#REF!</v>
      </c>
      <c r="G28" s="76" t="e">
        <f>'Financial Analysis'!H16/CO2e!$C$10*$C$9/1000</f>
        <v>#REF!</v>
      </c>
      <c r="H28" s="76" t="e">
        <f>'Financial Analysis'!I16/CO2e!$C$10*$C$9/1000</f>
        <v>#REF!</v>
      </c>
      <c r="I28" s="76" t="e">
        <f>'Financial Analysis'!J16/CO2e!$C$10*$C$9/1000</f>
        <v>#REF!</v>
      </c>
      <c r="J28" s="76" t="e">
        <f>'Financial Analysis'!K16/CO2e!$C$10*$C$9/1000</f>
        <v>#REF!</v>
      </c>
      <c r="K28" s="76" t="e">
        <f>'Financial Analysis'!L16/CO2e!$C$10*$C$9/1000</f>
        <v>#REF!</v>
      </c>
      <c r="L28" s="76" t="e">
        <f>'Financial Analysis'!M16/CO2e!$C$10*$C$9/1000</f>
        <v>#REF!</v>
      </c>
      <c r="M28" s="76" t="e">
        <f>'Financial Analysis'!N16/CO2e!$C$10*$C$9/1000</f>
        <v>#REF!</v>
      </c>
      <c r="N28" s="76" t="e">
        <f>'Financial Analysis'!O16/CO2e!$C$10*$C$9/1000</f>
        <v>#REF!</v>
      </c>
      <c r="O28" s="76" t="e">
        <f>'Financial Analysis'!P16/CO2e!$C$10*$C$9/1000</f>
        <v>#REF!</v>
      </c>
      <c r="P28" s="76" t="e">
        <f>'Financial Analysis'!Q16/CO2e!$C$10*$C$9/1000</f>
        <v>#REF!</v>
      </c>
      <c r="Q28" s="76" t="e">
        <f>'Financial Analysis'!R16/CO2e!$C$10*$C$9/1000</f>
        <v>#REF!</v>
      </c>
      <c r="R28" s="76" t="e">
        <f>'Financial Analysis'!S16/CO2e!$C$10*$C$9/1000</f>
        <v>#REF!</v>
      </c>
      <c r="S28" s="76" t="e">
        <f>'Financial Analysis'!T16/CO2e!$C$10*$C$9/1000</f>
        <v>#REF!</v>
      </c>
      <c r="T28" s="76" t="e">
        <f>'Financial Analysis'!U16/CO2e!$C$10*$C$9/1000</f>
        <v>#REF!</v>
      </c>
      <c r="U28" s="76" t="e">
        <f>'Financial Analysis'!V16/CO2e!$C$10*$C$9/1000</f>
        <v>#REF!</v>
      </c>
      <c r="V28" s="76" t="e">
        <f>'Financial Analysis'!W16/CO2e!$C$10*$C$9/1000</f>
        <v>#REF!</v>
      </c>
      <c r="W28" s="76" t="e">
        <f>'Financial Analysis'!X16/CO2e!$C$10*$C$9/1000</f>
        <v>#REF!</v>
      </c>
      <c r="X28" s="76" t="e">
        <f>'Financial Analysis'!Y16/CO2e!$C$10*$C$9/1000</f>
        <v>#REF!</v>
      </c>
      <c r="Y28" s="76" t="e">
        <f>'Financial Analysis'!Z16/CO2e!$C$10*$C$9/1000</f>
        <v>#REF!</v>
      </c>
      <c r="Z28" s="76" t="e">
        <f>'Financial Analysis'!AA16/CO2e!$C$10*$C$9/1000</f>
        <v>#REF!</v>
      </c>
      <c r="AA28" s="76" t="e">
        <f>'Financial Analysis'!AB16/CO2e!$C$10*$C$9/1000</f>
        <v>#REF!</v>
      </c>
      <c r="AB28" s="76" t="e">
        <f>'Financial Analysis'!AC16/CO2e!$C$10*$C$9/1000</f>
        <v>#REF!</v>
      </c>
      <c r="AC28" s="76" t="e">
        <f>'Financial Analysis'!AD16/CO2e!$C$10*$C$9/1000</f>
        <v>#REF!</v>
      </c>
      <c r="AD28" s="76" t="e">
        <f>'Financial Analysis'!AE16/CO2e!$C$10*$C$9/1000</f>
        <v>#REF!</v>
      </c>
      <c r="AE28" s="76" t="e">
        <f>'Financial Analysis'!AF16/CO2e!$C$10*$C$9/1000</f>
        <v>#REF!</v>
      </c>
      <c r="AF28" s="76" t="e">
        <f>'Financial Analysis'!AG16/CO2e!$C$10*$C$9/1000</f>
        <v>#REF!</v>
      </c>
      <c r="AG28" s="76" t="e">
        <f>'Financial Analysis'!AH16/CO2e!$C$10*$C$9/1000</f>
        <v>#REF!</v>
      </c>
      <c r="AH28" s="76" t="e">
        <f>'Financial Analysis'!AI16/CO2e!$C$10*$C$9/1000</f>
        <v>#REF!</v>
      </c>
      <c r="AI28" s="76" t="e">
        <f>'Financial Analysis'!AJ16/CO2e!$C$10*$C$9/1000</f>
        <v>#REF!</v>
      </c>
      <c r="AJ28" s="76" t="e">
        <f>'Financial Analysis'!AK16/CO2e!$C$10*$C$9/1000</f>
        <v>#REF!</v>
      </c>
      <c r="AK28" s="76" t="e">
        <f>'Financial Analysis'!AL16/CO2e!$C$10*$C$9/1000</f>
        <v>#REF!</v>
      </c>
      <c r="AL28" s="76" t="e">
        <f>'Financial Analysis'!AM16/CO2e!$C$10*$C$9/1000</f>
        <v>#REF!</v>
      </c>
      <c r="AM28" s="76" t="e">
        <f>'Financial Analysis'!AN16/CO2e!$C$10*$C$9/1000</f>
        <v>#REF!</v>
      </c>
      <c r="AN28" s="76" t="e">
        <f>'Financial Analysis'!AO16/CO2e!$C$10*$C$9/1000</f>
        <v>#REF!</v>
      </c>
      <c r="AO28" s="76" t="e">
        <f>'Financial Analysis'!AP16/CO2e!$C$10*$C$9/1000</f>
        <v>#REF!</v>
      </c>
      <c r="AP28" s="76" t="e">
        <f>'Financial Analysis'!AQ16/CO2e!$C$10*$C$9/1000</f>
        <v>#REF!</v>
      </c>
      <c r="AQ28" s="76" t="e">
        <f>'Financial Analysis'!AR16/CO2e!$C$10*$C$9/1000</f>
        <v>#REF!</v>
      </c>
      <c r="AR28" s="76" t="e">
        <f>'Financial Analysis'!AS16/CO2e!$C$10*$C$9/1000</f>
        <v>#REF!</v>
      </c>
      <c r="AS28" s="76" t="e">
        <f>'Financial Analysis'!AT16/CO2e!$C$10*$C$9/1000</f>
        <v>#REF!</v>
      </c>
      <c r="AT28" s="76" t="e">
        <f>'Financial Analysis'!AU16/CO2e!$C$10*$C$9/1000</f>
        <v>#REF!</v>
      </c>
      <c r="AU28" s="76" t="e">
        <f>'Financial Analysis'!AV16/CO2e!$C$10*$C$9/1000</f>
        <v>#REF!</v>
      </c>
      <c r="AV28" s="76" t="e">
        <f>'Financial Analysis'!AW16/CO2e!$C$10*$C$9/1000</f>
        <v>#REF!</v>
      </c>
      <c r="AW28" s="76" t="e">
        <f>'Financial Analysis'!AX16/CO2e!$C$10*$C$9/1000</f>
        <v>#REF!</v>
      </c>
      <c r="AX28" s="76" t="e">
        <f>'Financial Analysis'!AY16/CO2e!$C$10*$C$9/1000</f>
        <v>#REF!</v>
      </c>
      <c r="AY28" s="76" t="e">
        <f>'Financial Analysis'!AZ16/CO2e!$C$10*$C$9/1000</f>
        <v>#REF!</v>
      </c>
      <c r="AZ28" s="76" t="e">
        <f>'Financial Analysis'!BA16/CO2e!$C$10*$C$9/1000</f>
        <v>#REF!</v>
      </c>
      <c r="BA28" s="76" t="e">
        <f>'Financial Analysis'!BB16/CO2e!$C$10*$C$9/1000</f>
        <v>#REF!</v>
      </c>
      <c r="BB28" s="76" t="e">
        <f>'Financial Analysis'!BC16/CO2e!$C$10*$C$9/1000</f>
        <v>#REF!</v>
      </c>
      <c r="BC28" s="76" t="e">
        <f>'Financial Analysis'!BD16/CO2e!$C$10*$C$9/1000</f>
        <v>#REF!</v>
      </c>
      <c r="BD28" s="76" t="e">
        <f>'Financial Analysis'!BE16/CO2e!$C$10*$C$9/1000</f>
        <v>#REF!</v>
      </c>
      <c r="BE28" s="76" t="e">
        <f>'Financial Analysis'!BF16/CO2e!$C$10*$C$9/1000</f>
        <v>#REF!</v>
      </c>
      <c r="BF28" s="76" t="e">
        <f>'Financial Analysis'!BG16/CO2e!$C$10*$C$9/1000</f>
        <v>#REF!</v>
      </c>
      <c r="BG28" s="76" t="e">
        <f>'Financial Analysis'!BH16/CO2e!$C$10*$C$9/1000</f>
        <v>#REF!</v>
      </c>
      <c r="BH28" s="76" t="e">
        <f>'Financial Analysis'!BI16/CO2e!$C$10*$C$9/1000</f>
        <v>#REF!</v>
      </c>
      <c r="BI28" s="76" t="e">
        <f>'Financial Analysis'!BJ16/CO2e!$C$10*$C$9/1000</f>
        <v>#REF!</v>
      </c>
      <c r="BJ28" s="76" t="e">
        <f>'Financial Analysis'!BK16/CO2e!$C$10*$C$9/1000</f>
        <v>#REF!</v>
      </c>
      <c r="BK28" s="76" t="e">
        <f>'Financial Analysis'!BL16/CO2e!$C$10*$C$9/1000</f>
        <v>#REF!</v>
      </c>
      <c r="BL28" s="76"/>
    </row>
    <row r="29" spans="2:67">
      <c r="B29" s="146" t="s">
        <v>507</v>
      </c>
      <c r="D29" s="76" t="e">
        <f>'Financial Analysis'!E16/CO2e!$C$11*D24/1000</f>
        <v>#REF!</v>
      </c>
      <c r="E29" s="76" t="e">
        <f>'Financial Analysis'!F16/CO2e!$C$11*E24/1000</f>
        <v>#REF!</v>
      </c>
      <c r="F29" s="76" t="e">
        <f>'Financial Analysis'!G16/CO2e!$C$11*F24/1000</f>
        <v>#REF!</v>
      </c>
      <c r="G29" s="76" t="e">
        <f>'Financial Analysis'!H16/CO2e!$C$11*G24/1000</f>
        <v>#REF!</v>
      </c>
      <c r="H29" s="76" t="e">
        <f>'Financial Analysis'!I16/CO2e!$C$11*H24/1000</f>
        <v>#REF!</v>
      </c>
      <c r="I29" s="76" t="e">
        <f>'Financial Analysis'!J16/CO2e!$C$11*I24/1000</f>
        <v>#REF!</v>
      </c>
      <c r="J29" s="76" t="e">
        <f>'Financial Analysis'!K16/CO2e!$C$11*J24/1000</f>
        <v>#REF!</v>
      </c>
      <c r="K29" s="76" t="e">
        <f>'Financial Analysis'!L16/CO2e!$C$11*K24/1000</f>
        <v>#REF!</v>
      </c>
      <c r="L29" s="76" t="e">
        <f>'Financial Analysis'!M16/CO2e!$C$11*L24/1000</f>
        <v>#REF!</v>
      </c>
      <c r="M29" s="76" t="e">
        <f>'Financial Analysis'!N16/CO2e!$C$11*M24/1000</f>
        <v>#REF!</v>
      </c>
      <c r="N29" s="76" t="e">
        <f>'Financial Analysis'!O16/CO2e!$C$11*N24/1000</f>
        <v>#REF!</v>
      </c>
      <c r="O29" s="76" t="e">
        <f>'Financial Analysis'!P16/CO2e!$C$11*O24/1000</f>
        <v>#REF!</v>
      </c>
      <c r="P29" s="76" t="e">
        <f>'Financial Analysis'!Q16/CO2e!$C$11*P24/1000</f>
        <v>#REF!</v>
      </c>
      <c r="Q29" s="76" t="e">
        <f>'Financial Analysis'!R16/CO2e!$C$11*Q24/1000</f>
        <v>#REF!</v>
      </c>
      <c r="R29" s="76" t="e">
        <f>'Financial Analysis'!S16/CO2e!$C$11*R24/1000</f>
        <v>#REF!</v>
      </c>
      <c r="S29" s="76" t="e">
        <f>'Financial Analysis'!T16/CO2e!$C$11*S24/1000</f>
        <v>#REF!</v>
      </c>
      <c r="T29" s="76" t="e">
        <f>'Financial Analysis'!U16/CO2e!$C$11*T24/1000</f>
        <v>#REF!</v>
      </c>
      <c r="U29" s="76" t="e">
        <f>'Financial Analysis'!V16/CO2e!$C$11*U24/1000</f>
        <v>#REF!</v>
      </c>
      <c r="V29" s="76" t="e">
        <f>'Financial Analysis'!W16/CO2e!$C$11*V24/1000</f>
        <v>#REF!</v>
      </c>
      <c r="W29" s="76" t="e">
        <f>'Financial Analysis'!X16/CO2e!$C$11*W24/1000</f>
        <v>#REF!</v>
      </c>
      <c r="X29" s="76" t="e">
        <f>'Financial Analysis'!Y16/CO2e!$C$11*X24/1000</f>
        <v>#REF!</v>
      </c>
      <c r="Y29" s="76" t="e">
        <f>'Financial Analysis'!Z16/CO2e!$C$11*Y24/1000</f>
        <v>#REF!</v>
      </c>
      <c r="Z29" s="76" t="e">
        <f>'Financial Analysis'!AA16/CO2e!$C$11*Z24/1000</f>
        <v>#REF!</v>
      </c>
      <c r="AA29" s="76" t="e">
        <f>'Financial Analysis'!AB16/CO2e!$C$11*AA24/1000</f>
        <v>#REF!</v>
      </c>
      <c r="AB29" s="76" t="e">
        <f>'Financial Analysis'!AC16/CO2e!$C$11*AB24/1000</f>
        <v>#REF!</v>
      </c>
      <c r="AC29" s="76" t="e">
        <f>'Financial Analysis'!AD16/CO2e!$C$11*AC24/1000</f>
        <v>#REF!</v>
      </c>
      <c r="AD29" s="76" t="e">
        <f>'Financial Analysis'!AE16/CO2e!$C$11*AD24/1000</f>
        <v>#REF!</v>
      </c>
      <c r="AE29" s="76" t="e">
        <f>'Financial Analysis'!AF16/CO2e!$C$11*AE24/1000</f>
        <v>#REF!</v>
      </c>
      <c r="AF29" s="76" t="e">
        <f>'Financial Analysis'!AG16/CO2e!$C$11*AF24/1000</f>
        <v>#REF!</v>
      </c>
      <c r="AG29" s="76" t="e">
        <f>'Financial Analysis'!AH16/CO2e!$C$11*AG24/1000</f>
        <v>#REF!</v>
      </c>
      <c r="AH29" s="76" t="e">
        <f>'Financial Analysis'!AI16/CO2e!$C$11*AH24/1000</f>
        <v>#REF!</v>
      </c>
      <c r="AI29" s="76" t="e">
        <f>'Financial Analysis'!AJ16/CO2e!$C$11*AI24/1000</f>
        <v>#REF!</v>
      </c>
      <c r="AJ29" s="76" t="e">
        <f>'Financial Analysis'!AK16/CO2e!$C$11*AJ24/1000</f>
        <v>#REF!</v>
      </c>
      <c r="AK29" s="76" t="e">
        <f>'Financial Analysis'!AL16/CO2e!$C$11*AK24/1000</f>
        <v>#REF!</v>
      </c>
      <c r="AL29" s="76" t="e">
        <f>'Financial Analysis'!AM16/CO2e!$C$11*AL24/1000</f>
        <v>#REF!</v>
      </c>
      <c r="AM29" s="76" t="e">
        <f>'Financial Analysis'!AN16/CO2e!$C$11*AM24/1000</f>
        <v>#REF!</v>
      </c>
      <c r="AN29" s="76" t="e">
        <f>'Financial Analysis'!AO16/CO2e!$C$11*AN24/1000</f>
        <v>#REF!</v>
      </c>
      <c r="AO29" s="76" t="e">
        <f>'Financial Analysis'!AP16/CO2e!$C$11*AO24/1000</f>
        <v>#REF!</v>
      </c>
      <c r="AP29" s="76" t="e">
        <f>'Financial Analysis'!AQ16/CO2e!$C$11*AP24/1000</f>
        <v>#REF!</v>
      </c>
      <c r="AQ29" s="76" t="e">
        <f>'Financial Analysis'!AR16/CO2e!$C$11*AQ24/1000</f>
        <v>#REF!</v>
      </c>
      <c r="AR29" s="76" t="e">
        <f>'Financial Analysis'!AS16/CO2e!$C$11*AR24/1000</f>
        <v>#REF!</v>
      </c>
      <c r="AS29" s="76" t="e">
        <f>'Financial Analysis'!AT16/CO2e!$C$11*AS24/1000</f>
        <v>#REF!</v>
      </c>
      <c r="AT29" s="76" t="e">
        <f>'Financial Analysis'!AU16/CO2e!$C$11*AT24/1000</f>
        <v>#REF!</v>
      </c>
      <c r="AU29" s="76" t="e">
        <f>'Financial Analysis'!AV16/CO2e!$C$11*AU24/1000</f>
        <v>#REF!</v>
      </c>
      <c r="AV29" s="76" t="e">
        <f>'Financial Analysis'!AW16/CO2e!$C$11*AV24/1000</f>
        <v>#REF!</v>
      </c>
      <c r="AW29" s="76" t="e">
        <f>'Financial Analysis'!AX16/CO2e!$C$11*AW24/1000</f>
        <v>#REF!</v>
      </c>
      <c r="AX29" s="76" t="e">
        <f>'Financial Analysis'!AY16/CO2e!$C$11*AX24/1000</f>
        <v>#REF!</v>
      </c>
      <c r="AY29" s="76" t="e">
        <f>'Financial Analysis'!AZ16/CO2e!$C$11*AY24/1000</f>
        <v>#REF!</v>
      </c>
      <c r="AZ29" s="76" t="e">
        <f>'Financial Analysis'!BA16/CO2e!$C$11*AZ24/1000</f>
        <v>#REF!</v>
      </c>
      <c r="BA29" s="76" t="e">
        <f>'Financial Analysis'!BB16/CO2e!$C$11*BA24/1000</f>
        <v>#REF!</v>
      </c>
      <c r="BB29" s="76" t="e">
        <f>'Financial Analysis'!BC16/CO2e!$C$11*BB24/1000</f>
        <v>#REF!</v>
      </c>
      <c r="BC29" s="76" t="e">
        <f>'Financial Analysis'!BD16/CO2e!$C$11*BC24/1000</f>
        <v>#REF!</v>
      </c>
      <c r="BD29" s="76" t="e">
        <f>'Financial Analysis'!BE16/CO2e!$C$11*BD24/1000</f>
        <v>#REF!</v>
      </c>
      <c r="BE29" s="76" t="e">
        <f>'Financial Analysis'!BF16/CO2e!$C$11*BE24/1000</f>
        <v>#REF!</v>
      </c>
      <c r="BF29" s="76" t="e">
        <f>'Financial Analysis'!BG16/CO2e!$C$11*BF24/1000</f>
        <v>#REF!</v>
      </c>
      <c r="BG29" s="76" t="e">
        <f>'Financial Analysis'!BH16/CO2e!$C$11*BG24/1000</f>
        <v>#REF!</v>
      </c>
      <c r="BH29" s="76" t="e">
        <f>'Financial Analysis'!BI16/CO2e!$C$11*BH24/1000</f>
        <v>#REF!</v>
      </c>
      <c r="BI29" s="76" t="e">
        <f>'Financial Analysis'!BJ16/CO2e!$C$11*BI24/1000</f>
        <v>#REF!</v>
      </c>
      <c r="BJ29" s="76" t="e">
        <f>'Financial Analysis'!BK16/CO2e!$C$11*BJ24/1000</f>
        <v>#REF!</v>
      </c>
      <c r="BK29" s="76" t="e">
        <f>'Financial Analysis'!BL16/CO2e!$C$11*BK24/1000</f>
        <v>#REF!</v>
      </c>
    </row>
    <row r="30" spans="2:67">
      <c r="B30" s="146" t="s">
        <v>508</v>
      </c>
      <c r="D30" s="76" t="e">
        <f>'Financial Analysis'!E16/CO2e!$C$13*D24/1000</f>
        <v>#REF!</v>
      </c>
      <c r="E30" s="76" t="e">
        <f>'Financial Analysis'!F16/CO2e!$C$13*E24/1000</f>
        <v>#REF!</v>
      </c>
      <c r="F30" s="76" t="e">
        <f>'Financial Analysis'!G16/CO2e!$C$13*F24/1000</f>
        <v>#REF!</v>
      </c>
      <c r="G30" s="76" t="e">
        <f>'Financial Analysis'!H16/CO2e!$C$13*G24/1000</f>
        <v>#REF!</v>
      </c>
      <c r="H30" s="76" t="e">
        <f>'Financial Analysis'!I16/CO2e!$C$13*H24/1000</f>
        <v>#REF!</v>
      </c>
      <c r="I30" s="76" t="e">
        <f>'Financial Analysis'!J16/CO2e!$C$13*I24/1000</f>
        <v>#REF!</v>
      </c>
      <c r="J30" s="76" t="e">
        <f>'Financial Analysis'!K16/CO2e!$C$13*J24/1000</f>
        <v>#REF!</v>
      </c>
      <c r="K30" s="76" t="e">
        <f>'Financial Analysis'!L16/CO2e!$C$13*K24/1000</f>
        <v>#REF!</v>
      </c>
      <c r="L30" s="76" t="e">
        <f>'Financial Analysis'!M16/CO2e!$C$13*L24/1000</f>
        <v>#REF!</v>
      </c>
      <c r="M30" s="76" t="e">
        <f>'Financial Analysis'!N16/CO2e!$C$13*M24/1000</f>
        <v>#REF!</v>
      </c>
      <c r="N30" s="76" t="e">
        <f>'Financial Analysis'!O16/CO2e!$C$13*N24/1000</f>
        <v>#REF!</v>
      </c>
      <c r="O30" s="76" t="e">
        <f>'Financial Analysis'!P16/CO2e!$C$13*O24/1000</f>
        <v>#REF!</v>
      </c>
      <c r="P30" s="76" t="e">
        <f>'Financial Analysis'!Q16/CO2e!$C$13*P24/1000</f>
        <v>#REF!</v>
      </c>
      <c r="Q30" s="76" t="e">
        <f>'Financial Analysis'!R16/CO2e!$C$13*Q24/1000</f>
        <v>#REF!</v>
      </c>
      <c r="R30" s="76" t="e">
        <f>'Financial Analysis'!S16/CO2e!$C$13*R24/1000</f>
        <v>#REF!</v>
      </c>
      <c r="S30" s="76" t="e">
        <f>'Financial Analysis'!T16/CO2e!$C$13*S24/1000</f>
        <v>#REF!</v>
      </c>
      <c r="T30" s="76" t="e">
        <f>'Financial Analysis'!U16/CO2e!$C$13*T24/1000</f>
        <v>#REF!</v>
      </c>
      <c r="U30" s="76" t="e">
        <f>'Financial Analysis'!V16/CO2e!$C$13*U24/1000</f>
        <v>#REF!</v>
      </c>
      <c r="V30" s="76" t="e">
        <f>'Financial Analysis'!W16/CO2e!$C$13*V24/1000</f>
        <v>#REF!</v>
      </c>
      <c r="W30" s="76" t="e">
        <f>'Financial Analysis'!X16/CO2e!$C$13*W24/1000</f>
        <v>#REF!</v>
      </c>
      <c r="X30" s="76" t="e">
        <f>'Financial Analysis'!Y16/CO2e!$C$13*X24/1000</f>
        <v>#REF!</v>
      </c>
      <c r="Y30" s="76" t="e">
        <f>'Financial Analysis'!Z16/CO2e!$C$13*Y24/1000</f>
        <v>#REF!</v>
      </c>
      <c r="Z30" s="76" t="e">
        <f>'Financial Analysis'!AA16/CO2e!$C$13*Z24/1000</f>
        <v>#REF!</v>
      </c>
      <c r="AA30" s="76" t="e">
        <f>'Financial Analysis'!AB16/CO2e!$C$13*AA24/1000</f>
        <v>#REF!</v>
      </c>
      <c r="AB30" s="76" t="e">
        <f>'Financial Analysis'!AC16/CO2e!$C$13*AB24/1000</f>
        <v>#REF!</v>
      </c>
      <c r="AC30" s="76" t="e">
        <f>'Financial Analysis'!AD16/CO2e!$C$13*AC24/1000</f>
        <v>#REF!</v>
      </c>
      <c r="AD30" s="76" t="e">
        <f>'Financial Analysis'!AE16/CO2e!$C$13*AD24/1000</f>
        <v>#REF!</v>
      </c>
      <c r="AE30" s="76" t="e">
        <f>'Financial Analysis'!AF16/CO2e!$C$13*AE24/1000</f>
        <v>#REF!</v>
      </c>
      <c r="AF30" s="76" t="e">
        <f>'Financial Analysis'!AG16/CO2e!$C$13*AF24/1000</f>
        <v>#REF!</v>
      </c>
      <c r="AG30" s="76" t="e">
        <f>'Financial Analysis'!AH16/CO2e!$C$13*AG24/1000</f>
        <v>#REF!</v>
      </c>
      <c r="AH30" s="76" t="e">
        <f>'Financial Analysis'!AI16/CO2e!$C$13*AH24/1000</f>
        <v>#REF!</v>
      </c>
      <c r="AI30" s="76" t="e">
        <f>'Financial Analysis'!AJ16/CO2e!$C$13*AI24/1000</f>
        <v>#REF!</v>
      </c>
      <c r="AJ30" s="76" t="e">
        <f>'Financial Analysis'!AK16/CO2e!$C$13*AJ24/1000</f>
        <v>#REF!</v>
      </c>
      <c r="AK30" s="76" t="e">
        <f>'Financial Analysis'!AL16/CO2e!$C$13*AK24/1000</f>
        <v>#REF!</v>
      </c>
      <c r="AL30" s="76" t="e">
        <f>'Financial Analysis'!AM16/CO2e!$C$13*AL24/1000</f>
        <v>#REF!</v>
      </c>
      <c r="AM30" s="76" t="e">
        <f>'Financial Analysis'!AN16/CO2e!$C$13*AM24/1000</f>
        <v>#REF!</v>
      </c>
      <c r="AN30" s="76" t="e">
        <f>'Financial Analysis'!AO16/CO2e!$C$13*AN24/1000</f>
        <v>#REF!</v>
      </c>
      <c r="AO30" s="76" t="e">
        <f>'Financial Analysis'!AP16/CO2e!$C$13*AO24/1000</f>
        <v>#REF!</v>
      </c>
      <c r="AP30" s="76" t="e">
        <f>'Financial Analysis'!AQ16/CO2e!$C$13*AP24/1000</f>
        <v>#REF!</v>
      </c>
      <c r="AQ30" s="76" t="e">
        <f>'Financial Analysis'!AR16/CO2e!$C$13*AQ24/1000</f>
        <v>#REF!</v>
      </c>
      <c r="AR30" s="76" t="e">
        <f>'Financial Analysis'!AS16/CO2e!$C$13*AR24/1000</f>
        <v>#REF!</v>
      </c>
      <c r="AS30" s="76" t="e">
        <f>'Financial Analysis'!AT16/CO2e!$C$13*AS24/1000</f>
        <v>#REF!</v>
      </c>
      <c r="AT30" s="76" t="e">
        <f>'Financial Analysis'!AU16/CO2e!$C$13*AT24/1000</f>
        <v>#REF!</v>
      </c>
      <c r="AU30" s="76" t="e">
        <f>'Financial Analysis'!AV16/CO2e!$C$13*AU24/1000</f>
        <v>#REF!</v>
      </c>
      <c r="AV30" s="76" t="e">
        <f>'Financial Analysis'!AW16/CO2e!$C$13*AV24/1000</f>
        <v>#REF!</v>
      </c>
      <c r="AW30" s="76" t="e">
        <f>'Financial Analysis'!AX16/CO2e!$C$13*AW24/1000</f>
        <v>#REF!</v>
      </c>
      <c r="AX30" s="76" t="e">
        <f>'Financial Analysis'!AY16/CO2e!$C$13*AX24/1000</f>
        <v>#REF!</v>
      </c>
      <c r="AY30" s="76" t="e">
        <f>'Financial Analysis'!AZ16/CO2e!$C$13*AY24/1000</f>
        <v>#REF!</v>
      </c>
      <c r="AZ30" s="76" t="e">
        <f>'Financial Analysis'!BA16/CO2e!$C$13*AZ24/1000</f>
        <v>#REF!</v>
      </c>
      <c r="BA30" s="76" t="e">
        <f>'Financial Analysis'!BB16/CO2e!$C$13*BA24/1000</f>
        <v>#REF!</v>
      </c>
      <c r="BB30" s="76" t="e">
        <f>'Financial Analysis'!BC16/CO2e!$C$13*BB24/1000</f>
        <v>#REF!</v>
      </c>
      <c r="BC30" s="76" t="e">
        <f>'Financial Analysis'!BD16/CO2e!$C$13*BC24/1000</f>
        <v>#REF!</v>
      </c>
      <c r="BD30" s="76" t="e">
        <f>'Financial Analysis'!BE16/CO2e!$C$13*BD24/1000</f>
        <v>#REF!</v>
      </c>
      <c r="BE30" s="76" t="e">
        <f>'Financial Analysis'!BF16/CO2e!$C$13*BE24/1000</f>
        <v>#REF!</v>
      </c>
      <c r="BF30" s="76" t="e">
        <f>'Financial Analysis'!BG16/CO2e!$C$13*BF24/1000</f>
        <v>#REF!</v>
      </c>
      <c r="BG30" s="76" t="e">
        <f>'Financial Analysis'!BH16/CO2e!$C$13*BG24/1000</f>
        <v>#REF!</v>
      </c>
      <c r="BH30" s="76" t="e">
        <f>'Financial Analysis'!BI16/CO2e!$C$13*BH24/1000</f>
        <v>#REF!</v>
      </c>
      <c r="BI30" s="76" t="e">
        <f>'Financial Analysis'!BJ16/CO2e!$C$13*BI24/1000</f>
        <v>#REF!</v>
      </c>
      <c r="BJ30" s="76" t="e">
        <f>'Financial Analysis'!BK16/CO2e!$C$13*BJ24/1000</f>
        <v>#REF!</v>
      </c>
      <c r="BK30" s="76" t="e">
        <f>'Financial Analysis'!BL16/CO2e!$C$13*BK24/1000</f>
        <v>#REF!</v>
      </c>
    </row>
    <row r="31" spans="2:67" ht="4.5" customHeight="1">
      <c r="B31" s="146"/>
    </row>
    <row r="32" spans="2:67">
      <c r="B32" s="146" t="s">
        <v>509</v>
      </c>
      <c r="D32" s="76" t="e">
        <f>'Financial Analysis'!E17/CO2e!$C$10*$C$9/1000</f>
        <v>#REF!</v>
      </c>
      <c r="E32" s="76" t="e">
        <f>'Financial Analysis'!F17/CO2e!$C$10*$C$9/1000</f>
        <v>#REF!</v>
      </c>
      <c r="F32" s="76" t="e">
        <f>'Financial Analysis'!G17/CO2e!$C$10*$C$9/1000</f>
        <v>#REF!</v>
      </c>
      <c r="G32" s="76" t="e">
        <f>'Financial Analysis'!H17/CO2e!$C$10*$C$9/1000</f>
        <v>#REF!</v>
      </c>
      <c r="H32" s="76" t="e">
        <f>'Financial Analysis'!I17/CO2e!$C$10*$C$9/1000</f>
        <v>#REF!</v>
      </c>
      <c r="I32" s="76" t="e">
        <f>'Financial Analysis'!J17/CO2e!$C$10*$C$9/1000</f>
        <v>#REF!</v>
      </c>
      <c r="J32" s="76" t="e">
        <f>'Financial Analysis'!K17/CO2e!$C$10*$C$9/1000</f>
        <v>#REF!</v>
      </c>
      <c r="K32" s="76" t="e">
        <f>'Financial Analysis'!L17/CO2e!$C$10*$C$9/1000</f>
        <v>#REF!</v>
      </c>
      <c r="L32" s="76" t="e">
        <f>'Financial Analysis'!M17/CO2e!$C$10*$C$9/1000</f>
        <v>#REF!</v>
      </c>
      <c r="M32" s="76" t="e">
        <f>'Financial Analysis'!N17/CO2e!$C$10*$C$9/1000</f>
        <v>#REF!</v>
      </c>
      <c r="N32" s="76" t="e">
        <f>'Financial Analysis'!O17/CO2e!$C$10*$C$9/1000</f>
        <v>#REF!</v>
      </c>
      <c r="O32" s="76" t="e">
        <f>'Financial Analysis'!P17/CO2e!$C$10*$C$9/1000</f>
        <v>#REF!</v>
      </c>
      <c r="P32" s="76" t="e">
        <f>'Financial Analysis'!Q17/CO2e!$C$10*$C$9/1000</f>
        <v>#REF!</v>
      </c>
      <c r="Q32" s="76" t="e">
        <f>'Financial Analysis'!R17/CO2e!$C$10*$C$9/1000</f>
        <v>#REF!</v>
      </c>
      <c r="R32" s="76" t="e">
        <f>'Financial Analysis'!S17/CO2e!$C$10*$C$9/1000</f>
        <v>#REF!</v>
      </c>
      <c r="S32" s="76" t="e">
        <f>'Financial Analysis'!T17/CO2e!$C$10*$C$9/1000</f>
        <v>#REF!</v>
      </c>
      <c r="T32" s="76" t="e">
        <f>'Financial Analysis'!U17/CO2e!$C$10*$C$9/1000</f>
        <v>#REF!</v>
      </c>
      <c r="U32" s="76" t="e">
        <f>'Financial Analysis'!V17/CO2e!$C$10*$C$9/1000</f>
        <v>#REF!</v>
      </c>
      <c r="V32" s="76" t="e">
        <f>'Financial Analysis'!W17/CO2e!$C$10*$C$9/1000</f>
        <v>#REF!</v>
      </c>
      <c r="W32" s="76" t="e">
        <f>'Financial Analysis'!X17/CO2e!$C$10*$C$9/1000</f>
        <v>#REF!</v>
      </c>
      <c r="X32" s="76" t="e">
        <f>'Financial Analysis'!Y17/CO2e!$C$10*$C$9/1000</f>
        <v>#REF!</v>
      </c>
      <c r="Y32" s="76" t="e">
        <f>'Financial Analysis'!Z17/CO2e!$C$10*$C$9/1000</f>
        <v>#REF!</v>
      </c>
      <c r="Z32" s="76" t="e">
        <f>'Financial Analysis'!AA17/CO2e!$C$10*$C$9/1000</f>
        <v>#REF!</v>
      </c>
      <c r="AA32" s="76" t="e">
        <f>'Financial Analysis'!AB17/CO2e!$C$10*$C$9/1000</f>
        <v>#REF!</v>
      </c>
      <c r="AB32" s="76" t="e">
        <f>'Financial Analysis'!AC17/CO2e!$C$10*$C$9/1000</f>
        <v>#REF!</v>
      </c>
      <c r="AC32" s="76" t="e">
        <f>'Financial Analysis'!AD17/CO2e!$C$10*$C$9/1000</f>
        <v>#REF!</v>
      </c>
      <c r="AD32" s="76" t="e">
        <f>'Financial Analysis'!AE17/CO2e!$C$10*$C$9/1000</f>
        <v>#REF!</v>
      </c>
      <c r="AE32" s="76" t="e">
        <f>'Financial Analysis'!AF17/CO2e!$C$10*$C$9/1000</f>
        <v>#REF!</v>
      </c>
      <c r="AF32" s="76" t="e">
        <f>'Financial Analysis'!AG17/CO2e!$C$10*$C$9/1000</f>
        <v>#REF!</v>
      </c>
      <c r="AG32" s="76" t="e">
        <f>'Financial Analysis'!AH17/CO2e!$C$10*$C$9/1000</f>
        <v>#REF!</v>
      </c>
      <c r="AH32" s="76" t="e">
        <f>'Financial Analysis'!AI17/CO2e!$C$10*$C$9/1000</f>
        <v>#REF!</v>
      </c>
      <c r="AI32" s="76" t="e">
        <f>'Financial Analysis'!AJ17/CO2e!$C$10*$C$9/1000</f>
        <v>#REF!</v>
      </c>
      <c r="AJ32" s="76" t="e">
        <f>'Financial Analysis'!AK17/CO2e!$C$10*$C$9/1000</f>
        <v>#REF!</v>
      </c>
      <c r="AK32" s="76" t="e">
        <f>'Financial Analysis'!AL17/CO2e!$C$10*$C$9/1000</f>
        <v>#REF!</v>
      </c>
      <c r="AL32" s="76" t="e">
        <f>'Financial Analysis'!AM17/CO2e!$C$10*$C$9/1000</f>
        <v>#REF!</v>
      </c>
      <c r="AM32" s="76" t="e">
        <f>'Financial Analysis'!AN17/CO2e!$C$10*$C$9/1000</f>
        <v>#REF!</v>
      </c>
      <c r="AN32" s="76" t="e">
        <f>'Financial Analysis'!AO17/CO2e!$C$10*$C$9/1000</f>
        <v>#REF!</v>
      </c>
      <c r="AO32" s="76" t="e">
        <f>'Financial Analysis'!AP17/CO2e!$C$10*$C$9/1000</f>
        <v>#REF!</v>
      </c>
      <c r="AP32" s="76" t="e">
        <f>'Financial Analysis'!AQ17/CO2e!$C$10*$C$9/1000</f>
        <v>#REF!</v>
      </c>
      <c r="AQ32" s="76" t="e">
        <f>'Financial Analysis'!AR17/CO2e!$C$10*$C$9/1000</f>
        <v>#REF!</v>
      </c>
      <c r="AR32" s="76" t="e">
        <f>'Financial Analysis'!AS17/CO2e!$C$10*$C$9/1000</f>
        <v>#REF!</v>
      </c>
      <c r="AS32" s="76" t="e">
        <f>'Financial Analysis'!AT17/CO2e!$C$10*$C$9/1000</f>
        <v>#REF!</v>
      </c>
      <c r="AT32" s="76" t="e">
        <f>'Financial Analysis'!AU17/CO2e!$C$10*$C$9/1000</f>
        <v>#REF!</v>
      </c>
      <c r="AU32" s="76" t="e">
        <f>'Financial Analysis'!AV17/CO2e!$C$10*$C$9/1000</f>
        <v>#REF!</v>
      </c>
      <c r="AV32" s="76" t="e">
        <f>'Financial Analysis'!AW17/CO2e!$C$10*$C$9/1000</f>
        <v>#REF!</v>
      </c>
      <c r="AW32" s="76" t="e">
        <f>'Financial Analysis'!AX17/CO2e!$C$10*$C$9/1000</f>
        <v>#REF!</v>
      </c>
      <c r="AX32" s="76" t="e">
        <f>'Financial Analysis'!AY17/CO2e!$C$10*$C$9/1000</f>
        <v>#REF!</v>
      </c>
      <c r="AY32" s="76" t="e">
        <f>'Financial Analysis'!AZ17/CO2e!$C$10*$C$9/1000</f>
        <v>#REF!</v>
      </c>
      <c r="AZ32" s="76" t="e">
        <f>'Financial Analysis'!BA17/CO2e!$C$10*$C$9/1000</f>
        <v>#REF!</v>
      </c>
      <c r="BA32" s="76" t="e">
        <f>'Financial Analysis'!BB17/CO2e!$C$10*$C$9/1000</f>
        <v>#REF!</v>
      </c>
      <c r="BB32" s="76" t="e">
        <f>'Financial Analysis'!BC17/CO2e!$C$10*$C$9/1000</f>
        <v>#REF!</v>
      </c>
      <c r="BC32" s="76" t="e">
        <f>'Financial Analysis'!BD17/CO2e!$C$10*$C$9/1000</f>
        <v>#REF!</v>
      </c>
      <c r="BD32" s="76" t="e">
        <f>'Financial Analysis'!BE17/CO2e!$C$10*$C$9/1000</f>
        <v>#REF!</v>
      </c>
      <c r="BE32" s="76" t="e">
        <f>'Financial Analysis'!BF17/CO2e!$C$10*$C$9/1000</f>
        <v>#REF!</v>
      </c>
      <c r="BF32" s="76" t="e">
        <f>'Financial Analysis'!BG17/CO2e!$C$10*$C$9/1000</f>
        <v>#REF!</v>
      </c>
      <c r="BG32" s="76" t="e">
        <f>'Financial Analysis'!BH17/CO2e!$C$10*$C$9/1000</f>
        <v>#REF!</v>
      </c>
      <c r="BH32" s="76" t="e">
        <f>'Financial Analysis'!BI17/CO2e!$C$10*$C$9/1000</f>
        <v>#REF!</v>
      </c>
      <c r="BI32" s="76" t="e">
        <f>'Financial Analysis'!BJ17/CO2e!$C$10*$C$9/1000</f>
        <v>#REF!</v>
      </c>
      <c r="BJ32" s="76" t="e">
        <f>'Financial Analysis'!BK17/CO2e!$C$10*$C$9/1000</f>
        <v>#REF!</v>
      </c>
      <c r="BK32" s="76" t="e">
        <f>'Financial Analysis'!BL17/CO2e!$C$10*$C$9/1000</f>
        <v>#REF!</v>
      </c>
    </row>
    <row r="33" spans="2:63">
      <c r="B33" s="146" t="s">
        <v>510</v>
      </c>
      <c r="D33" s="76" t="e">
        <f>'Financial Analysis'!E17/CO2e!$C$12*D25/1000</f>
        <v>#REF!</v>
      </c>
      <c r="E33" s="76" t="e">
        <f>'Financial Analysis'!F17/CO2e!$C$12*E25/1000</f>
        <v>#REF!</v>
      </c>
      <c r="F33" s="76" t="e">
        <f>'Financial Analysis'!G17/CO2e!$C$12*F25/1000</f>
        <v>#REF!</v>
      </c>
      <c r="G33" s="76" t="e">
        <f>'Financial Analysis'!H17/CO2e!$C$12*G25/1000</f>
        <v>#REF!</v>
      </c>
      <c r="H33" s="76" t="e">
        <f>'Financial Analysis'!I17/CO2e!$C$12*H25/1000</f>
        <v>#REF!</v>
      </c>
      <c r="I33" s="76" t="e">
        <f>'Financial Analysis'!J17/CO2e!$C$12*I25/1000</f>
        <v>#REF!</v>
      </c>
      <c r="J33" s="76" t="e">
        <f>'Financial Analysis'!K17/CO2e!$C$12*J25/1000</f>
        <v>#REF!</v>
      </c>
      <c r="K33" s="76" t="e">
        <f>'Financial Analysis'!L17/CO2e!$C$12*K25/1000</f>
        <v>#REF!</v>
      </c>
      <c r="L33" s="76" t="e">
        <f>'Financial Analysis'!M17/CO2e!$C$12*L25/1000</f>
        <v>#REF!</v>
      </c>
      <c r="M33" s="76" t="e">
        <f>'Financial Analysis'!N17/CO2e!$C$12*M25/1000</f>
        <v>#REF!</v>
      </c>
      <c r="N33" s="76" t="e">
        <f>'Financial Analysis'!O17/CO2e!$C$12*N25/1000</f>
        <v>#REF!</v>
      </c>
      <c r="O33" s="76" t="e">
        <f>'Financial Analysis'!P17/CO2e!$C$12*O25/1000</f>
        <v>#REF!</v>
      </c>
      <c r="P33" s="76" t="e">
        <f>'Financial Analysis'!Q17/CO2e!$C$12*P25/1000</f>
        <v>#REF!</v>
      </c>
      <c r="Q33" s="76" t="e">
        <f>'Financial Analysis'!R17/CO2e!$C$12*Q25/1000</f>
        <v>#REF!</v>
      </c>
      <c r="R33" s="76" t="e">
        <f>'Financial Analysis'!S17/CO2e!$C$12*R25/1000</f>
        <v>#REF!</v>
      </c>
      <c r="S33" s="76" t="e">
        <f>'Financial Analysis'!T17/CO2e!$C$12*S25/1000</f>
        <v>#REF!</v>
      </c>
      <c r="T33" s="76" t="e">
        <f>'Financial Analysis'!U17/CO2e!$C$12*T25/1000</f>
        <v>#REF!</v>
      </c>
      <c r="U33" s="76" t="e">
        <f>'Financial Analysis'!V17/CO2e!$C$12*U25/1000</f>
        <v>#REF!</v>
      </c>
      <c r="V33" s="76" t="e">
        <f>'Financial Analysis'!W17/CO2e!$C$12*V25/1000</f>
        <v>#REF!</v>
      </c>
      <c r="W33" s="76" t="e">
        <f>'Financial Analysis'!X17/CO2e!$C$12*W25/1000</f>
        <v>#REF!</v>
      </c>
      <c r="X33" s="76" t="e">
        <f>'Financial Analysis'!Y17/CO2e!$C$12*X25/1000</f>
        <v>#REF!</v>
      </c>
      <c r="Y33" s="76" t="e">
        <f>'Financial Analysis'!Z17/CO2e!$C$12*Y25/1000</f>
        <v>#REF!</v>
      </c>
      <c r="Z33" s="76" t="e">
        <f>'Financial Analysis'!AA17/CO2e!$C$12*Z25/1000</f>
        <v>#REF!</v>
      </c>
      <c r="AA33" s="76" t="e">
        <f>'Financial Analysis'!AB17/CO2e!$C$12*AA25/1000</f>
        <v>#REF!</v>
      </c>
      <c r="AB33" s="76" t="e">
        <f>'Financial Analysis'!AC17/CO2e!$C$12*AB25/1000</f>
        <v>#REF!</v>
      </c>
      <c r="AC33" s="76" t="e">
        <f>'Financial Analysis'!AD17/CO2e!$C$12*AC25/1000</f>
        <v>#REF!</v>
      </c>
      <c r="AD33" s="76" t="e">
        <f>'Financial Analysis'!AE17/CO2e!$C$12*AD25/1000</f>
        <v>#REF!</v>
      </c>
      <c r="AE33" s="76" t="e">
        <f>'Financial Analysis'!AF17/CO2e!$C$12*AE25/1000</f>
        <v>#REF!</v>
      </c>
      <c r="AF33" s="76" t="e">
        <f>'Financial Analysis'!AG17/CO2e!$C$12*AF25/1000</f>
        <v>#REF!</v>
      </c>
      <c r="AG33" s="76" t="e">
        <f>'Financial Analysis'!AH17/CO2e!$C$12*AG25/1000</f>
        <v>#REF!</v>
      </c>
      <c r="AH33" s="76" t="e">
        <f>'Financial Analysis'!AI17/CO2e!$C$12*AH25/1000</f>
        <v>#REF!</v>
      </c>
      <c r="AI33" s="76" t="e">
        <f>'Financial Analysis'!AJ17/CO2e!$C$12*AI25/1000</f>
        <v>#REF!</v>
      </c>
      <c r="AJ33" s="76" t="e">
        <f>'Financial Analysis'!AK17/CO2e!$C$12*AJ25/1000</f>
        <v>#REF!</v>
      </c>
      <c r="AK33" s="76" t="e">
        <f>'Financial Analysis'!AL17/CO2e!$C$12*AK25/1000</f>
        <v>#REF!</v>
      </c>
      <c r="AL33" s="76" t="e">
        <f>'Financial Analysis'!AM17/CO2e!$C$12*AL25/1000</f>
        <v>#REF!</v>
      </c>
      <c r="AM33" s="76" t="e">
        <f>'Financial Analysis'!AN17/CO2e!$C$12*AM25/1000</f>
        <v>#REF!</v>
      </c>
      <c r="AN33" s="76" t="e">
        <f>'Financial Analysis'!AO17/CO2e!$C$12*AN25/1000</f>
        <v>#REF!</v>
      </c>
      <c r="AO33" s="76" t="e">
        <f>'Financial Analysis'!AP17/CO2e!$C$12*AO25/1000</f>
        <v>#REF!</v>
      </c>
      <c r="AP33" s="76" t="e">
        <f>'Financial Analysis'!AQ17/CO2e!$C$12*AP25/1000</f>
        <v>#REF!</v>
      </c>
      <c r="AQ33" s="76" t="e">
        <f>'Financial Analysis'!AR17/CO2e!$C$12*AQ25/1000</f>
        <v>#REF!</v>
      </c>
      <c r="AR33" s="76" t="e">
        <f>'Financial Analysis'!AS17/CO2e!$C$12*AR25/1000</f>
        <v>#REF!</v>
      </c>
      <c r="AS33" s="76" t="e">
        <f>'Financial Analysis'!AT17/CO2e!$C$12*AS25/1000</f>
        <v>#REF!</v>
      </c>
      <c r="AT33" s="76" t="e">
        <f>'Financial Analysis'!AU17/CO2e!$C$12*AT25/1000</f>
        <v>#REF!</v>
      </c>
      <c r="AU33" s="76" t="e">
        <f>'Financial Analysis'!AV17/CO2e!$C$12*AU25/1000</f>
        <v>#REF!</v>
      </c>
      <c r="AV33" s="76" t="e">
        <f>'Financial Analysis'!AW17/CO2e!$C$12*AV25/1000</f>
        <v>#REF!</v>
      </c>
      <c r="AW33" s="76" t="e">
        <f>'Financial Analysis'!AX17/CO2e!$C$12*AW25/1000</f>
        <v>#REF!</v>
      </c>
      <c r="AX33" s="76" t="e">
        <f>'Financial Analysis'!AY17/CO2e!$C$12*AX25/1000</f>
        <v>#REF!</v>
      </c>
      <c r="AY33" s="76" t="e">
        <f>'Financial Analysis'!AZ17/CO2e!$C$12*AY25/1000</f>
        <v>#REF!</v>
      </c>
      <c r="AZ33" s="76" t="e">
        <f>'Financial Analysis'!BA17/CO2e!$C$12*AZ25/1000</f>
        <v>#REF!</v>
      </c>
      <c r="BA33" s="76" t="e">
        <f>'Financial Analysis'!BB17/CO2e!$C$12*BA25/1000</f>
        <v>#REF!</v>
      </c>
      <c r="BB33" s="76" t="e">
        <f>'Financial Analysis'!BC17/CO2e!$C$12*BB25/1000</f>
        <v>#REF!</v>
      </c>
      <c r="BC33" s="76" t="e">
        <f>'Financial Analysis'!BD17/CO2e!$C$12*BC25/1000</f>
        <v>#REF!</v>
      </c>
      <c r="BD33" s="76" t="e">
        <f>'Financial Analysis'!BE17/CO2e!$C$12*BD25/1000</f>
        <v>#REF!</v>
      </c>
      <c r="BE33" s="76" t="e">
        <f>'Financial Analysis'!BF17/CO2e!$C$12*BE25/1000</f>
        <v>#REF!</v>
      </c>
      <c r="BF33" s="76" t="e">
        <f>'Financial Analysis'!BG17/CO2e!$C$12*BF25/1000</f>
        <v>#REF!</v>
      </c>
      <c r="BG33" s="76" t="e">
        <f>'Financial Analysis'!BH17/CO2e!$C$12*BG25/1000</f>
        <v>#REF!</v>
      </c>
      <c r="BH33" s="76" t="e">
        <f>'Financial Analysis'!BI17/CO2e!$C$12*BH25/1000</f>
        <v>#REF!</v>
      </c>
      <c r="BI33" s="76" t="e">
        <f>'Financial Analysis'!BJ17/CO2e!$C$12*BI25/1000</f>
        <v>#REF!</v>
      </c>
      <c r="BJ33" s="76" t="e">
        <f>'Financial Analysis'!BK17/CO2e!$C$12*BJ25/1000</f>
        <v>#REF!</v>
      </c>
      <c r="BK33" s="76" t="e">
        <f>'Financial Analysis'!BL17/CO2e!$C$12*BK25/1000</f>
        <v>#REF!</v>
      </c>
    </row>
    <row r="34" spans="2:63">
      <c r="B34" s="146" t="s">
        <v>511</v>
      </c>
      <c r="D34" s="76" t="e">
        <f>'Financial Analysis'!E17/CO2e!$C$13*D25/1000</f>
        <v>#REF!</v>
      </c>
      <c r="E34" s="76" t="e">
        <f>'Financial Analysis'!F17/CO2e!$C$13*E25/1000</f>
        <v>#REF!</v>
      </c>
      <c r="F34" s="76" t="e">
        <f>'Financial Analysis'!G17/CO2e!$C$13*F25/1000</f>
        <v>#REF!</v>
      </c>
      <c r="G34" s="76" t="e">
        <f>'Financial Analysis'!H17/CO2e!$C$13*G25/1000</f>
        <v>#REF!</v>
      </c>
      <c r="H34" s="76" t="e">
        <f>'Financial Analysis'!I17/CO2e!$C$13*H25/1000</f>
        <v>#REF!</v>
      </c>
      <c r="I34" s="76" t="e">
        <f>'Financial Analysis'!J17/CO2e!$C$13*I25/1000</f>
        <v>#REF!</v>
      </c>
      <c r="J34" s="76" t="e">
        <f>'Financial Analysis'!K17/CO2e!$C$13*J25/1000</f>
        <v>#REF!</v>
      </c>
      <c r="K34" s="76" t="e">
        <f>'Financial Analysis'!L17/CO2e!$C$13*K25/1000</f>
        <v>#REF!</v>
      </c>
      <c r="L34" s="76" t="e">
        <f>'Financial Analysis'!M17/CO2e!$C$13*L25/1000</f>
        <v>#REF!</v>
      </c>
      <c r="M34" s="76" t="e">
        <f>'Financial Analysis'!N17/CO2e!$C$13*M25/1000</f>
        <v>#REF!</v>
      </c>
      <c r="N34" s="76" t="e">
        <f>'Financial Analysis'!O17/CO2e!$C$13*N25/1000</f>
        <v>#REF!</v>
      </c>
      <c r="O34" s="76" t="e">
        <f>'Financial Analysis'!P17/CO2e!$C$13*O25/1000</f>
        <v>#REF!</v>
      </c>
      <c r="P34" s="76" t="e">
        <f>'Financial Analysis'!Q17/CO2e!$C$13*P25/1000</f>
        <v>#REF!</v>
      </c>
      <c r="Q34" s="76" t="e">
        <f>'Financial Analysis'!R17/CO2e!$C$13*Q25/1000</f>
        <v>#REF!</v>
      </c>
      <c r="R34" s="76" t="e">
        <f>'Financial Analysis'!S17/CO2e!$C$13*R25/1000</f>
        <v>#REF!</v>
      </c>
      <c r="S34" s="76" t="e">
        <f>'Financial Analysis'!T17/CO2e!$C$13*S25/1000</f>
        <v>#REF!</v>
      </c>
      <c r="T34" s="76" t="e">
        <f>'Financial Analysis'!U17/CO2e!$C$13*T25/1000</f>
        <v>#REF!</v>
      </c>
      <c r="U34" s="76" t="e">
        <f>'Financial Analysis'!V17/CO2e!$C$13*U25/1000</f>
        <v>#REF!</v>
      </c>
      <c r="V34" s="76" t="e">
        <f>'Financial Analysis'!W17/CO2e!$C$13*V25/1000</f>
        <v>#REF!</v>
      </c>
      <c r="W34" s="76" t="e">
        <f>'Financial Analysis'!X17/CO2e!$C$13*W25/1000</f>
        <v>#REF!</v>
      </c>
      <c r="X34" s="76" t="e">
        <f>'Financial Analysis'!Y17/CO2e!$C$13*X25/1000</f>
        <v>#REF!</v>
      </c>
      <c r="Y34" s="76" t="e">
        <f>'Financial Analysis'!Z17/CO2e!$C$13*Y25/1000</f>
        <v>#REF!</v>
      </c>
      <c r="Z34" s="76" t="e">
        <f>'Financial Analysis'!AA17/CO2e!$C$13*Z25/1000</f>
        <v>#REF!</v>
      </c>
      <c r="AA34" s="76" t="e">
        <f>'Financial Analysis'!AB17/CO2e!$C$13*AA25/1000</f>
        <v>#REF!</v>
      </c>
      <c r="AB34" s="76" t="e">
        <f>'Financial Analysis'!AC17/CO2e!$C$13*AB25/1000</f>
        <v>#REF!</v>
      </c>
      <c r="AC34" s="76" t="e">
        <f>'Financial Analysis'!AD17/CO2e!$C$13*AC25/1000</f>
        <v>#REF!</v>
      </c>
      <c r="AD34" s="76" t="e">
        <f>'Financial Analysis'!AE17/CO2e!$C$13*AD25/1000</f>
        <v>#REF!</v>
      </c>
      <c r="AE34" s="76" t="e">
        <f>'Financial Analysis'!AF17/CO2e!$C$13*AE25/1000</f>
        <v>#REF!</v>
      </c>
      <c r="AF34" s="76" t="e">
        <f>'Financial Analysis'!AG17/CO2e!$C$13*AF25/1000</f>
        <v>#REF!</v>
      </c>
      <c r="AG34" s="76" t="e">
        <f>'Financial Analysis'!AH17/CO2e!$C$13*AG25/1000</f>
        <v>#REF!</v>
      </c>
      <c r="AH34" s="76" t="e">
        <f>'Financial Analysis'!AI17/CO2e!$C$13*AH25/1000</f>
        <v>#REF!</v>
      </c>
      <c r="AI34" s="76" t="e">
        <f>'Financial Analysis'!AJ17/CO2e!$C$13*AI25/1000</f>
        <v>#REF!</v>
      </c>
      <c r="AJ34" s="76" t="e">
        <f>'Financial Analysis'!AK17/CO2e!$C$13*AJ25/1000</f>
        <v>#REF!</v>
      </c>
      <c r="AK34" s="76" t="e">
        <f>'Financial Analysis'!AL17/CO2e!$C$13*AK25/1000</f>
        <v>#REF!</v>
      </c>
      <c r="AL34" s="76" t="e">
        <f>'Financial Analysis'!AM17/CO2e!$C$13*AL25/1000</f>
        <v>#REF!</v>
      </c>
      <c r="AM34" s="76" t="e">
        <f>'Financial Analysis'!AN17/CO2e!$C$13*AM25/1000</f>
        <v>#REF!</v>
      </c>
      <c r="AN34" s="76" t="e">
        <f>'Financial Analysis'!AO17/CO2e!$C$13*AN25/1000</f>
        <v>#REF!</v>
      </c>
      <c r="AO34" s="76" t="e">
        <f>'Financial Analysis'!AP17/CO2e!$C$13*AO25/1000</f>
        <v>#REF!</v>
      </c>
      <c r="AP34" s="76" t="e">
        <f>'Financial Analysis'!AQ17/CO2e!$C$13*AP25/1000</f>
        <v>#REF!</v>
      </c>
      <c r="AQ34" s="76" t="e">
        <f>'Financial Analysis'!AR17/CO2e!$C$13*AQ25/1000</f>
        <v>#REF!</v>
      </c>
      <c r="AR34" s="76" t="e">
        <f>'Financial Analysis'!AS17/CO2e!$C$13*AR25/1000</f>
        <v>#REF!</v>
      </c>
      <c r="AS34" s="76" t="e">
        <f>'Financial Analysis'!AT17/CO2e!$C$13*AS25/1000</f>
        <v>#REF!</v>
      </c>
      <c r="AT34" s="76" t="e">
        <f>'Financial Analysis'!AU17/CO2e!$C$13*AT25/1000</f>
        <v>#REF!</v>
      </c>
      <c r="AU34" s="76" t="e">
        <f>'Financial Analysis'!AV17/CO2e!$C$13*AU25/1000</f>
        <v>#REF!</v>
      </c>
      <c r="AV34" s="76" t="e">
        <f>'Financial Analysis'!AW17/CO2e!$C$13*AV25/1000</f>
        <v>#REF!</v>
      </c>
      <c r="AW34" s="76" t="e">
        <f>'Financial Analysis'!AX17/CO2e!$C$13*AW25/1000</f>
        <v>#REF!</v>
      </c>
      <c r="AX34" s="76" t="e">
        <f>'Financial Analysis'!AY17/CO2e!$C$13*AX25/1000</f>
        <v>#REF!</v>
      </c>
      <c r="AY34" s="76" t="e">
        <f>'Financial Analysis'!AZ17/CO2e!$C$13*AY25/1000</f>
        <v>#REF!</v>
      </c>
      <c r="AZ34" s="76" t="e">
        <f>'Financial Analysis'!BA17/CO2e!$C$13*AZ25/1000</f>
        <v>#REF!</v>
      </c>
      <c r="BA34" s="76" t="e">
        <f>'Financial Analysis'!BB17/CO2e!$C$13*BA25/1000</f>
        <v>#REF!</v>
      </c>
      <c r="BB34" s="76" t="e">
        <f>'Financial Analysis'!BC17/CO2e!$C$13*BB25/1000</f>
        <v>#REF!</v>
      </c>
      <c r="BC34" s="76" t="e">
        <f>'Financial Analysis'!BD17/CO2e!$C$13*BC25/1000</f>
        <v>#REF!</v>
      </c>
      <c r="BD34" s="76" t="e">
        <f>'Financial Analysis'!BE17/CO2e!$C$13*BD25/1000</f>
        <v>#REF!</v>
      </c>
      <c r="BE34" s="76" t="e">
        <f>'Financial Analysis'!BF17/CO2e!$C$13*BE25/1000</f>
        <v>#REF!</v>
      </c>
      <c r="BF34" s="76" t="e">
        <f>'Financial Analysis'!BG17/CO2e!$C$13*BF25/1000</f>
        <v>#REF!</v>
      </c>
      <c r="BG34" s="76" t="e">
        <f>'Financial Analysis'!BH17/CO2e!$C$13*BG25/1000</f>
        <v>#REF!</v>
      </c>
      <c r="BH34" s="76" t="e">
        <f>'Financial Analysis'!BI17/CO2e!$C$13*BH25/1000</f>
        <v>#REF!</v>
      </c>
      <c r="BI34" s="76" t="e">
        <f>'Financial Analysis'!BJ17/CO2e!$C$13*BI25/1000</f>
        <v>#REF!</v>
      </c>
      <c r="BJ34" s="76" t="e">
        <f>'Financial Analysis'!BK17/CO2e!$C$13*BJ25/1000</f>
        <v>#REF!</v>
      </c>
      <c r="BK34" s="76" t="e">
        <f>'Financial Analysis'!BL17/CO2e!$C$13*BK25/1000</f>
        <v>#REF!</v>
      </c>
    </row>
    <row r="35" spans="2:63" ht="6" customHeight="1"/>
    <row r="36" spans="2:63">
      <c r="B36" s="146" t="s">
        <v>512</v>
      </c>
      <c r="D36" s="100">
        <f>'Financial Analysis'!E29*$C$9/1000</f>
        <v>0</v>
      </c>
      <c r="E36" s="100">
        <f>'Financial Analysis'!F29*$C$9/1000</f>
        <v>0</v>
      </c>
      <c r="F36" s="100">
        <f>'Financial Analysis'!G29*$C$9/1000</f>
        <v>0</v>
      </c>
      <c r="G36" s="100">
        <f>'Financial Analysis'!H29*$C$9/1000</f>
        <v>0</v>
      </c>
      <c r="H36" s="100">
        <f>'Financial Analysis'!I29*$C$9/1000</f>
        <v>0</v>
      </c>
      <c r="I36" s="100">
        <f>'Financial Analysis'!J29*$C$9/1000</f>
        <v>0</v>
      </c>
      <c r="J36" s="100">
        <f>'Financial Analysis'!K29*$C$9/1000</f>
        <v>0</v>
      </c>
      <c r="K36" s="100">
        <f>'Financial Analysis'!L29*$C$9/1000</f>
        <v>0</v>
      </c>
      <c r="L36" s="100">
        <f>'Financial Analysis'!M29*$C$9/1000</f>
        <v>0</v>
      </c>
      <c r="M36" s="100">
        <f>'Financial Analysis'!N29*$C$9/1000</f>
        <v>0</v>
      </c>
      <c r="N36" s="100">
        <f>'Financial Analysis'!O29*$C$9/1000</f>
        <v>0</v>
      </c>
      <c r="O36" s="100">
        <f>'Financial Analysis'!P29*$C$9/1000</f>
        <v>0</v>
      </c>
      <c r="P36" s="100">
        <f>'Financial Analysis'!Q29*$C$9/1000</f>
        <v>0</v>
      </c>
      <c r="Q36" s="100">
        <f>'Financial Analysis'!R29*$C$9/1000</f>
        <v>0</v>
      </c>
      <c r="R36" s="100">
        <f>'Financial Analysis'!S29*$C$9/1000</f>
        <v>0</v>
      </c>
      <c r="S36" s="100">
        <f>'Financial Analysis'!T29*$C$9/1000</f>
        <v>0</v>
      </c>
      <c r="T36" s="100">
        <f>'Financial Analysis'!U29*$C$9/1000</f>
        <v>0</v>
      </c>
      <c r="U36" s="100">
        <f>'Financial Analysis'!V29*$C$9/1000</f>
        <v>0</v>
      </c>
      <c r="V36" s="100">
        <f>'Financial Analysis'!W29*$C$9/1000</f>
        <v>0</v>
      </c>
      <c r="W36" s="100">
        <f>'Financial Analysis'!X29*$C$9/1000</f>
        <v>0</v>
      </c>
      <c r="X36" s="100">
        <f>'Financial Analysis'!Y29*$C$9/1000</f>
        <v>0</v>
      </c>
      <c r="Y36" s="100">
        <f>'Financial Analysis'!Z29*$C$9/1000</f>
        <v>0</v>
      </c>
      <c r="Z36" s="100">
        <f>'Financial Analysis'!AA29*$C$9/1000</f>
        <v>0</v>
      </c>
      <c r="AA36" s="100">
        <f>'Financial Analysis'!AB29*$C$9/1000</f>
        <v>0</v>
      </c>
      <c r="AB36" s="100">
        <f>'Financial Analysis'!AC29*$C$9/1000</f>
        <v>0</v>
      </c>
      <c r="AC36" s="100">
        <f>'Financial Analysis'!AD29*$C$9/1000</f>
        <v>0</v>
      </c>
      <c r="AD36" s="100">
        <f>'Financial Analysis'!AE29*$C$9/1000</f>
        <v>0</v>
      </c>
      <c r="AE36" s="100">
        <f>'Financial Analysis'!AF29*$C$9/1000</f>
        <v>0</v>
      </c>
      <c r="AF36" s="100">
        <f>'Financial Analysis'!AG29*$C$9/1000</f>
        <v>0</v>
      </c>
      <c r="AG36" s="100">
        <f>'Financial Analysis'!AH29*$C$9/1000</f>
        <v>0</v>
      </c>
      <c r="AH36" s="100">
        <f>'Financial Analysis'!AI29*$C$9/1000</f>
        <v>0</v>
      </c>
      <c r="AI36" s="100">
        <f>'Financial Analysis'!AJ29*$C$9/1000</f>
        <v>0</v>
      </c>
      <c r="AJ36" s="100">
        <f>'Financial Analysis'!AK29*$C$9/1000</f>
        <v>0</v>
      </c>
      <c r="AK36" s="100">
        <f>'Financial Analysis'!AL29*$C$9/1000</f>
        <v>0</v>
      </c>
      <c r="AL36" s="100">
        <f>'Financial Analysis'!AM29*$C$9/1000</f>
        <v>0</v>
      </c>
      <c r="AM36" s="100">
        <f>'Financial Analysis'!AN29*$C$9/1000</f>
        <v>0</v>
      </c>
      <c r="AN36" s="100">
        <f>'Financial Analysis'!AO29*$C$9/1000</f>
        <v>0</v>
      </c>
      <c r="AO36" s="100">
        <f>'Financial Analysis'!AP29*$C$9/1000</f>
        <v>0</v>
      </c>
      <c r="AP36" s="100">
        <f>'Financial Analysis'!AQ29*$C$9/1000</f>
        <v>0</v>
      </c>
      <c r="AQ36" s="100">
        <f>'Financial Analysis'!AR29*$C$9/1000</f>
        <v>0</v>
      </c>
      <c r="AR36" s="100">
        <f>'Financial Analysis'!AS29*$C$9/1000</f>
        <v>0</v>
      </c>
      <c r="AS36" s="100">
        <f>'Financial Analysis'!AT29*$C$9/1000</f>
        <v>0</v>
      </c>
      <c r="AT36" s="100">
        <f>'Financial Analysis'!AU29*$C$9/1000</f>
        <v>0</v>
      </c>
      <c r="AU36" s="100">
        <f>'Financial Analysis'!AV29*$C$9/1000</f>
        <v>0</v>
      </c>
      <c r="AV36" s="100">
        <f>'Financial Analysis'!AW29*$C$9/1000</f>
        <v>0</v>
      </c>
      <c r="AW36" s="100">
        <f>'Financial Analysis'!AX29*$C$9/1000</f>
        <v>0</v>
      </c>
      <c r="AX36" s="100">
        <f>'Financial Analysis'!AY29*$C$9/1000</f>
        <v>0</v>
      </c>
      <c r="AY36" s="100">
        <f>'Financial Analysis'!AZ29*$C$9/1000</f>
        <v>0</v>
      </c>
      <c r="AZ36" s="100">
        <f>'Financial Analysis'!BA29*$C$9/1000</f>
        <v>0</v>
      </c>
      <c r="BA36" s="100">
        <f>'Financial Analysis'!BB29*$C$9/1000</f>
        <v>0</v>
      </c>
      <c r="BB36" s="100">
        <f>'Financial Analysis'!BC29*$C$9/1000</f>
        <v>0</v>
      </c>
      <c r="BC36" s="100">
        <f>'Financial Analysis'!BD29*$C$9/1000</f>
        <v>0</v>
      </c>
      <c r="BD36" s="100">
        <f>'Financial Analysis'!BE29*$C$9/1000</f>
        <v>0</v>
      </c>
      <c r="BE36" s="100">
        <f>'Financial Analysis'!BF29*$C$9/1000</f>
        <v>0</v>
      </c>
      <c r="BF36" s="100">
        <f>'Financial Analysis'!BG29*$C$9/1000</f>
        <v>0</v>
      </c>
      <c r="BG36" s="100">
        <f>'Financial Analysis'!BH29*$C$9/1000</f>
        <v>0</v>
      </c>
      <c r="BH36" s="100">
        <f>'Financial Analysis'!BI29*$C$9/1000</f>
        <v>0</v>
      </c>
      <c r="BI36" s="100">
        <f>'Financial Analysis'!BJ29*$C$9/1000</f>
        <v>0</v>
      </c>
      <c r="BJ36" s="100">
        <f>'Financial Analysis'!BK29*$C$9/1000</f>
        <v>0</v>
      </c>
      <c r="BK36" s="100">
        <f>'Financial Analysis'!BL29*$C$9/1000</f>
        <v>0</v>
      </c>
    </row>
    <row r="37" spans="2:63">
      <c r="B37" s="216" t="s">
        <v>513</v>
      </c>
      <c r="D37" s="76" t="e">
        <f>'Financial Analysis'!E33*CO2e!D24/1000</f>
        <v>#REF!</v>
      </c>
      <c r="E37" s="76" t="e">
        <f>'Financial Analysis'!F33*CO2e!E24/1000</f>
        <v>#REF!</v>
      </c>
      <c r="F37" s="76" t="e">
        <f>'Financial Analysis'!G33*CO2e!F24/1000</f>
        <v>#REF!</v>
      </c>
      <c r="G37" s="76" t="e">
        <f>'Financial Analysis'!H33*CO2e!G24/1000</f>
        <v>#REF!</v>
      </c>
      <c r="H37" s="76" t="e">
        <f>'Financial Analysis'!I33*CO2e!H24/1000</f>
        <v>#REF!</v>
      </c>
      <c r="I37" s="76" t="e">
        <f>'Financial Analysis'!J33*CO2e!I24/1000</f>
        <v>#REF!</v>
      </c>
      <c r="J37" s="76" t="e">
        <f>'Financial Analysis'!K33*CO2e!J24/1000</f>
        <v>#REF!</v>
      </c>
      <c r="K37" s="76" t="e">
        <f>'Financial Analysis'!L33*CO2e!K24/1000</f>
        <v>#REF!</v>
      </c>
      <c r="L37" s="76" t="e">
        <f>'Financial Analysis'!M33*CO2e!L24/1000</f>
        <v>#REF!</v>
      </c>
      <c r="M37" s="76" t="e">
        <f>'Financial Analysis'!N33*CO2e!M24/1000</f>
        <v>#REF!</v>
      </c>
      <c r="N37" s="76" t="e">
        <f>'Financial Analysis'!O33*CO2e!N24/1000</f>
        <v>#REF!</v>
      </c>
      <c r="O37" s="76" t="e">
        <f>'Financial Analysis'!P33*CO2e!O24/1000</f>
        <v>#REF!</v>
      </c>
      <c r="P37" s="76" t="e">
        <f>'Financial Analysis'!Q33*CO2e!P24/1000</f>
        <v>#REF!</v>
      </c>
      <c r="Q37" s="76" t="e">
        <f>'Financial Analysis'!R33*CO2e!Q24/1000</f>
        <v>#REF!</v>
      </c>
      <c r="R37" s="76" t="e">
        <f>'Financial Analysis'!S33*CO2e!R24/1000</f>
        <v>#REF!</v>
      </c>
      <c r="S37" s="76" t="e">
        <f>'Financial Analysis'!T33*CO2e!S24/1000</f>
        <v>#REF!</v>
      </c>
      <c r="T37" s="76" t="e">
        <f>'Financial Analysis'!U33*CO2e!T24/1000</f>
        <v>#REF!</v>
      </c>
      <c r="U37" s="76" t="e">
        <f>'Financial Analysis'!V33*CO2e!U24/1000</f>
        <v>#REF!</v>
      </c>
      <c r="V37" s="76" t="e">
        <f>'Financial Analysis'!W33*CO2e!V24/1000</f>
        <v>#REF!</v>
      </c>
      <c r="W37" s="76" t="e">
        <f>'Financial Analysis'!X33*CO2e!W24/1000</f>
        <v>#REF!</v>
      </c>
      <c r="X37" s="76" t="e">
        <f>'Financial Analysis'!Y33*CO2e!X24/1000</f>
        <v>#REF!</v>
      </c>
      <c r="Y37" s="76" t="e">
        <f>'Financial Analysis'!Z33*CO2e!Y24/1000</f>
        <v>#REF!</v>
      </c>
      <c r="Z37" s="76" t="e">
        <f>'Financial Analysis'!AA33*CO2e!Z24/1000</f>
        <v>#REF!</v>
      </c>
      <c r="AA37" s="76" t="e">
        <f>'Financial Analysis'!AB33*CO2e!AA24/1000</f>
        <v>#REF!</v>
      </c>
      <c r="AB37" s="76" t="e">
        <f>'Financial Analysis'!AC33*CO2e!AB24/1000</f>
        <v>#REF!</v>
      </c>
      <c r="AC37" s="76" t="e">
        <f>'Financial Analysis'!AD33*CO2e!AC24/1000</f>
        <v>#REF!</v>
      </c>
      <c r="AD37" s="76" t="e">
        <f>'Financial Analysis'!AE33*CO2e!AD24/1000</f>
        <v>#REF!</v>
      </c>
      <c r="AE37" s="76" t="e">
        <f>'Financial Analysis'!AF33*CO2e!AE24/1000</f>
        <v>#REF!</v>
      </c>
      <c r="AF37" s="76" t="e">
        <f>'Financial Analysis'!AG33*CO2e!AF24/1000</f>
        <v>#REF!</v>
      </c>
      <c r="AG37" s="76" t="e">
        <f>'Financial Analysis'!AH33*CO2e!AG24/1000</f>
        <v>#REF!</v>
      </c>
      <c r="AH37" s="76" t="e">
        <f>'Financial Analysis'!AI33*CO2e!AH24/1000</f>
        <v>#REF!</v>
      </c>
      <c r="AI37" s="76" t="e">
        <f>'Financial Analysis'!AJ33*CO2e!AI24/1000</f>
        <v>#REF!</v>
      </c>
      <c r="AJ37" s="76" t="e">
        <f>'Financial Analysis'!AK33*CO2e!AJ24/1000</f>
        <v>#REF!</v>
      </c>
      <c r="AK37" s="76" t="e">
        <f>'Financial Analysis'!AL33*CO2e!AK24/1000</f>
        <v>#REF!</v>
      </c>
      <c r="AL37" s="76" t="e">
        <f>'Financial Analysis'!AM33*CO2e!AL24/1000</f>
        <v>#REF!</v>
      </c>
      <c r="AM37" s="76" t="e">
        <f>'Financial Analysis'!AN33*CO2e!AM24/1000</f>
        <v>#REF!</v>
      </c>
      <c r="AN37" s="76" t="e">
        <f>'Financial Analysis'!AO33*CO2e!AN24/1000</f>
        <v>#REF!</v>
      </c>
      <c r="AO37" s="76" t="e">
        <f>'Financial Analysis'!AP33*CO2e!AO24/1000</f>
        <v>#REF!</v>
      </c>
      <c r="AP37" s="76" t="e">
        <f>'Financial Analysis'!AQ33*CO2e!AP24/1000</f>
        <v>#REF!</v>
      </c>
      <c r="AQ37" s="76" t="e">
        <f>'Financial Analysis'!AR33*CO2e!AQ24/1000</f>
        <v>#REF!</v>
      </c>
      <c r="AR37" s="76" t="e">
        <f>'Financial Analysis'!AS33*CO2e!AR24/1000</f>
        <v>#REF!</v>
      </c>
      <c r="AS37" s="76" t="e">
        <f>'Financial Analysis'!AT33*CO2e!AS24/1000</f>
        <v>#REF!</v>
      </c>
      <c r="AT37" s="76" t="e">
        <f>'Financial Analysis'!AU33*CO2e!AT24/1000</f>
        <v>#REF!</v>
      </c>
      <c r="AU37" s="76" t="e">
        <f>'Financial Analysis'!AV33*CO2e!AU24/1000</f>
        <v>#REF!</v>
      </c>
      <c r="AV37" s="76" t="e">
        <f>'Financial Analysis'!AW33*CO2e!AV24/1000</f>
        <v>#REF!</v>
      </c>
      <c r="AW37" s="76" t="e">
        <f>'Financial Analysis'!AX33*CO2e!AW24/1000</f>
        <v>#REF!</v>
      </c>
      <c r="AX37" s="76" t="e">
        <f>'Financial Analysis'!AY33*CO2e!AX24/1000</f>
        <v>#REF!</v>
      </c>
      <c r="AY37" s="76" t="e">
        <f>'Financial Analysis'!AZ33*CO2e!AY24/1000</f>
        <v>#REF!</v>
      </c>
      <c r="AZ37" s="76" t="e">
        <f>'Financial Analysis'!BA33*CO2e!AZ24/1000</f>
        <v>#REF!</v>
      </c>
      <c r="BA37" s="76" t="e">
        <f>'Financial Analysis'!BB33*CO2e!BA24/1000</f>
        <v>#REF!</v>
      </c>
      <c r="BB37" s="76" t="e">
        <f>'Financial Analysis'!BC33*CO2e!BB24/1000</f>
        <v>#REF!</v>
      </c>
      <c r="BC37" s="76" t="e">
        <f>'Financial Analysis'!BD33*CO2e!BC24/1000</f>
        <v>#REF!</v>
      </c>
      <c r="BD37" s="76" t="e">
        <f>'Financial Analysis'!BE33*CO2e!BD24/1000</f>
        <v>#REF!</v>
      </c>
      <c r="BE37" s="76" t="e">
        <f>'Financial Analysis'!BF33*CO2e!BE24/1000</f>
        <v>#REF!</v>
      </c>
      <c r="BF37" s="76" t="e">
        <f>'Financial Analysis'!BG33*CO2e!BF24/1000</f>
        <v>#REF!</v>
      </c>
      <c r="BG37" s="76" t="e">
        <f>'Financial Analysis'!BH33*CO2e!BG24/1000</f>
        <v>#REF!</v>
      </c>
      <c r="BH37" s="76" t="e">
        <f>'Financial Analysis'!BI33*CO2e!BH24/1000</f>
        <v>#REF!</v>
      </c>
      <c r="BI37" s="76" t="e">
        <f>'Financial Analysis'!BJ33*CO2e!BI24/1000</f>
        <v>#REF!</v>
      </c>
      <c r="BJ37" s="76" t="e">
        <f>'Financial Analysis'!BK33*CO2e!BJ24/1000</f>
        <v>#REF!</v>
      </c>
      <c r="BK37" s="76" t="e">
        <f>'Financial Analysis'!BL33*CO2e!BK24/1000</f>
        <v>#REF!</v>
      </c>
    </row>
    <row r="38" spans="2:63">
      <c r="B38" s="216" t="s">
        <v>514</v>
      </c>
      <c r="C38" s="162"/>
      <c r="D38" s="100" t="e">
        <f>D32+D28</f>
        <v>#REF!</v>
      </c>
      <c r="E38" s="100" t="e">
        <f>E32+E28</f>
        <v>#REF!</v>
      </c>
      <c r="F38" s="100" t="e">
        <f>F32+F28</f>
        <v>#REF!</v>
      </c>
      <c r="G38" s="100" t="e">
        <f>G32+G28</f>
        <v>#REF!</v>
      </c>
      <c r="H38" s="100" t="e">
        <f>H32+H28</f>
        <v>#REF!</v>
      </c>
      <c r="I38" s="100" t="e">
        <f>I32+I28</f>
        <v>#REF!</v>
      </c>
      <c r="J38" s="100" t="e">
        <f>J32+J28</f>
        <v>#REF!</v>
      </c>
      <c r="K38" s="100" t="e">
        <f>K32+K28</f>
        <v>#REF!</v>
      </c>
      <c r="L38" s="100" t="e">
        <f>L32+L28</f>
        <v>#REF!</v>
      </c>
      <c r="M38" s="100" t="e">
        <f>M32+M28</f>
        <v>#REF!</v>
      </c>
      <c r="N38" s="100" t="e">
        <f>N32+N28</f>
        <v>#REF!</v>
      </c>
      <c r="O38" s="100" t="e">
        <f>O32+O28</f>
        <v>#REF!</v>
      </c>
      <c r="P38" s="100" t="e">
        <f>P32+P28</f>
        <v>#REF!</v>
      </c>
      <c r="Q38" s="100" t="e">
        <f>Q32+Q28</f>
        <v>#REF!</v>
      </c>
      <c r="R38" s="100" t="e">
        <f>R32+R28</f>
        <v>#REF!</v>
      </c>
      <c r="S38" s="100" t="e">
        <f>S32+S28</f>
        <v>#REF!</v>
      </c>
      <c r="T38" s="100" t="e">
        <f>T32+T28</f>
        <v>#REF!</v>
      </c>
      <c r="U38" s="100" t="e">
        <f>U32+U28</f>
        <v>#REF!</v>
      </c>
      <c r="V38" s="100" t="e">
        <f>V32+V28</f>
        <v>#REF!</v>
      </c>
      <c r="W38" s="100" t="e">
        <f>W32+W28</f>
        <v>#REF!</v>
      </c>
      <c r="X38" s="100" t="e">
        <f>X32+X28</f>
        <v>#REF!</v>
      </c>
      <c r="Y38" s="100" t="e">
        <f>Y32+Y28</f>
        <v>#REF!</v>
      </c>
      <c r="Z38" s="100" t="e">
        <f>Z32+Z28</f>
        <v>#REF!</v>
      </c>
      <c r="AA38" s="100" t="e">
        <f>AA32+AA28</f>
        <v>#REF!</v>
      </c>
      <c r="AB38" s="100" t="e">
        <f>AB32+AB28</f>
        <v>#REF!</v>
      </c>
      <c r="AC38" s="100" t="e">
        <f>AC32+AC28</f>
        <v>#REF!</v>
      </c>
      <c r="AD38" s="100" t="e">
        <f>AD32+AD28</f>
        <v>#REF!</v>
      </c>
      <c r="AE38" s="100" t="e">
        <f>AE32+AE28</f>
        <v>#REF!</v>
      </c>
      <c r="AF38" s="100" t="e">
        <f>AF32+AF28</f>
        <v>#REF!</v>
      </c>
      <c r="AG38" s="100" t="e">
        <f>AG32+AG28</f>
        <v>#REF!</v>
      </c>
      <c r="AH38" s="100" t="e">
        <f>AH32+AH28</f>
        <v>#REF!</v>
      </c>
      <c r="AI38" s="100" t="e">
        <f>AI32+AI28</f>
        <v>#REF!</v>
      </c>
      <c r="AJ38" s="100" t="e">
        <f>AJ32+AJ28</f>
        <v>#REF!</v>
      </c>
      <c r="AK38" s="100" t="e">
        <f>AK32+AK28</f>
        <v>#REF!</v>
      </c>
      <c r="AL38" s="100" t="e">
        <f>AL32+AL28</f>
        <v>#REF!</v>
      </c>
      <c r="AM38" s="100" t="e">
        <f>AM32+AM28</f>
        <v>#REF!</v>
      </c>
      <c r="AN38" s="100" t="e">
        <f>AN32+AN28</f>
        <v>#REF!</v>
      </c>
      <c r="AO38" s="100" t="e">
        <f>AO32+AO28</f>
        <v>#REF!</v>
      </c>
      <c r="AP38" s="100" t="e">
        <f>AP32+AP28</f>
        <v>#REF!</v>
      </c>
      <c r="AQ38" s="100" t="e">
        <f>AQ32+AQ28</f>
        <v>#REF!</v>
      </c>
      <c r="AR38" s="100" t="e">
        <f>AR32+AR28</f>
        <v>#REF!</v>
      </c>
      <c r="AS38" s="100" t="e">
        <f>AS32+AS28</f>
        <v>#REF!</v>
      </c>
      <c r="AT38" s="100" t="e">
        <f>AT32+AT28</f>
        <v>#REF!</v>
      </c>
      <c r="AU38" s="100" t="e">
        <f>AU32+AU28</f>
        <v>#REF!</v>
      </c>
      <c r="AV38" s="100" t="e">
        <f>AV32+AV28</f>
        <v>#REF!</v>
      </c>
      <c r="AW38" s="100" t="e">
        <f>AW32+AW28</f>
        <v>#REF!</v>
      </c>
      <c r="AX38" s="100" t="e">
        <f>AX32+AX28</f>
        <v>#REF!</v>
      </c>
      <c r="AY38" s="100" t="e">
        <f>AY32+AY28</f>
        <v>#REF!</v>
      </c>
      <c r="AZ38" s="100" t="e">
        <f>AZ32+AZ28</f>
        <v>#REF!</v>
      </c>
      <c r="BA38" s="100" t="e">
        <f>BA32+BA28</f>
        <v>#REF!</v>
      </c>
      <c r="BB38" s="100" t="e">
        <f>BB32+BB28</f>
        <v>#REF!</v>
      </c>
      <c r="BC38" s="100" t="e">
        <f>BC32+BC28</f>
        <v>#REF!</v>
      </c>
      <c r="BD38" s="100" t="e">
        <f>BD32+BD28</f>
        <v>#REF!</v>
      </c>
      <c r="BE38" s="100" t="e">
        <f>BE32+BE28</f>
        <v>#REF!</v>
      </c>
      <c r="BF38" s="100" t="e">
        <f>BF32+BF28</f>
        <v>#REF!</v>
      </c>
      <c r="BG38" s="100" t="e">
        <f>BG32+BG28</f>
        <v>#REF!</v>
      </c>
      <c r="BH38" s="100" t="e">
        <f>BH32+BH28</f>
        <v>#REF!</v>
      </c>
      <c r="BI38" s="100" t="e">
        <f>BI32+BI28</f>
        <v>#REF!</v>
      </c>
      <c r="BJ38" s="100" t="e">
        <f>BJ32+BJ28</f>
        <v>#REF!</v>
      </c>
      <c r="BK38" s="100" t="e">
        <f>BK32+BK28</f>
        <v>#REF!</v>
      </c>
    </row>
    <row r="39" spans="2:63">
      <c r="B39" s="216" t="s">
        <v>515</v>
      </c>
      <c r="D39" s="100" t="e">
        <f>D36+D37</f>
        <v>#REF!</v>
      </c>
      <c r="E39" s="100" t="e">
        <f>E36+E37</f>
        <v>#REF!</v>
      </c>
      <c r="F39" s="100" t="e">
        <f>F36+F37</f>
        <v>#REF!</v>
      </c>
      <c r="G39" s="100" t="e">
        <f>G36+G37</f>
        <v>#REF!</v>
      </c>
      <c r="H39" s="100" t="e">
        <f>H36+H37</f>
        <v>#REF!</v>
      </c>
      <c r="I39" s="100" t="e">
        <f>I36+I37</f>
        <v>#REF!</v>
      </c>
      <c r="J39" s="100" t="e">
        <f>J36+J37</f>
        <v>#REF!</v>
      </c>
      <c r="K39" s="100" t="e">
        <f>K36+K37</f>
        <v>#REF!</v>
      </c>
      <c r="L39" s="100" t="e">
        <f>L36+L37</f>
        <v>#REF!</v>
      </c>
      <c r="M39" s="100" t="e">
        <f>M36+M37</f>
        <v>#REF!</v>
      </c>
      <c r="N39" s="100" t="e">
        <f>N36+N37</f>
        <v>#REF!</v>
      </c>
      <c r="O39" s="100" t="e">
        <f>O36+O37</f>
        <v>#REF!</v>
      </c>
      <c r="P39" s="100" t="e">
        <f>P36+P37</f>
        <v>#REF!</v>
      </c>
      <c r="Q39" s="100" t="e">
        <f>Q36+Q37</f>
        <v>#REF!</v>
      </c>
      <c r="R39" s="100" t="e">
        <f>R36+R37</f>
        <v>#REF!</v>
      </c>
      <c r="S39" s="100" t="e">
        <f>S36+S37</f>
        <v>#REF!</v>
      </c>
      <c r="T39" s="100" t="e">
        <f>T36+T37</f>
        <v>#REF!</v>
      </c>
      <c r="U39" s="100" t="e">
        <f>U36+U37</f>
        <v>#REF!</v>
      </c>
      <c r="V39" s="100" t="e">
        <f>V36+V37</f>
        <v>#REF!</v>
      </c>
      <c r="W39" s="100" t="e">
        <f>W36+W37</f>
        <v>#REF!</v>
      </c>
      <c r="X39" s="100" t="e">
        <f>X36+X37</f>
        <v>#REF!</v>
      </c>
      <c r="Y39" s="100" t="e">
        <f>Y36+Y37</f>
        <v>#REF!</v>
      </c>
      <c r="Z39" s="100" t="e">
        <f>Z36+Z37</f>
        <v>#REF!</v>
      </c>
      <c r="AA39" s="100" t="e">
        <f>AA36+AA37</f>
        <v>#REF!</v>
      </c>
      <c r="AB39" s="100" t="e">
        <f>AB36+AB37</f>
        <v>#REF!</v>
      </c>
      <c r="AC39" s="100" t="e">
        <f>AC36+AC37</f>
        <v>#REF!</v>
      </c>
      <c r="AD39" s="100" t="e">
        <f>AD36+AD37</f>
        <v>#REF!</v>
      </c>
      <c r="AE39" s="100" t="e">
        <f>AE36+AE37</f>
        <v>#REF!</v>
      </c>
      <c r="AF39" s="100" t="e">
        <f>AF36+AF37</f>
        <v>#REF!</v>
      </c>
      <c r="AG39" s="100" t="e">
        <f>AG36+AG37</f>
        <v>#REF!</v>
      </c>
      <c r="AH39" s="100" t="e">
        <f>AH36+AH37</f>
        <v>#REF!</v>
      </c>
      <c r="AI39" s="100" t="e">
        <f>AI36+AI37</f>
        <v>#REF!</v>
      </c>
      <c r="AJ39" s="100" t="e">
        <f>AJ36+AJ37</f>
        <v>#REF!</v>
      </c>
      <c r="AK39" s="100" t="e">
        <f>AK36+AK37</f>
        <v>#REF!</v>
      </c>
      <c r="AL39" s="100" t="e">
        <f>AL36+AL37</f>
        <v>#REF!</v>
      </c>
      <c r="AM39" s="100" t="e">
        <f>AM36+AM37</f>
        <v>#REF!</v>
      </c>
      <c r="AN39" s="100" t="e">
        <f>AN36+AN37</f>
        <v>#REF!</v>
      </c>
      <c r="AO39" s="100" t="e">
        <f>AO36+AO37</f>
        <v>#REF!</v>
      </c>
      <c r="AP39" s="100" t="e">
        <f>AP36+AP37</f>
        <v>#REF!</v>
      </c>
      <c r="AQ39" s="100" t="e">
        <f>AQ36+AQ37</f>
        <v>#REF!</v>
      </c>
      <c r="AR39" s="100" t="e">
        <f>AR36+AR37</f>
        <v>#REF!</v>
      </c>
      <c r="AS39" s="100" t="e">
        <f>AS36+AS37</f>
        <v>#REF!</v>
      </c>
      <c r="AT39" s="100" t="e">
        <f>AT36+AT37</f>
        <v>#REF!</v>
      </c>
      <c r="AU39" s="100" t="e">
        <f>AU36+AU37</f>
        <v>#REF!</v>
      </c>
      <c r="AV39" s="100" t="e">
        <f>AV36+AV37</f>
        <v>#REF!</v>
      </c>
      <c r="AW39" s="100" t="e">
        <f>AW36+AW37</f>
        <v>#REF!</v>
      </c>
      <c r="AX39" s="100" t="e">
        <f>AX36+AX37</f>
        <v>#REF!</v>
      </c>
      <c r="AY39" s="100" t="e">
        <f>AY36+AY37</f>
        <v>#REF!</v>
      </c>
      <c r="AZ39" s="100" t="e">
        <f>AZ36+AZ37</f>
        <v>#REF!</v>
      </c>
      <c r="BA39" s="100" t="e">
        <f>BA36+BA37</f>
        <v>#REF!</v>
      </c>
      <c r="BB39" s="100" t="e">
        <f>BB36+BB37</f>
        <v>#REF!</v>
      </c>
      <c r="BC39" s="100" t="e">
        <f>BC36+BC37</f>
        <v>#REF!</v>
      </c>
      <c r="BD39" s="100" t="e">
        <f>BD36+BD37</f>
        <v>#REF!</v>
      </c>
      <c r="BE39" s="100" t="e">
        <f>BE36+BE37</f>
        <v>#REF!</v>
      </c>
      <c r="BF39" s="100" t="e">
        <f>BF36+BF37</f>
        <v>#REF!</v>
      </c>
      <c r="BG39" s="100" t="e">
        <f>BG36+BG37</f>
        <v>#REF!</v>
      </c>
      <c r="BH39" s="100" t="e">
        <f>BH36+BH37</f>
        <v>#REF!</v>
      </c>
      <c r="BI39" s="100" t="e">
        <f>BI36+BI37</f>
        <v>#REF!</v>
      </c>
      <c r="BJ39" s="100" t="e">
        <f>BJ36+BJ37</f>
        <v>#REF!</v>
      </c>
      <c r="BK39" s="100" t="e">
        <f>BK36+BK37</f>
        <v>#REF!</v>
      </c>
    </row>
    <row r="40" spans="2:63">
      <c r="B40" s="216" t="s">
        <v>516</v>
      </c>
      <c r="D40" s="100" t="e">
        <f>D38-D39</f>
        <v>#REF!</v>
      </c>
      <c r="E40" s="100" t="e">
        <f>E38-E39</f>
        <v>#REF!</v>
      </c>
      <c r="F40" s="100" t="e">
        <f>F38-F39</f>
        <v>#REF!</v>
      </c>
      <c r="G40" s="100" t="e">
        <f>G38-G39</f>
        <v>#REF!</v>
      </c>
      <c r="H40" s="100" t="e">
        <f>H38-H39</f>
        <v>#REF!</v>
      </c>
      <c r="I40" s="100" t="e">
        <f>I38-I39</f>
        <v>#REF!</v>
      </c>
      <c r="J40" s="100" t="e">
        <f>J38-J39</f>
        <v>#REF!</v>
      </c>
      <c r="K40" s="100" t="e">
        <f>K38-K39</f>
        <v>#REF!</v>
      </c>
      <c r="L40" s="100" t="e">
        <f>L38-L39</f>
        <v>#REF!</v>
      </c>
      <c r="M40" s="100" t="e">
        <f>M38-M39</f>
        <v>#REF!</v>
      </c>
      <c r="N40" s="100" t="e">
        <f>N38-N39</f>
        <v>#REF!</v>
      </c>
      <c r="O40" s="100" t="e">
        <f>O38-O39</f>
        <v>#REF!</v>
      </c>
      <c r="P40" s="100" t="e">
        <f>P38-P39</f>
        <v>#REF!</v>
      </c>
      <c r="Q40" s="100" t="e">
        <f>Q38-Q39</f>
        <v>#REF!</v>
      </c>
      <c r="R40" s="100" t="e">
        <f>R38-R39</f>
        <v>#REF!</v>
      </c>
      <c r="S40" s="100" t="e">
        <f>S38-S39</f>
        <v>#REF!</v>
      </c>
      <c r="T40" s="100" t="e">
        <f>T38-T39</f>
        <v>#REF!</v>
      </c>
      <c r="U40" s="100" t="e">
        <f>U38-U39</f>
        <v>#REF!</v>
      </c>
      <c r="V40" s="100" t="e">
        <f>V38-V39</f>
        <v>#REF!</v>
      </c>
      <c r="W40" s="100" t="e">
        <f>W38-W39</f>
        <v>#REF!</v>
      </c>
      <c r="X40" s="100" t="e">
        <f>X38-X39</f>
        <v>#REF!</v>
      </c>
      <c r="Y40" s="100" t="e">
        <f>Y38-Y39</f>
        <v>#REF!</v>
      </c>
      <c r="Z40" s="100" t="e">
        <f>Z38-Z39</f>
        <v>#REF!</v>
      </c>
      <c r="AA40" s="100" t="e">
        <f>AA38-AA39</f>
        <v>#REF!</v>
      </c>
      <c r="AB40" s="100" t="e">
        <f>AB38-AB39</f>
        <v>#REF!</v>
      </c>
      <c r="AC40" s="100" t="e">
        <f>AC38-AC39</f>
        <v>#REF!</v>
      </c>
      <c r="AD40" s="100" t="e">
        <f>AD38-AD39</f>
        <v>#REF!</v>
      </c>
      <c r="AE40" s="100" t="e">
        <f>AE38-AE39</f>
        <v>#REF!</v>
      </c>
      <c r="AF40" s="100" t="e">
        <f>AF38-AF39</f>
        <v>#REF!</v>
      </c>
      <c r="AG40" s="100" t="e">
        <f>AG38-AG39</f>
        <v>#REF!</v>
      </c>
      <c r="AH40" s="100" t="e">
        <f>AH38-AH39</f>
        <v>#REF!</v>
      </c>
      <c r="AI40" s="100" t="e">
        <f>AI38-AI39</f>
        <v>#REF!</v>
      </c>
      <c r="AJ40" s="100" t="e">
        <f>AJ38-AJ39</f>
        <v>#REF!</v>
      </c>
      <c r="AK40" s="100" t="e">
        <f>AK38-AK39</f>
        <v>#REF!</v>
      </c>
      <c r="AL40" s="100" t="e">
        <f>AL38-AL39</f>
        <v>#REF!</v>
      </c>
      <c r="AM40" s="100" t="e">
        <f>AM38-AM39</f>
        <v>#REF!</v>
      </c>
      <c r="AN40" s="100" t="e">
        <f>AN38-AN39</f>
        <v>#REF!</v>
      </c>
      <c r="AO40" s="100" t="e">
        <f>AO38-AO39</f>
        <v>#REF!</v>
      </c>
      <c r="AP40" s="100" t="e">
        <f>AP38-AP39</f>
        <v>#REF!</v>
      </c>
      <c r="AQ40" s="100" t="e">
        <f>AQ38-AQ39</f>
        <v>#REF!</v>
      </c>
      <c r="AR40" s="100" t="e">
        <f>AR38-AR39</f>
        <v>#REF!</v>
      </c>
      <c r="AS40" s="100" t="e">
        <f>AS38-AS39</f>
        <v>#REF!</v>
      </c>
      <c r="AT40" s="100" t="e">
        <f>AT38-AT39</f>
        <v>#REF!</v>
      </c>
      <c r="AU40" s="100" t="e">
        <f>AU38-AU39</f>
        <v>#REF!</v>
      </c>
      <c r="AV40" s="100" t="e">
        <f>AV38-AV39</f>
        <v>#REF!</v>
      </c>
      <c r="AW40" s="100" t="e">
        <f>AW38-AW39</f>
        <v>#REF!</v>
      </c>
      <c r="AX40" s="100" t="e">
        <f>AX38-AX39</f>
        <v>#REF!</v>
      </c>
      <c r="AY40" s="100" t="e">
        <f>AY38-AY39</f>
        <v>#REF!</v>
      </c>
      <c r="AZ40" s="100" t="e">
        <f>AZ38-AZ39</f>
        <v>#REF!</v>
      </c>
      <c r="BA40" s="100" t="e">
        <f>BA38-BA39</f>
        <v>#REF!</v>
      </c>
      <c r="BB40" s="100" t="e">
        <f>BB38-BB39</f>
        <v>#REF!</v>
      </c>
      <c r="BC40" s="100" t="e">
        <f>BC38-BC39</f>
        <v>#REF!</v>
      </c>
      <c r="BD40" s="100" t="e">
        <f>BD38-BD39</f>
        <v>#REF!</v>
      </c>
      <c r="BE40" s="100" t="e">
        <f>BE38-BE39</f>
        <v>#REF!</v>
      </c>
      <c r="BF40" s="100" t="e">
        <f>BF38-BF39</f>
        <v>#REF!</v>
      </c>
      <c r="BG40" s="100" t="e">
        <f>BG38-BG39</f>
        <v>#REF!</v>
      </c>
      <c r="BH40" s="100" t="e">
        <f>BH38-BH39</f>
        <v>#REF!</v>
      </c>
      <c r="BI40" s="100" t="e">
        <f>BI38-BI39</f>
        <v>#REF!</v>
      </c>
      <c r="BJ40" s="100" t="e">
        <f>BJ38-BJ39</f>
        <v>#REF!</v>
      </c>
      <c r="BK40" s="100" t="e">
        <f>BK38-BK39</f>
        <v>#REF!</v>
      </c>
    </row>
    <row r="41" spans="2:63">
      <c r="B41" s="216" t="s">
        <v>517</v>
      </c>
      <c r="D41" s="72" t="e">
        <f>D42*1000</f>
        <v>#REF!</v>
      </c>
      <c r="E41" s="72" t="e">
        <f>E42*1000</f>
        <v>#REF!</v>
      </c>
      <c r="F41" s="72" t="e">
        <f>F42*1000</f>
        <v>#REF!</v>
      </c>
      <c r="G41" s="72" t="e">
        <f>G42*1000</f>
        <v>#REF!</v>
      </c>
      <c r="H41" s="72" t="e">
        <f>H42*1000</f>
        <v>#REF!</v>
      </c>
      <c r="I41" s="72" t="e">
        <f>I42*1000</f>
        <v>#REF!</v>
      </c>
      <c r="J41" s="72" t="e">
        <f>J42*1000</f>
        <v>#REF!</v>
      </c>
      <c r="K41" s="72" t="e">
        <f>K42*1000</f>
        <v>#REF!</v>
      </c>
      <c r="L41" s="72" t="e">
        <f>L42*1000</f>
        <v>#REF!</v>
      </c>
      <c r="M41" s="72" t="e">
        <f>M42*1000</f>
        <v>#REF!</v>
      </c>
      <c r="N41" s="72" t="e">
        <f>N42*1000</f>
        <v>#REF!</v>
      </c>
      <c r="O41" s="72" t="e">
        <f>O42*1000</f>
        <v>#REF!</v>
      </c>
      <c r="P41" s="72" t="e">
        <f>P42*1000</f>
        <v>#REF!</v>
      </c>
      <c r="Q41" s="72" t="e">
        <f>Q42*1000</f>
        <v>#REF!</v>
      </c>
      <c r="R41" s="72" t="e">
        <f>R42*1000</f>
        <v>#REF!</v>
      </c>
      <c r="S41" s="72" t="e">
        <f>S42*1000</f>
        <v>#REF!</v>
      </c>
      <c r="T41" s="72" t="e">
        <f>T42*1000</f>
        <v>#REF!</v>
      </c>
      <c r="U41" s="72" t="e">
        <f>U42*1000</f>
        <v>#REF!</v>
      </c>
      <c r="V41" s="72" t="e">
        <f>V42*1000</f>
        <v>#REF!</v>
      </c>
      <c r="W41" s="72" t="e">
        <f>W42*1000</f>
        <v>#REF!</v>
      </c>
      <c r="X41" s="72" t="e">
        <f>X42*1000</f>
        <v>#REF!</v>
      </c>
      <c r="Y41" s="72" t="e">
        <f>Y42*1000</f>
        <v>#REF!</v>
      </c>
      <c r="Z41" s="72" t="e">
        <f>Z42*1000</f>
        <v>#REF!</v>
      </c>
      <c r="AA41" s="72" t="e">
        <f>AA42*1000</f>
        <v>#REF!</v>
      </c>
      <c r="AB41" s="72" t="e">
        <f>AB42*1000</f>
        <v>#REF!</v>
      </c>
      <c r="AC41" s="72" t="e">
        <f>AC42*1000</f>
        <v>#REF!</v>
      </c>
      <c r="AD41" s="72" t="e">
        <f>AD42*1000</f>
        <v>#REF!</v>
      </c>
      <c r="AE41" s="72" t="e">
        <f>AE42*1000</f>
        <v>#REF!</v>
      </c>
      <c r="AF41" s="72" t="e">
        <f>AF42*1000</f>
        <v>#REF!</v>
      </c>
      <c r="AG41" s="72" t="e">
        <f>AG42*1000</f>
        <v>#REF!</v>
      </c>
      <c r="AH41" s="72" t="e">
        <f>AH42*1000</f>
        <v>#REF!</v>
      </c>
      <c r="AI41" s="72" t="e">
        <f>AI42*1000</f>
        <v>#REF!</v>
      </c>
      <c r="AJ41" s="72" t="e">
        <f>AJ42*1000</f>
        <v>#REF!</v>
      </c>
      <c r="AK41" s="72" t="e">
        <f>AK42*1000</f>
        <v>#REF!</v>
      </c>
      <c r="AL41" s="72" t="e">
        <f>AL42*1000</f>
        <v>#REF!</v>
      </c>
      <c r="AM41" s="72" t="e">
        <f>AM42*1000</f>
        <v>#REF!</v>
      </c>
      <c r="AN41" s="72" t="e">
        <f>AN42*1000</f>
        <v>#REF!</v>
      </c>
      <c r="AO41" s="72" t="e">
        <f>AO42*1000</f>
        <v>#REF!</v>
      </c>
      <c r="AP41" s="72" t="e">
        <f>AP42*1000</f>
        <v>#REF!</v>
      </c>
      <c r="AQ41" s="72" t="e">
        <f>AQ42*1000</f>
        <v>#REF!</v>
      </c>
      <c r="AR41" s="72" t="e">
        <f>AR42*1000</f>
        <v>#REF!</v>
      </c>
      <c r="AS41" s="72" t="e">
        <f>AS42*1000</f>
        <v>#REF!</v>
      </c>
      <c r="AT41" s="72" t="e">
        <f>AT42*1000</f>
        <v>#REF!</v>
      </c>
      <c r="AU41" s="72" t="e">
        <f>AU42*1000</f>
        <v>#REF!</v>
      </c>
      <c r="AV41" s="72" t="e">
        <f>AV42*1000</f>
        <v>#REF!</v>
      </c>
      <c r="AW41" s="72" t="e">
        <f>AW42*1000</f>
        <v>#REF!</v>
      </c>
      <c r="AX41" s="72" t="e">
        <f>AX42*1000</f>
        <v>#REF!</v>
      </c>
      <c r="AY41" s="72" t="e">
        <f>AY42*1000</f>
        <v>#REF!</v>
      </c>
      <c r="AZ41" s="72" t="e">
        <f>AZ42*1000</f>
        <v>#REF!</v>
      </c>
      <c r="BA41" s="72" t="e">
        <f>BA42*1000</f>
        <v>#REF!</v>
      </c>
      <c r="BB41" s="72" t="e">
        <f>BB42*1000</f>
        <v>#REF!</v>
      </c>
      <c r="BC41" s="72" t="e">
        <f>BC42*1000</f>
        <v>#REF!</v>
      </c>
      <c r="BD41" s="72" t="e">
        <f>BD42*1000</f>
        <v>#REF!</v>
      </c>
      <c r="BE41" s="72" t="e">
        <f>BE42*1000</f>
        <v>#REF!</v>
      </c>
      <c r="BF41" s="72" t="e">
        <f>BF42*1000</f>
        <v>#REF!</v>
      </c>
      <c r="BG41" s="72" t="e">
        <f>BG42*1000</f>
        <v>#REF!</v>
      </c>
      <c r="BH41" s="72" t="e">
        <f>BH42*1000</f>
        <v>#REF!</v>
      </c>
      <c r="BI41" s="72" t="e">
        <f>BI42*1000</f>
        <v>#REF!</v>
      </c>
      <c r="BJ41" s="72" t="e">
        <f>BJ42*1000</f>
        <v>#REF!</v>
      </c>
      <c r="BK41" s="72" t="e">
        <f>BK42*1000</f>
        <v>#REF!</v>
      </c>
    </row>
    <row r="42" spans="2:63">
      <c r="B42" s="146" t="s">
        <v>518</v>
      </c>
      <c r="C42" s="162"/>
      <c r="D42" s="72" t="e">
        <f>D39*1000/'Financial Analysis'!E18</f>
        <v>#REF!</v>
      </c>
      <c r="E42" s="72" t="e">
        <f>E39*1000/'Financial Analysis'!F18</f>
        <v>#REF!</v>
      </c>
      <c r="F42" s="72" t="e">
        <f>F39*1000/'Financial Analysis'!G18</f>
        <v>#REF!</v>
      </c>
      <c r="G42" s="72" t="e">
        <f>G39*1000/'Financial Analysis'!H18</f>
        <v>#REF!</v>
      </c>
      <c r="H42" s="72" t="e">
        <f>H39*1000/'Financial Analysis'!I18</f>
        <v>#REF!</v>
      </c>
      <c r="I42" s="72" t="e">
        <f>I39*1000/'Financial Analysis'!J18</f>
        <v>#REF!</v>
      </c>
      <c r="J42" s="72" t="e">
        <f>J39*1000/'Financial Analysis'!K18</f>
        <v>#REF!</v>
      </c>
      <c r="K42" s="72" t="e">
        <f>K39*1000/'Financial Analysis'!L18</f>
        <v>#REF!</v>
      </c>
      <c r="L42" s="72" t="e">
        <f>L39*1000/'Financial Analysis'!M18</f>
        <v>#REF!</v>
      </c>
      <c r="M42" s="72" t="e">
        <f>M39*1000/'Financial Analysis'!N18</f>
        <v>#REF!</v>
      </c>
      <c r="N42" s="72" t="e">
        <f>N39*1000/'Financial Analysis'!O18</f>
        <v>#REF!</v>
      </c>
      <c r="O42" s="72" t="e">
        <f>O39*1000/'Financial Analysis'!P18</f>
        <v>#REF!</v>
      </c>
      <c r="P42" s="72" t="e">
        <f>P39*1000/'Financial Analysis'!Q18</f>
        <v>#REF!</v>
      </c>
      <c r="Q42" s="72" t="e">
        <f>Q39*1000/'Financial Analysis'!R18</f>
        <v>#REF!</v>
      </c>
      <c r="R42" s="72" t="e">
        <f>R39*1000/'Financial Analysis'!S18</f>
        <v>#REF!</v>
      </c>
      <c r="S42" s="72" t="e">
        <f>S39*1000/'Financial Analysis'!T18</f>
        <v>#REF!</v>
      </c>
      <c r="T42" s="72" t="e">
        <f>T39*1000/'Financial Analysis'!U18</f>
        <v>#REF!</v>
      </c>
      <c r="U42" s="72" t="e">
        <f>U39*1000/'Financial Analysis'!V18</f>
        <v>#REF!</v>
      </c>
      <c r="V42" s="72" t="e">
        <f>V39*1000/'Financial Analysis'!W18</f>
        <v>#REF!</v>
      </c>
      <c r="W42" s="72" t="e">
        <f>W39*1000/'Financial Analysis'!X18</f>
        <v>#REF!</v>
      </c>
      <c r="X42" s="72" t="e">
        <f>X39*1000/'Financial Analysis'!Y18</f>
        <v>#REF!</v>
      </c>
      <c r="Y42" s="72" t="e">
        <f>Y39*1000/'Financial Analysis'!Z18</f>
        <v>#REF!</v>
      </c>
      <c r="Z42" s="72" t="e">
        <f>Z39*1000/'Financial Analysis'!AA18</f>
        <v>#REF!</v>
      </c>
      <c r="AA42" s="72" t="e">
        <f>AA39*1000/'Financial Analysis'!AB18</f>
        <v>#REF!</v>
      </c>
      <c r="AB42" s="72" t="e">
        <f>AB39*1000/'Financial Analysis'!AC18</f>
        <v>#REF!</v>
      </c>
      <c r="AC42" s="72" t="e">
        <f>AC39*1000/'Financial Analysis'!AD18</f>
        <v>#REF!</v>
      </c>
      <c r="AD42" s="72" t="e">
        <f>AD39*1000/'Financial Analysis'!AE18</f>
        <v>#REF!</v>
      </c>
      <c r="AE42" s="72" t="e">
        <f>AE39*1000/'Financial Analysis'!AF18</f>
        <v>#REF!</v>
      </c>
      <c r="AF42" s="72" t="e">
        <f>AF39*1000/'Financial Analysis'!AG18</f>
        <v>#REF!</v>
      </c>
      <c r="AG42" s="72" t="e">
        <f>AG39*1000/'Financial Analysis'!AH18</f>
        <v>#REF!</v>
      </c>
      <c r="AH42" s="72" t="e">
        <f>AH39*1000/'Financial Analysis'!AI18</f>
        <v>#REF!</v>
      </c>
      <c r="AI42" s="72" t="e">
        <f>AI39*1000/'Financial Analysis'!AJ18</f>
        <v>#REF!</v>
      </c>
      <c r="AJ42" s="72" t="e">
        <f>AJ39*1000/'Financial Analysis'!AK18</f>
        <v>#REF!</v>
      </c>
      <c r="AK42" s="72" t="e">
        <f>AK39*1000/'Financial Analysis'!AL18</f>
        <v>#REF!</v>
      </c>
      <c r="AL42" s="72" t="e">
        <f>AL39*1000/'Financial Analysis'!AM18</f>
        <v>#REF!</v>
      </c>
      <c r="AM42" s="72" t="e">
        <f>AM39*1000/'Financial Analysis'!AN18</f>
        <v>#REF!</v>
      </c>
      <c r="AN42" s="72" t="e">
        <f>AN39*1000/'Financial Analysis'!AO18</f>
        <v>#REF!</v>
      </c>
      <c r="AO42" s="72" t="e">
        <f>AO39*1000/'Financial Analysis'!AP18</f>
        <v>#REF!</v>
      </c>
      <c r="AP42" s="72" t="e">
        <f>AP39*1000/'Financial Analysis'!AQ18</f>
        <v>#REF!</v>
      </c>
      <c r="AQ42" s="72" t="e">
        <f>AQ39*1000/'Financial Analysis'!AR18</f>
        <v>#REF!</v>
      </c>
      <c r="AR42" s="72" t="e">
        <f>AR39*1000/'Financial Analysis'!AS18</f>
        <v>#REF!</v>
      </c>
      <c r="AS42" s="72" t="e">
        <f>AS39*1000/'Financial Analysis'!AT18</f>
        <v>#REF!</v>
      </c>
      <c r="AT42" s="72" t="e">
        <f>AT39*1000/'Financial Analysis'!AU18</f>
        <v>#REF!</v>
      </c>
      <c r="AU42" s="72" t="e">
        <f>AU39*1000/'Financial Analysis'!AV18</f>
        <v>#REF!</v>
      </c>
      <c r="AV42" s="72" t="e">
        <f>AV39*1000/'Financial Analysis'!AW18</f>
        <v>#REF!</v>
      </c>
      <c r="AW42" s="72" t="e">
        <f>AW39*1000/'Financial Analysis'!AX18</f>
        <v>#REF!</v>
      </c>
      <c r="AX42" s="72" t="e">
        <f>AX39*1000/'Financial Analysis'!AY18</f>
        <v>#REF!</v>
      </c>
      <c r="AY42" s="72" t="e">
        <f>AY39*1000/'Financial Analysis'!AZ18</f>
        <v>#REF!</v>
      </c>
      <c r="AZ42" s="72" t="e">
        <f>AZ39*1000/'Financial Analysis'!BA18</f>
        <v>#REF!</v>
      </c>
      <c r="BA42" s="72" t="e">
        <f>BA39*1000/'Financial Analysis'!BB18</f>
        <v>#REF!</v>
      </c>
      <c r="BB42" s="72" t="e">
        <f>BB39*1000/'Financial Analysis'!BC18</f>
        <v>#REF!</v>
      </c>
      <c r="BC42" s="72" t="e">
        <f>BC39*1000/'Financial Analysis'!BD18</f>
        <v>#REF!</v>
      </c>
      <c r="BD42" s="72" t="e">
        <f>BD39*1000/'Financial Analysis'!BE18</f>
        <v>#REF!</v>
      </c>
      <c r="BE42" s="72" t="e">
        <f>BE39*1000/'Financial Analysis'!BF18</f>
        <v>#REF!</v>
      </c>
      <c r="BF42" s="72" t="e">
        <f>BF39*1000/'Financial Analysis'!BG18</f>
        <v>#REF!</v>
      </c>
      <c r="BG42" s="72" t="e">
        <f>BG39*1000/'Financial Analysis'!BH18</f>
        <v>#REF!</v>
      </c>
      <c r="BH42" s="72" t="e">
        <f>BH39*1000/'Financial Analysis'!BI18</f>
        <v>#REF!</v>
      </c>
      <c r="BI42" s="72" t="e">
        <f>BI39*1000/'Financial Analysis'!BJ18</f>
        <v>#REF!</v>
      </c>
      <c r="BJ42" s="72" t="e">
        <f>BJ39*1000/'Financial Analysis'!BK18</f>
        <v>#REF!</v>
      </c>
      <c r="BK42" s="72" t="e">
        <f>BK39*1000/'Financial Analysis'!BL18</f>
        <v>#REF!</v>
      </c>
    </row>
    <row r="43" spans="2:63">
      <c r="B43" s="146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  <c r="BA43" s="72"/>
      <c r="BB43" s="72"/>
      <c r="BC43" s="72"/>
      <c r="BD43" s="72"/>
      <c r="BE43" s="72"/>
      <c r="BF43" s="72"/>
      <c r="BG43" s="72"/>
      <c r="BH43" s="72"/>
      <c r="BI43" s="72"/>
      <c r="BJ43" s="72"/>
      <c r="BK43" s="72"/>
    </row>
    <row r="44" spans="2:63">
      <c r="B44" s="146" t="s">
        <v>519</v>
      </c>
      <c r="C44" s="100" t="e">
        <f>SUM(D39:W39)</f>
        <v>#REF!</v>
      </c>
      <c r="D44" s="72"/>
      <c r="E44" s="72"/>
      <c r="F44" s="72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  <c r="BA44" s="72"/>
      <c r="BB44" s="72"/>
      <c r="BC44" s="72"/>
      <c r="BD44" s="72"/>
      <c r="BE44" s="72"/>
      <c r="BF44" s="72"/>
      <c r="BG44" s="72"/>
      <c r="BH44" s="72"/>
      <c r="BI44" s="72"/>
      <c r="BJ44" s="72"/>
      <c r="BK44" s="72"/>
    </row>
    <row r="45" spans="2:63">
      <c r="B45" s="146" t="s">
        <v>520</v>
      </c>
      <c r="C45" s="100" t="e">
        <f>SUM(D40:W40)</f>
        <v>#REF!</v>
      </c>
      <c r="D45" s="72"/>
      <c r="E45" s="72"/>
      <c r="F45" s="72"/>
      <c r="G45" s="72"/>
      <c r="H45" s="72"/>
      <c r="I45" s="72"/>
      <c r="J45" s="72"/>
      <c r="K45" s="72"/>
      <c r="L45" s="72"/>
      <c r="M45" s="72"/>
      <c r="N45" s="72"/>
      <c r="O45" s="72"/>
      <c r="P45" s="72"/>
      <c r="Q45" s="72"/>
      <c r="R45" s="72"/>
      <c r="S45" s="72"/>
      <c r="T45" s="72"/>
      <c r="U45" s="72"/>
      <c r="V45" s="72"/>
      <c r="W45" s="72"/>
      <c r="X45" s="72"/>
      <c r="Y45" s="72"/>
      <c r="Z45" s="72"/>
      <c r="AA45" s="72"/>
      <c r="AB45" s="72"/>
      <c r="AC45" s="72"/>
      <c r="AD45" s="72"/>
      <c r="AE45" s="72"/>
      <c r="AF45" s="72"/>
      <c r="AG45" s="72"/>
      <c r="AH45" s="72"/>
      <c r="AI45" s="72"/>
      <c r="AJ45" s="72"/>
      <c r="AK45" s="72"/>
      <c r="AL45" s="72"/>
      <c r="AM45" s="72"/>
      <c r="AN45" s="72"/>
      <c r="AO45" s="72"/>
      <c r="AP45" s="72"/>
      <c r="AQ45" s="72"/>
      <c r="AR45" s="72"/>
      <c r="AS45" s="72"/>
      <c r="AT45" s="72"/>
      <c r="AU45" s="72"/>
      <c r="AV45" s="72"/>
      <c r="AW45" s="72"/>
      <c r="AX45" s="72"/>
      <c r="AY45" s="72"/>
      <c r="AZ45" s="72"/>
      <c r="BA45" s="72"/>
      <c r="BB45" s="72"/>
      <c r="BC45" s="72"/>
      <c r="BD45" s="72"/>
      <c r="BE45" s="72"/>
      <c r="BF45" s="72"/>
      <c r="BG45" s="72"/>
      <c r="BH45" s="72"/>
      <c r="BI45" s="72"/>
      <c r="BJ45" s="72"/>
      <c r="BK45" s="72"/>
    </row>
    <row r="46" spans="2:63">
      <c r="B46" s="146" t="s">
        <v>521</v>
      </c>
      <c r="C46" s="100" t="e">
        <f>SUM(D39:AG39)</f>
        <v>#REF!</v>
      </c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  <c r="O46" s="72"/>
      <c r="P46" s="72"/>
      <c r="Q46" s="72"/>
      <c r="R46" s="72"/>
      <c r="S46" s="72"/>
      <c r="T46" s="72"/>
      <c r="U46" s="72"/>
      <c r="V46" s="72"/>
      <c r="W46" s="72"/>
      <c r="X46" s="72"/>
      <c r="Y46" s="72"/>
      <c r="Z46" s="72"/>
      <c r="AA46" s="72"/>
      <c r="AB46" s="72"/>
      <c r="AC46" s="72"/>
      <c r="AD46" s="72"/>
      <c r="AE46" s="72"/>
      <c r="AF46" s="72"/>
      <c r="AG46" s="72"/>
      <c r="AH46" s="72"/>
      <c r="AI46" s="72"/>
      <c r="AJ46" s="72"/>
      <c r="AK46" s="72"/>
      <c r="AL46" s="72"/>
      <c r="AM46" s="72"/>
      <c r="AN46" s="72"/>
      <c r="AO46" s="72"/>
      <c r="AP46" s="72"/>
      <c r="AQ46" s="72"/>
      <c r="AR46" s="72"/>
      <c r="AS46" s="72"/>
      <c r="AT46" s="72"/>
      <c r="AU46" s="72"/>
      <c r="AV46" s="72"/>
      <c r="AW46" s="72"/>
      <c r="AX46" s="72"/>
      <c r="AY46" s="72"/>
      <c r="AZ46" s="72"/>
      <c r="BA46" s="72"/>
      <c r="BB46" s="72"/>
      <c r="BC46" s="72"/>
      <c r="BD46" s="72"/>
      <c r="BE46" s="72"/>
      <c r="BF46" s="72"/>
      <c r="BG46" s="72"/>
      <c r="BH46" s="72"/>
      <c r="BI46" s="72"/>
      <c r="BJ46" s="72"/>
      <c r="BK46" s="72"/>
    </row>
    <row r="47" spans="2:63">
      <c r="B47" s="146" t="s">
        <v>522</v>
      </c>
      <c r="C47" s="100" t="e">
        <f>SUM(D40:AG40)</f>
        <v>#REF!</v>
      </c>
      <c r="D47" s="72"/>
      <c r="E47" s="72"/>
      <c r="F47" s="72"/>
      <c r="G47" s="72"/>
      <c r="H47" s="72"/>
      <c r="I47" s="72"/>
      <c r="J47" s="72"/>
      <c r="K47" s="72"/>
      <c r="L47" s="72"/>
      <c r="M47" s="72"/>
      <c r="N47" s="72"/>
      <c r="O47" s="72"/>
      <c r="P47" s="72"/>
      <c r="Q47" s="72"/>
      <c r="R47" s="72"/>
      <c r="S47" s="72"/>
      <c r="T47" s="72"/>
      <c r="U47" s="72"/>
      <c r="V47" s="72"/>
      <c r="W47" s="72"/>
      <c r="X47" s="72"/>
      <c r="Y47" s="72"/>
      <c r="Z47" s="72"/>
      <c r="AA47" s="72"/>
      <c r="AB47" s="72"/>
      <c r="AC47" s="72"/>
      <c r="AD47" s="72"/>
      <c r="AE47" s="72"/>
      <c r="AF47" s="72"/>
      <c r="AG47" s="72"/>
      <c r="AH47" s="72"/>
      <c r="AI47" s="72"/>
      <c r="AJ47" s="72"/>
      <c r="AK47" s="72"/>
      <c r="AL47" s="72"/>
      <c r="AM47" s="72"/>
      <c r="AN47" s="72"/>
      <c r="AO47" s="72"/>
      <c r="AP47" s="72"/>
      <c r="AQ47" s="72"/>
      <c r="AR47" s="72"/>
      <c r="AS47" s="72"/>
      <c r="AT47" s="72"/>
      <c r="AU47" s="72"/>
      <c r="AV47" s="72"/>
      <c r="AW47" s="72"/>
      <c r="AX47" s="72"/>
      <c r="AY47" s="72"/>
      <c r="AZ47" s="72"/>
      <c r="BA47" s="72"/>
      <c r="BB47" s="72"/>
      <c r="BC47" s="72"/>
      <c r="BD47" s="72"/>
      <c r="BE47" s="72"/>
      <c r="BF47" s="72"/>
      <c r="BG47" s="72"/>
      <c r="BH47" s="72"/>
      <c r="BI47" s="72"/>
      <c r="BJ47" s="72"/>
      <c r="BK47" s="72"/>
    </row>
    <row r="48" spans="2:63">
      <c r="B48" s="146" t="s">
        <v>523</v>
      </c>
      <c r="C48" s="100" t="e">
        <f>SUM(D39:AQ39)</f>
        <v>#REF!</v>
      </c>
      <c r="D48" s="72"/>
      <c r="E48" s="72"/>
      <c r="F48" s="72"/>
      <c r="G48" s="72"/>
      <c r="H48" s="72"/>
      <c r="I48" s="72"/>
      <c r="J48" s="72"/>
      <c r="K48" s="72"/>
      <c r="L48" s="72"/>
      <c r="M48" s="72"/>
      <c r="N48" s="72"/>
      <c r="O48" s="72"/>
      <c r="P48" s="72"/>
      <c r="Q48" s="72"/>
      <c r="R48" s="72"/>
      <c r="S48" s="72"/>
      <c r="T48" s="72"/>
      <c r="U48" s="72"/>
      <c r="V48" s="72"/>
      <c r="W48" s="72"/>
      <c r="X48" s="72"/>
      <c r="Y48" s="72"/>
      <c r="Z48" s="72"/>
      <c r="AA48" s="72"/>
      <c r="AB48" s="72"/>
      <c r="AC48" s="72"/>
      <c r="AD48" s="72"/>
      <c r="AE48" s="72"/>
      <c r="AF48" s="72"/>
      <c r="AG48" s="72"/>
      <c r="AH48" s="72"/>
      <c r="AI48" s="72"/>
      <c r="AJ48" s="72"/>
      <c r="AK48" s="72"/>
      <c r="AL48" s="72"/>
      <c r="AM48" s="72"/>
      <c r="AN48" s="72"/>
      <c r="AO48" s="72"/>
      <c r="AP48" s="72"/>
      <c r="AQ48" s="72"/>
      <c r="AR48" s="72"/>
      <c r="AS48" s="72"/>
      <c r="AT48" s="72"/>
      <c r="AU48" s="72"/>
      <c r="AV48" s="72"/>
      <c r="AW48" s="72"/>
      <c r="AX48" s="72"/>
      <c r="AY48" s="72"/>
      <c r="AZ48" s="72"/>
      <c r="BA48" s="72"/>
      <c r="BB48" s="72"/>
      <c r="BC48" s="72"/>
      <c r="BD48" s="72"/>
      <c r="BE48" s="72"/>
      <c r="BF48" s="72"/>
      <c r="BG48" s="72"/>
      <c r="BH48" s="72"/>
      <c r="BI48" s="72"/>
      <c r="BJ48" s="72"/>
      <c r="BK48" s="72"/>
    </row>
    <row r="49" spans="2:63">
      <c r="B49" s="146" t="s">
        <v>524</v>
      </c>
      <c r="C49" s="100" t="e">
        <f>SUM(D40:AQ40)</f>
        <v>#REF!</v>
      </c>
      <c r="D49" s="72"/>
      <c r="E49" s="72"/>
      <c r="F49" s="72"/>
      <c r="G49" s="72"/>
      <c r="H49" s="72"/>
      <c r="I49" s="72"/>
      <c r="J49" s="72"/>
      <c r="K49" s="72"/>
      <c r="L49" s="72"/>
      <c r="M49" s="72"/>
      <c r="N49" s="72"/>
      <c r="O49" s="72"/>
      <c r="P49" s="72"/>
      <c r="Q49" s="72"/>
      <c r="R49" s="72"/>
      <c r="S49" s="72"/>
      <c r="T49" s="72"/>
      <c r="U49" s="72"/>
      <c r="V49" s="72"/>
      <c r="W49" s="72"/>
      <c r="X49" s="72"/>
      <c r="Y49" s="72"/>
      <c r="Z49" s="72"/>
      <c r="AA49" s="72"/>
      <c r="AB49" s="72"/>
      <c r="AC49" s="72"/>
      <c r="AD49" s="72"/>
      <c r="AE49" s="72"/>
      <c r="AF49" s="72"/>
      <c r="AG49" s="72"/>
      <c r="AH49" s="72"/>
      <c r="AI49" s="72"/>
      <c r="AJ49" s="72"/>
      <c r="AK49" s="72"/>
      <c r="AL49" s="72"/>
      <c r="AM49" s="72"/>
      <c r="AN49" s="72"/>
      <c r="AO49" s="72"/>
      <c r="AP49" s="72"/>
      <c r="AQ49" s="72"/>
      <c r="AR49" s="72"/>
      <c r="AS49" s="72"/>
      <c r="AT49" s="72"/>
      <c r="AU49" s="72"/>
      <c r="AV49" s="72"/>
      <c r="AW49" s="72"/>
      <c r="AX49" s="72"/>
      <c r="AY49" s="72"/>
      <c r="AZ49" s="72"/>
      <c r="BA49" s="72"/>
      <c r="BB49" s="72"/>
      <c r="BC49" s="72"/>
      <c r="BD49" s="72"/>
      <c r="BE49" s="72"/>
      <c r="BF49" s="72"/>
      <c r="BG49" s="72"/>
      <c r="BH49" s="72"/>
      <c r="BI49" s="72"/>
      <c r="BJ49" s="72"/>
      <c r="BK49" s="72"/>
    </row>
    <row r="51" spans="2:63">
      <c r="B51" s="207" t="s">
        <v>252</v>
      </c>
    </row>
    <row r="52" spans="2:63">
      <c r="B52" s="146" t="s">
        <v>506</v>
      </c>
      <c r="D52" s="76">
        <f>'Financial Analysis'!E36/CO2e!$C$10*$C$9/1000</f>
        <v>0</v>
      </c>
      <c r="E52" s="76">
        <f>'Financial Analysis'!F36/CO2e!$C$10*$C$9/1000</f>
        <v>0</v>
      </c>
      <c r="F52" s="76">
        <f>'Financial Analysis'!G36/CO2e!$C$10*$C$9/1000</f>
        <v>0</v>
      </c>
      <c r="G52" s="76">
        <f>'Financial Analysis'!H36/CO2e!$C$10*$C$9/1000</f>
        <v>0</v>
      </c>
      <c r="H52" s="76">
        <f>'Financial Analysis'!I36/CO2e!$C$10*$C$9/1000</f>
        <v>0</v>
      </c>
      <c r="I52" s="76">
        <f>'Financial Analysis'!J36/CO2e!$C$10*$C$9/1000</f>
        <v>0</v>
      </c>
      <c r="J52" s="76">
        <f>'Financial Analysis'!K36/CO2e!$C$10*$C$9/1000</f>
        <v>0</v>
      </c>
      <c r="K52" s="76">
        <f>'Financial Analysis'!L36/CO2e!$C$10*$C$9/1000</f>
        <v>0</v>
      </c>
      <c r="L52" s="76">
        <f>'Financial Analysis'!M36/CO2e!$C$10*$C$9/1000</f>
        <v>0</v>
      </c>
      <c r="M52" s="76">
        <f>'Financial Analysis'!N36/CO2e!$C$10*$C$9/1000</f>
        <v>0</v>
      </c>
      <c r="N52" s="76">
        <f>'Financial Analysis'!O36/CO2e!$C$10*$C$9/1000</f>
        <v>0</v>
      </c>
      <c r="O52" s="76">
        <f>'Financial Analysis'!P36/CO2e!$C$10*$C$9/1000</f>
        <v>0</v>
      </c>
      <c r="P52" s="76">
        <f>'Financial Analysis'!Q36/CO2e!$C$10*$C$9/1000</f>
        <v>0</v>
      </c>
      <c r="Q52" s="76">
        <f>'Financial Analysis'!R36/CO2e!$C$10*$C$9/1000</f>
        <v>0</v>
      </c>
      <c r="R52" s="76">
        <f>'Financial Analysis'!S36/CO2e!$C$10*$C$9/1000</f>
        <v>0</v>
      </c>
      <c r="S52" s="76">
        <f>'Financial Analysis'!T36/CO2e!$C$10*$C$9/1000</f>
        <v>0</v>
      </c>
      <c r="T52" s="76">
        <f>'Financial Analysis'!U36/CO2e!$C$10*$C$9/1000</f>
        <v>0</v>
      </c>
      <c r="U52" s="76">
        <f>'Financial Analysis'!V36/CO2e!$C$10*$C$9/1000</f>
        <v>0</v>
      </c>
      <c r="V52" s="76">
        <f>'Financial Analysis'!W36/CO2e!$C$10*$C$9/1000</f>
        <v>0</v>
      </c>
      <c r="W52" s="76">
        <f>'Financial Analysis'!X36/CO2e!$C$10*$C$9/1000</f>
        <v>0</v>
      </c>
      <c r="X52" s="76">
        <f>'Financial Analysis'!Y36/CO2e!$C$10*$C$9/1000</f>
        <v>0</v>
      </c>
      <c r="Y52" s="76">
        <f>'Financial Analysis'!Z36/CO2e!$C$10*$C$9/1000</f>
        <v>0</v>
      </c>
      <c r="Z52" s="76">
        <f>'Financial Analysis'!AA36/CO2e!$C$10*$C$9/1000</f>
        <v>0</v>
      </c>
      <c r="AA52" s="76">
        <f>'Financial Analysis'!AB36/CO2e!$C$10*$C$9/1000</f>
        <v>0</v>
      </c>
      <c r="AB52" s="76">
        <f>'Financial Analysis'!AC36/CO2e!$C$10*$C$9/1000</f>
        <v>0</v>
      </c>
      <c r="AC52" s="76">
        <f>'Financial Analysis'!AD36/CO2e!$C$10*$C$9/1000</f>
        <v>0</v>
      </c>
      <c r="AD52" s="76">
        <f>'Financial Analysis'!AE36/CO2e!$C$10*$C$9/1000</f>
        <v>0</v>
      </c>
      <c r="AE52" s="76">
        <f>'Financial Analysis'!AF36/CO2e!$C$10*$C$9/1000</f>
        <v>0</v>
      </c>
      <c r="AF52" s="76">
        <f>'Financial Analysis'!AG36/CO2e!$C$10*$C$9/1000</f>
        <v>0</v>
      </c>
      <c r="AG52" s="76">
        <f>'Financial Analysis'!AH36/CO2e!$C$10*$C$9/1000</f>
        <v>0</v>
      </c>
      <c r="AH52" s="76">
        <f>'Financial Analysis'!AI36/CO2e!$C$10*$C$9/1000</f>
        <v>0</v>
      </c>
      <c r="AI52" s="76">
        <f>'Financial Analysis'!AJ36/CO2e!$C$10*$C$9/1000</f>
        <v>0</v>
      </c>
      <c r="AJ52" s="76">
        <f>'Financial Analysis'!AK36/CO2e!$C$10*$C$9/1000</f>
        <v>0</v>
      </c>
      <c r="AK52" s="76">
        <f>'Financial Analysis'!AL36/CO2e!$C$10*$C$9/1000</f>
        <v>0</v>
      </c>
      <c r="AL52" s="76">
        <f>'Financial Analysis'!AM36/CO2e!$C$10*$C$9/1000</f>
        <v>0</v>
      </c>
      <c r="AM52" s="76">
        <f>'Financial Analysis'!AN36/CO2e!$C$10*$C$9/1000</f>
        <v>0</v>
      </c>
      <c r="AN52" s="76">
        <f>'Financial Analysis'!AO36/CO2e!$C$10*$C$9/1000</f>
        <v>0</v>
      </c>
      <c r="AO52" s="76">
        <f>'Financial Analysis'!AP36/CO2e!$C$10*$C$9/1000</f>
        <v>0</v>
      </c>
      <c r="AP52" s="76">
        <f>'Financial Analysis'!AQ36/CO2e!$C$10*$C$9/1000</f>
        <v>0</v>
      </c>
      <c r="AQ52" s="76">
        <f>'Financial Analysis'!AR36/CO2e!$C$10*$C$9/1000</f>
        <v>0</v>
      </c>
      <c r="AR52" s="76">
        <f>'Financial Analysis'!AS36/CO2e!$C$10*$C$9/1000</f>
        <v>0</v>
      </c>
      <c r="AS52" s="76">
        <f>'Financial Analysis'!AT36/CO2e!$C$10*$C$9/1000</f>
        <v>0</v>
      </c>
      <c r="AT52" s="76">
        <f>'Financial Analysis'!AU36/CO2e!$C$10*$C$9/1000</f>
        <v>0</v>
      </c>
      <c r="AU52" s="76">
        <f>'Financial Analysis'!AV36/CO2e!$C$10*$C$9/1000</f>
        <v>0</v>
      </c>
      <c r="AV52" s="76">
        <f>'Financial Analysis'!AW36/CO2e!$C$10*$C$9/1000</f>
        <v>0</v>
      </c>
      <c r="AW52" s="76">
        <f>'Financial Analysis'!AX36/CO2e!$C$10*$C$9/1000</f>
        <v>0</v>
      </c>
      <c r="AX52" s="76">
        <f>'Financial Analysis'!AY36/CO2e!$C$10*$C$9/1000</f>
        <v>0</v>
      </c>
      <c r="AY52" s="76">
        <f>'Financial Analysis'!AZ36/CO2e!$C$10*$C$9/1000</f>
        <v>0</v>
      </c>
      <c r="AZ52" s="76">
        <f>'Financial Analysis'!BA36/CO2e!$C$10*$C$9/1000</f>
        <v>0</v>
      </c>
      <c r="BA52" s="76">
        <f>'Financial Analysis'!BB36/CO2e!$C$10*$C$9/1000</f>
        <v>0</v>
      </c>
      <c r="BB52" s="76">
        <f>'Financial Analysis'!BC36/CO2e!$C$10*$C$9/1000</f>
        <v>0</v>
      </c>
      <c r="BC52" s="76">
        <f>'Financial Analysis'!BD36/CO2e!$C$10*$C$9/1000</f>
        <v>0</v>
      </c>
      <c r="BD52" s="76">
        <f>'Financial Analysis'!BE36/CO2e!$C$10*$C$9/1000</f>
        <v>0</v>
      </c>
      <c r="BE52" s="76">
        <f>'Financial Analysis'!BF36/CO2e!$C$10*$C$9/1000</f>
        <v>0</v>
      </c>
      <c r="BF52" s="76">
        <f>'Financial Analysis'!BG36/CO2e!$C$10*$C$9/1000</f>
        <v>0</v>
      </c>
      <c r="BG52" s="76">
        <f>'Financial Analysis'!BH36/CO2e!$C$10*$C$9/1000</f>
        <v>0</v>
      </c>
      <c r="BH52" s="76">
        <f>'Financial Analysis'!BI36/CO2e!$C$10*$C$9/1000</f>
        <v>0</v>
      </c>
      <c r="BI52" s="76">
        <f>'Financial Analysis'!BJ36/CO2e!$C$10*$C$9/1000</f>
        <v>0</v>
      </c>
      <c r="BJ52" s="76">
        <f>'Financial Analysis'!BK36/CO2e!$C$10*$C$9/1000</f>
        <v>0</v>
      </c>
      <c r="BK52" s="76">
        <f>'Financial Analysis'!BL36/CO2e!$C$10*$C$9/1000</f>
        <v>0</v>
      </c>
    </row>
    <row r="53" spans="2:63">
      <c r="B53" s="146" t="s">
        <v>508</v>
      </c>
      <c r="D53" s="76">
        <f>'Financial Analysis'!E36/CO2e!$C$13*D24/1000</f>
        <v>0</v>
      </c>
      <c r="E53" s="76">
        <f>'Financial Analysis'!F36/CO2e!$C$13*E24/1000</f>
        <v>0</v>
      </c>
      <c r="F53" s="76">
        <f>'Financial Analysis'!G36/CO2e!$C$13*F24/1000</f>
        <v>0</v>
      </c>
      <c r="G53" s="76">
        <f>'Financial Analysis'!H36/CO2e!$C$13*G24/1000</f>
        <v>0</v>
      </c>
      <c r="H53" s="76">
        <f>'Financial Analysis'!I36/CO2e!$C$13*H24/1000</f>
        <v>0</v>
      </c>
      <c r="I53" s="76">
        <f>'Financial Analysis'!J36/CO2e!$C$13*I24/1000</f>
        <v>0</v>
      </c>
      <c r="J53" s="76">
        <f>'Financial Analysis'!K36/CO2e!$C$13*J24/1000</f>
        <v>0</v>
      </c>
      <c r="K53" s="76">
        <f>'Financial Analysis'!L36/CO2e!$C$13*K24/1000</f>
        <v>0</v>
      </c>
      <c r="L53" s="76">
        <f>'Financial Analysis'!M36/CO2e!$C$13*L24/1000</f>
        <v>0</v>
      </c>
      <c r="M53" s="76">
        <f>'Financial Analysis'!N36/CO2e!$C$13*M24/1000</f>
        <v>0</v>
      </c>
      <c r="N53" s="76">
        <f>'Financial Analysis'!O36/CO2e!$C$13*N24/1000</f>
        <v>0</v>
      </c>
      <c r="O53" s="76">
        <f>'Financial Analysis'!P36/CO2e!$C$13*O24/1000</f>
        <v>0</v>
      </c>
      <c r="P53" s="76">
        <f>'Financial Analysis'!Q36/CO2e!$C$13*P24/1000</f>
        <v>0</v>
      </c>
      <c r="Q53" s="76">
        <f>'Financial Analysis'!R36/CO2e!$C$13*Q24/1000</f>
        <v>0</v>
      </c>
      <c r="R53" s="76">
        <f>'Financial Analysis'!S36/CO2e!$C$13*R24/1000</f>
        <v>0</v>
      </c>
      <c r="S53" s="76">
        <f>'Financial Analysis'!T36/CO2e!$C$13*S24/1000</f>
        <v>0</v>
      </c>
      <c r="T53" s="76">
        <f>'Financial Analysis'!U36/CO2e!$C$13*T24/1000</f>
        <v>0</v>
      </c>
      <c r="U53" s="76">
        <f>'Financial Analysis'!V36/CO2e!$C$13*U24/1000</f>
        <v>0</v>
      </c>
      <c r="V53" s="76">
        <f>'Financial Analysis'!W36/CO2e!$C$13*V24/1000</f>
        <v>0</v>
      </c>
      <c r="W53" s="76">
        <f>'Financial Analysis'!X36/CO2e!$C$13*W24/1000</f>
        <v>0</v>
      </c>
      <c r="X53" s="76">
        <f>'Financial Analysis'!Y36/CO2e!$C$13*X24/1000</f>
        <v>0</v>
      </c>
      <c r="Y53" s="76">
        <f>'Financial Analysis'!Z36/CO2e!$C$13*Y24/1000</f>
        <v>0</v>
      </c>
      <c r="Z53" s="76">
        <f>'Financial Analysis'!AA36/CO2e!$C$13*Z24/1000</f>
        <v>0</v>
      </c>
      <c r="AA53" s="76">
        <f>'Financial Analysis'!AB36/CO2e!$C$13*AA24/1000</f>
        <v>0</v>
      </c>
      <c r="AB53" s="76">
        <f>'Financial Analysis'!AC36/CO2e!$C$13*AB24/1000</f>
        <v>0</v>
      </c>
      <c r="AC53" s="76">
        <f>'Financial Analysis'!AD36/CO2e!$C$13*AC24/1000</f>
        <v>0</v>
      </c>
      <c r="AD53" s="76">
        <f>'Financial Analysis'!AE36/CO2e!$C$13*AD24/1000</f>
        <v>0</v>
      </c>
      <c r="AE53" s="76">
        <f>'Financial Analysis'!AF36/CO2e!$C$13*AE24/1000</f>
        <v>0</v>
      </c>
      <c r="AF53" s="76">
        <f>'Financial Analysis'!AG36/CO2e!$C$13*AF24/1000</f>
        <v>0</v>
      </c>
      <c r="AG53" s="76">
        <f>'Financial Analysis'!AH36/CO2e!$C$13*AG24/1000</f>
        <v>0</v>
      </c>
      <c r="AH53" s="76">
        <f>'Financial Analysis'!AI36/CO2e!$C$13*AH24/1000</f>
        <v>0</v>
      </c>
      <c r="AI53" s="76">
        <f>'Financial Analysis'!AJ36/CO2e!$C$13*AI24/1000</f>
        <v>0</v>
      </c>
      <c r="AJ53" s="76">
        <f>'Financial Analysis'!AK36/CO2e!$C$13*AJ24/1000</f>
        <v>0</v>
      </c>
      <c r="AK53" s="76">
        <f>'Financial Analysis'!AL36/CO2e!$C$13*AK24/1000</f>
        <v>0</v>
      </c>
      <c r="AL53" s="76">
        <f>'Financial Analysis'!AM36/CO2e!$C$13*AL24/1000</f>
        <v>0</v>
      </c>
      <c r="AM53" s="76">
        <f>'Financial Analysis'!AN36/CO2e!$C$13*AM24/1000</f>
        <v>0</v>
      </c>
      <c r="AN53" s="76">
        <f>'Financial Analysis'!AO36/CO2e!$C$13*AN24/1000</f>
        <v>0</v>
      </c>
      <c r="AO53" s="76">
        <f>'Financial Analysis'!AP36/CO2e!$C$13*AO24/1000</f>
        <v>0</v>
      </c>
      <c r="AP53" s="76">
        <f>'Financial Analysis'!AQ36/CO2e!$C$13*AP24/1000</f>
        <v>0</v>
      </c>
      <c r="AQ53" s="76">
        <f>'Financial Analysis'!AR36/CO2e!$C$13*AQ24/1000</f>
        <v>0</v>
      </c>
      <c r="AR53" s="76">
        <f>'Financial Analysis'!AS36/CO2e!$C$13*AR24/1000</f>
        <v>0</v>
      </c>
      <c r="AS53" s="76">
        <f>'Financial Analysis'!AT36/CO2e!$C$13*AS24/1000</f>
        <v>0</v>
      </c>
      <c r="AT53" s="76">
        <f>'Financial Analysis'!AU36/CO2e!$C$13*AT24/1000</f>
        <v>0</v>
      </c>
      <c r="AU53" s="76">
        <f>'Financial Analysis'!AV36/CO2e!$C$13*AU24/1000</f>
        <v>0</v>
      </c>
      <c r="AV53" s="76">
        <f>'Financial Analysis'!AW36/CO2e!$C$13*AV24/1000</f>
        <v>0</v>
      </c>
      <c r="AW53" s="76">
        <f>'Financial Analysis'!AX36/CO2e!$C$13*AW24/1000</f>
        <v>0</v>
      </c>
      <c r="AX53" s="76">
        <f>'Financial Analysis'!AY36/CO2e!$C$13*AX24/1000</f>
        <v>0</v>
      </c>
      <c r="AY53" s="76">
        <f>'Financial Analysis'!AZ36/CO2e!$C$13*AY24/1000</f>
        <v>0</v>
      </c>
      <c r="AZ53" s="76">
        <f>'Financial Analysis'!BA36/CO2e!$C$13*AZ24/1000</f>
        <v>0</v>
      </c>
      <c r="BA53" s="76">
        <f>'Financial Analysis'!BB36/CO2e!$C$13*BA24/1000</f>
        <v>0</v>
      </c>
      <c r="BB53" s="76">
        <f>'Financial Analysis'!BC36/CO2e!$C$13*BB24/1000</f>
        <v>0</v>
      </c>
      <c r="BC53" s="76">
        <f>'Financial Analysis'!BD36/CO2e!$C$13*BC24/1000</f>
        <v>0</v>
      </c>
      <c r="BD53" s="76">
        <f>'Financial Analysis'!BE36/CO2e!$C$13*BD24/1000</f>
        <v>0</v>
      </c>
      <c r="BE53" s="76">
        <f>'Financial Analysis'!BF36/CO2e!$C$13*BE24/1000</f>
        <v>0</v>
      </c>
      <c r="BF53" s="76">
        <f>'Financial Analysis'!BG36/CO2e!$C$13*BF24/1000</f>
        <v>0</v>
      </c>
      <c r="BG53" s="76">
        <f>'Financial Analysis'!BH36/CO2e!$C$13*BG24/1000</f>
        <v>0</v>
      </c>
      <c r="BH53" s="76">
        <f>'Financial Analysis'!BI36/CO2e!$C$13*BH24/1000</f>
        <v>0</v>
      </c>
      <c r="BI53" s="76">
        <f>'Financial Analysis'!BJ36/CO2e!$C$13*BI24/1000</f>
        <v>0</v>
      </c>
      <c r="BJ53" s="76">
        <f>'Financial Analysis'!BK36/CO2e!$C$13*BJ24/1000</f>
        <v>0</v>
      </c>
      <c r="BK53" s="76">
        <f>'Financial Analysis'!BL36/CO2e!$C$13*BK24/1000</f>
        <v>0</v>
      </c>
    </row>
    <row r="54" spans="2:63" ht="4.5" customHeight="1">
      <c r="B54" s="146"/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  <c r="AV54" s="76"/>
      <c r="AW54" s="76"/>
      <c r="AX54" s="76"/>
      <c r="AY54" s="76"/>
      <c r="AZ54" s="76"/>
      <c r="BA54" s="76"/>
      <c r="BB54" s="76"/>
      <c r="BC54" s="76"/>
      <c r="BD54" s="76"/>
      <c r="BE54" s="76"/>
      <c r="BF54" s="76"/>
      <c r="BG54" s="76"/>
      <c r="BH54" s="76"/>
      <c r="BI54" s="76"/>
      <c r="BJ54" s="76"/>
      <c r="BK54" s="76"/>
    </row>
    <row r="55" spans="2:63">
      <c r="B55" s="146" t="s">
        <v>509</v>
      </c>
      <c r="D55" s="76">
        <f>'Financial Analysis'!E37/CO2e!$C$10*$C$9/1000</f>
        <v>0</v>
      </c>
      <c r="E55" s="76">
        <f>'Financial Analysis'!F37/CO2e!$C$10*$C$9/1000</f>
        <v>0</v>
      </c>
      <c r="F55" s="76">
        <f>'Financial Analysis'!G37/CO2e!$C$10*$C$9/1000</f>
        <v>0</v>
      </c>
      <c r="G55" s="76">
        <f>'Financial Analysis'!H37/CO2e!$C$10*$C$9/1000</f>
        <v>0</v>
      </c>
      <c r="H55" s="76">
        <f>'Financial Analysis'!I37/CO2e!$C$10*$C$9/1000</f>
        <v>0</v>
      </c>
      <c r="I55" s="76">
        <f>'Financial Analysis'!J37/CO2e!$C$10*$C$9/1000</f>
        <v>0</v>
      </c>
      <c r="J55" s="76">
        <f>'Financial Analysis'!K37/CO2e!$C$10*$C$9/1000</f>
        <v>0</v>
      </c>
      <c r="K55" s="76">
        <f>'Financial Analysis'!L37/CO2e!$C$10*$C$9/1000</f>
        <v>0</v>
      </c>
      <c r="L55" s="76">
        <f>'Financial Analysis'!M37/CO2e!$C$10*$C$9/1000</f>
        <v>0</v>
      </c>
      <c r="M55" s="76">
        <f>'Financial Analysis'!N37/CO2e!$C$10*$C$9/1000</f>
        <v>0</v>
      </c>
      <c r="N55" s="76">
        <f>'Financial Analysis'!O37/CO2e!$C$10*$C$9/1000</f>
        <v>0</v>
      </c>
      <c r="O55" s="76">
        <f>'Financial Analysis'!P37/CO2e!$C$10*$C$9/1000</f>
        <v>0</v>
      </c>
      <c r="P55" s="76">
        <f>'Financial Analysis'!Q37/CO2e!$C$10*$C$9/1000</f>
        <v>0</v>
      </c>
      <c r="Q55" s="76">
        <f>'Financial Analysis'!R37/CO2e!$C$10*$C$9/1000</f>
        <v>0</v>
      </c>
      <c r="R55" s="76">
        <f>'Financial Analysis'!S37/CO2e!$C$10*$C$9/1000</f>
        <v>0</v>
      </c>
      <c r="S55" s="76">
        <f>'Financial Analysis'!T37/CO2e!$C$10*$C$9/1000</f>
        <v>0</v>
      </c>
      <c r="T55" s="76">
        <f>'Financial Analysis'!U37/CO2e!$C$10*$C$9/1000</f>
        <v>0</v>
      </c>
      <c r="U55" s="76">
        <f>'Financial Analysis'!V37/CO2e!$C$10*$C$9/1000</f>
        <v>0</v>
      </c>
      <c r="V55" s="76">
        <f>'Financial Analysis'!W37/CO2e!$C$10*$C$9/1000</f>
        <v>0</v>
      </c>
      <c r="W55" s="76">
        <f>'Financial Analysis'!X37/CO2e!$C$10*$C$9/1000</f>
        <v>0</v>
      </c>
      <c r="X55" s="76">
        <f>'Financial Analysis'!Y37/CO2e!$C$10*$C$9/1000</f>
        <v>0</v>
      </c>
      <c r="Y55" s="76">
        <f>'Financial Analysis'!Z37/CO2e!$C$10*$C$9/1000</f>
        <v>0</v>
      </c>
      <c r="Z55" s="76">
        <f>'Financial Analysis'!AA37/CO2e!$C$10*$C$9/1000</f>
        <v>0</v>
      </c>
      <c r="AA55" s="76">
        <f>'Financial Analysis'!AB37/CO2e!$C$10*$C$9/1000</f>
        <v>0</v>
      </c>
      <c r="AB55" s="76">
        <f>'Financial Analysis'!AC37/CO2e!$C$10*$C$9/1000</f>
        <v>0</v>
      </c>
      <c r="AC55" s="76">
        <f>'Financial Analysis'!AD37/CO2e!$C$10*$C$9/1000</f>
        <v>0</v>
      </c>
      <c r="AD55" s="76">
        <f>'Financial Analysis'!AE37/CO2e!$C$10*$C$9/1000</f>
        <v>0</v>
      </c>
      <c r="AE55" s="76">
        <f>'Financial Analysis'!AF37/CO2e!$C$10*$C$9/1000</f>
        <v>0</v>
      </c>
      <c r="AF55" s="76">
        <f>'Financial Analysis'!AG37/CO2e!$C$10*$C$9/1000</f>
        <v>0</v>
      </c>
      <c r="AG55" s="76">
        <f>'Financial Analysis'!AH37/CO2e!$C$10*$C$9/1000</f>
        <v>0</v>
      </c>
      <c r="AH55" s="76">
        <f>'Financial Analysis'!AI37/CO2e!$C$10*$C$9/1000</f>
        <v>0</v>
      </c>
      <c r="AI55" s="76">
        <f>'Financial Analysis'!AJ37/CO2e!$C$10*$C$9/1000</f>
        <v>0</v>
      </c>
      <c r="AJ55" s="76">
        <f>'Financial Analysis'!AK37/CO2e!$C$10*$C$9/1000</f>
        <v>0</v>
      </c>
      <c r="AK55" s="76">
        <f>'Financial Analysis'!AL37/CO2e!$C$10*$C$9/1000</f>
        <v>0</v>
      </c>
      <c r="AL55" s="76">
        <f>'Financial Analysis'!AM37/CO2e!$C$10*$C$9/1000</f>
        <v>0</v>
      </c>
      <c r="AM55" s="76">
        <f>'Financial Analysis'!AN37/CO2e!$C$10*$C$9/1000</f>
        <v>0</v>
      </c>
      <c r="AN55" s="76">
        <f>'Financial Analysis'!AO37/CO2e!$C$10*$C$9/1000</f>
        <v>0</v>
      </c>
      <c r="AO55" s="76">
        <f>'Financial Analysis'!AP37/CO2e!$C$10*$C$9/1000</f>
        <v>0</v>
      </c>
      <c r="AP55" s="76">
        <f>'Financial Analysis'!AQ37/CO2e!$C$10*$C$9/1000</f>
        <v>0</v>
      </c>
      <c r="AQ55" s="76">
        <f>'Financial Analysis'!AR37/CO2e!$C$10*$C$9/1000</f>
        <v>0</v>
      </c>
      <c r="AR55" s="76">
        <f>'Financial Analysis'!AS37/CO2e!$C$10*$C$9/1000</f>
        <v>0</v>
      </c>
      <c r="AS55" s="76">
        <f>'Financial Analysis'!AT37/CO2e!$C$10*$C$9/1000</f>
        <v>0</v>
      </c>
      <c r="AT55" s="76">
        <f>'Financial Analysis'!AU37/CO2e!$C$10*$C$9/1000</f>
        <v>0</v>
      </c>
      <c r="AU55" s="76">
        <f>'Financial Analysis'!AV37/CO2e!$C$10*$C$9/1000</f>
        <v>0</v>
      </c>
      <c r="AV55" s="76">
        <f>'Financial Analysis'!AW37/CO2e!$C$10*$C$9/1000</f>
        <v>0</v>
      </c>
      <c r="AW55" s="76">
        <f>'Financial Analysis'!AX37/CO2e!$C$10*$C$9/1000</f>
        <v>0</v>
      </c>
      <c r="AX55" s="76">
        <f>'Financial Analysis'!AY37/CO2e!$C$10*$C$9/1000</f>
        <v>0</v>
      </c>
      <c r="AY55" s="76">
        <f>'Financial Analysis'!AZ37/CO2e!$C$10*$C$9/1000</f>
        <v>0</v>
      </c>
      <c r="AZ55" s="76">
        <f>'Financial Analysis'!BA37/CO2e!$C$10*$C$9/1000</f>
        <v>0</v>
      </c>
      <c r="BA55" s="76">
        <f>'Financial Analysis'!BB37/CO2e!$C$10*$C$9/1000</f>
        <v>0</v>
      </c>
      <c r="BB55" s="76">
        <f>'Financial Analysis'!BC37/CO2e!$C$10*$C$9/1000</f>
        <v>0</v>
      </c>
      <c r="BC55" s="76">
        <f>'Financial Analysis'!BD37/CO2e!$C$10*$C$9/1000</f>
        <v>0</v>
      </c>
      <c r="BD55" s="76">
        <f>'Financial Analysis'!BE37/CO2e!$C$10*$C$9/1000</f>
        <v>0</v>
      </c>
      <c r="BE55" s="76">
        <f>'Financial Analysis'!BF37/CO2e!$C$10*$C$9/1000</f>
        <v>0</v>
      </c>
      <c r="BF55" s="76">
        <f>'Financial Analysis'!BG37/CO2e!$C$10*$C$9/1000</f>
        <v>0</v>
      </c>
      <c r="BG55" s="76">
        <f>'Financial Analysis'!BH37/CO2e!$C$10*$C$9/1000</f>
        <v>0</v>
      </c>
      <c r="BH55" s="76">
        <f>'Financial Analysis'!BI37/CO2e!$C$10*$C$9/1000</f>
        <v>0</v>
      </c>
      <c r="BI55" s="76">
        <f>'Financial Analysis'!BJ37/CO2e!$C$10*$C$9/1000</f>
        <v>0</v>
      </c>
      <c r="BJ55" s="76">
        <f>'Financial Analysis'!BK37/CO2e!$C$10*$C$9/1000</f>
        <v>0</v>
      </c>
      <c r="BK55" s="76">
        <f>'Financial Analysis'!BL37/CO2e!$C$10*$C$9/1000</f>
        <v>0</v>
      </c>
    </row>
    <row r="56" spans="2:63">
      <c r="B56" s="146" t="s">
        <v>511</v>
      </c>
      <c r="D56" s="76">
        <f>'Financial Analysis'!E37/CO2e!$C$13*D25/1000</f>
        <v>0</v>
      </c>
      <c r="E56" s="76">
        <f>'Financial Analysis'!F37/CO2e!$C$13*E25/1000</f>
        <v>0</v>
      </c>
      <c r="F56" s="76">
        <f>'Financial Analysis'!G37/CO2e!$C$13*F25/1000</f>
        <v>0</v>
      </c>
      <c r="G56" s="76">
        <f>'Financial Analysis'!H37/CO2e!$C$13*G25/1000</f>
        <v>0</v>
      </c>
      <c r="H56" s="76">
        <f>'Financial Analysis'!I37/CO2e!$C$13*H25/1000</f>
        <v>0</v>
      </c>
      <c r="I56" s="76">
        <f>'Financial Analysis'!J37/CO2e!$C$13*I25/1000</f>
        <v>0</v>
      </c>
      <c r="J56" s="76">
        <f>'Financial Analysis'!K37/CO2e!$C$13*J25/1000</f>
        <v>0</v>
      </c>
      <c r="K56" s="76">
        <f>'Financial Analysis'!L37/CO2e!$C$13*K25/1000</f>
        <v>0</v>
      </c>
      <c r="L56" s="76">
        <f>'Financial Analysis'!M37/CO2e!$C$13*L25/1000</f>
        <v>0</v>
      </c>
      <c r="M56" s="76">
        <f>'Financial Analysis'!N37/CO2e!$C$13*M25/1000</f>
        <v>0</v>
      </c>
      <c r="N56" s="76">
        <f>'Financial Analysis'!O37/CO2e!$C$13*N25/1000</f>
        <v>0</v>
      </c>
      <c r="O56" s="76">
        <f>'Financial Analysis'!P37/CO2e!$C$13*O25/1000</f>
        <v>0</v>
      </c>
      <c r="P56" s="76">
        <f>'Financial Analysis'!Q37/CO2e!$C$13*P25/1000</f>
        <v>0</v>
      </c>
      <c r="Q56" s="76">
        <f>'Financial Analysis'!R37/CO2e!$C$13*Q25/1000</f>
        <v>0</v>
      </c>
      <c r="R56" s="76">
        <f>'Financial Analysis'!S37/CO2e!$C$13*R25/1000</f>
        <v>0</v>
      </c>
      <c r="S56" s="76">
        <f>'Financial Analysis'!T37/CO2e!$C$13*S25/1000</f>
        <v>0</v>
      </c>
      <c r="T56" s="76">
        <f>'Financial Analysis'!U37/CO2e!$C$13*T25/1000</f>
        <v>0</v>
      </c>
      <c r="U56" s="76">
        <f>'Financial Analysis'!V37/CO2e!$C$13*U25/1000</f>
        <v>0</v>
      </c>
      <c r="V56" s="76">
        <f>'Financial Analysis'!W37/CO2e!$C$13*V25/1000</f>
        <v>0</v>
      </c>
      <c r="W56" s="76">
        <f>'Financial Analysis'!X37/CO2e!$C$13*W25/1000</f>
        <v>0</v>
      </c>
      <c r="X56" s="76">
        <f>'Financial Analysis'!Y37/CO2e!$C$13*X25/1000</f>
        <v>0</v>
      </c>
      <c r="Y56" s="76">
        <f>'Financial Analysis'!Z37/CO2e!$C$13*Y25/1000</f>
        <v>0</v>
      </c>
      <c r="Z56" s="76">
        <f>'Financial Analysis'!AA37/CO2e!$C$13*Z25/1000</f>
        <v>0</v>
      </c>
      <c r="AA56" s="76">
        <f>'Financial Analysis'!AB37/CO2e!$C$13*AA25/1000</f>
        <v>0</v>
      </c>
      <c r="AB56" s="76">
        <f>'Financial Analysis'!AC37/CO2e!$C$13*AB25/1000</f>
        <v>0</v>
      </c>
      <c r="AC56" s="76">
        <f>'Financial Analysis'!AD37/CO2e!$C$13*AC25/1000</f>
        <v>0</v>
      </c>
      <c r="AD56" s="76">
        <f>'Financial Analysis'!AE37/CO2e!$C$13*AD25/1000</f>
        <v>0</v>
      </c>
      <c r="AE56" s="76">
        <f>'Financial Analysis'!AF37/CO2e!$C$13*AE25/1000</f>
        <v>0</v>
      </c>
      <c r="AF56" s="76">
        <f>'Financial Analysis'!AG37/CO2e!$C$13*AF25/1000</f>
        <v>0</v>
      </c>
      <c r="AG56" s="76">
        <f>'Financial Analysis'!AH37/CO2e!$C$13*AG25/1000</f>
        <v>0</v>
      </c>
      <c r="AH56" s="76">
        <f>'Financial Analysis'!AI37/CO2e!$C$13*AH25/1000</f>
        <v>0</v>
      </c>
      <c r="AI56" s="76">
        <f>'Financial Analysis'!AJ37/CO2e!$C$13*AI25/1000</f>
        <v>0</v>
      </c>
      <c r="AJ56" s="76">
        <f>'Financial Analysis'!AK37/CO2e!$C$13*AJ25/1000</f>
        <v>0</v>
      </c>
      <c r="AK56" s="76">
        <f>'Financial Analysis'!AL37/CO2e!$C$13*AK25/1000</f>
        <v>0</v>
      </c>
      <c r="AL56" s="76">
        <f>'Financial Analysis'!AM37/CO2e!$C$13*AL25/1000</f>
        <v>0</v>
      </c>
      <c r="AM56" s="76">
        <f>'Financial Analysis'!AN37/CO2e!$C$13*AM25/1000</f>
        <v>0</v>
      </c>
      <c r="AN56" s="76">
        <f>'Financial Analysis'!AO37/CO2e!$C$13*AN25/1000</f>
        <v>0</v>
      </c>
      <c r="AO56" s="76">
        <f>'Financial Analysis'!AP37/CO2e!$C$13*AO25/1000</f>
        <v>0</v>
      </c>
      <c r="AP56" s="76">
        <f>'Financial Analysis'!AQ37/CO2e!$C$13*AP25/1000</f>
        <v>0</v>
      </c>
      <c r="AQ56" s="76">
        <f>'Financial Analysis'!AR37/CO2e!$C$13*AQ25/1000</f>
        <v>0</v>
      </c>
      <c r="AR56" s="76">
        <f>'Financial Analysis'!AS37/CO2e!$C$13*AR25/1000</f>
        <v>0</v>
      </c>
      <c r="AS56" s="76">
        <f>'Financial Analysis'!AT37/CO2e!$C$13*AS25/1000</f>
        <v>0</v>
      </c>
      <c r="AT56" s="76">
        <f>'Financial Analysis'!AU37/CO2e!$C$13*AT25/1000</f>
        <v>0</v>
      </c>
      <c r="AU56" s="76">
        <f>'Financial Analysis'!AV37/CO2e!$C$13*AU25/1000</f>
        <v>0</v>
      </c>
      <c r="AV56" s="76">
        <f>'Financial Analysis'!AW37/CO2e!$C$13*AV25/1000</f>
        <v>0</v>
      </c>
      <c r="AW56" s="76">
        <f>'Financial Analysis'!AX37/CO2e!$C$13*AW25/1000</f>
        <v>0</v>
      </c>
      <c r="AX56" s="76">
        <f>'Financial Analysis'!AY37/CO2e!$C$13*AX25/1000</f>
        <v>0</v>
      </c>
      <c r="AY56" s="76">
        <f>'Financial Analysis'!AZ37/CO2e!$C$13*AY25/1000</f>
        <v>0</v>
      </c>
      <c r="AZ56" s="76">
        <f>'Financial Analysis'!BA37/CO2e!$C$13*AZ25/1000</f>
        <v>0</v>
      </c>
      <c r="BA56" s="76">
        <f>'Financial Analysis'!BB37/CO2e!$C$13*BA25/1000</f>
        <v>0</v>
      </c>
      <c r="BB56" s="76">
        <f>'Financial Analysis'!BC37/CO2e!$C$13*BB25/1000</f>
        <v>0</v>
      </c>
      <c r="BC56" s="76">
        <f>'Financial Analysis'!BD37/CO2e!$C$13*BC25/1000</f>
        <v>0</v>
      </c>
      <c r="BD56" s="76">
        <f>'Financial Analysis'!BE37/CO2e!$C$13*BD25/1000</f>
        <v>0</v>
      </c>
      <c r="BE56" s="76">
        <f>'Financial Analysis'!BF37/CO2e!$C$13*BE25/1000</f>
        <v>0</v>
      </c>
      <c r="BF56" s="76">
        <f>'Financial Analysis'!BG37/CO2e!$C$13*BF25/1000</f>
        <v>0</v>
      </c>
      <c r="BG56" s="76">
        <f>'Financial Analysis'!BH37/CO2e!$C$13*BG25/1000</f>
        <v>0</v>
      </c>
      <c r="BH56" s="76">
        <f>'Financial Analysis'!BI37/CO2e!$C$13*BH25/1000</f>
        <v>0</v>
      </c>
      <c r="BI56" s="76">
        <f>'Financial Analysis'!BJ37/CO2e!$C$13*BI25/1000</f>
        <v>0</v>
      </c>
      <c r="BJ56" s="76">
        <f>'Financial Analysis'!BK37/CO2e!$C$13*BJ25/1000</f>
        <v>0</v>
      </c>
      <c r="BK56" s="76">
        <f>'Financial Analysis'!BL37/CO2e!$C$13*BK25/1000</f>
        <v>0</v>
      </c>
    </row>
    <row r="57" spans="2:63" ht="5.25" customHeight="1"/>
    <row r="58" spans="2:63">
      <c r="B58" s="216" t="s">
        <v>525</v>
      </c>
      <c r="D58" s="76">
        <f>('Financial Analysis'!E36/CO2e!$C$11*D24/1000)+('Financial Analysis'!E37/CO2e!$C$12*D25/1000)</f>
        <v>0</v>
      </c>
      <c r="E58" s="76">
        <f>('Financial Analysis'!F36/CO2e!$C$11*E24/1000)+('Financial Analysis'!F37/CO2e!$C$12*E25/1000)</f>
        <v>0</v>
      </c>
      <c r="F58" s="76">
        <f>('Financial Analysis'!G36/CO2e!$C$11*F24/1000)+('Financial Analysis'!G37/CO2e!$C$12*F25/1000)</f>
        <v>0</v>
      </c>
      <c r="G58" s="76">
        <f>('Financial Analysis'!H36/CO2e!$C$11*G24/1000)+('Financial Analysis'!H37/CO2e!$C$12*G25/1000)</f>
        <v>0</v>
      </c>
      <c r="H58" s="76">
        <f>('Financial Analysis'!I36/CO2e!$C$11*H24/1000)+('Financial Analysis'!I37/CO2e!$C$12*H25/1000)</f>
        <v>0</v>
      </c>
      <c r="I58" s="76">
        <f>('Financial Analysis'!J36/CO2e!$C$11*I24/1000)+('Financial Analysis'!J37/CO2e!$C$12*I25/1000)</f>
        <v>0</v>
      </c>
      <c r="J58" s="76">
        <f>('Financial Analysis'!K36/CO2e!$C$11*J24/1000)+('Financial Analysis'!K37/CO2e!$C$12*J25/1000)</f>
        <v>0</v>
      </c>
      <c r="K58" s="76">
        <f>('Financial Analysis'!L36/CO2e!$C$11*K24/1000)+('Financial Analysis'!L37/CO2e!$C$12*K25/1000)</f>
        <v>0</v>
      </c>
      <c r="L58" s="76">
        <f>('Financial Analysis'!M36/CO2e!$C$11*L24/1000)+('Financial Analysis'!M37/CO2e!$C$12*L25/1000)</f>
        <v>0</v>
      </c>
      <c r="M58" s="76">
        <f>('Financial Analysis'!N36/CO2e!$C$11*M24/1000)+('Financial Analysis'!N37/CO2e!$C$12*M25/1000)</f>
        <v>0</v>
      </c>
      <c r="N58" s="76">
        <f>('Financial Analysis'!O36/CO2e!$C$11*N24/1000)+('Financial Analysis'!O37/CO2e!$C$12*N25/1000)</f>
        <v>0</v>
      </c>
      <c r="O58" s="76">
        <f>('Financial Analysis'!P36/CO2e!$C$11*O24/1000)+('Financial Analysis'!P37/CO2e!$C$12*O25/1000)</f>
        <v>0</v>
      </c>
      <c r="P58" s="76">
        <f>('Financial Analysis'!Q36/CO2e!$C$11*P24/1000)+('Financial Analysis'!Q37/CO2e!$C$12*P25/1000)</f>
        <v>0</v>
      </c>
      <c r="Q58" s="76">
        <f>('Financial Analysis'!R36/CO2e!$C$11*Q24/1000)+('Financial Analysis'!R37/CO2e!$C$12*Q25/1000)</f>
        <v>0</v>
      </c>
      <c r="R58" s="76">
        <f>('Financial Analysis'!S36/CO2e!$C$11*R24/1000)+('Financial Analysis'!S37/CO2e!$C$12*R25/1000)</f>
        <v>0</v>
      </c>
      <c r="S58" s="76">
        <f>('Financial Analysis'!T36/CO2e!$C$11*S24/1000)+('Financial Analysis'!T37/CO2e!$C$12*S25/1000)</f>
        <v>0</v>
      </c>
      <c r="T58" s="76">
        <f>('Financial Analysis'!U36/CO2e!$C$11*T24/1000)+('Financial Analysis'!U37/CO2e!$C$12*T25/1000)</f>
        <v>0</v>
      </c>
      <c r="U58" s="76">
        <f>('Financial Analysis'!V36/CO2e!$C$11*U24/1000)+('Financial Analysis'!V37/CO2e!$C$12*U25/1000)</f>
        <v>0</v>
      </c>
      <c r="V58" s="76">
        <f>('Financial Analysis'!W36/CO2e!$C$11*V24/1000)+('Financial Analysis'!W37/CO2e!$C$12*V25/1000)</f>
        <v>0</v>
      </c>
      <c r="W58" s="76">
        <f>('Financial Analysis'!X36/CO2e!$C$11*W24/1000)+('Financial Analysis'!X37/CO2e!$C$12*W25/1000)</f>
        <v>0</v>
      </c>
      <c r="X58" s="76">
        <f>('Financial Analysis'!Y36/CO2e!$C$11*X24/1000)+('Financial Analysis'!Y37/CO2e!$C$12*X25/1000)</f>
        <v>0</v>
      </c>
      <c r="Y58" s="76">
        <f>('Financial Analysis'!Z36/CO2e!$C$11*Y24/1000)+('Financial Analysis'!Z37/CO2e!$C$12*Y25/1000)</f>
        <v>0</v>
      </c>
      <c r="Z58" s="76">
        <f>('Financial Analysis'!AA36/CO2e!$C$11*Z24/1000)+('Financial Analysis'!AA37/CO2e!$C$12*Z25/1000)</f>
        <v>0</v>
      </c>
      <c r="AA58" s="76">
        <f>('Financial Analysis'!AB36/CO2e!$C$11*AA24/1000)+('Financial Analysis'!AB37/CO2e!$C$12*AA25/1000)</f>
        <v>0</v>
      </c>
      <c r="AB58" s="76">
        <f>('Financial Analysis'!AC36/CO2e!$C$11*AB24/1000)+('Financial Analysis'!AC37/CO2e!$C$12*AB25/1000)</f>
        <v>0</v>
      </c>
      <c r="AC58" s="76">
        <f>('Financial Analysis'!AD36/CO2e!$C$11*AC24/1000)+('Financial Analysis'!AD37/CO2e!$C$12*AC25/1000)</f>
        <v>0</v>
      </c>
      <c r="AD58" s="76">
        <f>('Financial Analysis'!AE36/CO2e!$C$11*AD24/1000)+('Financial Analysis'!AE37/CO2e!$C$12*AD25/1000)</f>
        <v>0</v>
      </c>
      <c r="AE58" s="76">
        <f>('Financial Analysis'!AF36/CO2e!$C$11*AE24/1000)+('Financial Analysis'!AF37/CO2e!$C$12*AE25/1000)</f>
        <v>0</v>
      </c>
      <c r="AF58" s="76">
        <f>('Financial Analysis'!AG36/CO2e!$C$11*AF24/1000)+('Financial Analysis'!AG37/CO2e!$C$12*AF25/1000)</f>
        <v>0</v>
      </c>
      <c r="AG58" s="76">
        <f>('Financial Analysis'!AH36/CO2e!$C$11*AG24/1000)+('Financial Analysis'!AH37/CO2e!$C$12*AG25/1000)</f>
        <v>0</v>
      </c>
      <c r="AH58" s="76">
        <f>('Financial Analysis'!AI36/CO2e!$C$11*AH24/1000)+('Financial Analysis'!AI37/CO2e!$C$12*AH25/1000)</f>
        <v>0</v>
      </c>
      <c r="AI58" s="76">
        <f>('Financial Analysis'!AJ36/CO2e!$C$11*AI24/1000)+('Financial Analysis'!AJ37/CO2e!$C$12*AI25/1000)</f>
        <v>0</v>
      </c>
      <c r="AJ58" s="76">
        <f>('Financial Analysis'!AK36/CO2e!$C$11*AJ24/1000)+('Financial Analysis'!AK37/CO2e!$C$12*AJ25/1000)</f>
        <v>0</v>
      </c>
      <c r="AK58" s="76">
        <f>('Financial Analysis'!AL36/CO2e!$C$11*AK24/1000)+('Financial Analysis'!AL37/CO2e!$C$12*AK25/1000)</f>
        <v>0</v>
      </c>
      <c r="AL58" s="76">
        <f>('Financial Analysis'!AM36/CO2e!$C$11*AL24/1000)+('Financial Analysis'!AM37/CO2e!$C$12*AL25/1000)</f>
        <v>0</v>
      </c>
      <c r="AM58" s="76">
        <f>('Financial Analysis'!AN36/CO2e!$C$11*AM24/1000)+('Financial Analysis'!AN37/CO2e!$C$12*AM25/1000)</f>
        <v>0</v>
      </c>
      <c r="AN58" s="76">
        <f>('Financial Analysis'!AO36/CO2e!$C$11*AN24/1000)+('Financial Analysis'!AO37/CO2e!$C$12*AN25/1000)</f>
        <v>0</v>
      </c>
      <c r="AO58" s="76">
        <f>('Financial Analysis'!AP36/CO2e!$C$11*AO24/1000)+('Financial Analysis'!AP37/CO2e!$C$12*AO25/1000)</f>
        <v>0</v>
      </c>
      <c r="AP58" s="76">
        <f>('Financial Analysis'!AQ36/CO2e!$C$11*AP24/1000)+('Financial Analysis'!AQ37/CO2e!$C$12*AP25/1000)</f>
        <v>0</v>
      </c>
      <c r="AQ58" s="76">
        <f>('Financial Analysis'!AR36/CO2e!$C$11*AQ24/1000)+('Financial Analysis'!AR37/CO2e!$C$12*AQ25/1000)</f>
        <v>0</v>
      </c>
      <c r="AR58" s="76">
        <f>('Financial Analysis'!AS36/CO2e!$C$11*AR24/1000)+('Financial Analysis'!AS37/CO2e!$C$12*AR25/1000)</f>
        <v>0</v>
      </c>
      <c r="AS58" s="76">
        <f>('Financial Analysis'!AT36/CO2e!$C$11*AS24/1000)+('Financial Analysis'!AT37/CO2e!$C$12*AS25/1000)</f>
        <v>0</v>
      </c>
      <c r="AT58" s="76">
        <f>('Financial Analysis'!AU36/CO2e!$C$11*AT24/1000)+('Financial Analysis'!AU37/CO2e!$C$12*AT25/1000)</f>
        <v>0</v>
      </c>
      <c r="AU58" s="76">
        <f>('Financial Analysis'!AV36/CO2e!$C$11*AU24/1000)+('Financial Analysis'!AV37/CO2e!$C$12*AU25/1000)</f>
        <v>0</v>
      </c>
      <c r="AV58" s="76">
        <f>('Financial Analysis'!AW36/CO2e!$C$11*AV24/1000)+('Financial Analysis'!AW37/CO2e!$C$12*AV25/1000)</f>
        <v>0</v>
      </c>
      <c r="AW58" s="76">
        <f>('Financial Analysis'!AX36/CO2e!$C$11*AW24/1000)+('Financial Analysis'!AX37/CO2e!$C$12*AW25/1000)</f>
        <v>0</v>
      </c>
      <c r="AX58" s="76">
        <f>('Financial Analysis'!AY36/CO2e!$C$11*AX24/1000)+('Financial Analysis'!AY37/CO2e!$C$12*AX25/1000)</f>
        <v>0</v>
      </c>
      <c r="AY58" s="76">
        <f>('Financial Analysis'!AZ36/CO2e!$C$11*AY24/1000)+('Financial Analysis'!AZ37/CO2e!$C$12*AY25/1000)</f>
        <v>0</v>
      </c>
      <c r="AZ58" s="76">
        <f>('Financial Analysis'!BA36/CO2e!$C$11*AZ24/1000)+('Financial Analysis'!BA37/CO2e!$C$12*AZ25/1000)</f>
        <v>0</v>
      </c>
      <c r="BA58" s="76">
        <f>('Financial Analysis'!BB36/CO2e!$C$11*BA24/1000)+('Financial Analysis'!BB37/CO2e!$C$12*BA25/1000)</f>
        <v>0</v>
      </c>
      <c r="BB58" s="76">
        <f>('Financial Analysis'!BC36/CO2e!$C$11*BB24/1000)+('Financial Analysis'!BC37/CO2e!$C$12*BB25/1000)</f>
        <v>0</v>
      </c>
      <c r="BC58" s="76">
        <f>('Financial Analysis'!BD36/CO2e!$C$11*BC24/1000)+('Financial Analysis'!BD37/CO2e!$C$12*BC25/1000)</f>
        <v>0</v>
      </c>
      <c r="BD58" s="76">
        <f>('Financial Analysis'!BE36/CO2e!$C$11*BD24/1000)+('Financial Analysis'!BE37/CO2e!$C$12*BD25/1000)</f>
        <v>0</v>
      </c>
      <c r="BE58" s="76">
        <f>('Financial Analysis'!BF36/CO2e!$C$11*BE24/1000)+('Financial Analysis'!BF37/CO2e!$C$12*BE25/1000)</f>
        <v>0</v>
      </c>
      <c r="BF58" s="76">
        <f>('Financial Analysis'!BG36/CO2e!$C$11*BF24/1000)+('Financial Analysis'!BG37/CO2e!$C$12*BF25/1000)</f>
        <v>0</v>
      </c>
      <c r="BG58" s="76">
        <f>('Financial Analysis'!BH36/CO2e!$C$11*BG24/1000)+('Financial Analysis'!BH37/CO2e!$C$12*BG25/1000)</f>
        <v>0</v>
      </c>
      <c r="BH58" s="76">
        <f>('Financial Analysis'!BI36/CO2e!$C$11*BH24/1000)+('Financial Analysis'!BI37/CO2e!$C$12*BH25/1000)</f>
        <v>0</v>
      </c>
      <c r="BI58" s="76">
        <f>('Financial Analysis'!BJ36/CO2e!$C$11*BI24/1000)+('Financial Analysis'!BJ37/CO2e!$C$12*BI25/1000)</f>
        <v>0</v>
      </c>
      <c r="BJ58" s="76">
        <f>('Financial Analysis'!BK36/CO2e!$C$11*BJ24/1000)+('Financial Analysis'!BK37/CO2e!$C$12*BJ25/1000)</f>
        <v>0</v>
      </c>
      <c r="BK58" s="76">
        <f>('Financial Analysis'!BL36/CO2e!$C$11*BK24/1000)+('Financial Analysis'!BL37/CO2e!$C$12*BK25/1000)</f>
        <v>0</v>
      </c>
    </row>
    <row r="59" spans="2:63">
      <c r="B59" s="216" t="s">
        <v>514</v>
      </c>
      <c r="D59" s="100">
        <f>D52+D55</f>
        <v>0</v>
      </c>
      <c r="E59" s="100">
        <f>E52+E55</f>
        <v>0</v>
      </c>
      <c r="F59" s="100">
        <f>F52+F55</f>
        <v>0</v>
      </c>
      <c r="G59" s="100">
        <f>G52+G55</f>
        <v>0</v>
      </c>
      <c r="H59" s="100">
        <f>H52+H55</f>
        <v>0</v>
      </c>
      <c r="I59" s="100">
        <f>I52+I55</f>
        <v>0</v>
      </c>
      <c r="J59" s="100">
        <f>J52+J55</f>
        <v>0</v>
      </c>
      <c r="K59" s="100">
        <f>K52+K55</f>
        <v>0</v>
      </c>
      <c r="L59" s="100">
        <f>L52+L55</f>
        <v>0</v>
      </c>
      <c r="M59" s="100">
        <f>M52+M55</f>
        <v>0</v>
      </c>
      <c r="N59" s="100">
        <f>N52+N55</f>
        <v>0</v>
      </c>
      <c r="O59" s="100">
        <f>O52+O55</f>
        <v>0</v>
      </c>
      <c r="P59" s="100">
        <f>P52+P55</f>
        <v>0</v>
      </c>
      <c r="Q59" s="100">
        <f>Q52+Q55</f>
        <v>0</v>
      </c>
      <c r="R59" s="100">
        <f>R52+R55</f>
        <v>0</v>
      </c>
      <c r="S59" s="100">
        <f>S52+S55</f>
        <v>0</v>
      </c>
      <c r="T59" s="100">
        <f>T52+T55</f>
        <v>0</v>
      </c>
      <c r="U59" s="100">
        <f>U52+U55</f>
        <v>0</v>
      </c>
      <c r="V59" s="100">
        <f>V52+V55</f>
        <v>0</v>
      </c>
      <c r="W59" s="100">
        <f>W52+W55</f>
        <v>0</v>
      </c>
      <c r="X59" s="100">
        <f>X52+X55</f>
        <v>0</v>
      </c>
      <c r="Y59" s="100">
        <f>Y52+Y55</f>
        <v>0</v>
      </c>
      <c r="Z59" s="100">
        <f>Z52+Z55</f>
        <v>0</v>
      </c>
      <c r="AA59" s="100">
        <f>AA52+AA55</f>
        <v>0</v>
      </c>
      <c r="AB59" s="100">
        <f>AB52+AB55</f>
        <v>0</v>
      </c>
      <c r="AC59" s="100">
        <f>AC52+AC55</f>
        <v>0</v>
      </c>
      <c r="AD59" s="100">
        <f>AD52+AD55</f>
        <v>0</v>
      </c>
      <c r="AE59" s="100">
        <f>AE52+AE55</f>
        <v>0</v>
      </c>
      <c r="AF59" s="100">
        <f>AF52+AF55</f>
        <v>0</v>
      </c>
      <c r="AG59" s="100">
        <f>AG52+AG55</f>
        <v>0</v>
      </c>
      <c r="AH59" s="100">
        <f>AH52+AH55</f>
        <v>0</v>
      </c>
      <c r="AI59" s="100">
        <f>AI52+AI55</f>
        <v>0</v>
      </c>
      <c r="AJ59" s="100">
        <f>AJ52+AJ55</f>
        <v>0</v>
      </c>
      <c r="AK59" s="100">
        <f>AK52+AK55</f>
        <v>0</v>
      </c>
      <c r="AL59" s="100">
        <f>AL52+AL55</f>
        <v>0</v>
      </c>
      <c r="AM59" s="100">
        <f>AM52+AM55</f>
        <v>0</v>
      </c>
      <c r="AN59" s="100">
        <f>AN52+AN55</f>
        <v>0</v>
      </c>
      <c r="AO59" s="100">
        <f>AO52+AO55</f>
        <v>0</v>
      </c>
      <c r="AP59" s="100">
        <f>AP52+AP55</f>
        <v>0</v>
      </c>
      <c r="AQ59" s="100">
        <f>AQ52+AQ55</f>
        <v>0</v>
      </c>
      <c r="AR59" s="100">
        <f>AR52+AR55</f>
        <v>0</v>
      </c>
      <c r="AS59" s="100">
        <f>AS52+AS55</f>
        <v>0</v>
      </c>
      <c r="AT59" s="100">
        <f>AT52+AT55</f>
        <v>0</v>
      </c>
      <c r="AU59" s="100">
        <f>AU52+AU55</f>
        <v>0</v>
      </c>
      <c r="AV59" s="100">
        <f>AV52+AV55</f>
        <v>0</v>
      </c>
      <c r="AW59" s="100">
        <f>AW52+AW55</f>
        <v>0</v>
      </c>
      <c r="AX59" s="100">
        <f>AX52+AX55</f>
        <v>0</v>
      </c>
      <c r="AY59" s="100">
        <f>AY52+AY55</f>
        <v>0</v>
      </c>
      <c r="AZ59" s="100">
        <f>AZ52+AZ55</f>
        <v>0</v>
      </c>
      <c r="BA59" s="100">
        <f>BA52+BA55</f>
        <v>0</v>
      </c>
      <c r="BB59" s="100">
        <f>BB52+BB55</f>
        <v>0</v>
      </c>
      <c r="BC59" s="100">
        <f>BC52+BC55</f>
        <v>0</v>
      </c>
      <c r="BD59" s="100">
        <f>BD52+BD55</f>
        <v>0</v>
      </c>
      <c r="BE59" s="100">
        <f>BE52+BE55</f>
        <v>0</v>
      </c>
      <c r="BF59" s="100">
        <f>BF52+BF55</f>
        <v>0</v>
      </c>
      <c r="BG59" s="100">
        <f>BG52+BG55</f>
        <v>0</v>
      </c>
      <c r="BH59" s="100">
        <f>BH52+BH55</f>
        <v>0</v>
      </c>
      <c r="BI59" s="100">
        <f>BI52+BI55</f>
        <v>0</v>
      </c>
      <c r="BJ59" s="100">
        <f>BJ52+BJ55</f>
        <v>0</v>
      </c>
      <c r="BK59" s="100">
        <f>BK52+BK55</f>
        <v>0</v>
      </c>
    </row>
    <row r="60" spans="2:63">
      <c r="B60" s="216" t="s">
        <v>526</v>
      </c>
      <c r="D60" s="100">
        <f>D58</f>
        <v>0</v>
      </c>
      <c r="E60" s="100">
        <f>E58</f>
        <v>0</v>
      </c>
      <c r="F60" s="100">
        <f>F58</f>
        <v>0</v>
      </c>
      <c r="G60" s="100">
        <f>G58</f>
        <v>0</v>
      </c>
      <c r="H60" s="100">
        <f>H58</f>
        <v>0</v>
      </c>
      <c r="I60" s="100">
        <f>I58</f>
        <v>0</v>
      </c>
      <c r="J60" s="100">
        <f>J58</f>
        <v>0</v>
      </c>
      <c r="K60" s="100">
        <f>K58</f>
        <v>0</v>
      </c>
      <c r="L60" s="100">
        <f>L58</f>
        <v>0</v>
      </c>
      <c r="M60" s="100">
        <f>M58</f>
        <v>0</v>
      </c>
      <c r="N60" s="100">
        <f>N58</f>
        <v>0</v>
      </c>
      <c r="O60" s="100">
        <f>O58</f>
        <v>0</v>
      </c>
      <c r="P60" s="100">
        <f>P58</f>
        <v>0</v>
      </c>
      <c r="Q60" s="100">
        <f>Q58</f>
        <v>0</v>
      </c>
      <c r="R60" s="100">
        <f>R58</f>
        <v>0</v>
      </c>
      <c r="S60" s="100">
        <f>S58</f>
        <v>0</v>
      </c>
      <c r="T60" s="100">
        <f>T58</f>
        <v>0</v>
      </c>
      <c r="U60" s="100">
        <f>U58</f>
        <v>0</v>
      </c>
      <c r="V60" s="100">
        <f>V58</f>
        <v>0</v>
      </c>
      <c r="W60" s="100">
        <f>W58</f>
        <v>0</v>
      </c>
      <c r="X60" s="100">
        <f>X58</f>
        <v>0</v>
      </c>
      <c r="Y60" s="100">
        <f>Y58</f>
        <v>0</v>
      </c>
      <c r="Z60" s="100">
        <f>Z58</f>
        <v>0</v>
      </c>
      <c r="AA60" s="100">
        <f>AA58</f>
        <v>0</v>
      </c>
      <c r="AB60" s="100">
        <f>AB58</f>
        <v>0</v>
      </c>
      <c r="AC60" s="100">
        <f>AC58</f>
        <v>0</v>
      </c>
      <c r="AD60" s="100">
        <f>AD58</f>
        <v>0</v>
      </c>
      <c r="AE60" s="100">
        <f>AE58</f>
        <v>0</v>
      </c>
      <c r="AF60" s="100">
        <f>AF58</f>
        <v>0</v>
      </c>
      <c r="AG60" s="100">
        <f>AG58</f>
        <v>0</v>
      </c>
      <c r="AH60" s="100">
        <f>AH58</f>
        <v>0</v>
      </c>
      <c r="AI60" s="100">
        <f>AI58</f>
        <v>0</v>
      </c>
      <c r="AJ60" s="100">
        <f>AJ58</f>
        <v>0</v>
      </c>
      <c r="AK60" s="100">
        <f>AK58</f>
        <v>0</v>
      </c>
      <c r="AL60" s="100">
        <f>AL58</f>
        <v>0</v>
      </c>
      <c r="AM60" s="100">
        <f>AM58</f>
        <v>0</v>
      </c>
      <c r="AN60" s="100">
        <f>AN58</f>
        <v>0</v>
      </c>
      <c r="AO60" s="100">
        <f>AO58</f>
        <v>0</v>
      </c>
      <c r="AP60" s="100">
        <f>AP58</f>
        <v>0</v>
      </c>
      <c r="AQ60" s="100">
        <f>AQ58</f>
        <v>0</v>
      </c>
      <c r="AR60" s="100">
        <f>AR58</f>
        <v>0</v>
      </c>
      <c r="AS60" s="100">
        <f>AS58</f>
        <v>0</v>
      </c>
      <c r="AT60" s="100">
        <f>AT58</f>
        <v>0</v>
      </c>
      <c r="AU60" s="100">
        <f>AU58</f>
        <v>0</v>
      </c>
      <c r="AV60" s="100">
        <f>AV58</f>
        <v>0</v>
      </c>
      <c r="AW60" s="100">
        <f>AW58</f>
        <v>0</v>
      </c>
      <c r="AX60" s="100">
        <f>AX58</f>
        <v>0</v>
      </c>
      <c r="AY60" s="100">
        <f>AY58</f>
        <v>0</v>
      </c>
      <c r="AZ60" s="100">
        <f>AZ58</f>
        <v>0</v>
      </c>
      <c r="BA60" s="100">
        <f>BA58</f>
        <v>0</v>
      </c>
      <c r="BB60" s="100">
        <f>BB58</f>
        <v>0</v>
      </c>
      <c r="BC60" s="100">
        <f>BC58</f>
        <v>0</v>
      </c>
      <c r="BD60" s="100">
        <f>BD58</f>
        <v>0</v>
      </c>
      <c r="BE60" s="100">
        <f>BE58</f>
        <v>0</v>
      </c>
      <c r="BF60" s="100">
        <f>BF58</f>
        <v>0</v>
      </c>
      <c r="BG60" s="100">
        <f>BG58</f>
        <v>0</v>
      </c>
      <c r="BH60" s="100">
        <f>BH58</f>
        <v>0</v>
      </c>
      <c r="BI60" s="100">
        <f>BI58</f>
        <v>0</v>
      </c>
      <c r="BJ60" s="100">
        <f>BJ58</f>
        <v>0</v>
      </c>
      <c r="BK60" s="100">
        <f>BK58</f>
        <v>0</v>
      </c>
    </row>
    <row r="61" spans="2:63">
      <c r="B61" s="216" t="s">
        <v>516</v>
      </c>
      <c r="D61" s="100">
        <f>D59-D60</f>
        <v>0</v>
      </c>
      <c r="E61" s="100">
        <f>E59-E60</f>
        <v>0</v>
      </c>
      <c r="F61" s="100">
        <f>F59-F60</f>
        <v>0</v>
      </c>
      <c r="G61" s="100">
        <f>G59-G60</f>
        <v>0</v>
      </c>
      <c r="H61" s="100">
        <f>H59-H60</f>
        <v>0</v>
      </c>
      <c r="I61" s="100">
        <f>I59-I60</f>
        <v>0</v>
      </c>
      <c r="J61" s="100">
        <f>J59-J60</f>
        <v>0</v>
      </c>
      <c r="K61" s="100">
        <f>K59-K60</f>
        <v>0</v>
      </c>
      <c r="L61" s="100">
        <f>L59-L60</f>
        <v>0</v>
      </c>
      <c r="M61" s="100">
        <f>M59-M60</f>
        <v>0</v>
      </c>
      <c r="N61" s="100">
        <f>N59-N60</f>
        <v>0</v>
      </c>
      <c r="O61" s="100">
        <f>O59-O60</f>
        <v>0</v>
      </c>
      <c r="P61" s="100">
        <f>P59-P60</f>
        <v>0</v>
      </c>
      <c r="Q61" s="100">
        <f>Q59-Q60</f>
        <v>0</v>
      </c>
      <c r="R61" s="100">
        <f>R59-R60</f>
        <v>0</v>
      </c>
      <c r="S61" s="100">
        <f>S59-S60</f>
        <v>0</v>
      </c>
      <c r="T61" s="100">
        <f>T59-T60</f>
        <v>0</v>
      </c>
      <c r="U61" s="100">
        <f>U59-U60</f>
        <v>0</v>
      </c>
      <c r="V61" s="100">
        <f>V59-V60</f>
        <v>0</v>
      </c>
      <c r="W61" s="100">
        <f>W59-W60</f>
        <v>0</v>
      </c>
      <c r="X61" s="100">
        <f>X59-X60</f>
        <v>0</v>
      </c>
      <c r="Y61" s="100">
        <f>Y59-Y60</f>
        <v>0</v>
      </c>
      <c r="Z61" s="100">
        <f>Z59-Z60</f>
        <v>0</v>
      </c>
      <c r="AA61" s="100">
        <f>AA59-AA60</f>
        <v>0</v>
      </c>
      <c r="AB61" s="100">
        <f>AB59-AB60</f>
        <v>0</v>
      </c>
      <c r="AC61" s="100">
        <f>AC59-AC60</f>
        <v>0</v>
      </c>
      <c r="AD61" s="100">
        <f>AD59-AD60</f>
        <v>0</v>
      </c>
      <c r="AE61" s="100">
        <f>AE59-AE60</f>
        <v>0</v>
      </c>
      <c r="AF61" s="100">
        <f>AF59-AF60</f>
        <v>0</v>
      </c>
      <c r="AG61" s="100">
        <f>AG59-AG60</f>
        <v>0</v>
      </c>
      <c r="AH61" s="100">
        <f>AH59-AH60</f>
        <v>0</v>
      </c>
      <c r="AI61" s="100">
        <f>AI59-AI60</f>
        <v>0</v>
      </c>
      <c r="AJ61" s="100">
        <f>AJ59-AJ60</f>
        <v>0</v>
      </c>
      <c r="AK61" s="100">
        <f>AK59-AK60</f>
        <v>0</v>
      </c>
      <c r="AL61" s="100">
        <f>AL59-AL60</f>
        <v>0</v>
      </c>
      <c r="AM61" s="100">
        <f>AM59-AM60</f>
        <v>0</v>
      </c>
      <c r="AN61" s="100">
        <f>AN59-AN60</f>
        <v>0</v>
      </c>
      <c r="AO61" s="100">
        <f>AO59-AO60</f>
        <v>0</v>
      </c>
      <c r="AP61" s="100">
        <f>AP59-AP60</f>
        <v>0</v>
      </c>
      <c r="AQ61" s="100">
        <f>AQ59-AQ60</f>
        <v>0</v>
      </c>
      <c r="AR61" s="100">
        <f>AR59-AR60</f>
        <v>0</v>
      </c>
      <c r="AS61" s="100">
        <f>AS59-AS60</f>
        <v>0</v>
      </c>
      <c r="AT61" s="100">
        <f>AT59-AT60</f>
        <v>0</v>
      </c>
      <c r="AU61" s="100">
        <f>AU59-AU60</f>
        <v>0</v>
      </c>
      <c r="AV61" s="100">
        <f>AV59-AV60</f>
        <v>0</v>
      </c>
      <c r="AW61" s="100">
        <f>AW59-AW60</f>
        <v>0</v>
      </c>
      <c r="AX61" s="100">
        <f>AX59-AX60</f>
        <v>0</v>
      </c>
      <c r="AY61" s="100">
        <f>AY59-AY60</f>
        <v>0</v>
      </c>
      <c r="AZ61" s="100">
        <f>AZ59-AZ60</f>
        <v>0</v>
      </c>
      <c r="BA61" s="100">
        <f>BA59-BA60</f>
        <v>0</v>
      </c>
      <c r="BB61" s="100">
        <f>BB59-BB60</f>
        <v>0</v>
      </c>
      <c r="BC61" s="100">
        <f>BC59-BC60</f>
        <v>0</v>
      </c>
      <c r="BD61" s="100">
        <f>BD59-BD60</f>
        <v>0</v>
      </c>
      <c r="BE61" s="100">
        <f>BE59-BE60</f>
        <v>0</v>
      </c>
      <c r="BF61" s="100">
        <f>BF59-BF60</f>
        <v>0</v>
      </c>
      <c r="BG61" s="100">
        <f>BG59-BG60</f>
        <v>0</v>
      </c>
      <c r="BH61" s="100">
        <f>BH59-BH60</f>
        <v>0</v>
      </c>
      <c r="BI61" s="100">
        <f>BI59-BI60</f>
        <v>0</v>
      </c>
      <c r="BJ61" s="100">
        <f>BJ59-BJ60</f>
        <v>0</v>
      </c>
      <c r="BK61" s="100">
        <f>BK59-BK60</f>
        <v>0</v>
      </c>
    </row>
    <row r="62" spans="2:63">
      <c r="B62" s="216" t="s">
        <v>517</v>
      </c>
      <c r="D62" s="100">
        <f>D63*1000</f>
        <v>0</v>
      </c>
      <c r="E62" s="100">
        <f>E63*1000</f>
        <v>0</v>
      </c>
      <c r="F62" s="100">
        <f>F63*1000</f>
        <v>0</v>
      </c>
      <c r="G62" s="100">
        <f>G63*1000</f>
        <v>0</v>
      </c>
      <c r="H62" s="100">
        <f>H63*1000</f>
        <v>0</v>
      </c>
      <c r="I62" s="100">
        <f>I63*1000</f>
        <v>0</v>
      </c>
      <c r="J62" s="100">
        <f>J63*1000</f>
        <v>0</v>
      </c>
      <c r="K62" s="100">
        <f>K63*1000</f>
        <v>0</v>
      </c>
      <c r="L62" s="100">
        <f>L63*1000</f>
        <v>0</v>
      </c>
      <c r="M62" s="100">
        <f>M63*1000</f>
        <v>0</v>
      </c>
      <c r="N62" s="100">
        <f>N63*1000</f>
        <v>0</v>
      </c>
      <c r="O62" s="100">
        <f>O63*1000</f>
        <v>0</v>
      </c>
      <c r="P62" s="100">
        <f>P63*1000</f>
        <v>0</v>
      </c>
      <c r="Q62" s="100">
        <f>Q63*1000</f>
        <v>0</v>
      </c>
      <c r="R62" s="100">
        <f>R63*1000</f>
        <v>0</v>
      </c>
      <c r="S62" s="100">
        <f>S63*1000</f>
        <v>0</v>
      </c>
      <c r="T62" s="100">
        <f>T63*1000</f>
        <v>0</v>
      </c>
      <c r="U62" s="100">
        <f>U63*1000</f>
        <v>0</v>
      </c>
      <c r="V62" s="100">
        <f>V63*1000</f>
        <v>0</v>
      </c>
      <c r="W62" s="100">
        <f>W63*1000</f>
        <v>0</v>
      </c>
      <c r="X62" s="100">
        <f>X63*1000</f>
        <v>0</v>
      </c>
      <c r="Y62" s="100">
        <f>Y63*1000</f>
        <v>0</v>
      </c>
      <c r="Z62" s="100">
        <f>Z63*1000</f>
        <v>0</v>
      </c>
      <c r="AA62" s="100">
        <f>AA63*1000</f>
        <v>0</v>
      </c>
      <c r="AB62" s="100">
        <f>AB63*1000</f>
        <v>0</v>
      </c>
      <c r="AC62" s="100">
        <f>AC63*1000</f>
        <v>0</v>
      </c>
      <c r="AD62" s="100">
        <f>AD63*1000</f>
        <v>0</v>
      </c>
      <c r="AE62" s="100">
        <f>AE63*1000</f>
        <v>0</v>
      </c>
      <c r="AF62" s="100">
        <f>AF63*1000</f>
        <v>0</v>
      </c>
      <c r="AG62" s="100">
        <f>AG63*1000</f>
        <v>0</v>
      </c>
      <c r="AH62" s="100">
        <f>AH63*1000</f>
        <v>0</v>
      </c>
      <c r="AI62" s="100">
        <f>AI63*1000</f>
        <v>0</v>
      </c>
      <c r="AJ62" s="100">
        <f>AJ63*1000</f>
        <v>0</v>
      </c>
      <c r="AK62" s="100">
        <f>AK63*1000</f>
        <v>0</v>
      </c>
      <c r="AL62" s="100">
        <f>AL63*1000</f>
        <v>0</v>
      </c>
      <c r="AM62" s="100">
        <f>AM63*1000</f>
        <v>0</v>
      </c>
      <c r="AN62" s="100">
        <f>AN63*1000</f>
        <v>0</v>
      </c>
      <c r="AO62" s="100">
        <f>AO63*1000</f>
        <v>0</v>
      </c>
      <c r="AP62" s="100">
        <f>AP63*1000</f>
        <v>0</v>
      </c>
      <c r="AQ62" s="100">
        <f>AQ63*1000</f>
        <v>0</v>
      </c>
      <c r="AR62" s="100">
        <f>AR63*1000</f>
        <v>0</v>
      </c>
      <c r="AS62" s="100">
        <f>AS63*1000</f>
        <v>0</v>
      </c>
      <c r="AT62" s="100">
        <f>AT63*1000</f>
        <v>0</v>
      </c>
      <c r="AU62" s="100">
        <f>AU63*1000</f>
        <v>0</v>
      </c>
      <c r="AV62" s="100">
        <f>AV63*1000</f>
        <v>0</v>
      </c>
      <c r="AW62" s="100">
        <f>AW63*1000</f>
        <v>0</v>
      </c>
      <c r="AX62" s="100">
        <f>AX63*1000</f>
        <v>0</v>
      </c>
      <c r="AY62" s="100">
        <f>AY63*1000</f>
        <v>0</v>
      </c>
      <c r="AZ62" s="100">
        <f>AZ63*1000</f>
        <v>0</v>
      </c>
      <c r="BA62" s="100">
        <f>BA63*1000</f>
        <v>0</v>
      </c>
      <c r="BB62" s="100">
        <f>BB63*1000</f>
        <v>0</v>
      </c>
      <c r="BC62" s="100">
        <f>BC63*1000</f>
        <v>0</v>
      </c>
      <c r="BD62" s="100">
        <f>BD63*1000</f>
        <v>0</v>
      </c>
      <c r="BE62" s="100">
        <f>BE63*1000</f>
        <v>0</v>
      </c>
      <c r="BF62" s="100">
        <f>BF63*1000</f>
        <v>0</v>
      </c>
      <c r="BG62" s="100">
        <f>BG63*1000</f>
        <v>0</v>
      </c>
      <c r="BH62" s="100">
        <f>BH63*1000</f>
        <v>0</v>
      </c>
      <c r="BI62" s="100">
        <f>BI63*1000</f>
        <v>0</v>
      </c>
      <c r="BJ62" s="100">
        <f>BJ63*1000</f>
        <v>0</v>
      </c>
      <c r="BK62" s="100">
        <f>BK63*1000</f>
        <v>0</v>
      </c>
    </row>
    <row r="63" spans="2:63">
      <c r="B63" s="146" t="s">
        <v>518</v>
      </c>
      <c r="D63" s="100">
        <f>IF(Dashboard!$C$36=Lists!$B$4,D60*1000/'Financial Analysis'!E38,0)</f>
        <v>0</v>
      </c>
      <c r="E63" s="100">
        <f>IF(Dashboard!$C$36=Lists!$B$4,E60*1000/'Financial Analysis'!F38,0)</f>
        <v>0</v>
      </c>
      <c r="F63" s="100">
        <f>IF(Dashboard!$C$36=Lists!$B$4,F60*1000/'Financial Analysis'!G38,0)</f>
        <v>0</v>
      </c>
      <c r="G63" s="100">
        <f>IF(Dashboard!$C$36=Lists!$B$4,G60*1000/'Financial Analysis'!H38,0)</f>
        <v>0</v>
      </c>
      <c r="H63" s="100">
        <f>IF(Dashboard!$C$36=Lists!$B$4,H60*1000/'Financial Analysis'!I38,0)</f>
        <v>0</v>
      </c>
      <c r="I63" s="100">
        <f>IF(Dashboard!$C$36=Lists!$B$4,I60*1000/'Financial Analysis'!J38,0)</f>
        <v>0</v>
      </c>
      <c r="J63" s="100">
        <f>IF(Dashboard!$C$36=Lists!$B$4,J60*1000/'Financial Analysis'!K38,0)</f>
        <v>0</v>
      </c>
      <c r="K63" s="100">
        <f>IF(Dashboard!$C$36=Lists!$B$4,K60*1000/'Financial Analysis'!L38,0)</f>
        <v>0</v>
      </c>
      <c r="L63" s="100">
        <f>IF(Dashboard!$C$36=Lists!$B$4,L60*1000/'Financial Analysis'!M38,0)</f>
        <v>0</v>
      </c>
      <c r="M63" s="100">
        <f>IF(Dashboard!$C$36=Lists!$B$4,M60*1000/'Financial Analysis'!N38,0)</f>
        <v>0</v>
      </c>
      <c r="N63" s="100">
        <f>IF(Dashboard!$C$36=Lists!$B$4,N60*1000/'Financial Analysis'!O38,0)</f>
        <v>0</v>
      </c>
      <c r="O63" s="100">
        <f>IF(Dashboard!$C$36=Lists!$B$4,O60*1000/'Financial Analysis'!P38,0)</f>
        <v>0</v>
      </c>
      <c r="P63" s="100">
        <f>IF(Dashboard!$C$36=Lists!$B$4,P60*1000/'Financial Analysis'!Q38,0)</f>
        <v>0</v>
      </c>
      <c r="Q63" s="100">
        <f>IF(Dashboard!$C$36=Lists!$B$4,Q60*1000/'Financial Analysis'!R38,0)</f>
        <v>0</v>
      </c>
      <c r="R63" s="100">
        <f>IF(Dashboard!$C$36=Lists!$B$4,R60*1000/'Financial Analysis'!S38,0)</f>
        <v>0</v>
      </c>
      <c r="S63" s="100">
        <f>IF(Dashboard!$C$36=Lists!$B$4,S60*1000/'Financial Analysis'!T38,0)</f>
        <v>0</v>
      </c>
      <c r="T63" s="100">
        <f>IF(Dashboard!$C$36=Lists!$B$4,T60*1000/'Financial Analysis'!U38,0)</f>
        <v>0</v>
      </c>
      <c r="U63" s="100">
        <f>IF(Dashboard!$C$36=Lists!$B$4,U60*1000/'Financial Analysis'!V38,0)</f>
        <v>0</v>
      </c>
      <c r="V63" s="100">
        <f>IF(Dashboard!$C$36=Lists!$B$4,V60*1000/'Financial Analysis'!W38,0)</f>
        <v>0</v>
      </c>
      <c r="W63" s="100">
        <f>IF(Dashboard!$C$36=Lists!$B$4,W60*1000/'Financial Analysis'!X38,0)</f>
        <v>0</v>
      </c>
      <c r="X63" s="100">
        <f>IF(Dashboard!$C$36=Lists!$B$4,X60*1000/'Financial Analysis'!Y38,0)</f>
        <v>0</v>
      </c>
      <c r="Y63" s="100">
        <f>IF(Dashboard!$C$36=Lists!$B$4,Y60*1000/'Financial Analysis'!Z38,0)</f>
        <v>0</v>
      </c>
      <c r="Z63" s="100">
        <f>IF(Dashboard!$C$36=Lists!$B$4,Z60*1000/'Financial Analysis'!AA38,0)</f>
        <v>0</v>
      </c>
      <c r="AA63" s="100">
        <f>IF(Dashboard!$C$36=Lists!$B$4,AA60*1000/'Financial Analysis'!AB38,0)</f>
        <v>0</v>
      </c>
      <c r="AB63" s="100">
        <f>IF(Dashboard!$C$36=Lists!$B$4,AB60*1000/'Financial Analysis'!AC38,0)</f>
        <v>0</v>
      </c>
      <c r="AC63" s="100">
        <f>IF(Dashboard!$C$36=Lists!$B$4,AC60*1000/'Financial Analysis'!AD38,0)</f>
        <v>0</v>
      </c>
      <c r="AD63" s="100">
        <f>IF(Dashboard!$C$36=Lists!$B$4,AD60*1000/'Financial Analysis'!AE38,0)</f>
        <v>0</v>
      </c>
      <c r="AE63" s="100">
        <f>IF(Dashboard!$C$36=Lists!$B$4,AE60*1000/'Financial Analysis'!AF38,0)</f>
        <v>0</v>
      </c>
      <c r="AF63" s="100">
        <f>IF(Dashboard!$C$36=Lists!$B$4,AF60*1000/'Financial Analysis'!AG38,0)</f>
        <v>0</v>
      </c>
      <c r="AG63" s="100">
        <f>IF(Dashboard!$C$36=Lists!$B$4,AG60*1000/'Financial Analysis'!AH38,0)</f>
        <v>0</v>
      </c>
      <c r="AH63" s="100">
        <f>IF(Dashboard!$C$36=Lists!$B$4,AH60*1000/'Financial Analysis'!AI38,0)</f>
        <v>0</v>
      </c>
      <c r="AI63" s="100">
        <f>IF(Dashboard!$C$36=Lists!$B$4,AI60*1000/'Financial Analysis'!AJ38,0)</f>
        <v>0</v>
      </c>
      <c r="AJ63" s="100">
        <f>IF(Dashboard!$C$36=Lists!$B$4,AJ60*1000/'Financial Analysis'!AK38,0)</f>
        <v>0</v>
      </c>
      <c r="AK63" s="100">
        <f>IF(Dashboard!$C$36=Lists!$B$4,AK60*1000/'Financial Analysis'!AL38,0)</f>
        <v>0</v>
      </c>
      <c r="AL63" s="100">
        <f>IF(Dashboard!$C$36=Lists!$B$4,AL60*1000/'Financial Analysis'!AM38,0)</f>
        <v>0</v>
      </c>
      <c r="AM63" s="100">
        <f>IF(Dashboard!$C$36=Lists!$B$4,AM60*1000/'Financial Analysis'!AN38,0)</f>
        <v>0</v>
      </c>
      <c r="AN63" s="100">
        <f>IF(Dashboard!$C$36=Lists!$B$4,AN60*1000/'Financial Analysis'!AO38,0)</f>
        <v>0</v>
      </c>
      <c r="AO63" s="100">
        <f>IF(Dashboard!$C$36=Lists!$B$4,AO60*1000/'Financial Analysis'!AP38,0)</f>
        <v>0</v>
      </c>
      <c r="AP63" s="100">
        <f>IF(Dashboard!$C$36=Lists!$B$4,AP60*1000/'Financial Analysis'!AQ38,0)</f>
        <v>0</v>
      </c>
      <c r="AQ63" s="100">
        <f>IF(Dashboard!$C$36=Lists!$B$4,AQ60*1000/'Financial Analysis'!AR38,0)</f>
        <v>0</v>
      </c>
      <c r="AR63" s="100">
        <f>IF(Dashboard!$C$36=Lists!$B$4,AR60*1000/'Financial Analysis'!AS38,0)</f>
        <v>0</v>
      </c>
      <c r="AS63" s="100">
        <f>IF(Dashboard!$C$36=Lists!$B$4,AS60*1000/'Financial Analysis'!AT38,0)</f>
        <v>0</v>
      </c>
      <c r="AT63" s="100">
        <f>IF(Dashboard!$C$36=Lists!$B$4,AT60*1000/'Financial Analysis'!AU38,0)</f>
        <v>0</v>
      </c>
      <c r="AU63" s="100">
        <f>IF(Dashboard!$C$36=Lists!$B$4,AU60*1000/'Financial Analysis'!AV38,0)</f>
        <v>0</v>
      </c>
      <c r="AV63" s="100">
        <f>IF(Dashboard!$C$36=Lists!$B$4,AV60*1000/'Financial Analysis'!AW38,0)</f>
        <v>0</v>
      </c>
      <c r="AW63" s="100">
        <f>IF(Dashboard!$C$36=Lists!$B$4,AW60*1000/'Financial Analysis'!AX38,0)</f>
        <v>0</v>
      </c>
      <c r="AX63" s="100">
        <f>IF(Dashboard!$C$36=Lists!$B$4,AX60*1000/'Financial Analysis'!AY38,0)</f>
        <v>0</v>
      </c>
      <c r="AY63" s="100">
        <f>IF(Dashboard!$C$36=Lists!$B$4,AY60*1000/'Financial Analysis'!AZ38,0)</f>
        <v>0</v>
      </c>
      <c r="AZ63" s="100">
        <f>IF(Dashboard!$C$36=Lists!$B$4,AZ60*1000/'Financial Analysis'!BA38,0)</f>
        <v>0</v>
      </c>
      <c r="BA63" s="100">
        <f>IF(Dashboard!$C$36=Lists!$B$4,BA60*1000/'Financial Analysis'!BB38,0)</f>
        <v>0</v>
      </c>
      <c r="BB63" s="100">
        <f>IF(Dashboard!$C$36=Lists!$B$4,BB60*1000/'Financial Analysis'!BC38,0)</f>
        <v>0</v>
      </c>
      <c r="BC63" s="100">
        <f>IF(Dashboard!$C$36=Lists!$B$4,BC60*1000/'Financial Analysis'!BD38,0)</f>
        <v>0</v>
      </c>
      <c r="BD63" s="100">
        <f>IF(Dashboard!$C$36=Lists!$B$4,BD60*1000/'Financial Analysis'!BE38,0)</f>
        <v>0</v>
      </c>
      <c r="BE63" s="100">
        <f>IF(Dashboard!$C$36=Lists!$B$4,BE60*1000/'Financial Analysis'!BF38,0)</f>
        <v>0</v>
      </c>
      <c r="BF63" s="100">
        <f>IF(Dashboard!$C$36=Lists!$B$4,BF60*1000/'Financial Analysis'!BG38,0)</f>
        <v>0</v>
      </c>
      <c r="BG63" s="100">
        <f>IF(Dashboard!$C$36=Lists!$B$4,BG60*1000/'Financial Analysis'!BH38,0)</f>
        <v>0</v>
      </c>
      <c r="BH63" s="100">
        <f>IF(Dashboard!$C$36=Lists!$B$4,BH60*1000/'Financial Analysis'!BI38,0)</f>
        <v>0</v>
      </c>
      <c r="BI63" s="100">
        <f>IF(Dashboard!$C$36=Lists!$B$4,BI60*1000/'Financial Analysis'!BJ38,0)</f>
        <v>0</v>
      </c>
      <c r="BJ63" s="100">
        <f>IF(Dashboard!$C$36=Lists!$B$4,BJ60*1000/'Financial Analysis'!BK38,0)</f>
        <v>0</v>
      </c>
      <c r="BK63" s="100">
        <f>IF(Dashboard!$C$36=Lists!$B$4,BK60*1000/'Financial Analysis'!BL38,0)</f>
        <v>0</v>
      </c>
    </row>
    <row r="64" spans="2:63">
      <c r="B64" s="146"/>
      <c r="D64" s="100"/>
      <c r="E64" s="100"/>
      <c r="F64" s="100"/>
      <c r="G64" s="100"/>
      <c r="H64" s="100"/>
      <c r="I64" s="100"/>
      <c r="J64" s="100"/>
      <c r="K64" s="100"/>
      <c r="L64" s="100"/>
      <c r="M64" s="100"/>
      <c r="N64" s="100"/>
      <c r="O64" s="100"/>
      <c r="P64" s="100"/>
      <c r="Q64" s="100"/>
      <c r="R64" s="100"/>
      <c r="S64" s="100"/>
      <c r="T64" s="100"/>
      <c r="U64" s="100"/>
      <c r="V64" s="100"/>
      <c r="W64" s="100"/>
      <c r="X64" s="100"/>
      <c r="Y64" s="100"/>
      <c r="Z64" s="100"/>
      <c r="AA64" s="100"/>
      <c r="AB64" s="100"/>
      <c r="AC64" s="100"/>
      <c r="AD64" s="100"/>
      <c r="AE64" s="100"/>
      <c r="AF64" s="100"/>
      <c r="AG64" s="100"/>
      <c r="AH64" s="100"/>
      <c r="AI64" s="100"/>
      <c r="AJ64" s="100"/>
      <c r="AK64" s="100"/>
      <c r="AL64" s="100"/>
      <c r="AM64" s="100"/>
      <c r="AN64" s="100"/>
      <c r="AO64" s="100"/>
      <c r="AP64" s="100"/>
      <c r="AQ64" s="100"/>
      <c r="AR64" s="100"/>
      <c r="AS64" s="100"/>
      <c r="AT64" s="100"/>
      <c r="AU64" s="100"/>
      <c r="AV64" s="100"/>
      <c r="AW64" s="100"/>
      <c r="AX64" s="100"/>
      <c r="AY64" s="100"/>
      <c r="AZ64" s="100"/>
      <c r="BA64" s="100"/>
      <c r="BB64" s="100"/>
      <c r="BC64" s="100"/>
      <c r="BD64" s="100"/>
      <c r="BE64" s="100"/>
      <c r="BF64" s="100"/>
      <c r="BG64" s="100"/>
      <c r="BH64" s="100"/>
      <c r="BI64" s="100"/>
      <c r="BJ64" s="100"/>
      <c r="BK64" s="100"/>
    </row>
    <row r="65" spans="2:63">
      <c r="B65" s="146" t="s">
        <v>519</v>
      </c>
      <c r="C65" s="100">
        <f>SUM(D60:W60)</f>
        <v>0</v>
      </c>
      <c r="D65" s="100"/>
      <c r="E65" s="100"/>
      <c r="F65" s="100"/>
      <c r="G65" s="100"/>
      <c r="H65" s="100"/>
      <c r="I65" s="100"/>
      <c r="J65" s="100"/>
      <c r="K65" s="100"/>
      <c r="L65" s="100"/>
      <c r="M65" s="100"/>
      <c r="N65" s="100"/>
      <c r="O65" s="100"/>
      <c r="P65" s="100"/>
      <c r="Q65" s="100"/>
      <c r="R65" s="100"/>
      <c r="S65" s="100"/>
      <c r="T65" s="100"/>
      <c r="U65" s="100"/>
      <c r="V65" s="100"/>
      <c r="W65" s="100"/>
      <c r="X65" s="100"/>
      <c r="Y65" s="100"/>
      <c r="Z65" s="100"/>
      <c r="AA65" s="100"/>
      <c r="AB65" s="100"/>
      <c r="AC65" s="100"/>
      <c r="AD65" s="100"/>
      <c r="AE65" s="100"/>
      <c r="AF65" s="100"/>
      <c r="AG65" s="100"/>
      <c r="AH65" s="100"/>
      <c r="AI65" s="100"/>
      <c r="AJ65" s="100"/>
      <c r="AK65" s="100"/>
      <c r="AL65" s="100"/>
      <c r="AM65" s="100"/>
      <c r="AN65" s="100"/>
      <c r="AO65" s="100"/>
      <c r="AP65" s="100"/>
      <c r="AQ65" s="100"/>
      <c r="AR65" s="100"/>
      <c r="AS65" s="100"/>
      <c r="AT65" s="100"/>
      <c r="AU65" s="100"/>
      <c r="AV65" s="100"/>
      <c r="AW65" s="100"/>
      <c r="AX65" s="100"/>
      <c r="AY65" s="100"/>
      <c r="AZ65" s="100"/>
      <c r="BA65" s="100"/>
      <c r="BB65" s="100"/>
      <c r="BC65" s="100"/>
      <c r="BD65" s="100"/>
      <c r="BE65" s="100"/>
      <c r="BF65" s="100"/>
      <c r="BG65" s="100"/>
      <c r="BH65" s="100"/>
      <c r="BI65" s="100"/>
      <c r="BJ65" s="100"/>
      <c r="BK65" s="100"/>
    </row>
    <row r="66" spans="2:63">
      <c r="B66" s="146" t="s">
        <v>520</v>
      </c>
      <c r="C66" s="100">
        <f>SUM(D61:W61)</f>
        <v>0</v>
      </c>
      <c r="D66" s="100"/>
      <c r="E66" s="100"/>
      <c r="F66" s="100"/>
      <c r="G66" s="100"/>
      <c r="H66" s="100"/>
      <c r="I66" s="100"/>
      <c r="J66" s="100"/>
      <c r="K66" s="100"/>
      <c r="L66" s="100"/>
      <c r="M66" s="100"/>
      <c r="N66" s="100"/>
      <c r="O66" s="100"/>
      <c r="P66" s="100"/>
      <c r="Q66" s="100"/>
      <c r="R66" s="100"/>
      <c r="S66" s="100"/>
      <c r="T66" s="100"/>
      <c r="U66" s="100"/>
      <c r="V66" s="100"/>
      <c r="W66" s="100"/>
      <c r="X66" s="100"/>
      <c r="Y66" s="100"/>
      <c r="Z66" s="100"/>
      <c r="AA66" s="100"/>
      <c r="AB66" s="100"/>
      <c r="AC66" s="100"/>
      <c r="AD66" s="100"/>
      <c r="AE66" s="100"/>
      <c r="AF66" s="100"/>
      <c r="AG66" s="100"/>
      <c r="AH66" s="100"/>
      <c r="AI66" s="100"/>
      <c r="AJ66" s="100"/>
      <c r="AK66" s="100"/>
      <c r="AL66" s="100"/>
      <c r="AM66" s="100"/>
      <c r="AN66" s="100"/>
      <c r="AO66" s="100"/>
      <c r="AP66" s="100"/>
      <c r="AQ66" s="100"/>
      <c r="AR66" s="100"/>
      <c r="AS66" s="100"/>
      <c r="AT66" s="100"/>
      <c r="AU66" s="100"/>
      <c r="AV66" s="100"/>
      <c r="AW66" s="100"/>
      <c r="AX66" s="100"/>
      <c r="AY66" s="100"/>
      <c r="AZ66" s="100"/>
      <c r="BA66" s="100"/>
      <c r="BB66" s="100"/>
      <c r="BC66" s="100"/>
      <c r="BD66" s="100"/>
      <c r="BE66" s="100"/>
      <c r="BF66" s="100"/>
      <c r="BG66" s="100"/>
      <c r="BH66" s="100"/>
      <c r="BI66" s="100"/>
      <c r="BJ66" s="100"/>
      <c r="BK66" s="100"/>
    </row>
    <row r="67" spans="2:63">
      <c r="B67" s="146" t="s">
        <v>521</v>
      </c>
      <c r="C67" s="100">
        <f>SUM(D60:AG60)</f>
        <v>0</v>
      </c>
      <c r="D67" s="100"/>
      <c r="E67" s="100"/>
      <c r="F67" s="100"/>
      <c r="G67" s="100"/>
      <c r="H67" s="100"/>
      <c r="I67" s="100"/>
      <c r="J67" s="100"/>
      <c r="K67" s="100"/>
      <c r="L67" s="100"/>
      <c r="M67" s="100"/>
      <c r="N67" s="100"/>
      <c r="O67" s="100"/>
      <c r="P67" s="100"/>
      <c r="Q67" s="100"/>
      <c r="R67" s="100"/>
      <c r="S67" s="100"/>
      <c r="T67" s="100"/>
      <c r="U67" s="100"/>
      <c r="V67" s="100"/>
      <c r="W67" s="100"/>
      <c r="X67" s="100"/>
      <c r="Y67" s="100"/>
      <c r="Z67" s="100"/>
      <c r="AA67" s="100"/>
      <c r="AB67" s="100"/>
      <c r="AC67" s="100"/>
      <c r="AD67" s="100"/>
      <c r="AE67" s="100"/>
      <c r="AF67" s="100"/>
      <c r="AG67" s="100"/>
      <c r="AH67" s="100"/>
      <c r="AI67" s="100"/>
      <c r="AJ67" s="100"/>
      <c r="AK67" s="100"/>
      <c r="AL67" s="100"/>
      <c r="AM67" s="100"/>
      <c r="AN67" s="100"/>
      <c r="AO67" s="100"/>
      <c r="AP67" s="100"/>
      <c r="AQ67" s="100"/>
      <c r="AR67" s="100"/>
      <c r="AS67" s="100"/>
      <c r="AT67" s="100"/>
      <c r="AU67" s="100"/>
      <c r="AV67" s="100"/>
      <c r="AW67" s="100"/>
      <c r="AX67" s="100"/>
      <c r="AY67" s="100"/>
      <c r="AZ67" s="100"/>
      <c r="BA67" s="100"/>
      <c r="BB67" s="100"/>
      <c r="BC67" s="100"/>
      <c r="BD67" s="100"/>
      <c r="BE67" s="100"/>
      <c r="BF67" s="100"/>
      <c r="BG67" s="100"/>
      <c r="BH67" s="100"/>
      <c r="BI67" s="100"/>
      <c r="BJ67" s="100"/>
      <c r="BK67" s="100"/>
    </row>
    <row r="68" spans="2:63">
      <c r="B68" s="146" t="s">
        <v>522</v>
      </c>
      <c r="C68" s="100">
        <f>SUM(D61:AG61)</f>
        <v>0</v>
      </c>
      <c r="D68" s="100"/>
      <c r="E68" s="100"/>
      <c r="F68" s="100"/>
      <c r="G68" s="100"/>
      <c r="H68" s="100"/>
      <c r="I68" s="100"/>
      <c r="J68" s="100"/>
      <c r="K68" s="100"/>
      <c r="L68" s="100"/>
      <c r="M68" s="100"/>
      <c r="N68" s="100"/>
      <c r="O68" s="100"/>
      <c r="P68" s="100"/>
      <c r="Q68" s="100"/>
      <c r="R68" s="100"/>
      <c r="S68" s="100"/>
      <c r="T68" s="100"/>
      <c r="U68" s="100"/>
      <c r="V68" s="100"/>
      <c r="W68" s="100"/>
      <c r="X68" s="100"/>
      <c r="Y68" s="100"/>
      <c r="Z68" s="100"/>
      <c r="AA68" s="100"/>
      <c r="AB68" s="100"/>
      <c r="AC68" s="100"/>
      <c r="AD68" s="100"/>
      <c r="AE68" s="100"/>
      <c r="AF68" s="100"/>
      <c r="AG68" s="100"/>
      <c r="AH68" s="100"/>
      <c r="AI68" s="100"/>
      <c r="AJ68" s="100"/>
      <c r="AK68" s="100"/>
      <c r="AL68" s="100"/>
      <c r="AM68" s="100"/>
      <c r="AN68" s="100"/>
      <c r="AO68" s="100"/>
      <c r="AP68" s="100"/>
      <c r="AQ68" s="100"/>
      <c r="AR68" s="100"/>
      <c r="AS68" s="100"/>
      <c r="AT68" s="100"/>
      <c r="AU68" s="100"/>
      <c r="AV68" s="100"/>
      <c r="AW68" s="100"/>
      <c r="AX68" s="100"/>
      <c r="AY68" s="100"/>
      <c r="AZ68" s="100"/>
      <c r="BA68" s="100"/>
      <c r="BB68" s="100"/>
      <c r="BC68" s="100"/>
      <c r="BD68" s="100"/>
      <c r="BE68" s="100"/>
      <c r="BF68" s="100"/>
      <c r="BG68" s="100"/>
      <c r="BH68" s="100"/>
      <c r="BI68" s="100"/>
      <c r="BJ68" s="100"/>
      <c r="BK68" s="100"/>
    </row>
    <row r="69" spans="2:63">
      <c r="B69" s="146" t="s">
        <v>523</v>
      </c>
      <c r="C69" s="100">
        <f>SUM(D60:AQ60)</f>
        <v>0</v>
      </c>
      <c r="D69" s="100"/>
      <c r="E69" s="100"/>
      <c r="F69" s="100"/>
      <c r="G69" s="100"/>
      <c r="H69" s="100"/>
      <c r="I69" s="100"/>
      <c r="J69" s="100"/>
      <c r="K69" s="100"/>
      <c r="L69" s="100"/>
      <c r="M69" s="100"/>
      <c r="N69" s="100"/>
      <c r="O69" s="100"/>
      <c r="P69" s="100"/>
      <c r="Q69" s="100"/>
      <c r="R69" s="100"/>
      <c r="S69" s="100"/>
      <c r="T69" s="100"/>
      <c r="U69" s="100"/>
      <c r="V69" s="100"/>
      <c r="W69" s="100"/>
      <c r="X69" s="100"/>
      <c r="Y69" s="100"/>
      <c r="Z69" s="100"/>
      <c r="AA69" s="100"/>
      <c r="AB69" s="100"/>
      <c r="AC69" s="100"/>
      <c r="AD69" s="100"/>
      <c r="AE69" s="100"/>
      <c r="AF69" s="100"/>
      <c r="AG69" s="100"/>
      <c r="AH69" s="100"/>
      <c r="AI69" s="100"/>
      <c r="AJ69" s="100"/>
      <c r="AK69" s="100"/>
      <c r="AL69" s="100"/>
      <c r="AM69" s="100"/>
      <c r="AN69" s="100"/>
      <c r="AO69" s="100"/>
      <c r="AP69" s="100"/>
      <c r="AQ69" s="100"/>
      <c r="AR69" s="100"/>
      <c r="AS69" s="100"/>
      <c r="AT69" s="100"/>
      <c r="AU69" s="100"/>
      <c r="AV69" s="100"/>
      <c r="AW69" s="100"/>
      <c r="AX69" s="100"/>
      <c r="AY69" s="100"/>
      <c r="AZ69" s="100"/>
      <c r="BA69" s="100"/>
      <c r="BB69" s="100"/>
      <c r="BC69" s="100"/>
      <c r="BD69" s="100"/>
      <c r="BE69" s="100"/>
      <c r="BF69" s="100"/>
      <c r="BG69" s="100"/>
      <c r="BH69" s="100"/>
      <c r="BI69" s="100"/>
      <c r="BJ69" s="100"/>
      <c r="BK69" s="100"/>
    </row>
    <row r="70" spans="2:63">
      <c r="B70" s="146" t="s">
        <v>524</v>
      </c>
      <c r="C70" s="100">
        <f>SUM(D61:AQ61)</f>
        <v>0</v>
      </c>
      <c r="D70" s="100"/>
      <c r="E70" s="100"/>
      <c r="F70" s="100"/>
      <c r="G70" s="100"/>
      <c r="H70" s="100"/>
      <c r="I70" s="100"/>
      <c r="J70" s="100"/>
      <c r="K70" s="100"/>
      <c r="L70" s="100"/>
      <c r="M70" s="100"/>
      <c r="N70" s="100"/>
      <c r="O70" s="100"/>
      <c r="P70" s="100"/>
      <c r="Q70" s="100"/>
      <c r="R70" s="100"/>
      <c r="S70" s="100"/>
      <c r="T70" s="100"/>
      <c r="U70" s="100"/>
      <c r="V70" s="100"/>
      <c r="W70" s="100"/>
      <c r="X70" s="100"/>
      <c r="Y70" s="100"/>
      <c r="Z70" s="100"/>
      <c r="AA70" s="100"/>
      <c r="AB70" s="100"/>
      <c r="AC70" s="100"/>
      <c r="AD70" s="100"/>
      <c r="AE70" s="100"/>
      <c r="AF70" s="100"/>
      <c r="AG70" s="100"/>
      <c r="AH70" s="100"/>
      <c r="AI70" s="100"/>
      <c r="AJ70" s="100"/>
      <c r="AK70" s="100"/>
      <c r="AL70" s="100"/>
      <c r="AM70" s="100"/>
      <c r="AN70" s="100"/>
      <c r="AO70" s="100"/>
      <c r="AP70" s="100"/>
      <c r="AQ70" s="100"/>
      <c r="AR70" s="100"/>
      <c r="AS70" s="100"/>
      <c r="AT70" s="100"/>
      <c r="AU70" s="100"/>
      <c r="AV70" s="100"/>
      <c r="AW70" s="100"/>
      <c r="AX70" s="100"/>
      <c r="AY70" s="100"/>
      <c r="AZ70" s="100"/>
      <c r="BA70" s="100"/>
      <c r="BB70" s="100"/>
      <c r="BC70" s="100"/>
      <c r="BD70" s="100"/>
      <c r="BE70" s="100"/>
      <c r="BF70" s="100"/>
      <c r="BG70" s="100"/>
      <c r="BH70" s="100"/>
      <c r="BI70" s="100"/>
      <c r="BJ70" s="100"/>
      <c r="BK70" s="100"/>
    </row>
    <row r="72" spans="2:63">
      <c r="B72" s="145" t="s">
        <v>287</v>
      </c>
    </row>
    <row r="73" spans="2:63">
      <c r="B73" s="146" t="s">
        <v>527</v>
      </c>
      <c r="D73" s="76">
        <f>IF(Dashboard!$C$39=Lists!$B$19,('Financial Analysis'!E48*D24/1000)+('Financial Analysis'!E49*D25/1000),0)</f>
        <v>0</v>
      </c>
      <c r="E73" s="76">
        <f>IF(Dashboard!$C$39=Lists!$B$19,('Financial Analysis'!F48*E24/1000)+('Financial Analysis'!F49*E25/1000),0)</f>
        <v>0</v>
      </c>
      <c r="F73" s="76">
        <f>IF(Dashboard!$C$39=Lists!$B$19,('Financial Analysis'!G48*F24/1000)+('Financial Analysis'!G49*F25/1000),0)</f>
        <v>0</v>
      </c>
      <c r="G73" s="76">
        <f>IF(Dashboard!$C$39=Lists!$B$19,('Financial Analysis'!H48*G24/1000)+('Financial Analysis'!H49*G25/1000),0)</f>
        <v>0</v>
      </c>
      <c r="H73" s="76">
        <f>IF(Dashboard!$C$39=Lists!$B$19,('Financial Analysis'!I48*H24/1000)+('Financial Analysis'!I49*H25/1000),0)</f>
        <v>0</v>
      </c>
      <c r="I73" s="76">
        <f>IF(Dashboard!$C$39=Lists!$B$19,('Financial Analysis'!J48*I24/1000)+('Financial Analysis'!J49*I25/1000),0)</f>
        <v>0</v>
      </c>
      <c r="J73" s="76">
        <f>IF(Dashboard!$C$39=Lists!$B$19,('Financial Analysis'!K48*J24/1000)+('Financial Analysis'!K49*J25/1000),0)</f>
        <v>0</v>
      </c>
      <c r="K73" s="76">
        <f>IF(Dashboard!$C$39=Lists!$B$19,('Financial Analysis'!L48*K24/1000)+('Financial Analysis'!L49*K25/1000),0)</f>
        <v>0</v>
      </c>
      <c r="L73" s="76">
        <f>IF(Dashboard!$C$39=Lists!$B$19,('Financial Analysis'!M48*L24/1000)+('Financial Analysis'!M49*L25/1000),0)</f>
        <v>0</v>
      </c>
      <c r="M73" s="76">
        <f>IF(Dashboard!$C$39=Lists!$B$19,('Financial Analysis'!N48*M24/1000)+('Financial Analysis'!N49*M25/1000),0)</f>
        <v>0</v>
      </c>
      <c r="N73" s="76">
        <f>IF(Dashboard!$C$39=Lists!$B$19,('Financial Analysis'!O48*N24/1000)+('Financial Analysis'!O49*N25/1000),0)</f>
        <v>0</v>
      </c>
      <c r="O73" s="76">
        <f>IF(Dashboard!$C$39=Lists!$B$19,('Financial Analysis'!P48*O24/1000)+('Financial Analysis'!P49*O25/1000),0)</f>
        <v>0</v>
      </c>
      <c r="P73" s="76">
        <f>IF(Dashboard!$C$39=Lists!$B$19,('Financial Analysis'!Q48*P24/1000)+('Financial Analysis'!Q49*P25/1000),0)</f>
        <v>0</v>
      </c>
      <c r="Q73" s="76">
        <f>IF(Dashboard!$C$39=Lists!$B$19,('Financial Analysis'!R48*Q24/1000)+('Financial Analysis'!R49*Q25/1000),0)</f>
        <v>0</v>
      </c>
      <c r="R73" s="76">
        <f>IF(Dashboard!$C$39=Lists!$B$19,('Financial Analysis'!S48*R24/1000)+('Financial Analysis'!S49*R25/1000),0)</f>
        <v>0</v>
      </c>
      <c r="S73" s="76">
        <f>IF(Dashboard!$C$39=Lists!$B$19,('Financial Analysis'!T48*S24/1000)+('Financial Analysis'!T49*S25/1000),0)</f>
        <v>0</v>
      </c>
      <c r="T73" s="76">
        <f>IF(Dashboard!$C$39=Lists!$B$19,('Financial Analysis'!U48*T24/1000)+('Financial Analysis'!U49*T25/1000),0)</f>
        <v>0</v>
      </c>
      <c r="U73" s="76">
        <f>IF(Dashboard!$C$39=Lists!$B$19,('Financial Analysis'!V48*U24/1000)+('Financial Analysis'!V49*U25/1000),0)</f>
        <v>0</v>
      </c>
      <c r="V73" s="76">
        <f>IF(Dashboard!$C$39=Lists!$B$19,('Financial Analysis'!W48*V24/1000)+('Financial Analysis'!W49*V25/1000),0)</f>
        <v>0</v>
      </c>
      <c r="W73" s="76">
        <f>IF(Dashboard!$C$39=Lists!$B$19,('Financial Analysis'!X48*W24/1000)+('Financial Analysis'!X49*W25/1000),0)</f>
        <v>0</v>
      </c>
      <c r="X73" s="76">
        <f>IF(Dashboard!$C$39=Lists!$B$19,('Financial Analysis'!Y48*X24/1000)+('Financial Analysis'!Y49*X25/1000),0)</f>
        <v>0</v>
      </c>
      <c r="Y73" s="76">
        <f>IF(Dashboard!$C$39=Lists!$B$19,('Financial Analysis'!Z48*Y24/1000)+('Financial Analysis'!Z49*Y25/1000),0)</f>
        <v>0</v>
      </c>
      <c r="Z73" s="76">
        <f>IF(Dashboard!$C$39=Lists!$B$19,('Financial Analysis'!AA48*Z24/1000)+('Financial Analysis'!AA49*Z25/1000),0)</f>
        <v>0</v>
      </c>
      <c r="AA73" s="76">
        <f>IF(Dashboard!$C$39=Lists!$B$19,('Financial Analysis'!AB48*AA24/1000)+('Financial Analysis'!AB49*AA25/1000),0)</f>
        <v>0</v>
      </c>
      <c r="AB73" s="76">
        <f>IF(Dashboard!$C$39=Lists!$B$19,('Financial Analysis'!AC48*AB24/1000)+('Financial Analysis'!AC49*AB25/1000),0)</f>
        <v>0</v>
      </c>
      <c r="AC73" s="76">
        <f>IF(Dashboard!$C$39=Lists!$B$19,('Financial Analysis'!AD48*AC24/1000)+('Financial Analysis'!AD49*AC25/1000),0)</f>
        <v>0</v>
      </c>
      <c r="AD73" s="76">
        <f>IF(Dashboard!$C$39=Lists!$B$19,('Financial Analysis'!AE48*AD24/1000)+('Financial Analysis'!AE49*AD25/1000),0)</f>
        <v>0</v>
      </c>
      <c r="AE73" s="76">
        <f>IF(Dashboard!$C$39=Lists!$B$19,('Financial Analysis'!AF48*AE24/1000)+('Financial Analysis'!AF49*AE25/1000),0)</f>
        <v>0</v>
      </c>
      <c r="AF73" s="76">
        <f>IF(Dashboard!$C$39=Lists!$B$19,('Financial Analysis'!AG48*AF24/1000)+('Financial Analysis'!AG49*AF25/1000),0)</f>
        <v>0</v>
      </c>
      <c r="AG73" s="76">
        <f>IF(Dashboard!$C$39=Lists!$B$19,('Financial Analysis'!AH48*AG24/1000)+('Financial Analysis'!AH49*AG25/1000),0)</f>
        <v>0</v>
      </c>
      <c r="AH73" s="76">
        <f>IF(Dashboard!$C$39=Lists!$B$19,('Financial Analysis'!AI48*AH24/1000)+('Financial Analysis'!AI49*AH25/1000),0)</f>
        <v>0</v>
      </c>
      <c r="AI73" s="76">
        <f>IF(Dashboard!$C$39=Lists!$B$19,('Financial Analysis'!AJ48*AI24/1000)+('Financial Analysis'!AJ49*AI25/1000),0)</f>
        <v>0</v>
      </c>
      <c r="AJ73" s="76">
        <f>IF(Dashboard!$C$39=Lists!$B$19,('Financial Analysis'!AK48*AJ24/1000)+('Financial Analysis'!AK49*AJ25/1000),0)</f>
        <v>0</v>
      </c>
      <c r="AK73" s="76">
        <f>IF(Dashboard!$C$39=Lists!$B$19,('Financial Analysis'!AL48*AK24/1000)+('Financial Analysis'!AL49*AK25/1000),0)</f>
        <v>0</v>
      </c>
      <c r="AL73" s="76">
        <f>IF(Dashboard!$C$39=Lists!$B$19,('Financial Analysis'!AM48*AL24/1000)+('Financial Analysis'!AM49*AL25/1000),0)</f>
        <v>0</v>
      </c>
      <c r="AM73" s="76">
        <f>IF(Dashboard!$C$39=Lists!$B$19,('Financial Analysis'!AN48*AM24/1000)+('Financial Analysis'!AN49*AM25/1000),0)</f>
        <v>0</v>
      </c>
      <c r="AN73" s="76">
        <f>IF(Dashboard!$C$39=Lists!$B$19,('Financial Analysis'!AO48*AN24/1000)+('Financial Analysis'!AO49*AN25/1000),0)</f>
        <v>0</v>
      </c>
      <c r="AO73" s="76">
        <f>IF(Dashboard!$C$39=Lists!$B$19,('Financial Analysis'!AP48*AO24/1000)+('Financial Analysis'!AP49*AO25/1000),0)</f>
        <v>0</v>
      </c>
      <c r="AP73" s="76">
        <f>IF(Dashboard!$C$39=Lists!$B$19,('Financial Analysis'!AQ48*AP24/1000)+('Financial Analysis'!AQ49*AP25/1000),0)</f>
        <v>0</v>
      </c>
      <c r="AQ73" s="76">
        <f>IF(Dashboard!$C$39=Lists!$B$19,('Financial Analysis'!AR48*AQ24/1000)+('Financial Analysis'!AR49*AQ25/1000),0)</f>
        <v>0</v>
      </c>
      <c r="AR73" s="76">
        <f>IF(Dashboard!$C$39=Lists!$B$19,('Financial Analysis'!AS48*AR24/1000)+('Financial Analysis'!AS49*AR25/1000),0)</f>
        <v>0</v>
      </c>
      <c r="AS73" s="76">
        <f>IF(Dashboard!$C$39=Lists!$B$19,('Financial Analysis'!AT48*AS24/1000)+('Financial Analysis'!AT49*AS25/1000),0)</f>
        <v>0</v>
      </c>
      <c r="AT73" s="76">
        <f>IF(Dashboard!$C$39=Lists!$B$19,('Financial Analysis'!AU48*AT24/1000)+('Financial Analysis'!AU49*AT25/1000),0)</f>
        <v>0</v>
      </c>
      <c r="AU73" s="76">
        <f>IF(Dashboard!$C$39=Lists!$B$19,('Financial Analysis'!AV48*AU24/1000)+('Financial Analysis'!AV49*AU25/1000),0)</f>
        <v>0</v>
      </c>
      <c r="AV73" s="76">
        <f>IF(Dashboard!$C$39=Lists!$B$19,('Financial Analysis'!AW48*AV24/1000)+('Financial Analysis'!AW49*AV25/1000),0)</f>
        <v>0</v>
      </c>
      <c r="AW73" s="76">
        <f>IF(Dashboard!$C$39=Lists!$B$19,('Financial Analysis'!AX48*AW24/1000)+('Financial Analysis'!AX49*AW25/1000),0)</f>
        <v>0</v>
      </c>
      <c r="AX73" s="76">
        <f>IF(Dashboard!$C$39=Lists!$B$19,('Financial Analysis'!AY48*AX24/1000)+('Financial Analysis'!AY49*AX25/1000),0)</f>
        <v>0</v>
      </c>
      <c r="AY73" s="76">
        <f>IF(Dashboard!$C$39=Lists!$B$19,('Financial Analysis'!AZ48*AY24/1000)+('Financial Analysis'!AZ49*AY25/1000),0)</f>
        <v>0</v>
      </c>
      <c r="AZ73" s="76">
        <f>IF(Dashboard!$C$39=Lists!$B$19,('Financial Analysis'!BA48*AZ24/1000)+('Financial Analysis'!BA49*AZ25/1000),0)</f>
        <v>0</v>
      </c>
      <c r="BA73" s="76">
        <f>IF(Dashboard!$C$39=Lists!$B$19,('Financial Analysis'!BB48*BA24/1000)+('Financial Analysis'!BB49*BA25/1000),0)</f>
        <v>0</v>
      </c>
      <c r="BB73" s="76">
        <f>IF(Dashboard!$C$39=Lists!$B$19,('Financial Analysis'!BC48*BB24/1000)+('Financial Analysis'!BC49*BB25/1000),0)</f>
        <v>0</v>
      </c>
      <c r="BC73" s="76">
        <f>IF(Dashboard!$C$39=Lists!$B$19,('Financial Analysis'!BD48*BC24/1000)+('Financial Analysis'!BD49*BC25/1000),0)</f>
        <v>0</v>
      </c>
      <c r="BD73" s="76">
        <f>IF(Dashboard!$C$39=Lists!$B$19,('Financial Analysis'!BE48*BD24/1000)+('Financial Analysis'!BE49*BD25/1000),0)</f>
        <v>0</v>
      </c>
      <c r="BE73" s="76">
        <f>IF(Dashboard!$C$39=Lists!$B$19,('Financial Analysis'!BF48*BE24/1000)+('Financial Analysis'!BF49*BE25/1000),0)</f>
        <v>0</v>
      </c>
      <c r="BF73" s="76">
        <f>IF(Dashboard!$C$39=Lists!$B$19,('Financial Analysis'!BG48*BF24/1000)+('Financial Analysis'!BG49*BF25/1000),0)</f>
        <v>0</v>
      </c>
      <c r="BG73" s="76">
        <f>IF(Dashboard!$C$39=Lists!$B$19,('Financial Analysis'!BH48*BG24/1000)+('Financial Analysis'!BH49*BG25/1000),0)</f>
        <v>0</v>
      </c>
      <c r="BH73" s="76">
        <f>IF(Dashboard!$C$39=Lists!$B$19,('Financial Analysis'!BI48*BH24/1000)+('Financial Analysis'!BI49*BH25/1000),0)</f>
        <v>0</v>
      </c>
      <c r="BI73" s="76">
        <f>IF(Dashboard!$C$39=Lists!$B$19,('Financial Analysis'!BJ48*BI24/1000)+('Financial Analysis'!BJ49*BI25/1000),0)</f>
        <v>0</v>
      </c>
      <c r="BJ73" s="76">
        <f>IF(Dashboard!$C$39=Lists!$B$19,('Financial Analysis'!BK48*BJ24/1000)+('Financial Analysis'!BK49*BJ25/1000),0)</f>
        <v>0</v>
      </c>
      <c r="BK73" s="76">
        <f>IF(Dashboard!$C$39=Lists!$B$19,('Financial Analysis'!BL48*BK24/1000)+('Financial Analysis'!BL49*BK25/1000),0)</f>
        <v>0</v>
      </c>
    </row>
    <row r="74" spans="2:63">
      <c r="B74" s="146" t="s">
        <v>528</v>
      </c>
      <c r="D74" s="76" t="e">
        <f>IF(Dashboard!$C$39=Lists!$B$18,('Financial Analysis'!E44/CO2e!$C$11*D24/1000)+('Financial Analysis'!E45/CO2e!$C$12*D25/1000),0)</f>
        <v>#REF!</v>
      </c>
      <c r="E74" s="76" t="e">
        <f>IF(Dashboard!$C$39=Lists!$B$18,('Financial Analysis'!F44/CO2e!$C$11*E24/1000)+('Financial Analysis'!F45/CO2e!$C$12*E25/1000),0)</f>
        <v>#REF!</v>
      </c>
      <c r="F74" s="76" t="e">
        <f>IF(Dashboard!$C$39=Lists!$B$18,('Financial Analysis'!G44/CO2e!$C$11*F24/1000)+('Financial Analysis'!G45/CO2e!$C$12*F25/1000),0)</f>
        <v>#REF!</v>
      </c>
      <c r="G74" s="76" t="e">
        <f>IF(Dashboard!$C$39=Lists!$B$18,('Financial Analysis'!H44/CO2e!$C$11*G24/1000)+('Financial Analysis'!H45/CO2e!$C$12*G25/1000),0)</f>
        <v>#REF!</v>
      </c>
      <c r="H74" s="76" t="e">
        <f>IF(Dashboard!$C$39=Lists!$B$18,('Financial Analysis'!I44/CO2e!$C$11*H24/1000)+('Financial Analysis'!I45/CO2e!$C$12*H25/1000),0)</f>
        <v>#REF!</v>
      </c>
      <c r="I74" s="76" t="e">
        <f>IF(Dashboard!$C$39=Lists!$B$18,('Financial Analysis'!J44/CO2e!$C$11*I24/1000)+('Financial Analysis'!J45/CO2e!$C$12*I25/1000),0)</f>
        <v>#REF!</v>
      </c>
      <c r="J74" s="76" t="e">
        <f>IF(Dashboard!$C$39=Lists!$B$18,('Financial Analysis'!K44/CO2e!$C$11*J24/1000)+('Financial Analysis'!K45/CO2e!$C$12*J25/1000),0)</f>
        <v>#REF!</v>
      </c>
      <c r="K74" s="76" t="e">
        <f>IF(Dashboard!$C$39=Lists!$B$18,('Financial Analysis'!L44/CO2e!$C$11*K24/1000)+('Financial Analysis'!L45/CO2e!$C$12*K25/1000),0)</f>
        <v>#REF!</v>
      </c>
      <c r="L74" s="76" t="e">
        <f>IF(Dashboard!$C$39=Lists!$B$18,('Financial Analysis'!M44/CO2e!$C$11*L24/1000)+('Financial Analysis'!M45/CO2e!$C$12*L25/1000),0)</f>
        <v>#REF!</v>
      </c>
      <c r="M74" s="76" t="e">
        <f>IF(Dashboard!$C$39=Lists!$B$18,('Financial Analysis'!N44/CO2e!$C$11*M24/1000)+('Financial Analysis'!N45/CO2e!$C$12*M25/1000),0)</f>
        <v>#REF!</v>
      </c>
      <c r="N74" s="76" t="e">
        <f>IF(Dashboard!$C$39=Lists!$B$18,('Financial Analysis'!O44/CO2e!$C$11*N24/1000)+('Financial Analysis'!O45/CO2e!$C$12*N25/1000),0)</f>
        <v>#REF!</v>
      </c>
      <c r="O74" s="76" t="e">
        <f>IF(Dashboard!$C$39=Lists!$B$18,('Financial Analysis'!P44/CO2e!$C$11*O24/1000)+('Financial Analysis'!P45/CO2e!$C$12*O25/1000),0)</f>
        <v>#REF!</v>
      </c>
      <c r="P74" s="76" t="e">
        <f>IF(Dashboard!$C$39=Lists!$B$18,('Financial Analysis'!Q44/CO2e!$C$11*P24/1000)+('Financial Analysis'!Q45/CO2e!$C$12*P25/1000),0)</f>
        <v>#REF!</v>
      </c>
      <c r="Q74" s="76" t="e">
        <f>IF(Dashboard!$C$39=Lists!$B$18,('Financial Analysis'!R44/CO2e!$C$11*Q24/1000)+('Financial Analysis'!R45/CO2e!$C$12*Q25/1000),0)</f>
        <v>#REF!</v>
      </c>
      <c r="R74" s="76" t="e">
        <f>IF(Dashboard!$C$39=Lists!$B$18,('Financial Analysis'!S44/CO2e!$C$11*R24/1000)+('Financial Analysis'!S45/CO2e!$C$12*R25/1000),0)</f>
        <v>#REF!</v>
      </c>
      <c r="S74" s="76" t="e">
        <f>IF(Dashboard!$C$39=Lists!$B$18,('Financial Analysis'!T44/CO2e!$C$11*S24/1000)+('Financial Analysis'!T45/CO2e!$C$12*S25/1000),0)</f>
        <v>#REF!</v>
      </c>
      <c r="T74" s="76" t="e">
        <f>IF(Dashboard!$C$39=Lists!$B$18,('Financial Analysis'!U44/CO2e!$C$11*T24/1000)+('Financial Analysis'!U45/CO2e!$C$12*T25/1000),0)</f>
        <v>#REF!</v>
      </c>
      <c r="U74" s="76" t="e">
        <f>IF(Dashboard!$C$39=Lists!$B$18,('Financial Analysis'!V44/CO2e!$C$11*U24/1000)+('Financial Analysis'!V45/CO2e!$C$12*U25/1000),0)</f>
        <v>#REF!</v>
      </c>
      <c r="V74" s="76" t="e">
        <f>IF(Dashboard!$C$39=Lists!$B$18,('Financial Analysis'!W44/CO2e!$C$11*V24/1000)+('Financial Analysis'!W45/CO2e!$C$12*V25/1000),0)</f>
        <v>#REF!</v>
      </c>
      <c r="W74" s="76" t="e">
        <f>IF(Dashboard!$C$39=Lists!$B$18,('Financial Analysis'!X44/CO2e!$C$11*W24/1000)+('Financial Analysis'!X45/CO2e!$C$12*W25/1000),0)</f>
        <v>#REF!</v>
      </c>
      <c r="X74" s="76" t="e">
        <f>IF(Dashboard!$C$39=Lists!$B$18,('Financial Analysis'!Y44/CO2e!$C$11*X24/1000)+('Financial Analysis'!Y45/CO2e!$C$12*X25/1000),0)</f>
        <v>#REF!</v>
      </c>
      <c r="Y74" s="76" t="e">
        <f>IF(Dashboard!$C$39=Lists!$B$18,('Financial Analysis'!Z44/CO2e!$C$11*Y24/1000)+('Financial Analysis'!Z45/CO2e!$C$12*Y25/1000),0)</f>
        <v>#REF!</v>
      </c>
      <c r="Z74" s="76" t="e">
        <f>IF(Dashboard!$C$39=Lists!$B$18,('Financial Analysis'!AA44/CO2e!$C$11*Z24/1000)+('Financial Analysis'!AA45/CO2e!$C$12*Z25/1000),0)</f>
        <v>#REF!</v>
      </c>
      <c r="AA74" s="76" t="e">
        <f>IF(Dashboard!$C$39=Lists!$B$18,('Financial Analysis'!AB44/CO2e!$C$11*AA24/1000)+('Financial Analysis'!AB45/CO2e!$C$12*AA25/1000),0)</f>
        <v>#REF!</v>
      </c>
      <c r="AB74" s="76" t="e">
        <f>IF(Dashboard!$C$39=Lists!$B$18,('Financial Analysis'!AC44/CO2e!$C$11*AB24/1000)+('Financial Analysis'!AC45/CO2e!$C$12*AB25/1000),0)</f>
        <v>#REF!</v>
      </c>
      <c r="AC74" s="76" t="e">
        <f>IF(Dashboard!$C$39=Lists!$B$18,('Financial Analysis'!AD44/CO2e!$C$11*AC24/1000)+('Financial Analysis'!AD45/CO2e!$C$12*AC25/1000),0)</f>
        <v>#REF!</v>
      </c>
      <c r="AD74" s="76" t="e">
        <f>IF(Dashboard!$C$39=Lists!$B$18,('Financial Analysis'!AE44/CO2e!$C$11*AD24/1000)+('Financial Analysis'!AE45/CO2e!$C$12*AD25/1000),0)</f>
        <v>#REF!</v>
      </c>
      <c r="AE74" s="76" t="e">
        <f>IF(Dashboard!$C$39=Lists!$B$18,('Financial Analysis'!AF44/CO2e!$C$11*AE24/1000)+('Financial Analysis'!AF45/CO2e!$C$12*AE25/1000),0)</f>
        <v>#REF!</v>
      </c>
      <c r="AF74" s="76" t="e">
        <f>IF(Dashboard!$C$39=Lists!$B$18,('Financial Analysis'!AG44/CO2e!$C$11*AF24/1000)+('Financial Analysis'!AG45/CO2e!$C$12*AF25/1000),0)</f>
        <v>#REF!</v>
      </c>
      <c r="AG74" s="76" t="e">
        <f>IF(Dashboard!$C$39=Lists!$B$18,('Financial Analysis'!AH44/CO2e!$C$11*AG24/1000)+('Financial Analysis'!AH45/CO2e!$C$12*AG25/1000),0)</f>
        <v>#REF!</v>
      </c>
      <c r="AH74" s="76" t="e">
        <f>IF(Dashboard!$C$39=Lists!$B$18,('Financial Analysis'!AI44/CO2e!$C$11*AH24/1000)+('Financial Analysis'!AI45/CO2e!$C$12*AH25/1000),0)</f>
        <v>#REF!</v>
      </c>
      <c r="AI74" s="76" t="e">
        <f>IF(Dashboard!$C$39=Lists!$B$18,('Financial Analysis'!AJ44/CO2e!$C$11*AI24/1000)+('Financial Analysis'!AJ45/CO2e!$C$12*AI25/1000),0)</f>
        <v>#REF!</v>
      </c>
      <c r="AJ74" s="76" t="e">
        <f>IF(Dashboard!$C$39=Lists!$B$18,('Financial Analysis'!AK44/CO2e!$C$11*AJ24/1000)+('Financial Analysis'!AK45/CO2e!$C$12*AJ25/1000),0)</f>
        <v>#REF!</v>
      </c>
      <c r="AK74" s="76" t="e">
        <f>IF(Dashboard!$C$39=Lists!$B$18,('Financial Analysis'!AL44/CO2e!$C$11*AK24/1000)+('Financial Analysis'!AL45/CO2e!$C$12*AK25/1000),0)</f>
        <v>#REF!</v>
      </c>
      <c r="AL74" s="76" t="e">
        <f>IF(Dashboard!$C$39=Lists!$B$18,('Financial Analysis'!AM44/CO2e!$C$11*AL24/1000)+('Financial Analysis'!AM45/CO2e!$C$12*AL25/1000),0)</f>
        <v>#REF!</v>
      </c>
      <c r="AM74" s="76" t="e">
        <f>IF(Dashboard!$C$39=Lists!$B$18,('Financial Analysis'!AN44/CO2e!$C$11*AM24/1000)+('Financial Analysis'!AN45/CO2e!$C$12*AM25/1000),0)</f>
        <v>#REF!</v>
      </c>
      <c r="AN74" s="76" t="e">
        <f>IF(Dashboard!$C$39=Lists!$B$18,('Financial Analysis'!AO44/CO2e!$C$11*AN24/1000)+('Financial Analysis'!AO45/CO2e!$C$12*AN25/1000),0)</f>
        <v>#REF!</v>
      </c>
      <c r="AO74" s="76" t="e">
        <f>IF(Dashboard!$C$39=Lists!$B$18,('Financial Analysis'!AP44/CO2e!$C$11*AO24/1000)+('Financial Analysis'!AP45/CO2e!$C$12*AO25/1000),0)</f>
        <v>#REF!</v>
      </c>
      <c r="AP74" s="76" t="e">
        <f>IF(Dashboard!$C$39=Lists!$B$18,('Financial Analysis'!AQ44/CO2e!$C$11*AP24/1000)+('Financial Analysis'!AQ45/CO2e!$C$12*AP25/1000),0)</f>
        <v>#REF!</v>
      </c>
      <c r="AQ74" s="76" t="e">
        <f>IF(Dashboard!$C$39=Lists!$B$18,('Financial Analysis'!AR44/CO2e!$C$11*AQ24/1000)+('Financial Analysis'!AR45/CO2e!$C$12*AQ25/1000),0)</f>
        <v>#REF!</v>
      </c>
      <c r="AR74" s="76" t="e">
        <f>IF(Dashboard!$C$39=Lists!$B$18,('Financial Analysis'!AS44/CO2e!$C$11*AR24/1000)+('Financial Analysis'!AS45/CO2e!$C$12*AR25/1000),0)</f>
        <v>#REF!</v>
      </c>
      <c r="AS74" s="76" t="e">
        <f>IF(Dashboard!$C$39=Lists!$B$18,('Financial Analysis'!AT44/CO2e!$C$11*AS24/1000)+('Financial Analysis'!AT45/CO2e!$C$12*AS25/1000),0)</f>
        <v>#REF!</v>
      </c>
      <c r="AT74" s="76" t="e">
        <f>IF(Dashboard!$C$39=Lists!$B$18,('Financial Analysis'!AU44/CO2e!$C$11*AT24/1000)+('Financial Analysis'!AU45/CO2e!$C$12*AT25/1000),0)</f>
        <v>#REF!</v>
      </c>
      <c r="AU74" s="76" t="e">
        <f>IF(Dashboard!$C$39=Lists!$B$18,('Financial Analysis'!AV44/CO2e!$C$11*AU24/1000)+('Financial Analysis'!AV45/CO2e!$C$12*AU25/1000),0)</f>
        <v>#REF!</v>
      </c>
      <c r="AV74" s="76" t="e">
        <f>IF(Dashboard!$C$39=Lists!$B$18,('Financial Analysis'!AW44/CO2e!$C$11*AV24/1000)+('Financial Analysis'!AW45/CO2e!$C$12*AV25/1000),0)</f>
        <v>#REF!</v>
      </c>
      <c r="AW74" s="76" t="e">
        <f>IF(Dashboard!$C$39=Lists!$B$18,('Financial Analysis'!AX44/CO2e!$C$11*AW24/1000)+('Financial Analysis'!AX45/CO2e!$C$12*AW25/1000),0)</f>
        <v>#REF!</v>
      </c>
      <c r="AX74" s="76" t="e">
        <f>IF(Dashboard!$C$39=Lists!$B$18,('Financial Analysis'!AY44/CO2e!$C$11*AX24/1000)+('Financial Analysis'!AY45/CO2e!$C$12*AX25/1000),0)</f>
        <v>#REF!</v>
      </c>
      <c r="AY74" s="76" t="e">
        <f>IF(Dashboard!$C$39=Lists!$B$18,('Financial Analysis'!AZ44/CO2e!$C$11*AY24/1000)+('Financial Analysis'!AZ45/CO2e!$C$12*AY25/1000),0)</f>
        <v>#REF!</v>
      </c>
      <c r="AZ74" s="76" t="e">
        <f>IF(Dashboard!$C$39=Lists!$B$18,('Financial Analysis'!BA44/CO2e!$C$11*AZ24/1000)+('Financial Analysis'!BA45/CO2e!$C$12*AZ25/1000),0)</f>
        <v>#REF!</v>
      </c>
      <c r="BA74" s="76" t="e">
        <f>IF(Dashboard!$C$39=Lists!$B$18,('Financial Analysis'!BB44/CO2e!$C$11*BA24/1000)+('Financial Analysis'!BB45/CO2e!$C$12*BA25/1000),0)</f>
        <v>#REF!</v>
      </c>
      <c r="BB74" s="76" t="e">
        <f>IF(Dashboard!$C$39=Lists!$B$18,('Financial Analysis'!BC44/CO2e!$C$11*BB24/1000)+('Financial Analysis'!BC45/CO2e!$C$12*BB25/1000),0)</f>
        <v>#REF!</v>
      </c>
      <c r="BC74" s="76" t="e">
        <f>IF(Dashboard!$C$39=Lists!$B$18,('Financial Analysis'!BD44/CO2e!$C$11*BC24/1000)+('Financial Analysis'!BD45/CO2e!$C$12*BC25/1000),0)</f>
        <v>#REF!</v>
      </c>
      <c r="BD74" s="76" t="e">
        <f>IF(Dashboard!$C$39=Lists!$B$18,('Financial Analysis'!BE44/CO2e!$C$11*BD24/1000)+('Financial Analysis'!BE45/CO2e!$C$12*BD25/1000),0)</f>
        <v>#REF!</v>
      </c>
      <c r="BE74" s="76" t="e">
        <f>IF(Dashboard!$C$39=Lists!$B$18,('Financial Analysis'!BF44/CO2e!$C$11*BE24/1000)+('Financial Analysis'!BF45/CO2e!$C$12*BE25/1000),0)</f>
        <v>#REF!</v>
      </c>
      <c r="BF74" s="76" t="e">
        <f>IF(Dashboard!$C$39=Lists!$B$18,('Financial Analysis'!BG44/CO2e!$C$11*BF24/1000)+('Financial Analysis'!BG45/CO2e!$C$12*BF25/1000),0)</f>
        <v>#REF!</v>
      </c>
      <c r="BG74" s="76" t="e">
        <f>IF(Dashboard!$C$39=Lists!$B$18,('Financial Analysis'!BH44/CO2e!$C$11*BG24/1000)+('Financial Analysis'!BH45/CO2e!$C$12*BG25/1000),0)</f>
        <v>#REF!</v>
      </c>
      <c r="BH74" s="76" t="e">
        <f>IF(Dashboard!$C$39=Lists!$B$18,('Financial Analysis'!BI44/CO2e!$C$11*BH24/1000)+('Financial Analysis'!BI45/CO2e!$C$12*BH25/1000),0)</f>
        <v>#REF!</v>
      </c>
      <c r="BI74" s="76" t="e">
        <f>IF(Dashboard!$C$39=Lists!$B$18,('Financial Analysis'!BJ44/CO2e!$C$11*BI24/1000)+('Financial Analysis'!BJ45/CO2e!$C$12*BI25/1000),0)</f>
        <v>#REF!</v>
      </c>
      <c r="BJ74" s="76" t="e">
        <f>IF(Dashboard!$C$39=Lists!$B$18,('Financial Analysis'!BK44/CO2e!$C$11*BJ24/1000)+('Financial Analysis'!BK45/CO2e!$C$12*BJ25/1000),0)</f>
        <v>#REF!</v>
      </c>
      <c r="BK74" s="76" t="e">
        <f>IF(Dashboard!$C$39=Lists!$B$18,('Financial Analysis'!BL44/CO2e!$C$11*BK24/1000)+('Financial Analysis'!BL45/CO2e!$C$12*BK25/1000),0)</f>
        <v>#REF!</v>
      </c>
    </row>
    <row r="75" spans="2:63">
      <c r="B75" s="146" t="s">
        <v>529</v>
      </c>
      <c r="D75" s="76">
        <f>('Financial Analysis'!E50*$C$9/1000)</f>
        <v>0</v>
      </c>
      <c r="E75" s="76">
        <f>('Financial Analysis'!F50*$C$9/1000)</f>
        <v>0</v>
      </c>
      <c r="F75" s="76">
        <f>('Financial Analysis'!G50*$C$9/1000)</f>
        <v>0</v>
      </c>
      <c r="G75" s="76">
        <f>('Financial Analysis'!H50*$C$9/1000)</f>
        <v>0</v>
      </c>
      <c r="H75" s="76">
        <f>('Financial Analysis'!I50*$C$9/1000)</f>
        <v>0</v>
      </c>
      <c r="I75" s="76">
        <f>('Financial Analysis'!J50*$C$9/1000)</f>
        <v>0</v>
      </c>
      <c r="J75" s="76">
        <f>('Financial Analysis'!K50*$C$9/1000)</f>
        <v>0</v>
      </c>
      <c r="K75" s="76">
        <f>('Financial Analysis'!L50*$C$9/1000)</f>
        <v>0</v>
      </c>
      <c r="L75" s="76">
        <f>('Financial Analysis'!M50*$C$9/1000)</f>
        <v>0</v>
      </c>
      <c r="M75" s="76">
        <f>('Financial Analysis'!N50*$C$9/1000)</f>
        <v>0</v>
      </c>
      <c r="N75" s="76">
        <f>('Financial Analysis'!O50*$C$9/1000)</f>
        <v>0</v>
      </c>
      <c r="O75" s="76">
        <f>('Financial Analysis'!P50*$C$9/1000)</f>
        <v>0</v>
      </c>
      <c r="P75" s="76">
        <f>('Financial Analysis'!Q50*$C$9/1000)</f>
        <v>0</v>
      </c>
      <c r="Q75" s="76">
        <f>('Financial Analysis'!R50*$C$9/1000)</f>
        <v>0</v>
      </c>
      <c r="R75" s="76">
        <f>('Financial Analysis'!S50*$C$9/1000)</f>
        <v>0</v>
      </c>
      <c r="S75" s="76">
        <f>('Financial Analysis'!T50*$C$9/1000)</f>
        <v>0</v>
      </c>
      <c r="T75" s="76">
        <f>('Financial Analysis'!U50*$C$9/1000)</f>
        <v>0</v>
      </c>
      <c r="U75" s="76">
        <f>('Financial Analysis'!V50*$C$9/1000)</f>
        <v>0</v>
      </c>
      <c r="V75" s="76">
        <f>('Financial Analysis'!W50*$C$9/1000)</f>
        <v>0</v>
      </c>
      <c r="W75" s="76">
        <f>('Financial Analysis'!X50*$C$9/1000)</f>
        <v>0</v>
      </c>
      <c r="X75" s="76">
        <f>('Financial Analysis'!Y50*$C$9/1000)</f>
        <v>0</v>
      </c>
      <c r="Y75" s="76">
        <f>('Financial Analysis'!Z50*$C$9/1000)</f>
        <v>0</v>
      </c>
      <c r="Z75" s="76">
        <f>('Financial Analysis'!AA50*$C$9/1000)</f>
        <v>0</v>
      </c>
      <c r="AA75" s="76">
        <f>('Financial Analysis'!AB50*$C$9/1000)</f>
        <v>0</v>
      </c>
      <c r="AB75" s="76">
        <f>('Financial Analysis'!AC50*$C$9/1000)</f>
        <v>0</v>
      </c>
      <c r="AC75" s="76">
        <f>('Financial Analysis'!AD50*$C$9/1000)</f>
        <v>0</v>
      </c>
      <c r="AD75" s="76">
        <f>('Financial Analysis'!AE50*$C$9/1000)</f>
        <v>0</v>
      </c>
      <c r="AE75" s="76">
        <f>('Financial Analysis'!AF50*$C$9/1000)</f>
        <v>0</v>
      </c>
      <c r="AF75" s="76">
        <f>('Financial Analysis'!AG50*$C$9/1000)</f>
        <v>0</v>
      </c>
      <c r="AG75" s="76">
        <f>('Financial Analysis'!AH50*$C$9/1000)</f>
        <v>0</v>
      </c>
      <c r="AH75" s="76">
        <f>('Financial Analysis'!AI50*$C$9/1000)</f>
        <v>0</v>
      </c>
      <c r="AI75" s="76">
        <f>('Financial Analysis'!AJ50*$C$9/1000)</f>
        <v>0</v>
      </c>
      <c r="AJ75" s="76">
        <f>('Financial Analysis'!AK50*$C$9/1000)</f>
        <v>0</v>
      </c>
      <c r="AK75" s="76">
        <f>('Financial Analysis'!AL50*$C$9/1000)</f>
        <v>0</v>
      </c>
      <c r="AL75" s="76">
        <f>('Financial Analysis'!AM50*$C$9/1000)</f>
        <v>0</v>
      </c>
      <c r="AM75" s="76">
        <f>('Financial Analysis'!AN50*$C$9/1000)</f>
        <v>0</v>
      </c>
      <c r="AN75" s="76">
        <f>('Financial Analysis'!AO50*$C$9/1000)</f>
        <v>0</v>
      </c>
      <c r="AO75" s="76">
        <f>('Financial Analysis'!AP50*$C$9/1000)</f>
        <v>0</v>
      </c>
      <c r="AP75" s="76">
        <f>('Financial Analysis'!AQ50*$C$9/1000)</f>
        <v>0</v>
      </c>
      <c r="AQ75" s="76">
        <f>('Financial Analysis'!AR50*$C$9/1000)</f>
        <v>0</v>
      </c>
      <c r="AR75" s="76">
        <f>('Financial Analysis'!AS50*$C$9/1000)</f>
        <v>0</v>
      </c>
      <c r="AS75" s="76">
        <f>('Financial Analysis'!AT50*$C$9/1000)</f>
        <v>0</v>
      </c>
      <c r="AT75" s="76">
        <f>('Financial Analysis'!AU50*$C$9/1000)</f>
        <v>0</v>
      </c>
      <c r="AU75" s="76">
        <f>('Financial Analysis'!AV50*$C$9/1000)</f>
        <v>0</v>
      </c>
      <c r="AV75" s="76">
        <f>('Financial Analysis'!AW50*$C$9/1000)</f>
        <v>0</v>
      </c>
      <c r="AW75" s="76">
        <f>('Financial Analysis'!AX50*$C$9/1000)</f>
        <v>0</v>
      </c>
      <c r="AX75" s="76">
        <f>('Financial Analysis'!AY50*$C$9/1000)</f>
        <v>0</v>
      </c>
      <c r="AY75" s="76">
        <f>('Financial Analysis'!AZ50*$C$9/1000)</f>
        <v>0</v>
      </c>
      <c r="AZ75" s="76">
        <f>('Financial Analysis'!BA50*$C$9/1000)</f>
        <v>0</v>
      </c>
      <c r="BA75" s="76">
        <f>('Financial Analysis'!BB50*$C$9/1000)</f>
        <v>0</v>
      </c>
      <c r="BB75" s="76">
        <f>('Financial Analysis'!BC50*$C$9/1000)</f>
        <v>0</v>
      </c>
      <c r="BC75" s="76">
        <f>('Financial Analysis'!BD50*$C$9/1000)</f>
        <v>0</v>
      </c>
      <c r="BD75" s="76">
        <f>('Financial Analysis'!BE50*$C$9/1000)</f>
        <v>0</v>
      </c>
      <c r="BE75" s="76">
        <f>('Financial Analysis'!BF50*$C$9/1000)</f>
        <v>0</v>
      </c>
      <c r="BF75" s="76">
        <f>('Financial Analysis'!BG50*$C$9/1000)</f>
        <v>0</v>
      </c>
      <c r="BG75" s="76">
        <f>('Financial Analysis'!BH50*$C$9/1000)</f>
        <v>0</v>
      </c>
      <c r="BH75" s="76">
        <f>('Financial Analysis'!BI50*$C$9/1000)</f>
        <v>0</v>
      </c>
      <c r="BI75" s="76">
        <f>('Financial Analysis'!BJ50*$C$9/1000)</f>
        <v>0</v>
      </c>
      <c r="BJ75" s="76">
        <f>('Financial Analysis'!BK50*$C$9/1000)</f>
        <v>0</v>
      </c>
      <c r="BK75" s="76">
        <f>('Financial Analysis'!BL50*$C$9/1000)</f>
        <v>0</v>
      </c>
    </row>
    <row r="76" spans="2:63" ht="5.25" customHeight="1">
      <c r="B76" s="145"/>
    </row>
    <row r="77" spans="2:63">
      <c r="B77" s="146" t="s">
        <v>526</v>
      </c>
      <c r="D77" s="100" t="e">
        <f>SUM(D73:D75)</f>
        <v>#REF!</v>
      </c>
      <c r="E77" s="100" t="e">
        <f>SUM(E73:E75)</f>
        <v>#REF!</v>
      </c>
      <c r="F77" s="100" t="e">
        <f>SUM(F73:F75)</f>
        <v>#REF!</v>
      </c>
      <c r="G77" s="100" t="e">
        <f>SUM(G73:G75)</f>
        <v>#REF!</v>
      </c>
      <c r="H77" s="100" t="e">
        <f>SUM(H73:H75)</f>
        <v>#REF!</v>
      </c>
      <c r="I77" s="100" t="e">
        <f>SUM(I73:I75)</f>
        <v>#REF!</v>
      </c>
      <c r="J77" s="100" t="e">
        <f>SUM(J73:J75)</f>
        <v>#REF!</v>
      </c>
      <c r="K77" s="100" t="e">
        <f>SUM(K73:K75)</f>
        <v>#REF!</v>
      </c>
      <c r="L77" s="100" t="e">
        <f>SUM(L73:L75)</f>
        <v>#REF!</v>
      </c>
      <c r="M77" s="100" t="e">
        <f>SUM(M73:M75)</f>
        <v>#REF!</v>
      </c>
      <c r="N77" s="100" t="e">
        <f>SUM(N73:N75)</f>
        <v>#REF!</v>
      </c>
      <c r="O77" s="100" t="e">
        <f>SUM(O73:O75)</f>
        <v>#REF!</v>
      </c>
      <c r="P77" s="100" t="e">
        <f>SUM(P73:P75)</f>
        <v>#REF!</v>
      </c>
      <c r="Q77" s="100" t="e">
        <f>SUM(Q73:Q75)</f>
        <v>#REF!</v>
      </c>
      <c r="R77" s="100" t="e">
        <f>SUM(R73:R75)</f>
        <v>#REF!</v>
      </c>
      <c r="S77" s="100" t="e">
        <f>SUM(S73:S75)</f>
        <v>#REF!</v>
      </c>
      <c r="T77" s="100" t="e">
        <f>SUM(T73:T75)</f>
        <v>#REF!</v>
      </c>
      <c r="U77" s="100" t="e">
        <f>SUM(U73:U75)</f>
        <v>#REF!</v>
      </c>
      <c r="V77" s="100" t="e">
        <f>SUM(V73:V75)</f>
        <v>#REF!</v>
      </c>
      <c r="W77" s="100" t="e">
        <f>SUM(W73:W75)</f>
        <v>#REF!</v>
      </c>
      <c r="X77" s="100" t="e">
        <f>SUM(X73:X75)</f>
        <v>#REF!</v>
      </c>
      <c r="Y77" s="100" t="e">
        <f>SUM(Y73:Y75)</f>
        <v>#REF!</v>
      </c>
      <c r="Z77" s="100" t="e">
        <f>SUM(Z73:Z75)</f>
        <v>#REF!</v>
      </c>
      <c r="AA77" s="100" t="e">
        <f>SUM(AA73:AA75)</f>
        <v>#REF!</v>
      </c>
      <c r="AB77" s="100" t="e">
        <f>SUM(AB73:AB75)</f>
        <v>#REF!</v>
      </c>
      <c r="AC77" s="100" t="e">
        <f>SUM(AC73:AC75)</f>
        <v>#REF!</v>
      </c>
      <c r="AD77" s="100" t="e">
        <f>SUM(AD73:AD75)</f>
        <v>#REF!</v>
      </c>
      <c r="AE77" s="100" t="e">
        <f>SUM(AE73:AE75)</f>
        <v>#REF!</v>
      </c>
      <c r="AF77" s="100" t="e">
        <f>SUM(AF73:AF75)</f>
        <v>#REF!</v>
      </c>
      <c r="AG77" s="100" t="e">
        <f>SUM(AG73:AG75)</f>
        <v>#REF!</v>
      </c>
      <c r="AH77" s="100" t="e">
        <f>SUM(AH73:AH75)</f>
        <v>#REF!</v>
      </c>
      <c r="AI77" s="100" t="e">
        <f>SUM(AI73:AI75)</f>
        <v>#REF!</v>
      </c>
      <c r="AJ77" s="100" t="e">
        <f>SUM(AJ73:AJ75)</f>
        <v>#REF!</v>
      </c>
      <c r="AK77" s="100" t="e">
        <f>SUM(AK73:AK75)</f>
        <v>#REF!</v>
      </c>
      <c r="AL77" s="100" t="e">
        <f>SUM(AL73:AL75)</f>
        <v>#REF!</v>
      </c>
      <c r="AM77" s="100" t="e">
        <f>SUM(AM73:AM75)</f>
        <v>#REF!</v>
      </c>
      <c r="AN77" s="100" t="e">
        <f>SUM(AN73:AN75)</f>
        <v>#REF!</v>
      </c>
      <c r="AO77" s="100" t="e">
        <f>SUM(AO73:AO75)</f>
        <v>#REF!</v>
      </c>
      <c r="AP77" s="100" t="e">
        <f>SUM(AP73:AP75)</f>
        <v>#REF!</v>
      </c>
      <c r="AQ77" s="100" t="e">
        <f>SUM(AQ73:AQ75)</f>
        <v>#REF!</v>
      </c>
      <c r="AR77" s="100" t="e">
        <f>SUM(AR73:AR75)</f>
        <v>#REF!</v>
      </c>
      <c r="AS77" s="100" t="e">
        <f>SUM(AS73:AS75)</f>
        <v>#REF!</v>
      </c>
      <c r="AT77" s="100" t="e">
        <f>SUM(AT73:AT75)</f>
        <v>#REF!</v>
      </c>
      <c r="AU77" s="100" t="e">
        <f>SUM(AU73:AU75)</f>
        <v>#REF!</v>
      </c>
      <c r="AV77" s="100" t="e">
        <f>SUM(AV73:AV75)</f>
        <v>#REF!</v>
      </c>
      <c r="AW77" s="100" t="e">
        <f>SUM(AW73:AW75)</f>
        <v>#REF!</v>
      </c>
      <c r="AX77" s="100" t="e">
        <f>SUM(AX73:AX75)</f>
        <v>#REF!</v>
      </c>
      <c r="AY77" s="100" t="e">
        <f>SUM(AY73:AY75)</f>
        <v>#REF!</v>
      </c>
      <c r="AZ77" s="100" t="e">
        <f>SUM(AZ73:AZ75)</f>
        <v>#REF!</v>
      </c>
      <c r="BA77" s="100" t="e">
        <f>SUM(BA73:BA75)</f>
        <v>#REF!</v>
      </c>
      <c r="BB77" s="100" t="e">
        <f>SUM(BB73:BB75)</f>
        <v>#REF!</v>
      </c>
      <c r="BC77" s="100" t="e">
        <f>SUM(BC73:BC75)</f>
        <v>#REF!</v>
      </c>
      <c r="BD77" s="100" t="e">
        <f>SUM(BD73:BD75)</f>
        <v>#REF!</v>
      </c>
      <c r="BE77" s="100" t="e">
        <f>SUM(BE73:BE75)</f>
        <v>#REF!</v>
      </c>
      <c r="BF77" s="100" t="e">
        <f>SUM(BF73:BF75)</f>
        <v>#REF!</v>
      </c>
      <c r="BG77" s="100" t="e">
        <f>SUM(BG73:BG75)</f>
        <v>#REF!</v>
      </c>
      <c r="BH77" s="100" t="e">
        <f>SUM(BH73:BH75)</f>
        <v>#REF!</v>
      </c>
      <c r="BI77" s="100" t="e">
        <f>SUM(BI73:BI75)</f>
        <v>#REF!</v>
      </c>
      <c r="BJ77" s="100" t="e">
        <f>SUM(BJ73:BJ75)</f>
        <v>#REF!</v>
      </c>
      <c r="BK77" s="100" t="e">
        <f>SUM(BK73:BK75)</f>
        <v>#REF!</v>
      </c>
    </row>
    <row r="78" spans="2:63">
      <c r="B78" s="146" t="s">
        <v>517</v>
      </c>
      <c r="D78" s="72" t="e">
        <f>D79*1000</f>
        <v>#REF!</v>
      </c>
      <c r="E78" s="72" t="e">
        <f>E79*1000</f>
        <v>#REF!</v>
      </c>
      <c r="F78" s="72" t="e">
        <f>F79*1000</f>
        <v>#REF!</v>
      </c>
      <c r="G78" s="72" t="e">
        <f>G79*1000</f>
        <v>#REF!</v>
      </c>
      <c r="H78" s="72" t="e">
        <f>H79*1000</f>
        <v>#REF!</v>
      </c>
      <c r="I78" s="72" t="e">
        <f>I79*1000</f>
        <v>#REF!</v>
      </c>
      <c r="J78" s="72" t="e">
        <f>J79*1000</f>
        <v>#REF!</v>
      </c>
      <c r="K78" s="72" t="e">
        <f>K79*1000</f>
        <v>#REF!</v>
      </c>
      <c r="L78" s="72" t="e">
        <f>L79*1000</f>
        <v>#REF!</v>
      </c>
      <c r="M78" s="72" t="e">
        <f>M79*1000</f>
        <v>#REF!</v>
      </c>
      <c r="N78" s="72" t="e">
        <f>N79*1000</f>
        <v>#REF!</v>
      </c>
      <c r="O78" s="72" t="e">
        <f>O79*1000</f>
        <v>#REF!</v>
      </c>
      <c r="P78" s="72" t="e">
        <f>P79*1000</f>
        <v>#REF!</v>
      </c>
      <c r="Q78" s="72" t="e">
        <f>Q79*1000</f>
        <v>#REF!</v>
      </c>
      <c r="R78" s="72" t="e">
        <f>R79*1000</f>
        <v>#REF!</v>
      </c>
      <c r="S78" s="72" t="e">
        <f>S79*1000</f>
        <v>#REF!</v>
      </c>
      <c r="T78" s="72" t="e">
        <f>T79*1000</f>
        <v>#REF!</v>
      </c>
      <c r="U78" s="72" t="e">
        <f>U79*1000</f>
        <v>#REF!</v>
      </c>
      <c r="V78" s="72" t="e">
        <f>V79*1000</f>
        <v>#REF!</v>
      </c>
      <c r="W78" s="72" t="e">
        <f>W79*1000</f>
        <v>#REF!</v>
      </c>
      <c r="X78" s="72" t="e">
        <f>X79*1000</f>
        <v>#REF!</v>
      </c>
      <c r="Y78" s="72" t="e">
        <f>Y79*1000</f>
        <v>#REF!</v>
      </c>
      <c r="Z78" s="72" t="e">
        <f>Z79*1000</f>
        <v>#REF!</v>
      </c>
      <c r="AA78" s="72" t="e">
        <f>AA79*1000</f>
        <v>#REF!</v>
      </c>
      <c r="AB78" s="72" t="e">
        <f>AB79*1000</f>
        <v>#REF!</v>
      </c>
      <c r="AC78" s="72" t="e">
        <f>AC79*1000</f>
        <v>#REF!</v>
      </c>
      <c r="AD78" s="72" t="e">
        <f>AD79*1000</f>
        <v>#REF!</v>
      </c>
      <c r="AE78" s="72" t="e">
        <f>AE79*1000</f>
        <v>#REF!</v>
      </c>
      <c r="AF78" s="72" t="e">
        <f>AF79*1000</f>
        <v>#REF!</v>
      </c>
      <c r="AG78" s="72" t="e">
        <f>AG79*1000</f>
        <v>#REF!</v>
      </c>
      <c r="AH78" s="72" t="e">
        <f>AH79*1000</f>
        <v>#REF!</v>
      </c>
      <c r="AI78" s="72" t="e">
        <f>AI79*1000</f>
        <v>#REF!</v>
      </c>
      <c r="AJ78" s="72" t="e">
        <f>AJ79*1000</f>
        <v>#REF!</v>
      </c>
      <c r="AK78" s="72" t="e">
        <f>AK79*1000</f>
        <v>#REF!</v>
      </c>
      <c r="AL78" s="72" t="e">
        <f>AL79*1000</f>
        <v>#REF!</v>
      </c>
      <c r="AM78" s="72" t="e">
        <f>AM79*1000</f>
        <v>#REF!</v>
      </c>
      <c r="AN78" s="72" t="e">
        <f>AN79*1000</f>
        <v>#REF!</v>
      </c>
      <c r="AO78" s="72" t="e">
        <f>AO79*1000</f>
        <v>#REF!</v>
      </c>
      <c r="AP78" s="72" t="e">
        <f>AP79*1000</f>
        <v>#REF!</v>
      </c>
      <c r="AQ78" s="72" t="e">
        <f>AQ79*1000</f>
        <v>#REF!</v>
      </c>
      <c r="AR78" s="72" t="e">
        <f>AR79*1000</f>
        <v>#REF!</v>
      </c>
      <c r="AS78" s="72" t="e">
        <f>AS79*1000</f>
        <v>#REF!</v>
      </c>
      <c r="AT78" s="72" t="e">
        <f>AT79*1000</f>
        <v>#REF!</v>
      </c>
      <c r="AU78" s="72" t="e">
        <f>AU79*1000</f>
        <v>#REF!</v>
      </c>
      <c r="AV78" s="72" t="e">
        <f>AV79*1000</f>
        <v>#REF!</v>
      </c>
      <c r="AW78" s="72" t="e">
        <f>AW79*1000</f>
        <v>#REF!</v>
      </c>
      <c r="AX78" s="72" t="e">
        <f>AX79*1000</f>
        <v>#REF!</v>
      </c>
      <c r="AY78" s="72" t="e">
        <f>AY79*1000</f>
        <v>#REF!</v>
      </c>
      <c r="AZ78" s="72" t="e">
        <f>AZ79*1000</f>
        <v>#REF!</v>
      </c>
      <c r="BA78" s="72" t="e">
        <f>BA79*1000</f>
        <v>#REF!</v>
      </c>
      <c r="BB78" s="72" t="e">
        <f>BB79*1000</f>
        <v>#REF!</v>
      </c>
      <c r="BC78" s="72" t="e">
        <f>BC79*1000</f>
        <v>#REF!</v>
      </c>
      <c r="BD78" s="72" t="e">
        <f>BD79*1000</f>
        <v>#REF!</v>
      </c>
      <c r="BE78" s="72" t="e">
        <f>BE79*1000</f>
        <v>#REF!</v>
      </c>
      <c r="BF78" s="72" t="e">
        <f>BF79*1000</f>
        <v>#REF!</v>
      </c>
      <c r="BG78" s="72" t="e">
        <f>BG79*1000</f>
        <v>#REF!</v>
      </c>
      <c r="BH78" s="72" t="e">
        <f>BH79*1000</f>
        <v>#REF!</v>
      </c>
      <c r="BI78" s="72" t="e">
        <f>BI79*1000</f>
        <v>#REF!</v>
      </c>
      <c r="BJ78" s="72" t="e">
        <f>BJ79*1000</f>
        <v>#REF!</v>
      </c>
      <c r="BK78" s="72" t="e">
        <f>BK79*1000</f>
        <v>#REF!</v>
      </c>
    </row>
    <row r="79" spans="2:63">
      <c r="B79" s="146" t="s">
        <v>518</v>
      </c>
      <c r="D79" s="72" t="e">
        <f>D77*1000/'Financial Analysis'!E46</f>
        <v>#REF!</v>
      </c>
      <c r="E79" s="72" t="e">
        <f>E77*1000/'Financial Analysis'!F46</f>
        <v>#REF!</v>
      </c>
      <c r="F79" s="72" t="e">
        <f>F77*1000/'Financial Analysis'!G46</f>
        <v>#REF!</v>
      </c>
      <c r="G79" s="72" t="e">
        <f>G77*1000/'Financial Analysis'!H46</f>
        <v>#REF!</v>
      </c>
      <c r="H79" s="72" t="e">
        <f>H77*1000/'Financial Analysis'!I46</f>
        <v>#REF!</v>
      </c>
      <c r="I79" s="72" t="e">
        <f>I77*1000/'Financial Analysis'!J46</f>
        <v>#REF!</v>
      </c>
      <c r="J79" s="72" t="e">
        <f>J77*1000/'Financial Analysis'!K46</f>
        <v>#REF!</v>
      </c>
      <c r="K79" s="72" t="e">
        <f>K77*1000/'Financial Analysis'!L46</f>
        <v>#REF!</v>
      </c>
      <c r="L79" s="72" t="e">
        <f>L77*1000/'Financial Analysis'!M46</f>
        <v>#REF!</v>
      </c>
      <c r="M79" s="72" t="e">
        <f>M77*1000/'Financial Analysis'!N46</f>
        <v>#REF!</v>
      </c>
      <c r="N79" s="72" t="e">
        <f>N77*1000/'Financial Analysis'!O46</f>
        <v>#REF!</v>
      </c>
      <c r="O79" s="72" t="e">
        <f>O77*1000/'Financial Analysis'!P46</f>
        <v>#REF!</v>
      </c>
      <c r="P79" s="72" t="e">
        <f>P77*1000/'Financial Analysis'!Q46</f>
        <v>#REF!</v>
      </c>
      <c r="Q79" s="72" t="e">
        <f>Q77*1000/'Financial Analysis'!R46</f>
        <v>#REF!</v>
      </c>
      <c r="R79" s="72" t="e">
        <f>R77*1000/'Financial Analysis'!S46</f>
        <v>#REF!</v>
      </c>
      <c r="S79" s="72" t="e">
        <f>S77*1000/'Financial Analysis'!T46</f>
        <v>#REF!</v>
      </c>
      <c r="T79" s="72" t="e">
        <f>T77*1000/'Financial Analysis'!U46</f>
        <v>#REF!</v>
      </c>
      <c r="U79" s="72" t="e">
        <f>U77*1000/'Financial Analysis'!V46</f>
        <v>#REF!</v>
      </c>
      <c r="V79" s="72" t="e">
        <f>V77*1000/'Financial Analysis'!W46</f>
        <v>#REF!</v>
      </c>
      <c r="W79" s="72" t="e">
        <f>W77*1000/'Financial Analysis'!X46</f>
        <v>#REF!</v>
      </c>
      <c r="X79" s="72" t="e">
        <f>X77*1000/'Financial Analysis'!Y46</f>
        <v>#REF!</v>
      </c>
      <c r="Y79" s="72" t="e">
        <f>Y77*1000/'Financial Analysis'!Z46</f>
        <v>#REF!</v>
      </c>
      <c r="Z79" s="72" t="e">
        <f>Z77*1000/'Financial Analysis'!AA46</f>
        <v>#REF!</v>
      </c>
      <c r="AA79" s="72" t="e">
        <f>AA77*1000/'Financial Analysis'!AB46</f>
        <v>#REF!</v>
      </c>
      <c r="AB79" s="72" t="e">
        <f>AB77*1000/'Financial Analysis'!AC46</f>
        <v>#REF!</v>
      </c>
      <c r="AC79" s="72" t="e">
        <f>AC77*1000/'Financial Analysis'!AD46</f>
        <v>#REF!</v>
      </c>
      <c r="AD79" s="72" t="e">
        <f>AD77*1000/'Financial Analysis'!AE46</f>
        <v>#REF!</v>
      </c>
      <c r="AE79" s="72" t="e">
        <f>AE77*1000/'Financial Analysis'!AF46</f>
        <v>#REF!</v>
      </c>
      <c r="AF79" s="72" t="e">
        <f>AF77*1000/'Financial Analysis'!AG46</f>
        <v>#REF!</v>
      </c>
      <c r="AG79" s="72" t="e">
        <f>AG77*1000/'Financial Analysis'!AH46</f>
        <v>#REF!</v>
      </c>
      <c r="AH79" s="72" t="e">
        <f>AH77*1000/'Financial Analysis'!AI46</f>
        <v>#REF!</v>
      </c>
      <c r="AI79" s="72" t="e">
        <f>AI77*1000/'Financial Analysis'!AJ46</f>
        <v>#REF!</v>
      </c>
      <c r="AJ79" s="72" t="e">
        <f>AJ77*1000/'Financial Analysis'!AK46</f>
        <v>#REF!</v>
      </c>
      <c r="AK79" s="72" t="e">
        <f>AK77*1000/'Financial Analysis'!AL46</f>
        <v>#REF!</v>
      </c>
      <c r="AL79" s="72" t="e">
        <f>AL77*1000/'Financial Analysis'!AM46</f>
        <v>#REF!</v>
      </c>
      <c r="AM79" s="72" t="e">
        <f>AM77*1000/'Financial Analysis'!AN46</f>
        <v>#REF!</v>
      </c>
      <c r="AN79" s="72" t="e">
        <f>AN77*1000/'Financial Analysis'!AO46</f>
        <v>#REF!</v>
      </c>
      <c r="AO79" s="72" t="e">
        <f>AO77*1000/'Financial Analysis'!AP46</f>
        <v>#REF!</v>
      </c>
      <c r="AP79" s="72" t="e">
        <f>AP77*1000/'Financial Analysis'!AQ46</f>
        <v>#REF!</v>
      </c>
      <c r="AQ79" s="72" t="e">
        <f>AQ77*1000/'Financial Analysis'!AR46</f>
        <v>#REF!</v>
      </c>
      <c r="AR79" s="72" t="e">
        <f>AR77*1000/'Financial Analysis'!AS46</f>
        <v>#REF!</v>
      </c>
      <c r="AS79" s="72" t="e">
        <f>AS77*1000/'Financial Analysis'!AT46</f>
        <v>#REF!</v>
      </c>
      <c r="AT79" s="72" t="e">
        <f>AT77*1000/'Financial Analysis'!AU46</f>
        <v>#REF!</v>
      </c>
      <c r="AU79" s="72" t="e">
        <f>AU77*1000/'Financial Analysis'!AV46</f>
        <v>#REF!</v>
      </c>
      <c r="AV79" s="72" t="e">
        <f>AV77*1000/'Financial Analysis'!AW46</f>
        <v>#REF!</v>
      </c>
      <c r="AW79" s="72" t="e">
        <f>AW77*1000/'Financial Analysis'!AX46</f>
        <v>#REF!</v>
      </c>
      <c r="AX79" s="72" t="e">
        <f>AX77*1000/'Financial Analysis'!AY46</f>
        <v>#REF!</v>
      </c>
      <c r="AY79" s="72" t="e">
        <f>AY77*1000/'Financial Analysis'!AZ46</f>
        <v>#REF!</v>
      </c>
      <c r="AZ79" s="72" t="e">
        <f>AZ77*1000/'Financial Analysis'!BA46</f>
        <v>#REF!</v>
      </c>
      <c r="BA79" s="72" t="e">
        <f>BA77*1000/'Financial Analysis'!BB46</f>
        <v>#REF!</v>
      </c>
      <c r="BB79" s="72" t="e">
        <f>BB77*1000/'Financial Analysis'!BC46</f>
        <v>#REF!</v>
      </c>
      <c r="BC79" s="72" t="e">
        <f>BC77*1000/'Financial Analysis'!BD46</f>
        <v>#REF!</v>
      </c>
      <c r="BD79" s="72" t="e">
        <f>BD77*1000/'Financial Analysis'!BE46</f>
        <v>#REF!</v>
      </c>
      <c r="BE79" s="72" t="e">
        <f>BE77*1000/'Financial Analysis'!BF46</f>
        <v>#REF!</v>
      </c>
      <c r="BF79" s="72" t="e">
        <f>BF77*1000/'Financial Analysis'!BG46</f>
        <v>#REF!</v>
      </c>
      <c r="BG79" s="72" t="e">
        <f>BG77*1000/'Financial Analysis'!BH46</f>
        <v>#REF!</v>
      </c>
      <c r="BH79" s="72" t="e">
        <f>BH77*1000/'Financial Analysis'!BI46</f>
        <v>#REF!</v>
      </c>
      <c r="BI79" s="72" t="e">
        <f>BI77*1000/'Financial Analysis'!BJ46</f>
        <v>#REF!</v>
      </c>
      <c r="BJ79" s="72" t="e">
        <f>BJ77*1000/'Financial Analysis'!BK46</f>
        <v>#REF!</v>
      </c>
      <c r="BK79" s="72" t="e">
        <f>BK77*1000/'Financial Analysis'!BL46</f>
        <v>#REF!</v>
      </c>
    </row>
    <row r="80" spans="2:63">
      <c r="B80" s="146"/>
      <c r="D80" s="72"/>
      <c r="E80" s="72"/>
      <c r="F80" s="72"/>
      <c r="G80" s="72"/>
      <c r="H80" s="72"/>
      <c r="I80" s="72"/>
      <c r="J80" s="72"/>
      <c r="K80" s="72"/>
      <c r="L80" s="72"/>
      <c r="M80" s="72"/>
      <c r="N80" s="72"/>
      <c r="O80" s="72"/>
      <c r="P80" s="72"/>
      <c r="Q80" s="72"/>
      <c r="R80" s="72"/>
      <c r="S80" s="72"/>
      <c r="T80" s="72"/>
      <c r="U80" s="72"/>
      <c r="V80" s="72"/>
      <c r="W80" s="72"/>
      <c r="X80" s="72"/>
      <c r="Y80" s="72"/>
      <c r="Z80" s="72"/>
      <c r="AA80" s="72"/>
      <c r="AB80" s="72"/>
      <c r="AC80" s="72"/>
      <c r="AD80" s="72"/>
      <c r="AE80" s="72"/>
      <c r="AF80" s="72"/>
      <c r="AG80" s="72"/>
      <c r="AH80" s="72"/>
      <c r="AI80" s="72"/>
      <c r="AJ80" s="72"/>
      <c r="AK80" s="72"/>
      <c r="AL80" s="72"/>
      <c r="AM80" s="72"/>
      <c r="AN80" s="72"/>
      <c r="AO80" s="72"/>
      <c r="AP80" s="72"/>
      <c r="AQ80" s="72"/>
      <c r="AR80" s="72"/>
      <c r="AS80" s="72"/>
      <c r="AT80" s="72"/>
      <c r="AU80" s="72"/>
      <c r="AV80" s="72"/>
      <c r="AW80" s="72"/>
      <c r="AX80" s="72"/>
      <c r="AY80" s="72"/>
      <c r="AZ80" s="72"/>
      <c r="BA80" s="72"/>
      <c r="BB80" s="72"/>
      <c r="BC80" s="72"/>
      <c r="BD80" s="72"/>
      <c r="BE80" s="72"/>
      <c r="BF80" s="72"/>
      <c r="BG80" s="72"/>
      <c r="BH80" s="72"/>
      <c r="BI80" s="72"/>
      <c r="BJ80" s="72"/>
      <c r="BK80" s="72"/>
    </row>
    <row r="81" spans="1:63">
      <c r="B81" s="146" t="s">
        <v>519</v>
      </c>
      <c r="C81" s="100" t="e">
        <f>SUM(D77:W77)</f>
        <v>#REF!</v>
      </c>
      <c r="D81" s="72"/>
      <c r="E81" s="72"/>
      <c r="F81" s="72"/>
      <c r="G81" s="72"/>
      <c r="H81" s="72"/>
      <c r="I81" s="72"/>
      <c r="J81" s="72"/>
      <c r="K81" s="72"/>
      <c r="L81" s="72"/>
      <c r="M81" s="72"/>
      <c r="N81" s="72"/>
      <c r="O81" s="72"/>
      <c r="P81" s="72"/>
      <c r="Q81" s="72"/>
      <c r="R81" s="72"/>
      <c r="S81" s="72"/>
      <c r="T81" s="72"/>
      <c r="U81" s="72"/>
      <c r="V81" s="72"/>
      <c r="W81" s="72"/>
      <c r="X81" s="72"/>
      <c r="Y81" s="72"/>
      <c r="Z81" s="72"/>
      <c r="AA81" s="72"/>
      <c r="AB81" s="72"/>
      <c r="AC81" s="72"/>
      <c r="AD81" s="72"/>
      <c r="AE81" s="72"/>
      <c r="AF81" s="72"/>
      <c r="AG81" s="72"/>
      <c r="AH81" s="72"/>
      <c r="AI81" s="72"/>
      <c r="AJ81" s="72"/>
      <c r="AK81" s="72"/>
      <c r="AL81" s="72"/>
      <c r="AM81" s="72"/>
      <c r="AN81" s="72"/>
      <c r="AO81" s="72"/>
      <c r="AP81" s="72"/>
      <c r="AQ81" s="72"/>
      <c r="AR81" s="72"/>
      <c r="AS81" s="72"/>
      <c r="AT81" s="72"/>
      <c r="AU81" s="72"/>
      <c r="AV81" s="72"/>
      <c r="AW81" s="72"/>
      <c r="AX81" s="72"/>
      <c r="AY81" s="72"/>
      <c r="AZ81" s="72"/>
      <c r="BA81" s="72"/>
      <c r="BB81" s="72"/>
      <c r="BC81" s="72"/>
      <c r="BD81" s="72"/>
      <c r="BE81" s="72"/>
      <c r="BF81" s="72"/>
      <c r="BG81" s="72"/>
      <c r="BH81" s="72"/>
      <c r="BI81" s="72"/>
      <c r="BJ81" s="72"/>
      <c r="BK81" s="72"/>
    </row>
    <row r="82" spans="1:63">
      <c r="B82" s="146" t="s">
        <v>521</v>
      </c>
      <c r="C82" s="100" t="e">
        <f>SUM(D77:AG77)</f>
        <v>#REF!</v>
      </c>
      <c r="D82" s="72"/>
      <c r="E82" s="72"/>
      <c r="F82" s="72"/>
      <c r="G82" s="72"/>
      <c r="H82" s="72"/>
      <c r="I82" s="72"/>
      <c r="J82" s="72"/>
      <c r="K82" s="72"/>
      <c r="L82" s="72"/>
      <c r="M82" s="72"/>
      <c r="N82" s="72"/>
      <c r="O82" s="72"/>
      <c r="P82" s="72"/>
      <c r="Q82" s="72"/>
      <c r="R82" s="72"/>
      <c r="S82" s="72"/>
      <c r="T82" s="72"/>
      <c r="U82" s="72"/>
      <c r="V82" s="72"/>
      <c r="W82" s="72"/>
      <c r="X82" s="72"/>
      <c r="Y82" s="72"/>
      <c r="Z82" s="72"/>
      <c r="AA82" s="72"/>
      <c r="AB82" s="72"/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/>
      <c r="AN82" s="72"/>
      <c r="AO82" s="72"/>
      <c r="AP82" s="72"/>
      <c r="AQ82" s="72"/>
      <c r="AR82" s="72"/>
      <c r="AS82" s="72"/>
      <c r="AT82" s="72"/>
      <c r="AU82" s="72"/>
      <c r="AV82" s="72"/>
      <c r="AW82" s="72"/>
      <c r="AX82" s="72"/>
      <c r="AY82" s="72"/>
      <c r="AZ82" s="72"/>
      <c r="BA82" s="72"/>
      <c r="BB82" s="72"/>
      <c r="BC82" s="72"/>
      <c r="BD82" s="72"/>
      <c r="BE82" s="72"/>
      <c r="BF82" s="72"/>
      <c r="BG82" s="72"/>
      <c r="BH82" s="72"/>
      <c r="BI82" s="72"/>
      <c r="BJ82" s="72"/>
      <c r="BK82" s="72"/>
    </row>
    <row r="83" spans="1:63">
      <c r="B83" s="146" t="s">
        <v>523</v>
      </c>
      <c r="C83" s="100" t="e">
        <f>SUM(D77:AQ77)</f>
        <v>#REF!</v>
      </c>
      <c r="D83" s="72"/>
      <c r="E83" s="72"/>
      <c r="F83" s="72"/>
      <c r="G83" s="72"/>
      <c r="H83" s="72"/>
      <c r="I83" s="72"/>
      <c r="J83" s="72"/>
      <c r="K83" s="72"/>
      <c r="L83" s="72"/>
      <c r="M83" s="72"/>
      <c r="N83" s="72"/>
      <c r="O83" s="72"/>
      <c r="P83" s="72"/>
      <c r="Q83" s="72"/>
      <c r="R83" s="72"/>
      <c r="S83" s="72"/>
      <c r="T83" s="72"/>
      <c r="U83" s="72"/>
      <c r="V83" s="72"/>
      <c r="W83" s="72"/>
      <c r="X83" s="72"/>
      <c r="Y83" s="72"/>
      <c r="Z83" s="72"/>
      <c r="AA83" s="72"/>
      <c r="AB83" s="72"/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/>
      <c r="AN83" s="72"/>
      <c r="AO83" s="72"/>
      <c r="AP83" s="72"/>
      <c r="AQ83" s="72"/>
      <c r="AR83" s="72"/>
      <c r="AS83" s="72"/>
      <c r="AT83" s="72"/>
      <c r="AU83" s="72"/>
      <c r="AV83" s="72"/>
      <c r="AW83" s="72"/>
      <c r="AX83" s="72"/>
      <c r="AY83" s="72"/>
      <c r="AZ83" s="72"/>
      <c r="BA83" s="72"/>
      <c r="BB83" s="72"/>
      <c r="BC83" s="72"/>
      <c r="BD83" s="72"/>
      <c r="BE83" s="72"/>
      <c r="BF83" s="72"/>
      <c r="BG83" s="72"/>
      <c r="BH83" s="72"/>
      <c r="BI83" s="72"/>
      <c r="BJ83" s="72"/>
      <c r="BK83" s="72"/>
    </row>
    <row r="86" spans="1:63">
      <c r="A86" s="117"/>
      <c r="B86" s="117" t="s">
        <v>397</v>
      </c>
      <c r="C86" s="117"/>
      <c r="D86" s="116"/>
      <c r="E86" s="116"/>
      <c r="F86" s="116"/>
      <c r="G86" s="116"/>
      <c r="H86" s="116"/>
      <c r="I86" s="116"/>
      <c r="J86" s="116"/>
      <c r="K86" s="116"/>
      <c r="L86" s="116"/>
      <c r="M86" s="116"/>
      <c r="N86" s="116"/>
      <c r="O86" s="116"/>
      <c r="P86" s="116"/>
      <c r="Q86" s="116"/>
      <c r="R86" s="116"/>
      <c r="S86" s="116"/>
      <c r="T86" s="116"/>
      <c r="U86" s="116"/>
      <c r="V86" s="116"/>
      <c r="W86" s="116"/>
      <c r="X86" s="116"/>
      <c r="Y86" s="116"/>
      <c r="Z86" s="116"/>
      <c r="AA86" s="116"/>
      <c r="AB86" s="116"/>
      <c r="AC86" s="116"/>
      <c r="AD86" s="11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AMJ65"/>
  <sheetViews>
    <sheetView zoomScaleNormal="100" workbookViewId="0">
      <selection activeCell="G31" sqref="G31"/>
    </sheetView>
  </sheetViews>
  <sheetFormatPr defaultColWidth="9.140625" defaultRowHeight="12.75"/>
  <cols>
    <col min="1" max="1" width="3.140625" style="11" customWidth="1"/>
    <col min="2" max="2" width="73.42578125" style="11" customWidth="1"/>
    <col min="3" max="1024" width="9.140625" style="11"/>
  </cols>
  <sheetData>
    <row r="2" spans="1:70">
      <c r="B2" s="204" t="s">
        <v>193</v>
      </c>
      <c r="D2" s="11">
        <f>CO2e!D2</f>
        <v>1</v>
      </c>
      <c r="E2" s="11">
        <f>CO2e!E2</f>
        <v>1</v>
      </c>
      <c r="F2" s="11">
        <f>CO2e!F2</f>
        <v>1</v>
      </c>
      <c r="G2" s="11">
        <f>CO2e!G2</f>
        <v>1</v>
      </c>
      <c r="H2" s="11">
        <f>CO2e!H2</f>
        <v>1</v>
      </c>
      <c r="I2" s="11">
        <f>CO2e!I2</f>
        <v>2</v>
      </c>
      <c r="J2" s="11">
        <f>CO2e!J2</f>
        <v>2</v>
      </c>
      <c r="K2" s="11">
        <f>CO2e!K2</f>
        <v>2</v>
      </c>
      <c r="L2" s="11">
        <f>CO2e!L2</f>
        <v>2</v>
      </c>
      <c r="M2" s="11">
        <f>CO2e!M2</f>
        <v>2</v>
      </c>
      <c r="N2" s="11">
        <f>CO2e!N2</f>
        <v>3</v>
      </c>
      <c r="O2" s="11">
        <f>CO2e!O2</f>
        <v>3</v>
      </c>
      <c r="P2" s="11">
        <f>CO2e!P2</f>
        <v>3</v>
      </c>
      <c r="Q2" s="11">
        <f>CO2e!Q2</f>
        <v>3</v>
      </c>
      <c r="R2" s="11">
        <f>CO2e!R2</f>
        <v>3</v>
      </c>
      <c r="S2" s="11">
        <f>CO2e!S2</f>
        <v>3</v>
      </c>
      <c r="T2" s="11">
        <f>CO2e!T2</f>
        <v>3</v>
      </c>
      <c r="U2" s="11">
        <f>CO2e!U2</f>
        <v>3</v>
      </c>
      <c r="V2" s="11">
        <f>CO2e!V2</f>
        <v>3</v>
      </c>
      <c r="W2" s="11">
        <f>CO2e!W2</f>
        <v>3</v>
      </c>
      <c r="X2" s="11">
        <f>CO2e!X2</f>
        <v>3</v>
      </c>
      <c r="Y2" s="11">
        <f>CO2e!Y2</f>
        <v>3</v>
      </c>
      <c r="Z2" s="11">
        <f>CO2e!Z2</f>
        <v>3</v>
      </c>
      <c r="AA2" s="11">
        <f>CO2e!AA2</f>
        <v>3</v>
      </c>
      <c r="AB2" s="11">
        <f>CO2e!AB2</f>
        <v>3</v>
      </c>
      <c r="AC2" s="11">
        <f>CO2e!AC2</f>
        <v>3</v>
      </c>
      <c r="AD2" s="11">
        <f>CO2e!AD2</f>
        <v>3</v>
      </c>
      <c r="AE2" s="11">
        <f>CO2e!AE2</f>
        <v>3</v>
      </c>
      <c r="AF2" s="11">
        <f>CO2e!AF2</f>
        <v>3</v>
      </c>
      <c r="AG2" s="11">
        <f>CO2e!AG2</f>
        <v>3</v>
      </c>
      <c r="AH2" s="11">
        <f>CO2e!AH2</f>
        <v>3</v>
      </c>
      <c r="AI2" s="11">
        <f>CO2e!AI2</f>
        <v>3</v>
      </c>
      <c r="AJ2" s="11">
        <f>CO2e!AJ2</f>
        <v>3</v>
      </c>
      <c r="AK2" s="11">
        <f>CO2e!AK2</f>
        <v>3</v>
      </c>
      <c r="AL2" s="11">
        <f>CO2e!AL2</f>
        <v>3</v>
      </c>
      <c r="AM2" s="11">
        <f>CO2e!AM2</f>
        <v>3</v>
      </c>
      <c r="AN2" s="11">
        <f>CO2e!AN2</f>
        <v>3</v>
      </c>
      <c r="AO2" s="11">
        <f>CO2e!AO2</f>
        <v>3</v>
      </c>
      <c r="AP2" s="11">
        <f>CO2e!AP2</f>
        <v>3</v>
      </c>
      <c r="AQ2" s="11">
        <f>CO2e!AQ2</f>
        <v>3</v>
      </c>
      <c r="AR2" s="11">
        <f>CO2e!AR2</f>
        <v>3</v>
      </c>
      <c r="AS2" s="11">
        <f>CO2e!AS2</f>
        <v>3</v>
      </c>
      <c r="AT2" s="11">
        <f>CO2e!AT2</f>
        <v>3</v>
      </c>
      <c r="AU2" s="11">
        <f>CO2e!AU2</f>
        <v>3</v>
      </c>
      <c r="AV2" s="11">
        <f>CO2e!AV2</f>
        <v>3</v>
      </c>
      <c r="AW2" s="11">
        <f>CO2e!AW2</f>
        <v>3</v>
      </c>
      <c r="AX2" s="11">
        <f>CO2e!AX2</f>
        <v>3</v>
      </c>
      <c r="AY2" s="11">
        <f>CO2e!AY2</f>
        <v>3</v>
      </c>
      <c r="AZ2" s="11">
        <f>CO2e!AZ2</f>
        <v>3</v>
      </c>
      <c r="BA2" s="11">
        <f>CO2e!BA2</f>
        <v>3</v>
      </c>
      <c r="BB2" s="11">
        <f>CO2e!BB2</f>
        <v>3</v>
      </c>
      <c r="BC2" s="11">
        <f>CO2e!BC2</f>
        <v>3</v>
      </c>
      <c r="BD2" s="11">
        <f>CO2e!BD2</f>
        <v>3</v>
      </c>
      <c r="BE2" s="11">
        <f>CO2e!BE2</f>
        <v>3</v>
      </c>
      <c r="BF2" s="11">
        <f>CO2e!BF2</f>
        <v>3</v>
      </c>
      <c r="BG2" s="11">
        <f>CO2e!BG2</f>
        <v>3</v>
      </c>
      <c r="BH2" s="11">
        <f>CO2e!BH2</f>
        <v>3</v>
      </c>
      <c r="BI2" s="11">
        <f>CO2e!BI2</f>
        <v>3</v>
      </c>
      <c r="BJ2" s="11">
        <f>CO2e!BJ2</f>
        <v>3</v>
      </c>
      <c r="BK2" s="11">
        <f>CO2e!BK2</f>
        <v>3</v>
      </c>
    </row>
    <row r="3" spans="1:70">
      <c r="B3" s="204" t="s">
        <v>406</v>
      </c>
      <c r="C3" s="11">
        <v>0</v>
      </c>
      <c r="D3" s="11">
        <v>1</v>
      </c>
      <c r="E3" s="11">
        <v>2</v>
      </c>
      <c r="F3" s="11">
        <v>3</v>
      </c>
      <c r="G3" s="11">
        <v>4</v>
      </c>
      <c r="H3" s="11">
        <v>5</v>
      </c>
      <c r="I3" s="11">
        <v>6</v>
      </c>
      <c r="J3" s="11">
        <v>7</v>
      </c>
      <c r="K3" s="11">
        <v>8</v>
      </c>
      <c r="L3" s="11">
        <v>9</v>
      </c>
      <c r="M3" s="11">
        <v>10</v>
      </c>
      <c r="N3" s="11">
        <v>11</v>
      </c>
      <c r="O3" s="11">
        <v>12</v>
      </c>
      <c r="P3" s="11">
        <v>13</v>
      </c>
      <c r="Q3" s="11">
        <v>14</v>
      </c>
      <c r="R3" s="11">
        <v>15</v>
      </c>
      <c r="S3" s="11">
        <v>16</v>
      </c>
      <c r="T3" s="11">
        <v>17</v>
      </c>
      <c r="U3" s="11">
        <v>18</v>
      </c>
      <c r="V3" s="11">
        <v>19</v>
      </c>
      <c r="W3" s="11">
        <v>20</v>
      </c>
      <c r="X3" s="11">
        <v>21</v>
      </c>
      <c r="Y3" s="11">
        <v>22</v>
      </c>
      <c r="Z3" s="11">
        <v>23</v>
      </c>
      <c r="AA3" s="11">
        <v>24</v>
      </c>
      <c r="AB3" s="11">
        <v>25</v>
      </c>
      <c r="AC3" s="11">
        <v>26</v>
      </c>
      <c r="AD3" s="11">
        <v>27</v>
      </c>
      <c r="AE3" s="11">
        <v>28</v>
      </c>
      <c r="AF3" s="11">
        <v>29</v>
      </c>
      <c r="AG3" s="11">
        <v>30</v>
      </c>
      <c r="AH3" s="11">
        <v>31</v>
      </c>
      <c r="AI3" s="11">
        <v>32</v>
      </c>
      <c r="AJ3" s="11">
        <v>33</v>
      </c>
      <c r="AK3" s="11">
        <v>34</v>
      </c>
      <c r="AL3" s="11">
        <v>35</v>
      </c>
      <c r="AM3" s="11">
        <v>36</v>
      </c>
      <c r="AN3" s="11">
        <v>37</v>
      </c>
      <c r="AO3" s="11">
        <v>38</v>
      </c>
      <c r="AP3" s="11">
        <v>39</v>
      </c>
      <c r="AQ3" s="11">
        <v>40</v>
      </c>
      <c r="AR3" s="11">
        <v>41</v>
      </c>
      <c r="AS3" s="11">
        <v>42</v>
      </c>
      <c r="AT3" s="11">
        <v>43</v>
      </c>
      <c r="AU3" s="11">
        <v>44</v>
      </c>
      <c r="AV3" s="11">
        <v>45</v>
      </c>
      <c r="AW3" s="11">
        <v>46</v>
      </c>
      <c r="AX3" s="11">
        <v>47</v>
      </c>
      <c r="AY3" s="11">
        <v>48</v>
      </c>
      <c r="AZ3" s="11">
        <v>49</v>
      </c>
      <c r="BA3" s="11">
        <v>50</v>
      </c>
      <c r="BB3" s="11">
        <v>51</v>
      </c>
      <c r="BC3" s="11">
        <v>52</v>
      </c>
      <c r="BD3" s="11">
        <v>53</v>
      </c>
      <c r="BE3" s="11">
        <v>54</v>
      </c>
      <c r="BF3" s="11">
        <v>55</v>
      </c>
      <c r="BG3" s="11">
        <v>56</v>
      </c>
      <c r="BH3" s="11">
        <v>57</v>
      </c>
      <c r="BI3" s="11">
        <v>58</v>
      </c>
      <c r="BJ3" s="11">
        <v>59</v>
      </c>
      <c r="BK3" s="11">
        <v>60</v>
      </c>
    </row>
    <row r="4" spans="1:70">
      <c r="B4" s="204" t="s">
        <v>502</v>
      </c>
      <c r="C4" s="11">
        <f>D4-1</f>
        <v>2026</v>
      </c>
      <c r="D4" s="11">
        <f>Dashboard!C28</f>
        <v>2027</v>
      </c>
      <c r="E4" s="11">
        <f>D4+1</f>
        <v>2028</v>
      </c>
      <c r="F4" s="11">
        <f>E4+1</f>
        <v>2029</v>
      </c>
      <c r="G4" s="11">
        <f>F4+1</f>
        <v>2030</v>
      </c>
      <c r="H4" s="11">
        <f>G4+1</f>
        <v>2031</v>
      </c>
      <c r="I4" s="11">
        <f>H4+1</f>
        <v>2032</v>
      </c>
      <c r="J4" s="11">
        <f>I4+1</f>
        <v>2033</v>
      </c>
      <c r="K4" s="11">
        <f>J4+1</f>
        <v>2034</v>
      </c>
      <c r="L4" s="11">
        <f>K4+1</f>
        <v>2035</v>
      </c>
      <c r="M4" s="11">
        <f>L4+1</f>
        <v>2036</v>
      </c>
      <c r="N4" s="11">
        <f>M4+1</f>
        <v>2037</v>
      </c>
      <c r="O4" s="11">
        <f>N4+1</f>
        <v>2038</v>
      </c>
      <c r="P4" s="11">
        <f>O4+1</f>
        <v>2039</v>
      </c>
      <c r="Q4" s="11">
        <f>P4+1</f>
        <v>2040</v>
      </c>
      <c r="R4" s="11">
        <f>Q4+1</f>
        <v>2041</v>
      </c>
      <c r="S4" s="11">
        <f>R4+1</f>
        <v>2042</v>
      </c>
      <c r="T4" s="11">
        <f>S4+1</f>
        <v>2043</v>
      </c>
      <c r="U4" s="11">
        <f>T4+1</f>
        <v>2044</v>
      </c>
      <c r="V4" s="11">
        <f>U4+1</f>
        <v>2045</v>
      </c>
      <c r="W4" s="11">
        <f>V4+1</f>
        <v>2046</v>
      </c>
      <c r="X4" s="11">
        <f>W4+1</f>
        <v>2047</v>
      </c>
      <c r="Y4" s="11">
        <f>X4+1</f>
        <v>2048</v>
      </c>
      <c r="Z4" s="11">
        <f>Y4+1</f>
        <v>2049</v>
      </c>
      <c r="AA4" s="11">
        <f>Z4+1</f>
        <v>2050</v>
      </c>
      <c r="AB4" s="11">
        <f>AA4+1</f>
        <v>2051</v>
      </c>
      <c r="AC4" s="11">
        <f>AB4+1</f>
        <v>2052</v>
      </c>
      <c r="AD4" s="11">
        <f>AC4+1</f>
        <v>2053</v>
      </c>
      <c r="AE4" s="11">
        <f>AD4+1</f>
        <v>2054</v>
      </c>
      <c r="AF4" s="11">
        <f>AE4+1</f>
        <v>2055</v>
      </c>
      <c r="AG4" s="11">
        <f>AF4+1</f>
        <v>2056</v>
      </c>
      <c r="AH4" s="11">
        <f>AG4+1</f>
        <v>2057</v>
      </c>
      <c r="AI4" s="11">
        <f>AH4+1</f>
        <v>2058</v>
      </c>
      <c r="AJ4" s="11">
        <f>AI4+1</f>
        <v>2059</v>
      </c>
      <c r="AK4" s="11">
        <f>AJ4+1</f>
        <v>2060</v>
      </c>
      <c r="AL4" s="11">
        <f>AK4+1</f>
        <v>2061</v>
      </c>
      <c r="AM4" s="11">
        <f>AL4+1</f>
        <v>2062</v>
      </c>
      <c r="AN4" s="11">
        <f>AM4+1</f>
        <v>2063</v>
      </c>
      <c r="AO4" s="11">
        <f>AN4+1</f>
        <v>2064</v>
      </c>
      <c r="AP4" s="11">
        <f>AO4+1</f>
        <v>2065</v>
      </c>
      <c r="AQ4" s="11">
        <f>AP4+1</f>
        <v>2066</v>
      </c>
      <c r="AR4" s="11">
        <f>AQ4+1</f>
        <v>2067</v>
      </c>
      <c r="AS4" s="11">
        <f>AR4+1</f>
        <v>2068</v>
      </c>
      <c r="AT4" s="11">
        <f>AS4+1</f>
        <v>2069</v>
      </c>
      <c r="AU4" s="11">
        <f>AT4+1</f>
        <v>2070</v>
      </c>
      <c r="AV4" s="11">
        <f>AU4+1</f>
        <v>2071</v>
      </c>
      <c r="AW4" s="11">
        <f>AV4+1</f>
        <v>2072</v>
      </c>
      <c r="AX4" s="11">
        <f>AW4+1</f>
        <v>2073</v>
      </c>
      <c r="AY4" s="11">
        <f>AX4+1</f>
        <v>2074</v>
      </c>
      <c r="AZ4" s="11">
        <f>AY4+1</f>
        <v>2075</v>
      </c>
      <c r="BA4" s="11">
        <f>AZ4+1</f>
        <v>2076</v>
      </c>
      <c r="BB4" s="11">
        <f>BA4+1</f>
        <v>2077</v>
      </c>
      <c r="BC4" s="11">
        <f>BB4+1</f>
        <v>2078</v>
      </c>
      <c r="BD4" s="11">
        <f>BC4+1</f>
        <v>2079</v>
      </c>
      <c r="BE4" s="11">
        <f>BD4+1</f>
        <v>2080</v>
      </c>
      <c r="BF4" s="11">
        <f>BE4+1</f>
        <v>2081</v>
      </c>
      <c r="BG4" s="11">
        <f>BF4+1</f>
        <v>2082</v>
      </c>
      <c r="BH4" s="11">
        <f>BG4+1</f>
        <v>2083</v>
      </c>
      <c r="BI4" s="11">
        <f>BH4+1</f>
        <v>2084</v>
      </c>
      <c r="BJ4" s="11">
        <f>BI4+1</f>
        <v>2085</v>
      </c>
      <c r="BK4" s="11">
        <f>BJ4+1</f>
        <v>2086</v>
      </c>
    </row>
    <row r="5" spans="1:70">
      <c r="B5" s="186" t="s">
        <v>408</v>
      </c>
    </row>
    <row r="6" spans="1:70">
      <c r="B6" s="186" t="s">
        <v>409</v>
      </c>
    </row>
    <row r="7" spans="1:70">
      <c r="B7" s="186" t="s">
        <v>410</v>
      </c>
    </row>
    <row r="8" spans="1:70">
      <c r="B8" s="186" t="s">
        <v>134</v>
      </c>
    </row>
    <row r="9" spans="1:70">
      <c r="B9" s="186" t="s">
        <v>530</v>
      </c>
    </row>
    <row r="10" spans="1:70">
      <c r="B10" s="186" t="s">
        <v>531</v>
      </c>
    </row>
    <row r="12" spans="1:70">
      <c r="A12" s="118">
        <v>1</v>
      </c>
      <c r="B12" s="118" t="s">
        <v>532</v>
      </c>
      <c r="C12" s="118"/>
      <c r="D12" s="118"/>
      <c r="E12" s="118"/>
      <c r="F12" s="118"/>
      <c r="G12" s="118"/>
      <c r="H12" s="118"/>
      <c r="I12" s="118"/>
      <c r="J12" s="118"/>
      <c r="K12" s="118"/>
      <c r="L12" s="118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  <c r="AL12" s="118"/>
      <c r="AM12" s="118"/>
      <c r="AN12" s="118"/>
      <c r="AO12" s="118"/>
      <c r="AP12" s="118"/>
      <c r="AQ12" s="118"/>
      <c r="AR12" s="118"/>
      <c r="AS12" s="118"/>
      <c r="AT12" s="118"/>
      <c r="AU12" s="118"/>
      <c r="AV12" s="118"/>
      <c r="AW12" s="118"/>
      <c r="AX12" s="118"/>
      <c r="AY12" s="118"/>
      <c r="AZ12" s="118"/>
      <c r="BA12" s="118"/>
      <c r="BB12" s="118"/>
      <c r="BC12" s="118"/>
      <c r="BD12" s="118"/>
      <c r="BE12" s="118"/>
      <c r="BF12" s="118"/>
      <c r="BG12" s="118"/>
      <c r="BH12" s="118"/>
      <c r="BI12" s="118"/>
      <c r="BJ12" s="118"/>
      <c r="BK12" s="118"/>
      <c r="BL12" s="118"/>
      <c r="BM12" s="118"/>
      <c r="BN12" s="118"/>
      <c r="BO12" s="118"/>
      <c r="BP12" s="118"/>
      <c r="BQ12" s="118"/>
      <c r="BR12" s="118"/>
    </row>
    <row r="14" spans="1:70">
      <c r="B14" s="11" t="s">
        <v>533</v>
      </c>
      <c r="C14" s="11">
        <v>2022</v>
      </c>
      <c r="D14" s="11">
        <v>2023</v>
      </c>
      <c r="E14" s="11">
        <v>2024</v>
      </c>
      <c r="F14" s="11">
        <v>2025</v>
      </c>
      <c r="G14" s="11">
        <v>2026</v>
      </c>
      <c r="H14" s="11">
        <v>2027</v>
      </c>
      <c r="I14" s="11">
        <v>2028</v>
      </c>
      <c r="J14" s="11">
        <v>2029</v>
      </c>
      <c r="K14" s="11">
        <v>2030</v>
      </c>
      <c r="L14" s="11">
        <v>2031</v>
      </c>
      <c r="M14" s="11">
        <v>2032</v>
      </c>
      <c r="N14" s="11">
        <v>2033</v>
      </c>
      <c r="O14" s="11">
        <v>2034</v>
      </c>
      <c r="P14" s="11">
        <v>2035</v>
      </c>
      <c r="Q14" s="11">
        <v>2036</v>
      </c>
      <c r="R14" s="11">
        <v>2037</v>
      </c>
      <c r="S14" s="11">
        <v>2038</v>
      </c>
      <c r="T14" s="11">
        <v>2039</v>
      </c>
      <c r="U14" s="11">
        <v>2040</v>
      </c>
      <c r="V14" s="11">
        <v>2041</v>
      </c>
      <c r="W14" s="11">
        <v>2042</v>
      </c>
      <c r="X14" s="11">
        <v>2043</v>
      </c>
      <c r="Y14" s="11">
        <v>2044</v>
      </c>
      <c r="Z14" s="11">
        <v>2045</v>
      </c>
      <c r="AA14" s="11">
        <v>2046</v>
      </c>
      <c r="AB14" s="11">
        <v>2047</v>
      </c>
      <c r="AC14" s="11">
        <v>2048</v>
      </c>
      <c r="AD14" s="11">
        <v>2049</v>
      </c>
      <c r="AE14" s="11">
        <v>2050</v>
      </c>
      <c r="AF14" s="11">
        <v>2051</v>
      </c>
      <c r="AG14" s="11">
        <v>2052</v>
      </c>
      <c r="AH14" s="11">
        <v>2053</v>
      </c>
      <c r="AI14" s="11">
        <v>2054</v>
      </c>
      <c r="AJ14" s="11">
        <v>2055</v>
      </c>
      <c r="AK14" s="11">
        <v>2056</v>
      </c>
      <c r="AL14" s="11">
        <v>2057</v>
      </c>
      <c r="AM14" s="11">
        <v>2058</v>
      </c>
      <c r="AN14" s="11">
        <v>2059</v>
      </c>
      <c r="AO14" s="11">
        <v>2060</v>
      </c>
      <c r="AP14" s="11">
        <v>2061</v>
      </c>
      <c r="AQ14" s="11">
        <v>2062</v>
      </c>
      <c r="AR14" s="11">
        <v>2063</v>
      </c>
      <c r="AS14" s="11">
        <v>2064</v>
      </c>
      <c r="AT14" s="11">
        <v>2065</v>
      </c>
      <c r="AU14" s="11">
        <v>2066</v>
      </c>
      <c r="AV14" s="11">
        <v>2067</v>
      </c>
      <c r="AW14" s="11">
        <v>2068</v>
      </c>
      <c r="AX14" s="11">
        <v>2069</v>
      </c>
      <c r="AY14" s="11">
        <v>2070</v>
      </c>
      <c r="AZ14" s="11">
        <v>2071</v>
      </c>
      <c r="BA14" s="11">
        <v>2072</v>
      </c>
      <c r="BB14" s="11">
        <v>2073</v>
      </c>
      <c r="BC14" s="11">
        <v>2074</v>
      </c>
      <c r="BD14" s="11">
        <v>2075</v>
      </c>
      <c r="BE14" s="11">
        <v>2076</v>
      </c>
      <c r="BF14" s="11">
        <v>2077</v>
      </c>
      <c r="BG14" s="11">
        <v>2078</v>
      </c>
      <c r="BH14" s="11">
        <v>2079</v>
      </c>
      <c r="BI14" s="11">
        <v>2080</v>
      </c>
      <c r="BJ14" s="11">
        <v>2081</v>
      </c>
      <c r="BK14" s="11">
        <v>2082</v>
      </c>
      <c r="BL14" s="11">
        <v>2083</v>
      </c>
      <c r="BM14" s="11">
        <v>2084</v>
      </c>
      <c r="BN14" s="11">
        <v>2085</v>
      </c>
      <c r="BO14" s="11">
        <v>2086</v>
      </c>
      <c r="BP14" s="11">
        <v>2087</v>
      </c>
      <c r="BQ14" s="11">
        <v>2088</v>
      </c>
      <c r="BR14" s="11">
        <v>2089</v>
      </c>
    </row>
    <row r="15" spans="1:70">
      <c r="B15" s="11" t="s">
        <v>534</v>
      </c>
      <c r="C15" s="188">
        <v>248</v>
      </c>
      <c r="D15" s="188">
        <v>252</v>
      </c>
      <c r="E15" s="188">
        <v>256</v>
      </c>
      <c r="F15" s="188">
        <v>260</v>
      </c>
      <c r="G15" s="188">
        <v>264</v>
      </c>
      <c r="H15" s="188">
        <v>268</v>
      </c>
      <c r="I15" s="188">
        <v>272</v>
      </c>
      <c r="J15" s="188">
        <v>276</v>
      </c>
      <c r="K15" s="188">
        <v>280</v>
      </c>
      <c r="L15" s="188">
        <v>285</v>
      </c>
      <c r="M15" s="188">
        <v>289</v>
      </c>
      <c r="N15" s="188">
        <v>293</v>
      </c>
      <c r="O15" s="188">
        <v>298</v>
      </c>
      <c r="P15" s="188">
        <v>302</v>
      </c>
      <c r="Q15" s="188">
        <v>307</v>
      </c>
      <c r="R15" s="188">
        <v>312</v>
      </c>
      <c r="S15" s="188">
        <v>316</v>
      </c>
      <c r="T15" s="188">
        <v>321</v>
      </c>
      <c r="U15" s="188">
        <v>326</v>
      </c>
      <c r="V15" s="188">
        <v>331</v>
      </c>
      <c r="W15" s="188">
        <v>336</v>
      </c>
      <c r="X15" s="188">
        <v>341</v>
      </c>
      <c r="Y15" s="188">
        <v>346</v>
      </c>
      <c r="Z15" s="188">
        <v>351</v>
      </c>
      <c r="AA15" s="188">
        <v>356</v>
      </c>
      <c r="AB15" s="188">
        <v>362</v>
      </c>
      <c r="AC15" s="188">
        <v>367</v>
      </c>
      <c r="AD15" s="188">
        <v>373</v>
      </c>
      <c r="AE15" s="188">
        <v>378</v>
      </c>
      <c r="AF15" s="188">
        <v>378</v>
      </c>
      <c r="AG15" s="188">
        <v>378</v>
      </c>
      <c r="AH15" s="188">
        <v>378</v>
      </c>
      <c r="AI15" s="188">
        <v>378</v>
      </c>
      <c r="AJ15" s="188">
        <v>378</v>
      </c>
      <c r="AK15" s="188">
        <v>378</v>
      </c>
      <c r="AL15" s="188">
        <v>378</v>
      </c>
      <c r="AM15" s="188">
        <v>378</v>
      </c>
      <c r="AN15" s="188">
        <v>378</v>
      </c>
      <c r="AO15" s="188">
        <v>378</v>
      </c>
      <c r="AP15" s="188">
        <v>378</v>
      </c>
      <c r="AQ15" s="188">
        <v>378</v>
      </c>
      <c r="AR15" s="188">
        <v>378</v>
      </c>
      <c r="AS15" s="188">
        <v>378</v>
      </c>
      <c r="AT15" s="188">
        <v>378</v>
      </c>
      <c r="AU15" s="188">
        <v>378</v>
      </c>
      <c r="AV15" s="188">
        <v>378</v>
      </c>
      <c r="AW15" s="188">
        <v>378</v>
      </c>
      <c r="AX15" s="188">
        <v>378</v>
      </c>
      <c r="AY15" s="188">
        <v>378</v>
      </c>
      <c r="AZ15" s="188">
        <v>378</v>
      </c>
      <c r="BA15" s="188">
        <v>378</v>
      </c>
      <c r="BB15" s="188">
        <v>378</v>
      </c>
      <c r="BC15" s="188">
        <v>378</v>
      </c>
      <c r="BD15" s="188">
        <v>378</v>
      </c>
      <c r="BE15" s="188">
        <v>378</v>
      </c>
      <c r="BF15" s="188">
        <v>378</v>
      </c>
      <c r="BG15" s="188">
        <v>378</v>
      </c>
      <c r="BH15" s="188">
        <v>378</v>
      </c>
      <c r="BI15" s="188">
        <v>378</v>
      </c>
      <c r="BJ15" s="188">
        <v>378</v>
      </c>
      <c r="BK15" s="188">
        <v>378</v>
      </c>
      <c r="BL15" s="188">
        <v>378</v>
      </c>
      <c r="BM15" s="188">
        <v>378</v>
      </c>
      <c r="BN15" s="188">
        <v>378</v>
      </c>
      <c r="BO15" s="188">
        <v>378</v>
      </c>
      <c r="BP15" s="188">
        <v>378</v>
      </c>
      <c r="BQ15" s="188">
        <v>378</v>
      </c>
      <c r="BR15" s="188">
        <v>378</v>
      </c>
    </row>
    <row r="16" spans="1:70">
      <c r="B16" s="11" t="s">
        <v>535</v>
      </c>
      <c r="C16" s="188">
        <v>124</v>
      </c>
      <c r="D16" s="188">
        <v>126</v>
      </c>
      <c r="E16" s="188">
        <v>128</v>
      </c>
      <c r="F16" s="188">
        <v>130</v>
      </c>
      <c r="G16" s="188">
        <v>132</v>
      </c>
      <c r="H16" s="188">
        <v>134</v>
      </c>
      <c r="I16" s="188">
        <v>136</v>
      </c>
      <c r="J16" s="188">
        <v>138</v>
      </c>
      <c r="K16" s="188">
        <v>140</v>
      </c>
      <c r="L16" s="188">
        <v>142</v>
      </c>
      <c r="M16" s="188">
        <v>144</v>
      </c>
      <c r="N16" s="188">
        <v>147</v>
      </c>
      <c r="O16" s="188">
        <v>149</v>
      </c>
      <c r="P16" s="188">
        <v>151</v>
      </c>
      <c r="Q16" s="188">
        <v>153</v>
      </c>
      <c r="R16" s="188">
        <v>156</v>
      </c>
      <c r="S16" s="188">
        <v>158</v>
      </c>
      <c r="T16" s="188">
        <v>161</v>
      </c>
      <c r="U16" s="188">
        <v>163</v>
      </c>
      <c r="V16" s="188">
        <v>165</v>
      </c>
      <c r="W16" s="188">
        <v>168</v>
      </c>
      <c r="X16" s="188">
        <v>170</v>
      </c>
      <c r="Y16" s="188">
        <v>173</v>
      </c>
      <c r="Z16" s="188">
        <v>176</v>
      </c>
      <c r="AA16" s="188">
        <v>178</v>
      </c>
      <c r="AB16" s="188">
        <v>181</v>
      </c>
      <c r="AC16" s="188">
        <v>184</v>
      </c>
      <c r="AD16" s="188">
        <v>186</v>
      </c>
      <c r="AE16" s="188">
        <v>189</v>
      </c>
      <c r="AF16" s="188">
        <v>189</v>
      </c>
      <c r="AG16" s="188">
        <v>189</v>
      </c>
      <c r="AH16" s="188">
        <v>189</v>
      </c>
      <c r="AI16" s="188">
        <v>189</v>
      </c>
      <c r="AJ16" s="188">
        <v>189</v>
      </c>
      <c r="AK16" s="188">
        <v>189</v>
      </c>
      <c r="AL16" s="188">
        <v>189</v>
      </c>
      <c r="AM16" s="188">
        <v>189</v>
      </c>
      <c r="AN16" s="188">
        <v>189</v>
      </c>
      <c r="AO16" s="188">
        <v>189</v>
      </c>
      <c r="AP16" s="188">
        <v>189</v>
      </c>
      <c r="AQ16" s="188">
        <v>189</v>
      </c>
      <c r="AR16" s="188">
        <v>189</v>
      </c>
      <c r="AS16" s="188">
        <v>189</v>
      </c>
      <c r="AT16" s="188">
        <v>189</v>
      </c>
      <c r="AU16" s="188">
        <v>189</v>
      </c>
      <c r="AV16" s="188">
        <v>189</v>
      </c>
      <c r="AW16" s="188">
        <v>189</v>
      </c>
      <c r="AX16" s="188">
        <v>189</v>
      </c>
      <c r="AY16" s="188">
        <v>189</v>
      </c>
      <c r="AZ16" s="188">
        <v>189</v>
      </c>
      <c r="BA16" s="188">
        <v>189</v>
      </c>
      <c r="BB16" s="188">
        <v>189</v>
      </c>
      <c r="BC16" s="188">
        <v>189</v>
      </c>
      <c r="BD16" s="188">
        <v>189</v>
      </c>
      <c r="BE16" s="188">
        <v>189</v>
      </c>
      <c r="BF16" s="188">
        <v>189</v>
      </c>
      <c r="BG16" s="188">
        <v>189</v>
      </c>
      <c r="BH16" s="188">
        <v>189</v>
      </c>
      <c r="BI16" s="188">
        <v>189</v>
      </c>
      <c r="BJ16" s="188">
        <v>189</v>
      </c>
      <c r="BK16" s="188">
        <v>189</v>
      </c>
      <c r="BL16" s="188">
        <v>189</v>
      </c>
      <c r="BM16" s="188">
        <v>189</v>
      </c>
      <c r="BN16" s="188">
        <v>189</v>
      </c>
      <c r="BO16" s="188">
        <v>189</v>
      </c>
      <c r="BP16" s="188">
        <v>189</v>
      </c>
      <c r="BQ16" s="188">
        <v>189</v>
      </c>
      <c r="BR16" s="188">
        <v>189</v>
      </c>
    </row>
    <row r="17" spans="2:70">
      <c r="B17" s="11" t="s">
        <v>536</v>
      </c>
      <c r="C17" s="188">
        <v>373</v>
      </c>
      <c r="D17" s="188">
        <v>378</v>
      </c>
      <c r="E17" s="188">
        <v>384</v>
      </c>
      <c r="F17" s="188">
        <v>390</v>
      </c>
      <c r="G17" s="188">
        <v>396</v>
      </c>
      <c r="H17" s="188">
        <v>402</v>
      </c>
      <c r="I17" s="188">
        <v>408</v>
      </c>
      <c r="J17" s="188">
        <v>414</v>
      </c>
      <c r="K17" s="188">
        <v>420</v>
      </c>
      <c r="L17" s="188">
        <v>427</v>
      </c>
      <c r="M17" s="188">
        <v>433</v>
      </c>
      <c r="N17" s="188">
        <v>440</v>
      </c>
      <c r="O17" s="188">
        <v>447</v>
      </c>
      <c r="P17" s="188">
        <v>453</v>
      </c>
      <c r="Q17" s="188">
        <v>460</v>
      </c>
      <c r="R17" s="188">
        <v>467</v>
      </c>
      <c r="S17" s="188">
        <v>474</v>
      </c>
      <c r="T17" s="188">
        <v>482</v>
      </c>
      <c r="U17" s="188">
        <v>489</v>
      </c>
      <c r="V17" s="188">
        <v>496</v>
      </c>
      <c r="W17" s="188">
        <v>504</v>
      </c>
      <c r="X17" s="188">
        <v>511</v>
      </c>
      <c r="Y17" s="188">
        <v>519</v>
      </c>
      <c r="Z17" s="188">
        <v>527</v>
      </c>
      <c r="AA17" s="188">
        <v>535</v>
      </c>
      <c r="AB17" s="188">
        <v>543</v>
      </c>
      <c r="AC17" s="188">
        <v>551</v>
      </c>
      <c r="AD17" s="188">
        <v>559</v>
      </c>
      <c r="AE17" s="188">
        <v>568</v>
      </c>
      <c r="AF17" s="188">
        <v>568</v>
      </c>
      <c r="AG17" s="188">
        <v>568</v>
      </c>
      <c r="AH17" s="188">
        <v>568</v>
      </c>
      <c r="AI17" s="188">
        <v>568</v>
      </c>
      <c r="AJ17" s="188">
        <v>568</v>
      </c>
      <c r="AK17" s="188">
        <v>568</v>
      </c>
      <c r="AL17" s="188">
        <v>568</v>
      </c>
      <c r="AM17" s="188">
        <v>568</v>
      </c>
      <c r="AN17" s="188">
        <v>568</v>
      </c>
      <c r="AO17" s="188">
        <v>568</v>
      </c>
      <c r="AP17" s="188">
        <v>568</v>
      </c>
      <c r="AQ17" s="188">
        <v>568</v>
      </c>
      <c r="AR17" s="188">
        <v>568</v>
      </c>
      <c r="AS17" s="188">
        <v>568</v>
      </c>
      <c r="AT17" s="188">
        <v>568</v>
      </c>
      <c r="AU17" s="188">
        <v>568</v>
      </c>
      <c r="AV17" s="188">
        <v>568</v>
      </c>
      <c r="AW17" s="188">
        <v>568</v>
      </c>
      <c r="AX17" s="188">
        <v>568</v>
      </c>
      <c r="AY17" s="188">
        <v>568</v>
      </c>
      <c r="AZ17" s="188">
        <v>568</v>
      </c>
      <c r="BA17" s="188">
        <v>568</v>
      </c>
      <c r="BB17" s="188">
        <v>568</v>
      </c>
      <c r="BC17" s="188">
        <v>568</v>
      </c>
      <c r="BD17" s="188">
        <v>568</v>
      </c>
      <c r="BE17" s="188">
        <v>568</v>
      </c>
      <c r="BF17" s="188">
        <v>568</v>
      </c>
      <c r="BG17" s="188">
        <v>568</v>
      </c>
      <c r="BH17" s="188">
        <v>568</v>
      </c>
      <c r="BI17" s="188">
        <v>568</v>
      </c>
      <c r="BJ17" s="188">
        <v>568</v>
      </c>
      <c r="BK17" s="188">
        <v>568</v>
      </c>
      <c r="BL17" s="188">
        <v>568</v>
      </c>
      <c r="BM17" s="188">
        <v>568</v>
      </c>
      <c r="BN17" s="188">
        <v>568</v>
      </c>
      <c r="BO17" s="188">
        <v>568</v>
      </c>
      <c r="BP17" s="188">
        <v>568</v>
      </c>
      <c r="BQ17" s="188">
        <v>568</v>
      </c>
      <c r="BR17" s="188">
        <v>568</v>
      </c>
    </row>
    <row r="18" spans="2:70">
      <c r="C18" s="76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  <c r="AV18" s="76"/>
      <c r="AW18" s="76"/>
      <c r="AX18" s="76"/>
      <c r="AY18" s="76"/>
      <c r="AZ18" s="76"/>
      <c r="BA18" s="76"/>
      <c r="BB18" s="76"/>
      <c r="BC18" s="76"/>
      <c r="BD18" s="76"/>
      <c r="BE18" s="76"/>
      <c r="BF18" s="76"/>
      <c r="BG18" s="76"/>
      <c r="BH18" s="76"/>
      <c r="BI18" s="76"/>
      <c r="BJ18" s="76"/>
      <c r="BK18" s="76"/>
      <c r="BL18" s="76"/>
      <c r="BM18" s="76"/>
      <c r="BN18" s="76"/>
      <c r="BO18" s="76"/>
      <c r="BP18" s="76"/>
      <c r="BQ18" s="76"/>
      <c r="BR18" s="76"/>
    </row>
    <row r="19" spans="2:70">
      <c r="B19" s="11" t="s">
        <v>537</v>
      </c>
      <c r="C19" s="229">
        <v>0.159833584630036</v>
      </c>
      <c r="D19" s="229">
        <v>0.16303025632263701</v>
      </c>
      <c r="E19" s="229">
        <v>0.16629086144909</v>
      </c>
      <c r="F19" s="229">
        <v>0.16961667867807201</v>
      </c>
      <c r="G19" s="229">
        <v>0.17300901225163301</v>
      </c>
      <c r="H19" s="229">
        <v>0.17646919249666601</v>
      </c>
      <c r="I19" s="229">
        <v>0.17999857634659899</v>
      </c>
      <c r="J19" s="229">
        <v>0.183598547873531</v>
      </c>
      <c r="K19" s="229">
        <v>0.18727051883100199</v>
      </c>
      <c r="L19" s="229">
        <v>0.191015929207622</v>
      </c>
      <c r="M19" s="229">
        <v>0.194836247791774</v>
      </c>
      <c r="N19" s="229">
        <v>0.19873297274761001</v>
      </c>
      <c r="O19" s="229">
        <v>0.20270763220256199</v>
      </c>
      <c r="P19" s="229">
        <v>0.20676178484661301</v>
      </c>
      <c r="Q19" s="229">
        <v>0.21089702054354501</v>
      </c>
      <c r="R19" s="229">
        <v>0.21511496095441601</v>
      </c>
      <c r="S19" s="229">
        <v>0.21941726017350399</v>
      </c>
      <c r="T19" s="229">
        <v>0.223805605376975</v>
      </c>
      <c r="U19" s="229">
        <v>0.22828171748451401</v>
      </c>
      <c r="V19" s="229">
        <v>0.23284735183420399</v>
      </c>
      <c r="W19" s="229">
        <v>0.237504298870888</v>
      </c>
      <c r="X19" s="229">
        <v>0.242254384848306</v>
      </c>
      <c r="Y19" s="229">
        <v>0.24709947254527201</v>
      </c>
      <c r="Z19" s="229">
        <v>0.252041461996178</v>
      </c>
      <c r="AA19" s="229">
        <v>0.25708229123610099</v>
      </c>
      <c r="AB19" s="229">
        <v>0.26222393706082298</v>
      </c>
      <c r="AC19" s="229">
        <v>0.26746841580204</v>
      </c>
      <c r="AD19" s="229">
        <v>0.272817784118081</v>
      </c>
      <c r="AE19" s="229">
        <v>0.27827413980044202</v>
      </c>
      <c r="AF19" s="229">
        <v>0.28383962259645101</v>
      </c>
      <c r="AG19" s="229">
        <v>0.28951641504837999</v>
      </c>
      <c r="AH19" s="229">
        <v>0.29530674334934798</v>
      </c>
      <c r="AI19" s="229">
        <v>0.30121287821633502</v>
      </c>
      <c r="AJ19" s="229">
        <v>0.30723713578066097</v>
      </c>
      <c r="AK19" s="229">
        <v>0.31338187849627502</v>
      </c>
      <c r="AL19" s="229">
        <v>0.31964951606620001</v>
      </c>
      <c r="AM19" s="229">
        <v>0.32604250638752402</v>
      </c>
      <c r="AN19" s="229">
        <v>0.33256335651527502</v>
      </c>
      <c r="AO19" s="229">
        <v>0.33921462364558003</v>
      </c>
      <c r="AP19" s="229">
        <v>0.34599891611849198</v>
      </c>
      <c r="AQ19" s="229">
        <v>0.352918894440862</v>
      </c>
      <c r="AR19" s="229">
        <v>0.35997727232967902</v>
      </c>
      <c r="AS19" s="229">
        <v>0.36717681777627198</v>
      </c>
      <c r="AT19" s="229">
        <v>0.37452035413179802</v>
      </c>
      <c r="AU19" s="229">
        <v>0.382010761214434</v>
      </c>
      <c r="AV19" s="229">
        <v>0.38965097643872199</v>
      </c>
      <c r="AW19" s="229">
        <v>0.39744399596749702</v>
      </c>
      <c r="AX19" s="229">
        <v>0.40539287588684703</v>
      </c>
      <c r="AY19" s="229">
        <v>0.41350073340458399</v>
      </c>
      <c r="AZ19" s="229">
        <v>0.421770748072676</v>
      </c>
      <c r="BA19" s="229">
        <v>0.43020616303412901</v>
      </c>
      <c r="BB19" s="229">
        <v>0.438810286294812</v>
      </c>
      <c r="BC19" s="229">
        <v>0.44758649202070799</v>
      </c>
      <c r="BD19" s="229">
        <v>0.45653822186112197</v>
      </c>
      <c r="BE19" s="229">
        <v>0.46566898629834402</v>
      </c>
      <c r="BF19" s="229">
        <v>0.47498236602431099</v>
      </c>
      <c r="BG19" s="229">
        <v>0.48448201334479801</v>
      </c>
      <c r="BH19" s="229">
        <v>0.49417165361169302</v>
      </c>
      <c r="BI19" s="229">
        <v>0.50405508668392696</v>
      </c>
      <c r="BJ19" s="229">
        <v>0.514136188417606</v>
      </c>
      <c r="BK19" s="229">
        <v>0.52441891218595804</v>
      </c>
      <c r="BL19" s="229">
        <v>0.534907290429677</v>
      </c>
      <c r="BM19" s="229">
        <v>0.54560543623827096</v>
      </c>
      <c r="BN19" s="229">
        <v>0.55651754496303596</v>
      </c>
      <c r="BO19" s="229">
        <v>0.56764789586229703</v>
      </c>
      <c r="BP19" s="229">
        <v>0.57900085377954302</v>
      </c>
      <c r="BQ19" s="229">
        <v>0.590580870855134</v>
      </c>
      <c r="BR19" s="229">
        <v>0.60239248827223602</v>
      </c>
    </row>
    <row r="20" spans="2:70">
      <c r="B20" s="11" t="s">
        <v>538</v>
      </c>
      <c r="C20" s="229">
        <v>0.19944147957875499</v>
      </c>
      <c r="D20" s="229">
        <v>0.20343030917033</v>
      </c>
      <c r="E20" s="229">
        <v>0.20749891535373599</v>
      </c>
      <c r="F20" s="229">
        <v>0.21164889366081099</v>
      </c>
      <c r="G20" s="229">
        <v>0.21588187153402699</v>
      </c>
      <c r="H20" s="229">
        <v>0.220199508964708</v>
      </c>
      <c r="I20" s="229">
        <v>0.22460349914400199</v>
      </c>
      <c r="J20" s="229">
        <v>0.229095569126882</v>
      </c>
      <c r="K20" s="229">
        <v>0.23367748050942</v>
      </c>
      <c r="L20" s="229">
        <v>0.23835103011960801</v>
      </c>
      <c r="M20" s="229">
        <v>0.24311805072199999</v>
      </c>
      <c r="N20" s="229">
        <v>0.24798041173644</v>
      </c>
      <c r="O20" s="229">
        <v>0.25294001997116899</v>
      </c>
      <c r="P20" s="229">
        <v>0.25799882037059302</v>
      </c>
      <c r="Q20" s="229">
        <v>0.26315879677800402</v>
      </c>
      <c r="R20" s="229">
        <v>0.26842197271356499</v>
      </c>
      <c r="S20" s="229">
        <v>0.27379041216783601</v>
      </c>
      <c r="T20" s="229">
        <v>0.27926622041119298</v>
      </c>
      <c r="U20" s="229">
        <v>0.28485154481941599</v>
      </c>
      <c r="V20" s="229">
        <v>0.290548575715805</v>
      </c>
      <c r="W20" s="229">
        <v>0.29635954723012098</v>
      </c>
      <c r="X20" s="229">
        <v>0.30228673817472301</v>
      </c>
      <c r="Y20" s="229">
        <v>0.30833247293821803</v>
      </c>
      <c r="Z20" s="229">
        <v>0.31449912239698202</v>
      </c>
      <c r="AA20" s="229">
        <v>0.32078910484492201</v>
      </c>
      <c r="AB20" s="229">
        <v>0.32720488694181998</v>
      </c>
      <c r="AC20" s="229">
        <v>0.333748984680657</v>
      </c>
      <c r="AD20" s="229">
        <v>0.34042396437427003</v>
      </c>
      <c r="AE20" s="229">
        <v>0.34723244366175499</v>
      </c>
      <c r="AF20" s="229">
        <v>0.35417709253499002</v>
      </c>
      <c r="AG20" s="229">
        <v>0.36126063438569</v>
      </c>
      <c r="AH20" s="229">
        <v>0.36848584707340398</v>
      </c>
      <c r="AI20" s="229">
        <v>0.37585556401487202</v>
      </c>
      <c r="AJ20" s="229">
        <v>0.383372675295169</v>
      </c>
      <c r="AK20" s="229">
        <v>0.39104012880107297</v>
      </c>
      <c r="AL20" s="229">
        <v>0.398860931377094</v>
      </c>
      <c r="AM20" s="229">
        <v>0.40683815000463602</v>
      </c>
      <c r="AN20" s="229">
        <v>0.414974913004729</v>
      </c>
      <c r="AO20" s="229">
        <v>0.42327441126482401</v>
      </c>
      <c r="AP20" s="229">
        <v>0.43173989949011998</v>
      </c>
      <c r="AQ20" s="229">
        <v>0.44037469747992303</v>
      </c>
      <c r="AR20" s="229">
        <v>0.44918219142952098</v>
      </c>
      <c r="AS20" s="229">
        <v>0.458165835258111</v>
      </c>
      <c r="AT20" s="229">
        <v>0.46732915196327401</v>
      </c>
      <c r="AU20" s="229">
        <v>0.47667573500253901</v>
      </c>
      <c r="AV20" s="229">
        <v>0.48620924970259</v>
      </c>
      <c r="AW20" s="229">
        <v>0.49593343469664197</v>
      </c>
      <c r="AX20" s="229">
        <v>0.50585210339057496</v>
      </c>
      <c r="AY20" s="229">
        <v>0.51596914545838601</v>
      </c>
      <c r="AZ20" s="229">
        <v>0.52628852836755402</v>
      </c>
      <c r="BA20" s="229">
        <v>0.53681429893490495</v>
      </c>
      <c r="BB20" s="229">
        <v>0.54755058491360298</v>
      </c>
      <c r="BC20" s="229">
        <v>0.55850159661187504</v>
      </c>
      <c r="BD20" s="229">
        <v>0.56967162854411202</v>
      </c>
      <c r="BE20" s="229">
        <v>0.58106506111499501</v>
      </c>
      <c r="BF20" s="229">
        <v>0.59268636233729399</v>
      </c>
      <c r="BG20" s="229">
        <v>0.60454008958404004</v>
      </c>
      <c r="BH20" s="229">
        <v>0.61663089137572102</v>
      </c>
      <c r="BI20" s="229">
        <v>0.62896350920323596</v>
      </c>
      <c r="BJ20" s="229">
        <v>0.64154277938729998</v>
      </c>
      <c r="BK20" s="229">
        <v>0.65437363497504597</v>
      </c>
      <c r="BL20" s="229">
        <v>0.66746110767454703</v>
      </c>
      <c r="BM20" s="229">
        <v>0.68081032982803802</v>
      </c>
      <c r="BN20" s="229">
        <v>0.69442653642459895</v>
      </c>
      <c r="BO20" s="229">
        <v>0.708315067153091</v>
      </c>
      <c r="BP20" s="229">
        <v>0.72248136849615296</v>
      </c>
      <c r="BQ20" s="229">
        <v>0.73693099586607602</v>
      </c>
      <c r="BR20" s="229">
        <v>0.75166961578339797</v>
      </c>
    </row>
    <row r="22" spans="2:70">
      <c r="B22" s="11" t="s">
        <v>539</v>
      </c>
    </row>
    <row r="23" spans="2:70">
      <c r="B23" s="11" t="s">
        <v>540</v>
      </c>
    </row>
    <row r="24" spans="2:70">
      <c r="B24" s="11" t="s">
        <v>541</v>
      </c>
    </row>
    <row r="26" spans="2:70">
      <c r="B26" s="11" t="s">
        <v>542</v>
      </c>
    </row>
    <row r="28" spans="2:70">
      <c r="B28" s="11" t="s">
        <v>543</v>
      </c>
    </row>
    <row r="29" spans="2:70">
      <c r="B29" s="11" t="s">
        <v>544</v>
      </c>
    </row>
    <row r="30" spans="2:70">
      <c r="B30" s="11" t="s">
        <v>545</v>
      </c>
    </row>
    <row r="31" spans="2:70">
      <c r="B31" s="11" t="s">
        <v>546</v>
      </c>
    </row>
    <row r="33" spans="2:2">
      <c r="B33" s="11" t="s">
        <v>547</v>
      </c>
    </row>
    <row r="35" spans="2:2">
      <c r="B35" s="145" t="s">
        <v>474</v>
      </c>
    </row>
    <row r="36" spans="2:2">
      <c r="B36" s="146" t="s">
        <v>475</v>
      </c>
    </row>
    <row r="37" spans="2:2">
      <c r="B37" s="146" t="s">
        <v>476</v>
      </c>
    </row>
    <row r="38" spans="2:2">
      <c r="B38" s="146" t="s">
        <v>477</v>
      </c>
    </row>
    <row r="39" spans="2:2">
      <c r="B39" s="146"/>
    </row>
    <row r="40" spans="2:2">
      <c r="B40" s="212" t="s">
        <v>548</v>
      </c>
    </row>
    <row r="41" spans="2:2">
      <c r="B41" s="212" t="s">
        <v>549</v>
      </c>
    </row>
    <row r="42" spans="2:2">
      <c r="B42" s="212" t="s">
        <v>550</v>
      </c>
    </row>
    <row r="43" spans="2:2">
      <c r="B43" s="212" t="s">
        <v>551</v>
      </c>
    </row>
    <row r="45" spans="2:2">
      <c r="B45" s="145" t="s">
        <v>483</v>
      </c>
    </row>
    <row r="46" spans="2:2">
      <c r="B46" s="146" t="s">
        <v>475</v>
      </c>
    </row>
    <row r="47" spans="2:2">
      <c r="B47" s="146" t="s">
        <v>476</v>
      </c>
    </row>
    <row r="48" spans="2:2">
      <c r="B48" s="146" t="s">
        <v>477</v>
      </c>
    </row>
    <row r="49" spans="2:2">
      <c r="B49" s="146"/>
    </row>
    <row r="50" spans="2:2">
      <c r="B50" s="212" t="s">
        <v>548</v>
      </c>
    </row>
    <row r="51" spans="2:2">
      <c r="B51" s="212" t="s">
        <v>549</v>
      </c>
    </row>
    <row r="52" spans="2:2">
      <c r="B52" s="212" t="s">
        <v>550</v>
      </c>
    </row>
    <row r="53" spans="2:2">
      <c r="B53" s="212" t="s">
        <v>552</v>
      </c>
    </row>
    <row r="55" spans="2:2">
      <c r="B55" s="145" t="s">
        <v>485</v>
      </c>
    </row>
    <row r="56" spans="2:2">
      <c r="B56" s="146" t="s">
        <v>475</v>
      </c>
    </row>
    <row r="57" spans="2:2">
      <c r="B57" s="146" t="s">
        <v>476</v>
      </c>
    </row>
    <row r="58" spans="2:2">
      <c r="B58" s="146" t="s">
        <v>477</v>
      </c>
    </row>
    <row r="59" spans="2:2">
      <c r="B59" s="146"/>
    </row>
    <row r="60" spans="2:2">
      <c r="B60" s="212" t="s">
        <v>548</v>
      </c>
    </row>
    <row r="61" spans="2:2">
      <c r="B61" s="212" t="s">
        <v>549</v>
      </c>
    </row>
    <row r="62" spans="2:2">
      <c r="B62" s="212" t="s">
        <v>550</v>
      </c>
    </row>
    <row r="63" spans="2:2">
      <c r="B63" s="212" t="s">
        <v>553</v>
      </c>
    </row>
    <row r="65" spans="1:64">
      <c r="A65" s="117"/>
      <c r="B65" s="117" t="s">
        <v>397</v>
      </c>
      <c r="C65" s="116"/>
      <c r="D65" s="116"/>
      <c r="E65" s="116"/>
      <c r="F65" s="116"/>
      <c r="G65" s="116"/>
      <c r="H65" s="116"/>
      <c r="I65" s="116"/>
      <c r="J65" s="116"/>
      <c r="K65" s="116"/>
      <c r="L65" s="116"/>
      <c r="M65" s="116"/>
      <c r="N65" s="116"/>
      <c r="O65" s="116"/>
      <c r="P65" s="116"/>
      <c r="Q65" s="116"/>
      <c r="R65" s="116"/>
      <c r="S65" s="116"/>
      <c r="T65" s="116"/>
      <c r="U65" s="116"/>
      <c r="V65" s="116"/>
      <c r="W65" s="116"/>
      <c r="X65" s="116"/>
      <c r="Y65" s="116"/>
      <c r="Z65" s="116"/>
      <c r="AA65" s="116"/>
      <c r="AB65" s="116"/>
      <c r="AC65" s="116"/>
      <c r="AD65" s="116"/>
      <c r="AE65" s="116"/>
      <c r="AF65" s="116"/>
      <c r="AG65" s="116"/>
      <c r="AH65" s="116"/>
      <c r="AI65" s="116"/>
      <c r="AJ65" s="116"/>
      <c r="AK65" s="116"/>
      <c r="AL65" s="116"/>
      <c r="AM65" s="116"/>
      <c r="AN65" s="116"/>
      <c r="AO65" s="116"/>
      <c r="AP65" s="116"/>
      <c r="AQ65" s="116"/>
      <c r="AR65" s="116"/>
      <c r="AS65" s="116"/>
      <c r="AT65" s="116"/>
      <c r="AU65" s="116"/>
      <c r="AV65" s="116"/>
      <c r="AW65" s="116"/>
      <c r="AX65" s="116"/>
      <c r="AY65" s="116"/>
      <c r="AZ65" s="116"/>
      <c r="BA65" s="116"/>
      <c r="BB65" s="116"/>
      <c r="BC65" s="116"/>
      <c r="BD65" s="116"/>
      <c r="BE65" s="116"/>
      <c r="BF65" s="116"/>
      <c r="BG65" s="116"/>
      <c r="BH65" s="116"/>
      <c r="BI65" s="116"/>
      <c r="BJ65" s="116"/>
      <c r="BK65" s="116"/>
      <c r="BL65" s="11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AMJ64"/>
  <sheetViews>
    <sheetView zoomScaleNormal="100" workbookViewId="0">
      <selection activeCell="J49" sqref="J49"/>
    </sheetView>
  </sheetViews>
  <sheetFormatPr defaultColWidth="9.140625" defaultRowHeight="12.75"/>
  <cols>
    <col min="1" max="1" width="2.85546875" style="11" customWidth="1"/>
    <col min="2" max="2" width="29.5703125" style="11" customWidth="1"/>
    <col min="3" max="3" width="16.5703125" style="11" customWidth="1"/>
    <col min="4" max="1024" width="9.140625" style="11"/>
  </cols>
  <sheetData>
    <row r="2" spans="1:24">
      <c r="A2" s="118">
        <v>1</v>
      </c>
      <c r="B2" s="118" t="s">
        <v>554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  <c r="N2" s="118"/>
      <c r="O2" s="118"/>
      <c r="P2" s="118"/>
      <c r="Q2" s="118"/>
      <c r="R2" s="118"/>
      <c r="S2" s="118"/>
      <c r="T2" s="118"/>
      <c r="U2" s="118"/>
      <c r="V2" s="118"/>
    </row>
    <row r="3" spans="1:24">
      <c r="B3" s="175"/>
      <c r="C3" s="175"/>
    </row>
    <row r="4" spans="1:24">
      <c r="B4" s="230" t="s">
        <v>555</v>
      </c>
      <c r="C4" s="231"/>
      <c r="D4" s="232">
        <v>2024</v>
      </c>
    </row>
    <row r="5" spans="1:24">
      <c r="B5" s="175"/>
      <c r="C5" s="175"/>
    </row>
    <row r="6" spans="1:24">
      <c r="B6" s="233"/>
      <c r="C6" s="234"/>
      <c r="D6" s="235">
        <v>2022</v>
      </c>
      <c r="E6" s="235">
        <v>2023</v>
      </c>
      <c r="F6" s="235">
        <v>2024</v>
      </c>
      <c r="G6" s="235">
        <v>2025</v>
      </c>
      <c r="H6" s="235">
        <v>2026</v>
      </c>
      <c r="I6" s="235">
        <v>2027</v>
      </c>
      <c r="J6" s="235">
        <v>2028</v>
      </c>
      <c r="K6" s="235">
        <v>2029</v>
      </c>
      <c r="L6" s="235">
        <v>2030</v>
      </c>
      <c r="M6" s="235">
        <v>2031</v>
      </c>
      <c r="N6" s="235">
        <v>2032</v>
      </c>
      <c r="O6" s="235">
        <v>2033</v>
      </c>
      <c r="P6" s="235">
        <v>2034</v>
      </c>
      <c r="Q6" s="235">
        <v>2035</v>
      </c>
      <c r="R6" s="235">
        <v>2036</v>
      </c>
      <c r="S6" s="235">
        <v>2037</v>
      </c>
      <c r="T6" s="235">
        <v>2038</v>
      </c>
      <c r="U6" s="235">
        <v>2039</v>
      </c>
      <c r="V6" s="235">
        <v>2040</v>
      </c>
      <c r="W6" s="235">
        <v>2041</v>
      </c>
      <c r="X6" s="236">
        <v>2042</v>
      </c>
    </row>
    <row r="7" spans="1:24">
      <c r="B7" s="237"/>
      <c r="C7" s="238"/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40"/>
    </row>
    <row r="8" spans="1:24">
      <c r="B8" s="241"/>
      <c r="C8" s="242"/>
      <c r="D8" s="243"/>
      <c r="E8" s="243"/>
      <c r="F8" s="243"/>
      <c r="G8" s="243"/>
      <c r="H8" s="243"/>
      <c r="I8" s="243"/>
      <c r="J8" s="243"/>
      <c r="K8" s="243"/>
      <c r="L8" s="243"/>
      <c r="M8" s="243"/>
      <c r="N8" s="243"/>
      <c r="O8" s="243"/>
      <c r="P8" s="243"/>
      <c r="Q8" s="243"/>
      <c r="R8" s="239"/>
      <c r="S8" s="239"/>
      <c r="T8" s="239"/>
      <c r="U8" s="239"/>
      <c r="V8" s="239"/>
      <c r="W8" s="239"/>
      <c r="X8" s="240"/>
    </row>
    <row r="9" spans="1:24">
      <c r="B9" s="244"/>
      <c r="C9" s="245"/>
      <c r="D9" s="246">
        <f>IF(D6&gt;=$D$4,1,0)</f>
        <v>0</v>
      </c>
      <c r="E9" s="246">
        <f>IF(E6&gt;=$D$4,1,0)</f>
        <v>0</v>
      </c>
      <c r="F9" s="246">
        <f>IF(F6&gt;=$D$4,1,0)</f>
        <v>1</v>
      </c>
      <c r="G9" s="246">
        <f>IF(G6&gt;=$D$4,1,0)</f>
        <v>1</v>
      </c>
      <c r="H9" s="246">
        <f>IF(H6&gt;=$D$4,1,0)</f>
        <v>1</v>
      </c>
      <c r="I9" s="246">
        <f>IF(I6&gt;=$D$4,1,0)</f>
        <v>1</v>
      </c>
      <c r="J9" s="246">
        <f>IF(J6&gt;=$D$4,1,0)</f>
        <v>1</v>
      </c>
      <c r="K9" s="246">
        <f>IF(K6&gt;=$D$4,1,0)</f>
        <v>1</v>
      </c>
      <c r="L9" s="246">
        <f>IF(L6&gt;=$D$4,1,0)</f>
        <v>1</v>
      </c>
      <c r="M9" s="246">
        <f>IF(M6&gt;=$D$4,1,0)</f>
        <v>1</v>
      </c>
      <c r="N9" s="246">
        <f>IF(N6&gt;=$D$4,1,0)</f>
        <v>1</v>
      </c>
      <c r="O9" s="246">
        <f>IF(O6&gt;=$D$4,1,0)</f>
        <v>1</v>
      </c>
      <c r="P9" s="246">
        <f>IF(P6&gt;=$D$4,1,0)</f>
        <v>1</v>
      </c>
      <c r="Q9" s="246">
        <f>IF(Q6&gt;=$D$4,1,0)</f>
        <v>1</v>
      </c>
      <c r="R9" s="246">
        <f>IF(R6&gt;=$D$4,1,0)</f>
        <v>1</v>
      </c>
      <c r="S9" s="246">
        <f>IF(S6&gt;=$D$4,1,0)</f>
        <v>1</v>
      </c>
      <c r="T9" s="246">
        <f>IF(T6&gt;=$D$4,1,0)</f>
        <v>1</v>
      </c>
      <c r="U9" s="246">
        <f>IF(U6&gt;=$D$4,1,0)</f>
        <v>1</v>
      </c>
      <c r="V9" s="246">
        <f>IF(V6&gt;=$D$4,1,0)</f>
        <v>1</v>
      </c>
      <c r="W9" s="246">
        <f>IF(W6&gt;=$D$4,1,0)</f>
        <v>1</v>
      </c>
      <c r="X9" s="247">
        <f>IF(X6&gt;=$D$4,1,0)</f>
        <v>1</v>
      </c>
    </row>
    <row r="10" spans="1:24">
      <c r="B10" s="244"/>
      <c r="C10" s="245"/>
      <c r="D10" s="246"/>
      <c r="E10" s="246"/>
      <c r="F10" s="246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39"/>
      <c r="S10" s="239"/>
      <c r="T10" s="239"/>
      <c r="U10" s="239"/>
      <c r="V10" s="239"/>
      <c r="W10" s="239"/>
      <c r="X10" s="240"/>
    </row>
    <row r="11" spans="1:24">
      <c r="B11" s="244"/>
      <c r="C11" s="245"/>
      <c r="D11" s="246"/>
      <c r="E11" s="246"/>
      <c r="F11" s="246"/>
      <c r="G11" s="246"/>
      <c r="H11" s="246"/>
      <c r="I11" s="246"/>
      <c r="J11" s="246"/>
      <c r="K11" s="246"/>
      <c r="L11" s="246"/>
      <c r="M11" s="246"/>
      <c r="N11" s="246"/>
      <c r="O11" s="246"/>
      <c r="P11" s="246"/>
      <c r="Q11" s="246"/>
      <c r="R11" s="239"/>
      <c r="S11" s="239"/>
      <c r="T11" s="239"/>
      <c r="U11" s="239"/>
      <c r="V11" s="239"/>
      <c r="W11" s="239"/>
      <c r="X11" s="240"/>
    </row>
    <row r="12" spans="1:24">
      <c r="B12" s="248"/>
      <c r="C12" s="243"/>
      <c r="D12" s="239"/>
      <c r="E12" s="239"/>
      <c r="F12" s="239"/>
      <c r="G12" s="239"/>
      <c r="H12" s="239"/>
      <c r="I12" s="239"/>
      <c r="J12" s="239"/>
      <c r="K12" s="239"/>
      <c r="L12" s="239"/>
      <c r="M12" s="239"/>
      <c r="N12" s="239"/>
      <c r="O12" s="239"/>
      <c r="P12" s="239"/>
      <c r="Q12" s="239"/>
      <c r="R12" s="239"/>
      <c r="S12" s="239"/>
      <c r="T12" s="239"/>
      <c r="U12" s="239"/>
      <c r="V12" s="239"/>
      <c r="W12" s="239"/>
      <c r="X12" s="240"/>
    </row>
    <row r="13" spans="1:24">
      <c r="B13" s="241" t="s">
        <v>556</v>
      </c>
      <c r="C13" s="242"/>
      <c r="D13" s="243"/>
      <c r="E13" s="243"/>
      <c r="F13" s="243"/>
      <c r="G13" s="243"/>
      <c r="H13" s="243"/>
      <c r="I13" s="243"/>
      <c r="J13" s="243"/>
      <c r="K13" s="243"/>
      <c r="L13" s="243"/>
      <c r="M13" s="243"/>
      <c r="N13" s="243"/>
      <c r="O13" s="243"/>
      <c r="P13" s="243"/>
      <c r="Q13" s="243"/>
      <c r="R13" s="239"/>
      <c r="S13" s="239"/>
      <c r="T13" s="239"/>
      <c r="U13" s="239"/>
      <c r="V13" s="239"/>
      <c r="W13" s="239"/>
      <c r="X13" s="240"/>
    </row>
    <row r="14" spans="1:24">
      <c r="B14" s="249" t="s">
        <v>557</v>
      </c>
      <c r="C14" s="250" t="s">
        <v>558</v>
      </c>
      <c r="D14" s="243"/>
      <c r="E14" s="243"/>
      <c r="F14" s="243"/>
      <c r="G14" s="243"/>
      <c r="H14" s="243"/>
      <c r="I14" s="243"/>
      <c r="J14" s="243"/>
      <c r="K14" s="243"/>
      <c r="L14" s="243"/>
      <c r="M14" s="243"/>
      <c r="N14" s="243"/>
      <c r="O14" s="243"/>
      <c r="P14" s="243"/>
      <c r="Q14" s="243"/>
      <c r="R14" s="239"/>
      <c r="S14" s="239"/>
      <c r="T14" s="239"/>
      <c r="U14" s="239"/>
      <c r="V14" s="239"/>
      <c r="W14" s="239"/>
      <c r="X14" s="240"/>
    </row>
    <row r="15" spans="1:24">
      <c r="B15" s="251" t="s">
        <v>438</v>
      </c>
      <c r="C15" s="252">
        <f>_xlfn.XLOOKUP($D$4,$D$6:$X$6,D15:X15,NA(),0)</f>
        <v>2.5770644828338201</v>
      </c>
      <c r="D15" s="253">
        <v>2.3907262850083901</v>
      </c>
      <c r="E15" s="253">
        <v>2.4826581393326599</v>
      </c>
      <c r="F15" s="253">
        <v>2.5770644828338201</v>
      </c>
      <c r="G15" s="253">
        <v>2.67019599283589</v>
      </c>
      <c r="H15" s="253">
        <v>2.7170681493778601</v>
      </c>
      <c r="I15" s="253">
        <v>2.8030665197111801</v>
      </c>
      <c r="J15" s="253">
        <v>2.8466859040030101</v>
      </c>
      <c r="K15" s="253">
        <v>2.8902130837142299</v>
      </c>
      <c r="L15" s="253">
        <v>2.9329817348715999</v>
      </c>
      <c r="M15" s="253">
        <v>2.9758250956496202</v>
      </c>
      <c r="N15" s="253">
        <v>3.0187105958483</v>
      </c>
      <c r="O15" s="253">
        <v>3.0615826701530802</v>
      </c>
      <c r="P15" s="253">
        <v>3.1044643371440799</v>
      </c>
      <c r="Q15" s="253">
        <v>3.1473558735173901</v>
      </c>
      <c r="R15" s="253">
        <v>3.1465179328539201</v>
      </c>
      <c r="S15" s="253">
        <v>3.1456652061535899</v>
      </c>
      <c r="T15" s="253">
        <v>3.1448341543333198</v>
      </c>
      <c r="U15" s="253">
        <v>3.1440452271663402</v>
      </c>
      <c r="V15" s="253">
        <v>3.1432720836885202</v>
      </c>
      <c r="W15" s="253">
        <f>V15</f>
        <v>3.1432720836885202</v>
      </c>
      <c r="X15" s="254">
        <f>W15</f>
        <v>3.1432720836885202</v>
      </c>
    </row>
    <row r="16" spans="1:24">
      <c r="B16" s="251" t="s">
        <v>439</v>
      </c>
      <c r="C16" s="252">
        <f>_xlfn.XLOOKUP($D$4,$D$6:$X$6,D16:X16,NA(),0)</f>
        <v>4.5935853828101196</v>
      </c>
      <c r="D16" s="253">
        <v>4.5121059675819604</v>
      </c>
      <c r="E16" s="253">
        <v>4.5518677850106304</v>
      </c>
      <c r="F16" s="253">
        <v>4.5935853828101196</v>
      </c>
      <c r="G16" s="253">
        <v>4.6299159400037802</v>
      </c>
      <c r="H16" s="253">
        <v>4.6570876123001801</v>
      </c>
      <c r="I16" s="253">
        <v>4.6915183395176099</v>
      </c>
      <c r="J16" s="253">
        <v>4.7297353492679202</v>
      </c>
      <c r="K16" s="253">
        <v>4.7494395682245401</v>
      </c>
      <c r="L16" s="253">
        <v>4.7705587317759299</v>
      </c>
      <c r="M16" s="253">
        <v>4.7904819512560604</v>
      </c>
      <c r="N16" s="253">
        <v>4.8152143257939697</v>
      </c>
      <c r="O16" s="253">
        <v>4.83385839758005</v>
      </c>
      <c r="P16" s="253">
        <v>4.8581264353060396</v>
      </c>
      <c r="Q16" s="253">
        <v>4.8870081295603001</v>
      </c>
      <c r="R16" s="253">
        <v>4.9208480740539997</v>
      </c>
      <c r="S16" s="253">
        <v>4.9163549390110699</v>
      </c>
      <c r="T16" s="253">
        <v>4.9117223912997101</v>
      </c>
      <c r="U16" s="253">
        <v>4.9071699169071499</v>
      </c>
      <c r="V16" s="253">
        <v>4.9026056007314098</v>
      </c>
      <c r="W16" s="253">
        <f>V16</f>
        <v>4.9026056007314098</v>
      </c>
      <c r="X16" s="254">
        <f>W16</f>
        <v>4.9026056007314098</v>
      </c>
    </row>
    <row r="17" spans="2:24">
      <c r="B17" s="251" t="s">
        <v>559</v>
      </c>
      <c r="C17" s="252">
        <f>_xlfn.XLOOKUP($D$4,$D$6:$X$6,D17:X17,NA(),0)</f>
        <v>3.3775896623628001</v>
      </c>
      <c r="D17" s="253">
        <v>3.0954251360519298</v>
      </c>
      <c r="E17" s="253">
        <v>3.2349671506675302</v>
      </c>
      <c r="F17" s="253">
        <v>3.3775896623628001</v>
      </c>
      <c r="G17" s="253">
        <v>3.5171158535082898</v>
      </c>
      <c r="H17" s="253">
        <v>3.5686422090665602</v>
      </c>
      <c r="I17" s="253">
        <v>3.6583552499008398</v>
      </c>
      <c r="J17" s="253">
        <v>3.7058355468038502</v>
      </c>
      <c r="K17" s="253">
        <v>3.7544934108624899</v>
      </c>
      <c r="L17" s="253">
        <v>3.8001550347603499</v>
      </c>
      <c r="M17" s="253">
        <v>3.8459653724993599</v>
      </c>
      <c r="N17" s="253">
        <v>3.89183815155419</v>
      </c>
      <c r="O17" s="253">
        <v>3.9377179455283899</v>
      </c>
      <c r="P17" s="253">
        <v>3.9836279128708099</v>
      </c>
      <c r="Q17" s="253">
        <v>4.0295684711033202</v>
      </c>
      <c r="R17" s="253">
        <v>4.0287305304398497</v>
      </c>
      <c r="S17" s="253">
        <v>4.0278778037395204</v>
      </c>
      <c r="T17" s="253">
        <v>4.0270467519192499</v>
      </c>
      <c r="U17" s="253">
        <v>4.0262578247522702</v>
      </c>
      <c r="V17" s="253">
        <v>4.0254846812744596</v>
      </c>
      <c r="W17" s="253">
        <f>V17</f>
        <v>4.0254846812744596</v>
      </c>
      <c r="X17" s="254">
        <f>W17</f>
        <v>4.0254846812744596</v>
      </c>
    </row>
    <row r="18" spans="2:24">
      <c r="B18" s="251"/>
      <c r="C18" s="252"/>
      <c r="D18" s="239"/>
      <c r="E18" s="239"/>
      <c r="F18" s="239"/>
      <c r="G18" s="239"/>
      <c r="H18" s="239"/>
      <c r="I18" s="239"/>
      <c r="J18" s="239"/>
      <c r="K18" s="239"/>
      <c r="L18" s="239"/>
      <c r="M18" s="239"/>
      <c r="N18" s="239"/>
      <c r="O18" s="239"/>
      <c r="P18" s="239"/>
      <c r="Q18" s="239"/>
      <c r="R18" s="239"/>
      <c r="S18" s="239"/>
      <c r="T18" s="239"/>
      <c r="U18" s="239"/>
      <c r="V18" s="239"/>
      <c r="W18" s="255"/>
      <c r="X18" s="256"/>
    </row>
    <row r="19" spans="2:24">
      <c r="B19" s="249" t="s">
        <v>560</v>
      </c>
      <c r="C19" s="252"/>
      <c r="D19" s="239"/>
      <c r="E19" s="239"/>
      <c r="F19" s="239"/>
      <c r="G19" s="239"/>
      <c r="H19" s="239"/>
      <c r="I19" s="239"/>
      <c r="J19" s="239"/>
      <c r="K19" s="239"/>
      <c r="L19" s="239"/>
      <c r="M19" s="239"/>
      <c r="N19" s="239"/>
      <c r="O19" s="239"/>
      <c r="P19" s="239"/>
      <c r="Q19" s="239"/>
      <c r="R19" s="239"/>
      <c r="S19" s="239"/>
      <c r="T19" s="239"/>
      <c r="U19" s="239"/>
      <c r="V19" s="239"/>
      <c r="W19" s="255"/>
      <c r="X19" s="256"/>
    </row>
    <row r="20" spans="2:24">
      <c r="B20" s="251" t="s">
        <v>438</v>
      </c>
      <c r="C20" s="252">
        <f>_xlfn.XLOOKUP($D$4,$D$6:$X$6,D20:X20,NA(),0)</f>
        <v>12.693817241058801</v>
      </c>
      <c r="D20" s="257">
        <v>13.019140391342299</v>
      </c>
      <c r="E20" s="257">
        <v>12.669866107463999</v>
      </c>
      <c r="F20" s="257">
        <v>12.693817241058801</v>
      </c>
      <c r="G20" s="257">
        <v>12.8066872676704</v>
      </c>
      <c r="H20" s="257">
        <v>12.859963758920699</v>
      </c>
      <c r="I20" s="257">
        <v>12.777534528737499</v>
      </c>
      <c r="J20" s="257">
        <v>12.469702939970301</v>
      </c>
      <c r="K20" s="257">
        <v>12.3365157449075</v>
      </c>
      <c r="L20" s="257">
        <v>12.444023633621301</v>
      </c>
      <c r="M20" s="257">
        <v>12.164735890978299</v>
      </c>
      <c r="N20" s="257">
        <v>12.046484316615301</v>
      </c>
      <c r="O20" s="257">
        <v>11.8306617868957</v>
      </c>
      <c r="P20" s="257">
        <v>11.610681543215099</v>
      </c>
      <c r="Q20" s="257">
        <v>11.525460181777801</v>
      </c>
      <c r="R20" s="257">
        <v>11.5545642802544</v>
      </c>
      <c r="S20" s="257">
        <v>11.5733963610327</v>
      </c>
      <c r="T20" s="257">
        <v>11.7358560277329</v>
      </c>
      <c r="U20" s="257">
        <v>11.701069544305</v>
      </c>
      <c r="V20" s="257">
        <v>11.622182761546901</v>
      </c>
      <c r="W20" s="253">
        <f>V20</f>
        <v>11.622182761546901</v>
      </c>
      <c r="X20" s="254">
        <f>W20</f>
        <v>11.622182761546901</v>
      </c>
    </row>
    <row r="21" spans="2:24">
      <c r="B21" s="251" t="s">
        <v>439</v>
      </c>
      <c r="C21" s="252">
        <f>_xlfn.XLOOKUP($D$4,$D$6:$X$6,D21:X21,NA(),0)</f>
        <v>21.083018597797899</v>
      </c>
      <c r="D21" s="257">
        <v>21.471199094408998</v>
      </c>
      <c r="E21" s="257">
        <v>21.424717096034598</v>
      </c>
      <c r="F21" s="257">
        <v>21.083018597797899</v>
      </c>
      <c r="G21" s="257">
        <v>21.304166172444798</v>
      </c>
      <c r="H21" s="257">
        <v>21.494529219209799</v>
      </c>
      <c r="I21" s="257">
        <v>21.093627028446999</v>
      </c>
      <c r="J21" s="257">
        <v>21.035830808173799</v>
      </c>
      <c r="K21" s="257">
        <v>20.869948779678801</v>
      </c>
      <c r="L21" s="257">
        <v>21.261395579614302</v>
      </c>
      <c r="M21" s="257">
        <v>21.200302737210901</v>
      </c>
      <c r="N21" s="257">
        <v>20.731494146276699</v>
      </c>
      <c r="O21" s="257">
        <v>20.199671829318198</v>
      </c>
      <c r="P21" s="257">
        <v>19.917032226830599</v>
      </c>
      <c r="Q21" s="257">
        <v>19.629426157793201</v>
      </c>
      <c r="R21" s="257">
        <v>19.493026005806101</v>
      </c>
      <c r="S21" s="257">
        <v>19.442814229734001</v>
      </c>
      <c r="T21" s="257">
        <v>19.276316133420899</v>
      </c>
      <c r="U21" s="257">
        <v>19.5561094649435</v>
      </c>
      <c r="V21" s="257">
        <v>19.2603444987427</v>
      </c>
      <c r="W21" s="253">
        <f>V21</f>
        <v>19.2603444987427</v>
      </c>
      <c r="X21" s="254">
        <f>W21</f>
        <v>19.2603444987427</v>
      </c>
    </row>
    <row r="22" spans="2:24">
      <c r="B22" s="251" t="s">
        <v>559</v>
      </c>
      <c r="C22" s="252">
        <f>_xlfn.XLOOKUP($D$4,$D$6:$X$6,D22:X22,NA(),0)</f>
        <v>14.858507339888799</v>
      </c>
      <c r="D22" s="257">
        <v>15.210698868582099</v>
      </c>
      <c r="E22" s="257">
        <v>14.835090746619301</v>
      </c>
      <c r="F22" s="257">
        <v>14.858507339888799</v>
      </c>
      <c r="G22" s="257">
        <v>14.9712318678766</v>
      </c>
      <c r="H22" s="257">
        <v>15.0303940832723</v>
      </c>
      <c r="I22" s="257">
        <v>14.8829648189081</v>
      </c>
      <c r="J22" s="257">
        <v>14.5353854157766</v>
      </c>
      <c r="K22" s="257">
        <v>14.4075101429085</v>
      </c>
      <c r="L22" s="257">
        <v>14.593363121389</v>
      </c>
      <c r="M22" s="257">
        <v>14.6759334535968</v>
      </c>
      <c r="N22" s="257">
        <v>14.465712074733901</v>
      </c>
      <c r="O22" s="257">
        <v>14.136556714733899</v>
      </c>
      <c r="P22" s="257">
        <v>13.834172620094501</v>
      </c>
      <c r="Q22" s="257">
        <v>13.697825548466399</v>
      </c>
      <c r="R22" s="257">
        <v>13.6050764335788</v>
      </c>
      <c r="S22" s="257">
        <v>13.411267208159201</v>
      </c>
      <c r="T22" s="257">
        <v>13.5182461364349</v>
      </c>
      <c r="U22" s="257">
        <v>13.458403122017099</v>
      </c>
      <c r="V22" s="257">
        <v>13.330484979256701</v>
      </c>
      <c r="W22" s="253">
        <f>V22</f>
        <v>13.330484979256701</v>
      </c>
      <c r="X22" s="254">
        <f>W22</f>
        <v>13.330484979256701</v>
      </c>
    </row>
    <row r="23" spans="2:24">
      <c r="B23" s="248"/>
      <c r="C23" s="252"/>
      <c r="D23" s="239"/>
      <c r="E23" s="239"/>
      <c r="F23" s="239"/>
      <c r="G23" s="239"/>
      <c r="H23" s="239"/>
      <c r="I23" s="239"/>
      <c r="J23" s="239"/>
      <c r="K23" s="239"/>
      <c r="L23" s="239"/>
      <c r="M23" s="239"/>
      <c r="N23" s="239"/>
      <c r="O23" s="239"/>
      <c r="P23" s="239"/>
      <c r="Q23" s="239"/>
      <c r="R23" s="239"/>
      <c r="S23" s="239"/>
      <c r="T23" s="239"/>
      <c r="U23" s="239"/>
      <c r="V23" s="239"/>
      <c r="W23" s="255"/>
      <c r="X23" s="256"/>
    </row>
    <row r="24" spans="2:24">
      <c r="B24" s="241" t="s">
        <v>561</v>
      </c>
      <c r="C24" s="252"/>
      <c r="D24" s="243"/>
      <c r="E24" s="243"/>
      <c r="F24" s="243"/>
      <c r="G24" s="243"/>
      <c r="H24" s="243"/>
      <c r="I24" s="243"/>
      <c r="J24" s="243"/>
      <c r="K24" s="243"/>
      <c r="L24" s="243"/>
      <c r="M24" s="243"/>
      <c r="N24" s="243"/>
      <c r="O24" s="243"/>
      <c r="P24" s="243"/>
      <c r="Q24" s="243"/>
      <c r="R24" s="243"/>
      <c r="S24" s="243"/>
      <c r="T24" s="243"/>
      <c r="U24" s="243"/>
      <c r="V24" s="243"/>
      <c r="W24" s="255"/>
      <c r="X24" s="256"/>
    </row>
    <row r="25" spans="2:24">
      <c r="B25" s="249" t="s">
        <v>557</v>
      </c>
      <c r="C25" s="252"/>
      <c r="D25" s="243"/>
      <c r="E25" s="243"/>
      <c r="F25" s="243"/>
      <c r="G25" s="243"/>
      <c r="H25" s="243"/>
      <c r="I25" s="243"/>
      <c r="J25" s="243"/>
      <c r="K25" s="243"/>
      <c r="L25" s="243"/>
      <c r="M25" s="243"/>
      <c r="N25" s="243"/>
      <c r="O25" s="243"/>
      <c r="P25" s="243"/>
      <c r="Q25" s="243"/>
      <c r="R25" s="243"/>
      <c r="S25" s="243"/>
      <c r="T25" s="243"/>
      <c r="U25" s="243"/>
      <c r="V25" s="243"/>
      <c r="W25" s="255"/>
      <c r="X25" s="256"/>
    </row>
    <row r="26" spans="2:24">
      <c r="B26" s="251" t="s">
        <v>438</v>
      </c>
      <c r="C26" s="252">
        <f>_xlfn.XLOOKUP($D$4,$D$6:$X$6,D26:X26,NA(),0)</f>
        <v>1.88214982866002</v>
      </c>
      <c r="D26" s="253">
        <v>1.6958116308345801</v>
      </c>
      <c r="E26" s="253">
        <v>1.7877434851588601</v>
      </c>
      <c r="F26" s="253">
        <v>1.88214982866002</v>
      </c>
      <c r="G26" s="253">
        <v>1.97528133866209</v>
      </c>
      <c r="H26" s="253">
        <v>2.0221534952040598</v>
      </c>
      <c r="I26" s="253">
        <v>2.02639720034046</v>
      </c>
      <c r="J26" s="253">
        <v>2.07001658463229</v>
      </c>
      <c r="K26" s="253">
        <v>2.1135437643435102</v>
      </c>
      <c r="L26" s="253">
        <v>2.1563124155008802</v>
      </c>
      <c r="M26" s="253">
        <v>2.1991557762788898</v>
      </c>
      <c r="N26" s="253">
        <v>2.20116394387912</v>
      </c>
      <c r="O26" s="253">
        <v>2.2440360181839001</v>
      </c>
      <c r="P26" s="253">
        <v>2.2869176851748998</v>
      </c>
      <c r="Q26" s="253">
        <v>2.2889318889497501</v>
      </c>
      <c r="R26" s="253">
        <v>2.2880939482862801</v>
      </c>
      <c r="S26" s="253">
        <v>2.2872412215859499</v>
      </c>
      <c r="T26" s="253">
        <v>2.2864101697656798</v>
      </c>
      <c r="U26" s="253">
        <v>2.2856212425987001</v>
      </c>
      <c r="V26" s="253">
        <v>2.2848480991208899</v>
      </c>
      <c r="W26" s="253">
        <f>V26</f>
        <v>2.2848480991208899</v>
      </c>
      <c r="X26" s="254">
        <f>W26</f>
        <v>2.2848480991208899</v>
      </c>
    </row>
    <row r="27" spans="2:24">
      <c r="B27" s="251" t="s">
        <v>439</v>
      </c>
      <c r="C27" s="252">
        <f>_xlfn.XLOOKUP($D$4,$D$6:$X$6,D27:X27,NA(),0)</f>
        <v>3.93626748420591</v>
      </c>
      <c r="D27" s="253">
        <v>3.8934538277191701</v>
      </c>
      <c r="E27" s="253">
        <v>3.8945498864064199</v>
      </c>
      <c r="F27" s="253">
        <v>3.93626748420591</v>
      </c>
      <c r="G27" s="253">
        <v>3.9725980413995701</v>
      </c>
      <c r="H27" s="253">
        <v>3.99976971369597</v>
      </c>
      <c r="I27" s="253">
        <v>4.0342004409134002</v>
      </c>
      <c r="J27" s="253">
        <v>3.9950859331808699</v>
      </c>
      <c r="K27" s="253">
        <v>4.0147901521374898</v>
      </c>
      <c r="L27" s="253">
        <v>4.0359093156888699</v>
      </c>
      <c r="M27" s="253">
        <v>4.0558325351690101</v>
      </c>
      <c r="N27" s="253">
        <v>4.0805649097069203</v>
      </c>
      <c r="O27" s="253">
        <v>4.0605432227515701</v>
      </c>
      <c r="P27" s="253">
        <v>4.0848112604775704</v>
      </c>
      <c r="Q27" s="253">
        <v>4.1136929547318202</v>
      </c>
      <c r="R27" s="253">
        <v>4.1088671404841</v>
      </c>
      <c r="S27" s="253">
        <v>4.1043740054411701</v>
      </c>
      <c r="T27" s="253">
        <v>4.0997414577298104</v>
      </c>
      <c r="U27" s="253">
        <v>4.0951889833372501</v>
      </c>
      <c r="V27" s="253">
        <v>4.0906246671615101</v>
      </c>
      <c r="W27" s="253">
        <f>V27</f>
        <v>4.0906246671615101</v>
      </c>
      <c r="X27" s="254">
        <f>W27</f>
        <v>4.0906246671615101</v>
      </c>
    </row>
    <row r="28" spans="2:24">
      <c r="B28" s="251" t="s">
        <v>559</v>
      </c>
      <c r="C28" s="252">
        <f>_xlfn.XLOOKUP($D$4,$D$6:$X$6,D28:X28,NA(),0)</f>
        <v>2.6826750081889901</v>
      </c>
      <c r="D28" s="253">
        <v>2.40051048187813</v>
      </c>
      <c r="E28" s="253">
        <v>2.5400524964937299</v>
      </c>
      <c r="F28" s="253">
        <v>2.6826750081889901</v>
      </c>
      <c r="G28" s="253">
        <v>2.82220119933449</v>
      </c>
      <c r="H28" s="253">
        <v>2.8737275548927501</v>
      </c>
      <c r="I28" s="253">
        <v>2.8816859305301201</v>
      </c>
      <c r="J28" s="253">
        <v>2.92916622743313</v>
      </c>
      <c r="K28" s="253">
        <v>2.9778240914917702</v>
      </c>
      <c r="L28" s="253">
        <v>3.0234857153896302</v>
      </c>
      <c r="M28" s="253">
        <v>3.0692960531286402</v>
      </c>
      <c r="N28" s="253">
        <v>3.0742914995850099</v>
      </c>
      <c r="O28" s="253">
        <v>3.1201712935592099</v>
      </c>
      <c r="P28" s="253">
        <v>3.16608126090162</v>
      </c>
      <c r="Q28" s="253">
        <v>3.1711444865356802</v>
      </c>
      <c r="R28" s="253">
        <v>3.1703065458722102</v>
      </c>
      <c r="S28" s="253">
        <v>3.16945381917188</v>
      </c>
      <c r="T28" s="253">
        <v>3.1686227673516099</v>
      </c>
      <c r="U28" s="253">
        <v>3.1678338401846302</v>
      </c>
      <c r="V28" s="253">
        <v>3.16706069670682</v>
      </c>
      <c r="W28" s="253">
        <f>V28</f>
        <v>3.16706069670682</v>
      </c>
      <c r="X28" s="254">
        <f>W28</f>
        <v>3.16706069670682</v>
      </c>
    </row>
    <row r="29" spans="2:24">
      <c r="B29" s="251"/>
      <c r="C29" s="252"/>
      <c r="D29" s="239"/>
      <c r="E29" s="239"/>
      <c r="F29" s="239"/>
      <c r="G29" s="239"/>
      <c r="H29" s="239"/>
      <c r="I29" s="239"/>
      <c r="J29" s="239"/>
      <c r="K29" s="239"/>
      <c r="L29" s="239"/>
      <c r="M29" s="239"/>
      <c r="N29" s="239"/>
      <c r="O29" s="239"/>
      <c r="P29" s="239"/>
      <c r="Q29" s="239"/>
      <c r="R29" s="239"/>
      <c r="S29" s="239"/>
      <c r="T29" s="239"/>
      <c r="U29" s="239"/>
      <c r="V29" s="239"/>
      <c r="W29" s="255"/>
      <c r="X29" s="256"/>
    </row>
    <row r="30" spans="2:24">
      <c r="B30" s="249" t="s">
        <v>560</v>
      </c>
      <c r="C30" s="252"/>
      <c r="D30" s="239"/>
      <c r="E30" s="239"/>
      <c r="F30" s="239"/>
      <c r="G30" s="239"/>
      <c r="H30" s="239"/>
      <c r="I30" s="239"/>
      <c r="J30" s="239"/>
      <c r="K30" s="239"/>
      <c r="L30" s="239"/>
      <c r="M30" s="239"/>
      <c r="N30" s="239"/>
      <c r="O30" s="239"/>
      <c r="P30" s="239"/>
      <c r="Q30" s="239"/>
      <c r="R30" s="239"/>
      <c r="S30" s="239"/>
      <c r="T30" s="239"/>
      <c r="U30" s="239"/>
      <c r="V30" s="239"/>
      <c r="W30" s="255"/>
      <c r="X30" s="256"/>
    </row>
    <row r="31" spans="2:24">
      <c r="B31" s="251" t="s">
        <v>438</v>
      </c>
      <c r="C31" s="252">
        <f>_xlfn.XLOOKUP($D$4,$D$6:$X$6,D31:X31,NA(),0)</f>
        <v>11.1463100250203</v>
      </c>
      <c r="D31" s="257">
        <v>11.431972928661899</v>
      </c>
      <c r="E31" s="257">
        <v>11.1252787815868</v>
      </c>
      <c r="F31" s="257">
        <v>11.1463100250203</v>
      </c>
      <c r="G31" s="257">
        <v>11.245420031510401</v>
      </c>
      <c r="H31" s="257">
        <v>11.2922015691081</v>
      </c>
      <c r="I31" s="257">
        <v>11.2198213120666</v>
      </c>
      <c r="J31" s="257">
        <v>10.949517568225399</v>
      </c>
      <c r="K31" s="257">
        <v>10.832567265622099</v>
      </c>
      <c r="L31" s="257">
        <v>10.926968834116799</v>
      </c>
      <c r="M31" s="257">
        <v>10.6817291472228</v>
      </c>
      <c r="N31" s="257">
        <v>10.577893659144801</v>
      </c>
      <c r="O31" s="257">
        <v>10.388382121287099</v>
      </c>
      <c r="P31" s="257">
        <v>10.195219737673099</v>
      </c>
      <c r="Q31" s="257">
        <v>10.1203877389688</v>
      </c>
      <c r="R31" s="257">
        <v>10.1459437477295</v>
      </c>
      <c r="S31" s="257">
        <v>10.1624800036709</v>
      </c>
      <c r="T31" s="257">
        <v>10.3051341617711</v>
      </c>
      <c r="U31" s="257">
        <v>10.274588509379599</v>
      </c>
      <c r="V31" s="257">
        <v>10.205318838893501</v>
      </c>
      <c r="W31" s="253">
        <f>V31</f>
        <v>10.205318838893501</v>
      </c>
      <c r="X31" s="254">
        <f>W31</f>
        <v>10.205318838893501</v>
      </c>
    </row>
    <row r="32" spans="2:24">
      <c r="B32" s="251" t="s">
        <v>439</v>
      </c>
      <c r="C32" s="252">
        <f>_xlfn.XLOOKUP($D$4,$D$6:$X$6,D32:X32,NA(),0)</f>
        <v>19.7840004441567</v>
      </c>
      <c r="D32" s="257">
        <v>20.148263421099099</v>
      </c>
      <c r="E32" s="257">
        <v>20.104645384515901</v>
      </c>
      <c r="F32" s="257">
        <v>19.7840004441567</v>
      </c>
      <c r="G32" s="257">
        <v>19.991522137255</v>
      </c>
      <c r="H32" s="257">
        <v>20.1701560735805</v>
      </c>
      <c r="I32" s="257">
        <v>19.793955242408199</v>
      </c>
      <c r="J32" s="257">
        <v>19.739720103248601</v>
      </c>
      <c r="K32" s="257">
        <v>19.584058801229599</v>
      </c>
      <c r="L32" s="257">
        <v>19.9513868300821</v>
      </c>
      <c r="M32" s="257">
        <v>19.894058188282699</v>
      </c>
      <c r="N32" s="257">
        <v>19.4541349710146</v>
      </c>
      <c r="O32" s="257">
        <v>18.955080582473698</v>
      </c>
      <c r="P32" s="257">
        <v>18.689855657721399</v>
      </c>
      <c r="Q32" s="257">
        <v>18.419970272420301</v>
      </c>
      <c r="R32" s="257">
        <v>18.291974337920799</v>
      </c>
      <c r="S32" s="257">
        <v>18.244856331763099</v>
      </c>
      <c r="T32" s="257">
        <v>18.088616920593001</v>
      </c>
      <c r="U32" s="257">
        <v>18.351170945740702</v>
      </c>
      <c r="V32" s="257">
        <v>18.073629369066602</v>
      </c>
      <c r="W32" s="253">
        <f>V32</f>
        <v>18.073629369066602</v>
      </c>
      <c r="X32" s="254">
        <f>W32</f>
        <v>18.073629369066602</v>
      </c>
    </row>
    <row r="33" spans="2:24">
      <c r="B33" s="251" t="s">
        <v>559</v>
      </c>
      <c r="C33" s="252">
        <f>_xlfn.XLOOKUP($D$4,$D$6:$X$6,D33:X33,NA(),0)</f>
        <v>12.6476481143977</v>
      </c>
      <c r="D33" s="257">
        <v>12.947435597883899</v>
      </c>
      <c r="E33" s="257">
        <v>12.6277157736224</v>
      </c>
      <c r="F33" s="257">
        <v>12.6476481143977</v>
      </c>
      <c r="G33" s="257">
        <v>12.7435998901205</v>
      </c>
      <c r="H33" s="257">
        <v>12.793959112946601</v>
      </c>
      <c r="I33" s="257">
        <v>12.6684664631945</v>
      </c>
      <c r="J33" s="257">
        <v>12.3726048478882</v>
      </c>
      <c r="K33" s="257">
        <v>12.263756669752199</v>
      </c>
      <c r="L33" s="257">
        <v>12.421955809077801</v>
      </c>
      <c r="M33" s="257">
        <v>12.492240157469199</v>
      </c>
      <c r="N33" s="257">
        <v>12.313298493602099</v>
      </c>
      <c r="O33" s="257">
        <v>12.033119531273099</v>
      </c>
      <c r="P33" s="257">
        <v>11.775728426170501</v>
      </c>
      <c r="Q33" s="257">
        <v>11.659669003515599</v>
      </c>
      <c r="R33" s="257">
        <v>11.5807204159363</v>
      </c>
      <c r="S33" s="257">
        <v>11.4157488728089</v>
      </c>
      <c r="T33" s="257">
        <v>11.5068099605438</v>
      </c>
      <c r="U33" s="257">
        <v>11.455871237619</v>
      </c>
      <c r="V33" s="257">
        <v>11.3469865683807</v>
      </c>
      <c r="W33" s="253">
        <f>V33</f>
        <v>11.3469865683807</v>
      </c>
      <c r="X33" s="254">
        <f>W33</f>
        <v>11.3469865683807</v>
      </c>
    </row>
    <row r="34" spans="2:24">
      <c r="B34" s="248"/>
      <c r="C34" s="252"/>
      <c r="D34" s="239"/>
      <c r="E34" s="239"/>
      <c r="F34" s="239"/>
      <c r="G34" s="239"/>
      <c r="H34" s="239"/>
      <c r="I34" s="239"/>
      <c r="J34" s="239"/>
      <c r="K34" s="239"/>
      <c r="L34" s="239"/>
      <c r="M34" s="239"/>
      <c r="N34" s="239"/>
      <c r="O34" s="239"/>
      <c r="P34" s="239"/>
      <c r="Q34" s="239"/>
      <c r="R34" s="239"/>
      <c r="S34" s="239"/>
      <c r="T34" s="239"/>
      <c r="U34" s="239"/>
      <c r="V34" s="239"/>
      <c r="W34" s="255"/>
      <c r="X34" s="256"/>
    </row>
    <row r="35" spans="2:24">
      <c r="B35" s="241" t="s">
        <v>562</v>
      </c>
      <c r="C35" s="252"/>
      <c r="D35" s="243"/>
      <c r="E35" s="243"/>
      <c r="F35" s="243"/>
      <c r="G35" s="243"/>
      <c r="H35" s="243"/>
      <c r="I35" s="243"/>
      <c r="J35" s="243"/>
      <c r="K35" s="243"/>
      <c r="L35" s="243"/>
      <c r="M35" s="243"/>
      <c r="N35" s="243"/>
      <c r="O35" s="243"/>
      <c r="P35" s="243"/>
      <c r="Q35" s="243"/>
      <c r="R35" s="243"/>
      <c r="S35" s="243"/>
      <c r="T35" s="243"/>
      <c r="U35" s="243"/>
      <c r="V35" s="243"/>
      <c r="W35" s="255"/>
      <c r="X35" s="256"/>
    </row>
    <row r="36" spans="2:24">
      <c r="B36" s="249" t="s">
        <v>557</v>
      </c>
      <c r="C36" s="252"/>
      <c r="D36" s="243"/>
      <c r="E36" s="243"/>
      <c r="F36" s="243"/>
      <c r="G36" s="243"/>
      <c r="H36" s="243"/>
      <c r="I36" s="243"/>
      <c r="J36" s="243"/>
      <c r="K36" s="243"/>
      <c r="L36" s="243"/>
      <c r="M36" s="243"/>
      <c r="N36" s="243"/>
      <c r="O36" s="243"/>
      <c r="P36" s="243"/>
      <c r="Q36" s="243"/>
      <c r="R36" s="243"/>
      <c r="S36" s="243"/>
      <c r="T36" s="243"/>
      <c r="U36" s="243"/>
      <c r="V36" s="243"/>
      <c r="W36" s="255"/>
      <c r="X36" s="256"/>
    </row>
    <row r="37" spans="2:24">
      <c r="B37" s="251" t="s">
        <v>438</v>
      </c>
      <c r="C37" s="252">
        <f>_xlfn.XLOOKUP($D$4,$D$6:$X$6,D37:X37,NA(),0)</f>
        <v>3.5989977977952998</v>
      </c>
      <c r="D37" s="253">
        <v>3.4126595999698601</v>
      </c>
      <c r="E37" s="253">
        <v>3.5045914542941401</v>
      </c>
      <c r="F37" s="253">
        <v>3.5989977977952998</v>
      </c>
      <c r="G37" s="253">
        <v>3.69212930779736</v>
      </c>
      <c r="H37" s="253">
        <v>3.7390014643393301</v>
      </c>
      <c r="I37" s="253">
        <v>3.7841225020742</v>
      </c>
      <c r="J37" s="253">
        <v>3.82774188636603</v>
      </c>
      <c r="K37" s="253">
        <v>3.87126906607724</v>
      </c>
      <c r="L37" s="253">
        <v>3.9140377172346201</v>
      </c>
      <c r="M37" s="253">
        <v>3.9568810780126298</v>
      </c>
      <c r="N37" s="253">
        <v>3.9997665782113199</v>
      </c>
      <c r="O37" s="253">
        <v>4.0426386525161</v>
      </c>
      <c r="P37" s="253">
        <v>4.0855203195070899</v>
      </c>
      <c r="Q37" s="253">
        <v>4.1284118558804002</v>
      </c>
      <c r="R37" s="253">
        <v>4.1275739152169404</v>
      </c>
      <c r="S37" s="253">
        <v>4.1267211885166004</v>
      </c>
      <c r="T37" s="253">
        <v>4.1258901366963299</v>
      </c>
      <c r="U37" s="253">
        <v>4.12510120952936</v>
      </c>
      <c r="V37" s="253">
        <v>4.1243280660515396</v>
      </c>
      <c r="W37" s="253">
        <f>V37</f>
        <v>4.1243280660515396</v>
      </c>
      <c r="X37" s="254">
        <f>W37</f>
        <v>4.1243280660515396</v>
      </c>
    </row>
    <row r="38" spans="2:24">
      <c r="B38" s="251" t="s">
        <v>439</v>
      </c>
      <c r="C38" s="252">
        <f>_xlfn.XLOOKUP($D$4,$D$6:$X$6,D38:X38,NA(),0)</f>
        <v>5.5602293513457202</v>
      </c>
      <c r="D38" s="253">
        <v>5.4787499361175502</v>
      </c>
      <c r="E38" s="253">
        <v>5.5185117535462203</v>
      </c>
      <c r="F38" s="253">
        <v>5.5602293513457202</v>
      </c>
      <c r="G38" s="253">
        <v>5.5965599085393798</v>
      </c>
      <c r="H38" s="253">
        <v>5.62373158083577</v>
      </c>
      <c r="I38" s="253">
        <v>5.6581623080531998</v>
      </c>
      <c r="J38" s="253">
        <v>5.6577135590620999</v>
      </c>
      <c r="K38" s="253">
        <v>5.6774177780187101</v>
      </c>
      <c r="L38" s="253">
        <v>5.6985369415700999</v>
      </c>
      <c r="M38" s="253">
        <v>5.7184601610502401</v>
      </c>
      <c r="N38" s="253">
        <v>5.7431925355881397</v>
      </c>
      <c r="O38" s="253">
        <v>5.76183660737422</v>
      </c>
      <c r="P38" s="253">
        <v>5.7861046451002203</v>
      </c>
      <c r="Q38" s="253">
        <v>5.8149863393544701</v>
      </c>
      <c r="R38" s="253">
        <v>5.8488262838481804</v>
      </c>
      <c r="S38" s="253">
        <v>5.8443331488052497</v>
      </c>
      <c r="T38" s="253">
        <v>5.8397006010938801</v>
      </c>
      <c r="U38" s="253">
        <v>5.8351481267013199</v>
      </c>
      <c r="V38" s="253">
        <v>5.8305838105255798</v>
      </c>
      <c r="W38" s="253">
        <f>V38</f>
        <v>5.8305838105255798</v>
      </c>
      <c r="X38" s="254">
        <f>W38</f>
        <v>5.8305838105255798</v>
      </c>
    </row>
    <row r="39" spans="2:24">
      <c r="B39" s="251" t="s">
        <v>559</v>
      </c>
      <c r="C39" s="252">
        <f>_xlfn.XLOOKUP($D$4,$D$6:$X$6,D39:X39,NA(),0)</f>
        <v>4.3995229773242697</v>
      </c>
      <c r="D39" s="253">
        <v>4.11735845101341</v>
      </c>
      <c r="E39" s="253">
        <v>4.2569004656290099</v>
      </c>
      <c r="F39" s="253">
        <v>4.3995229773242697</v>
      </c>
      <c r="G39" s="253">
        <v>4.53904916846977</v>
      </c>
      <c r="H39" s="253">
        <v>4.5905755240280302</v>
      </c>
      <c r="I39" s="253">
        <v>4.6394112322638499</v>
      </c>
      <c r="J39" s="253">
        <v>4.6868915291668696</v>
      </c>
      <c r="K39" s="253">
        <v>4.7355493932255097</v>
      </c>
      <c r="L39" s="253">
        <v>4.7812110171233702</v>
      </c>
      <c r="M39" s="253">
        <v>4.8270213548623797</v>
      </c>
      <c r="N39" s="253">
        <v>4.8728941339171996</v>
      </c>
      <c r="O39" s="253">
        <v>4.9187739278914</v>
      </c>
      <c r="P39" s="253">
        <v>4.9646838952338204</v>
      </c>
      <c r="Q39" s="253">
        <v>5.0106244534663302</v>
      </c>
      <c r="R39" s="253">
        <v>5.0097865128028696</v>
      </c>
      <c r="S39" s="253">
        <v>5.0089337861025296</v>
      </c>
      <c r="T39" s="253">
        <v>5.0081027342822599</v>
      </c>
      <c r="U39" s="253">
        <v>5.0073138071152901</v>
      </c>
      <c r="V39" s="253">
        <v>5.0065406636374696</v>
      </c>
      <c r="W39" s="253">
        <f>V39</f>
        <v>5.0065406636374696</v>
      </c>
      <c r="X39" s="254">
        <f>W39</f>
        <v>5.0065406636374696</v>
      </c>
    </row>
    <row r="40" spans="2:24">
      <c r="B40" s="251"/>
      <c r="C40" s="252"/>
      <c r="D40" s="239"/>
      <c r="E40" s="239"/>
      <c r="F40" s="239"/>
      <c r="G40" s="239"/>
      <c r="H40" s="239"/>
      <c r="I40" s="239"/>
      <c r="J40" s="239"/>
      <c r="K40" s="239"/>
      <c r="L40" s="239"/>
      <c r="M40" s="239"/>
      <c r="N40" s="239"/>
      <c r="O40" s="239"/>
      <c r="P40" s="239"/>
      <c r="Q40" s="239"/>
      <c r="R40" s="239"/>
      <c r="S40" s="239"/>
      <c r="T40" s="239"/>
      <c r="U40" s="239"/>
      <c r="V40" s="239"/>
      <c r="W40" s="255"/>
      <c r="X40" s="256"/>
    </row>
    <row r="41" spans="2:24">
      <c r="B41" s="249" t="s">
        <v>560</v>
      </c>
      <c r="C41" s="252"/>
      <c r="D41" s="239"/>
      <c r="E41" s="239"/>
      <c r="F41" s="239"/>
      <c r="G41" s="239"/>
      <c r="H41" s="239"/>
      <c r="I41" s="239"/>
      <c r="J41" s="239"/>
      <c r="K41" s="239"/>
      <c r="L41" s="239"/>
      <c r="M41" s="239"/>
      <c r="N41" s="239"/>
      <c r="O41" s="239"/>
      <c r="P41" s="239"/>
      <c r="Q41" s="239"/>
      <c r="R41" s="239"/>
      <c r="S41" s="239"/>
      <c r="T41" s="239"/>
      <c r="U41" s="239"/>
      <c r="V41" s="239"/>
      <c r="W41" s="255"/>
      <c r="X41" s="256"/>
    </row>
    <row r="42" spans="2:24">
      <c r="B42" s="251" t="s">
        <v>438</v>
      </c>
      <c r="C42" s="252">
        <f>_xlfn.XLOOKUP($D$4,$D$6:$X$6,D42:X42,NA(),0)</f>
        <v>14.5430334227435</v>
      </c>
      <c r="D42" s="257">
        <v>14.9157491596978</v>
      </c>
      <c r="E42" s="257">
        <v>14.515593124071501</v>
      </c>
      <c r="F42" s="257">
        <v>14.5430334227435</v>
      </c>
      <c r="G42" s="257">
        <v>14.6723461848753</v>
      </c>
      <c r="H42" s="257">
        <v>14.733383915148799</v>
      </c>
      <c r="I42" s="257">
        <v>14.638946518832</v>
      </c>
      <c r="J42" s="257">
        <v>14.286270487737401</v>
      </c>
      <c r="K42" s="257">
        <v>14.133680782647399</v>
      </c>
      <c r="L42" s="257">
        <v>14.256850258706701</v>
      </c>
      <c r="M42" s="257">
        <v>13.936876298259101</v>
      </c>
      <c r="N42" s="257">
        <v>13.8013980126027</v>
      </c>
      <c r="O42" s="257">
        <v>13.554134781733101</v>
      </c>
      <c r="P42" s="257">
        <v>13.3021081473932</v>
      </c>
      <c r="Q42" s="257">
        <v>13.2044718663456</v>
      </c>
      <c r="R42" s="257">
        <v>13.2378158060641</v>
      </c>
      <c r="S42" s="257">
        <v>13.259391316013399</v>
      </c>
      <c r="T42" s="257">
        <v>13.4455178623313</v>
      </c>
      <c r="U42" s="257">
        <v>13.4056637363781</v>
      </c>
      <c r="V42" s="257">
        <v>13.3152848458933</v>
      </c>
      <c r="W42" s="253">
        <f>V42</f>
        <v>13.3152848458933</v>
      </c>
      <c r="X42" s="254">
        <f>W42</f>
        <v>13.3152848458933</v>
      </c>
    </row>
    <row r="43" spans="2:24">
      <c r="B43" s="251" t="s">
        <v>439</v>
      </c>
      <c r="C43" s="252">
        <f>_xlfn.XLOOKUP($D$4,$D$6:$X$6,D43:X43,NA(),0)</f>
        <v>22.4726384845453</v>
      </c>
      <c r="D43" s="257">
        <v>22.8864046597553</v>
      </c>
      <c r="E43" s="257">
        <v>22.836858948800199</v>
      </c>
      <c r="F43" s="257">
        <v>22.4726384845453</v>
      </c>
      <c r="G43" s="257">
        <v>22.708362295806999</v>
      </c>
      <c r="H43" s="257">
        <v>22.911272515276799</v>
      </c>
      <c r="I43" s="257">
        <v>22.483946136044999</v>
      </c>
      <c r="J43" s="257">
        <v>22.422340462362701</v>
      </c>
      <c r="K43" s="257">
        <v>22.2455248493536</v>
      </c>
      <c r="L43" s="257">
        <v>22.6627726158477</v>
      </c>
      <c r="M43" s="257">
        <v>22.597653033708301</v>
      </c>
      <c r="N43" s="257">
        <v>22.097944420653601</v>
      </c>
      <c r="O43" s="257">
        <v>21.531068732925</v>
      </c>
      <c r="P43" s="257">
        <v>21.229799843052401</v>
      </c>
      <c r="Q43" s="257">
        <v>20.9232371378375</v>
      </c>
      <c r="R43" s="257">
        <v>20.777846605138201</v>
      </c>
      <c r="S43" s="257">
        <v>20.724325280091598</v>
      </c>
      <c r="T43" s="257">
        <v>20.5468529931204</v>
      </c>
      <c r="U43" s="257">
        <v>20.845088009160801</v>
      </c>
      <c r="V43" s="257">
        <v>20.5298286391141</v>
      </c>
      <c r="W43" s="253">
        <f>V43</f>
        <v>20.5298286391141</v>
      </c>
      <c r="X43" s="254">
        <f>W43</f>
        <v>20.5298286391141</v>
      </c>
    </row>
    <row r="44" spans="2:24">
      <c r="B44" s="251" t="s">
        <v>559</v>
      </c>
      <c r="C44" s="252">
        <f>_xlfn.XLOOKUP($D$4,$D$6:$X$6,D44:X44,NA(),0)</f>
        <v>16.491814433229798</v>
      </c>
      <c r="D44" s="257">
        <v>16.882720276145399</v>
      </c>
      <c r="E44" s="257">
        <v>16.4658237935225</v>
      </c>
      <c r="F44" s="257">
        <v>16.491814433229798</v>
      </c>
      <c r="G44" s="257">
        <v>16.6169300962721</v>
      </c>
      <c r="H44" s="257">
        <v>16.682595661153201</v>
      </c>
      <c r="I44" s="257">
        <v>16.5189603770494</v>
      </c>
      <c r="J44" s="257">
        <v>16.1331736431511</v>
      </c>
      <c r="K44" s="257">
        <v>15.991241804205499</v>
      </c>
      <c r="L44" s="257">
        <v>16.1975244921532</v>
      </c>
      <c r="M44" s="257">
        <v>16.289171288517799</v>
      </c>
      <c r="N44" s="257">
        <v>16.055841527270701</v>
      </c>
      <c r="O44" s="257">
        <v>15.6905040816815</v>
      </c>
      <c r="P44" s="257">
        <v>15.354880706985901</v>
      </c>
      <c r="Q44" s="257">
        <v>15.203545814969599</v>
      </c>
      <c r="R44" s="257">
        <v>15.1006013430531</v>
      </c>
      <c r="S44" s="257">
        <v>14.8854878253926</v>
      </c>
      <c r="T44" s="257">
        <v>15.004226309214101</v>
      </c>
      <c r="U44" s="257">
        <v>14.9378051091347</v>
      </c>
      <c r="V44" s="257">
        <v>14.795825687865101</v>
      </c>
      <c r="W44" s="253">
        <f>V44</f>
        <v>14.795825687865101</v>
      </c>
      <c r="X44" s="254">
        <f>W44</f>
        <v>14.795825687865101</v>
      </c>
    </row>
    <row r="45" spans="2:24">
      <c r="B45" s="251"/>
      <c r="C45" s="258"/>
      <c r="D45" s="239"/>
      <c r="E45" s="239"/>
      <c r="F45" s="239"/>
      <c r="G45" s="239"/>
      <c r="H45" s="239"/>
      <c r="I45" s="239"/>
      <c r="J45" s="239"/>
      <c r="K45" s="239"/>
      <c r="L45" s="239"/>
      <c r="M45" s="239"/>
      <c r="N45" s="239"/>
      <c r="O45" s="239"/>
      <c r="P45" s="239"/>
      <c r="Q45" s="239"/>
      <c r="R45" s="239"/>
      <c r="S45" s="239"/>
      <c r="T45" s="239"/>
      <c r="U45" s="239"/>
      <c r="V45" s="239"/>
      <c r="W45" s="239"/>
      <c r="X45" s="240"/>
    </row>
    <row r="46" spans="2:24">
      <c r="B46" s="237" t="s">
        <v>563</v>
      </c>
      <c r="C46" s="238"/>
      <c r="D46" s="239"/>
      <c r="E46" s="239"/>
      <c r="F46" s="239"/>
      <c r="G46" s="239"/>
      <c r="H46" s="239"/>
      <c r="I46" s="239"/>
      <c r="J46" s="239"/>
      <c r="K46" s="239"/>
      <c r="L46" s="239"/>
      <c r="M46" s="239"/>
      <c r="N46" s="239"/>
      <c r="O46" s="239"/>
      <c r="P46" s="239"/>
      <c r="Q46" s="239"/>
      <c r="R46" s="239"/>
      <c r="S46" s="239"/>
      <c r="T46" s="239"/>
      <c r="U46" s="239"/>
      <c r="V46" s="239"/>
      <c r="W46" s="239"/>
      <c r="X46" s="240"/>
    </row>
    <row r="47" spans="2:24">
      <c r="B47" s="244" t="s">
        <v>564</v>
      </c>
      <c r="C47" s="246">
        <f>IF(Dashboard!$C$31=Lists!B28,1,0)</f>
        <v>1</v>
      </c>
      <c r="D47" s="239"/>
      <c r="E47" s="239"/>
      <c r="F47" s="239"/>
      <c r="G47" s="239"/>
      <c r="H47" s="239"/>
      <c r="I47" s="239"/>
      <c r="J47" s="239"/>
      <c r="K47" s="239"/>
      <c r="L47" s="239"/>
      <c r="M47" s="239"/>
      <c r="N47" s="239"/>
      <c r="O47" s="239"/>
      <c r="P47" s="239"/>
      <c r="Q47" s="239"/>
      <c r="R47" s="239"/>
      <c r="S47" s="239"/>
      <c r="T47" s="239"/>
      <c r="U47" s="239"/>
      <c r="V47" s="239"/>
      <c r="W47" s="239"/>
      <c r="X47" s="240"/>
    </row>
    <row r="48" spans="2:24">
      <c r="B48" s="244" t="s">
        <v>565</v>
      </c>
      <c r="C48" s="246">
        <f>IF(Dashboard!$C$31=Lists!B27,1,0)</f>
        <v>0</v>
      </c>
      <c r="D48" s="239"/>
      <c r="E48" s="239"/>
      <c r="F48" s="239"/>
      <c r="G48" s="239"/>
      <c r="H48" s="239"/>
      <c r="I48" s="239"/>
      <c r="J48" s="239"/>
      <c r="K48" s="239"/>
      <c r="L48" s="239"/>
      <c r="M48" s="239"/>
      <c r="N48" s="239"/>
      <c r="O48" s="239"/>
      <c r="P48" s="239"/>
      <c r="Q48" s="239"/>
      <c r="R48" s="239"/>
      <c r="S48" s="239"/>
      <c r="T48" s="239"/>
      <c r="U48" s="239"/>
      <c r="V48" s="239"/>
      <c r="W48" s="239"/>
      <c r="X48" s="240"/>
    </row>
    <row r="49" spans="1:30">
      <c r="B49" s="244" t="s">
        <v>566</v>
      </c>
      <c r="C49" s="246">
        <f>IF(Dashboard!$C$31=Lists!B29,1,0)</f>
        <v>0</v>
      </c>
      <c r="D49" s="239"/>
      <c r="E49" s="239"/>
      <c r="F49" s="239"/>
      <c r="G49" s="239"/>
      <c r="H49" s="239"/>
      <c r="I49" s="239"/>
      <c r="J49" s="239"/>
      <c r="K49" s="239"/>
      <c r="L49" s="239"/>
      <c r="M49" s="239"/>
      <c r="N49" s="239"/>
      <c r="O49" s="239"/>
      <c r="P49" s="239"/>
      <c r="Q49" s="239"/>
      <c r="R49" s="239"/>
      <c r="S49" s="239"/>
      <c r="T49" s="239"/>
      <c r="U49" s="239"/>
      <c r="V49" s="239"/>
      <c r="W49" s="239"/>
      <c r="X49" s="240"/>
    </row>
    <row r="50" spans="1:30">
      <c r="B50" s="237"/>
      <c r="C50" s="238"/>
      <c r="D50" s="239"/>
      <c r="E50" s="239"/>
      <c r="F50" s="239"/>
      <c r="G50" s="239"/>
      <c r="H50" s="239"/>
      <c r="I50" s="239"/>
      <c r="J50" s="239"/>
      <c r="K50" s="239"/>
      <c r="L50" s="239"/>
      <c r="M50" s="239"/>
      <c r="N50" s="239"/>
      <c r="O50" s="239"/>
      <c r="P50" s="239"/>
      <c r="Q50" s="239"/>
      <c r="R50" s="239"/>
      <c r="S50" s="239"/>
      <c r="T50" s="239"/>
      <c r="U50" s="239"/>
      <c r="V50" s="239"/>
      <c r="W50" s="239"/>
      <c r="X50" s="240"/>
    </row>
    <row r="51" spans="1:30">
      <c r="B51" s="249" t="s">
        <v>557</v>
      </c>
      <c r="C51" s="259"/>
      <c r="D51" s="239"/>
      <c r="E51" s="239"/>
      <c r="F51" s="239"/>
      <c r="G51" s="239"/>
      <c r="H51" s="239"/>
      <c r="I51" s="239"/>
      <c r="J51" s="239"/>
      <c r="K51" s="239"/>
      <c r="L51" s="239"/>
      <c r="M51" s="239"/>
      <c r="N51" s="239"/>
      <c r="O51" s="239"/>
      <c r="P51" s="239"/>
      <c r="Q51" s="239"/>
      <c r="R51" s="239"/>
      <c r="S51" s="239"/>
      <c r="T51" s="239"/>
      <c r="U51" s="239"/>
      <c r="V51" s="239"/>
      <c r="W51" s="239"/>
      <c r="X51" s="240"/>
    </row>
    <row r="52" spans="1:30">
      <c r="B52" s="251" t="s">
        <v>438</v>
      </c>
      <c r="C52" s="239"/>
      <c r="D52" s="260" t="str">
        <f>IF(D$9&lt;1,"",(D15/$C15*(D$9)*$C$47+D26/$C15*(D$9)*$C$48+D37/$C15*(D$9)*$C$49))</f>
        <v/>
      </c>
      <c r="E52" s="260" t="str">
        <f>IF(E$9&lt;1,"",(E15/$C15*(E$9)*$C$47+E26/$C15*(E$9)*$C$48+E37/$C15*(E$9)*$C$49))</f>
        <v/>
      </c>
      <c r="F52" s="260">
        <f>IF(F$9&lt;1,"",(F15/$C15*(F$9)*$C$47+F26/$C15*(F$9)*$C$48+F37/$C15*(F$9)*$C$49))</f>
        <v>1</v>
      </c>
      <c r="G52" s="260">
        <f>IF(G$9&lt;1,"",(G15/$C15*(G$9)*$C$47+G26/$C15*(G$9)*$C$48+G37/$C15*(G$9)*$C$49))</f>
        <v>1.0361386029035873</v>
      </c>
      <c r="H52" s="260">
        <f>IF(H$9&lt;1,"",(H15/$C15*(H$9)*$C$47+H26/$C15*(H$9)*$C$48+H37/$C15*(H$9)*$C$49))</f>
        <v>1.0543267999216255</v>
      </c>
      <c r="I52" s="260">
        <f>IF(I$9&lt;1,"",(I15/$C15*(I$9)*$C$47+I26/$C15*(I$9)*$C$48+I37/$C15*(I$9)*$C$49))</f>
        <v>1.087697470661984</v>
      </c>
      <c r="J52" s="260">
        <f>IF(J$9&lt;1,"",(J15/$C15*(J$9)*$C$47+J26/$C15*(J$9)*$C$48+J37/$C15*(J$9)*$C$49))</f>
        <v>1.1046234671135222</v>
      </c>
      <c r="K52" s="260">
        <f>IF(K$9&lt;1,"",(K15/$C15*(K$9)*$C$47+K26/$C15*(K$9)*$C$48+K37/$C15*(K$9)*$C$49))</f>
        <v>1.1215136846463625</v>
      </c>
      <c r="L52" s="260">
        <f>IF(L$9&lt;1,"",(L15/$C15*(L$9)*$C$47+L26/$C15*(L$9)*$C$48+L37/$C15*(L$9)*$C$49))</f>
        <v>1.1381095639665182</v>
      </c>
      <c r="M52" s="260">
        <f>IF(M$9&lt;1,"",(M15/$C15*(M$9)*$C$47+M26/$C15*(M$9)*$C$48+M37/$C15*(M$9)*$C$49))</f>
        <v>1.1547344334889558</v>
      </c>
      <c r="N52" s="260">
        <f>IF(N$9&lt;1,"",(N15/$C15*(N$9)*$C$47+N26/$C15*(N$9)*$C$48+N37/$C15*(N$9)*$C$49))</f>
        <v>1.1713756547251128</v>
      </c>
      <c r="O52" s="260">
        <f>IF(O$9&lt;1,"",(O15/$C15*(O$9)*$C$47+O26/$C15*(O$9)*$C$48+O37/$C15*(O$9)*$C$49))</f>
        <v>1.1880116661987707</v>
      </c>
      <c r="P52" s="260">
        <f>IF(P$9&lt;1,"",(P15/$C15*(P$9)*$C$47+P26/$C15*(P$9)*$C$48+P37/$C15*(P$9)*$C$49))</f>
        <v>1.2046514000031208</v>
      </c>
      <c r="Q52" s="260">
        <f>IF(Q$9&lt;1,"",(Q15/$C15*(Q$9)*$C$47+Q26/$C15*(Q$9)*$C$48+Q37/$C15*(Q$9)*$C$49))</f>
        <v>1.2212949635068735</v>
      </c>
      <c r="R52" s="260">
        <f>IF(R$9&lt;1,"",(R15/$C15*(R$9)*$C$47+R26/$C15*(R$9)*$C$48+R37/$C15*(R$9)*$C$49))</f>
        <v>1.2209698103455724</v>
      </c>
      <c r="S52" s="260">
        <f>IF(S$9&lt;1,"",(S15/$C15*(S$9)*$C$47+S26/$C15*(S$9)*$C$48+S37/$C15*(S$9)*$C$49))</f>
        <v>1.2206389196340632</v>
      </c>
      <c r="T52" s="260">
        <f>IF(T$9&lt;1,"",(T15/$C15*(T$9)*$C$47+T26/$C15*(T$9)*$C$48+T37/$C15*(T$9)*$C$49))</f>
        <v>1.2203164396085124</v>
      </c>
      <c r="U52" s="260">
        <f>IF(U$9&lt;1,"",(U15/$C15*(U$9)*$C$47+U26/$C15*(U$9)*$C$48+U37/$C15*(U$9)*$C$49))</f>
        <v>1.2200103055663747</v>
      </c>
      <c r="V52" s="260">
        <f>IF(V$9&lt;1,"",(V15/$C15*(V$9)*$C$47+V26/$C15*(V$9)*$C$48+V37/$C15*(V$9)*$C$49))</f>
        <v>1.2197102962018556</v>
      </c>
      <c r="W52" s="260">
        <f>IF(W$9&lt;1,"",(W15/$C15*(W$9)*$C$47+W26/$C15*(W$9)*$C$48+W37/$C15*(W$9)*$C$49))</f>
        <v>1.2197102962018556</v>
      </c>
      <c r="X52" s="261">
        <f>IF(X$9&lt;1,"",(X15/$C15*(X$9)*$C$47+X26/$C15*(X$9)*$C$48+X37/$C15*(X$9)*$C$49))</f>
        <v>1.2197102962018556</v>
      </c>
    </row>
    <row r="53" spans="1:30">
      <c r="B53" s="251" t="s">
        <v>439</v>
      </c>
      <c r="C53" s="239"/>
      <c r="D53" s="260" t="str">
        <f>IF(D$9&lt;1,"",(D16/$C16*(D$9)*$C$47+D27/$C16*(D$9)*$C$48+D38/$C16*(D$9)*$C$49))</f>
        <v/>
      </c>
      <c r="E53" s="260" t="str">
        <f>IF(E$9&lt;1,"",(E16/$C16*(E$9)*$C$47+E27/$C16*(E$9)*$C$48+E38/$C16*(E$9)*$C$49))</f>
        <v/>
      </c>
      <c r="F53" s="260">
        <f>IF(F$9&lt;1,"",(F16/$C16*(F$9)*$C$47+F27/$C16*(F$9)*$C$48+F38/$C16*(F$9)*$C$49))</f>
        <v>1</v>
      </c>
      <c r="G53" s="260">
        <f>IF(G$9&lt;1,"",(G16/$C16*(G$9)*$C$47+G27/$C16*(G$9)*$C$48+G38/$C16*(G$9)*$C$49))</f>
        <v>1.0079089761408626</v>
      </c>
      <c r="H53" s="260">
        <f>IF(H$9&lt;1,"",(H16/$C16*(H$9)*$C$47+H27/$C16*(H$9)*$C$48+H38/$C16*(H$9)*$C$49))</f>
        <v>1.0138241099703285</v>
      </c>
      <c r="I53" s="260">
        <f>IF(I$9&lt;1,"",(I16/$C16*(I$9)*$C$47+I27/$C16*(I$9)*$C$48+I38/$C16*(I$9)*$C$49))</f>
        <v>1.0213195028602211</v>
      </c>
      <c r="J53" s="260">
        <f>IF(J$9&lt;1,"",(J16/$C16*(J$9)*$C$47+J27/$C16*(J$9)*$C$48+J38/$C16*(J$9)*$C$49))</f>
        <v>1.0296391500563578</v>
      </c>
      <c r="K53" s="260">
        <f>IF(K$9&lt;1,"",(K16/$C16*(K$9)*$C$47+K27/$C16*(K$9)*$C$48+K38/$C16*(K$9)*$C$49))</f>
        <v>1.0339286575574822</v>
      </c>
      <c r="L53" s="260">
        <f>IF(L$9&lt;1,"",(L16/$C16*(L$9)*$C$47+L27/$C16*(L$9)*$C$48+L38/$C16*(L$9)*$C$49))</f>
        <v>1.0385261912466177</v>
      </c>
      <c r="M53" s="260">
        <f>IF(M$9&lt;1,"",(M16/$C16*(M$9)*$C$47+M27/$C16*(M$9)*$C$48+M38/$C16*(M$9)*$C$49))</f>
        <v>1.0428633740395372</v>
      </c>
      <c r="N53" s="260">
        <f>IF(N$9&lt;1,"",(N16/$C16*(N$9)*$C$47+N27/$C16*(N$9)*$C$48+N38/$C16*(N$9)*$C$49))</f>
        <v>1.0482474852461039</v>
      </c>
      <c r="O53" s="260">
        <f>IF(O$9&lt;1,"",(O16/$C16*(O$9)*$C$47+O27/$C16*(O$9)*$C$48+O38/$C16*(O$9)*$C$49))</f>
        <v>1.0523062041404667</v>
      </c>
      <c r="P53" s="260">
        <f>IF(P$9&lt;1,"",(P16/$C16*(P$9)*$C$47+P27/$C16*(P$9)*$C$48+P38/$C16*(P$9)*$C$49))</f>
        <v>1.0575892316023714</v>
      </c>
      <c r="Q53" s="260">
        <f>IF(Q$9&lt;1,"",(Q16/$C16*(Q$9)*$C$47+Q27/$C16*(Q$9)*$C$48+Q38/$C16*(Q$9)*$C$49))</f>
        <v>1.0638766284497969</v>
      </c>
      <c r="R53" s="260">
        <f>IF(R$9&lt;1,"",(R16/$C16*(R$9)*$C$47+R27/$C16*(R$9)*$C$48+R38/$C16*(R$9)*$C$49))</f>
        <v>1.0712434109679436</v>
      </c>
      <c r="S53" s="260">
        <f>IF(S$9&lt;1,"",(S16/$C16*(S$9)*$C$47+S27/$C16*(S$9)*$C$48+S38/$C16*(S$9)*$C$49))</f>
        <v>1.0702652784922213</v>
      </c>
      <c r="T53" s="260">
        <f>IF(T$9&lt;1,"",(T16/$C16*(T$9)*$C$47+T27/$C16*(T$9)*$C$48+T38/$C16*(T$9)*$C$49))</f>
        <v>1.0692567965929416</v>
      </c>
      <c r="U53" s="260">
        <f>IF(U$9&lt;1,"",(U16/$C16*(U$9)*$C$47+U27/$C16*(U$9)*$C$48+U38/$C16*(U$9)*$C$49))</f>
        <v>1.0682657462448637</v>
      </c>
      <c r="V53" s="260">
        <f>IF(V$9&lt;1,"",(V16/$C16*(V$9)*$C$47+V27/$C16*(V$9)*$C$48+V38/$C16*(V$9)*$C$49))</f>
        <v>1.0672721180012654</v>
      </c>
      <c r="W53" s="260">
        <f>IF(W$9&lt;1,"",(W16/$C16*(W$9)*$C$47+W27/$C16*(W$9)*$C$48+W38/$C16*(W$9)*$C$49))</f>
        <v>1.0672721180012654</v>
      </c>
      <c r="X53" s="261">
        <f>IF(X$9&lt;1,"",(X16/$C16*(X$9)*$C$47+X27/$C16*(X$9)*$C$48+X38/$C16*(X$9)*$C$49))</f>
        <v>1.0672721180012654</v>
      </c>
    </row>
    <row r="54" spans="1:30">
      <c r="B54" s="251" t="s">
        <v>559</v>
      </c>
      <c r="C54" s="239"/>
      <c r="D54" s="260" t="str">
        <f>IF(D$9&lt;1,"",(D17/$C17*(D$9)*$C$47+D28/$C17*(D$9)*$C$48+D39/$C17*(D$9)*$C$49))</f>
        <v/>
      </c>
      <c r="E54" s="260" t="str">
        <f>IF(E$9&lt;1,"",(E17/$C17*(E$9)*$C$47+E28/$C17*(E$9)*$C$48+E39/$C17*(E$9)*$C$49))</f>
        <v/>
      </c>
      <c r="F54" s="260">
        <f>IF(F$9&lt;1,"",(F17/$C17*(F$9)*$C$47+F28/$C17*(F$9)*$C$48+F39/$C17*(F$9)*$C$49))</f>
        <v>1</v>
      </c>
      <c r="G54" s="260">
        <f>IF(G$9&lt;1,"",(G17/$C17*(G$9)*$C$47+G28/$C17*(G$9)*$C$48+G39/$C17*(G$9)*$C$49))</f>
        <v>1.0413093966683578</v>
      </c>
      <c r="H54" s="260">
        <f>IF(H$9&lt;1,"",(H17/$C17*(H$9)*$C$47+H28/$C17*(H$9)*$C$48+H39/$C17*(H$9)*$C$49))</f>
        <v>1.0565647594296901</v>
      </c>
      <c r="I54" s="260">
        <f>IF(I$9&lt;1,"",(I17/$C17*(I$9)*$C$47+I28/$C17*(I$9)*$C$48+I39/$C17*(I$9)*$C$49))</f>
        <v>1.0831260205070705</v>
      </c>
      <c r="J54" s="260">
        <f>IF(J$9&lt;1,"",(J17/$C17*(J$9)*$C$47+J28/$C17*(J$9)*$C$48+J39/$C17*(J$9)*$C$49))</f>
        <v>1.0971834702417418</v>
      </c>
      <c r="K54" s="260">
        <f>IF(K$9&lt;1,"",(K17/$C17*(K$9)*$C$47+K28/$C17*(K$9)*$C$48+K39/$C17*(K$9)*$C$49))</f>
        <v>1.11158956124825</v>
      </c>
      <c r="L54" s="260">
        <f>IF(L$9&lt;1,"",(L17/$C17*(L$9)*$C$47+L28/$C17*(L$9)*$C$48+L39/$C17*(L$9)*$C$49))</f>
        <v>1.1251085580662108</v>
      </c>
      <c r="M54" s="260">
        <f>IF(M$9&lt;1,"",(M17/$C17*(M$9)*$C$47+M28/$C17*(M$9)*$C$48+M39/$C17*(M$9)*$C$49))</f>
        <v>1.1386715844602942</v>
      </c>
      <c r="N54" s="260">
        <f>IF(N$9&lt;1,"",(N17/$C17*(N$9)*$C$47+N28/$C17*(N$9)*$C$48+N39/$C17*(N$9)*$C$49))</f>
        <v>1.1522530977998215</v>
      </c>
      <c r="O54" s="260">
        <f>IF(O$9&lt;1,"",(O17/$C17*(O$9)*$C$47+O28/$C17*(O$9)*$C$48+O39/$C17*(O$9)*$C$49))</f>
        <v>1.1658366880403557</v>
      </c>
      <c r="P54" s="260">
        <f>IF(P$9&lt;1,"",(P17/$C17*(P$9)*$C$47+P28/$C17*(P$9)*$C$48+P39/$C17*(P$9)*$C$49))</f>
        <v>1.1794292116834744</v>
      </c>
      <c r="Q54" s="260">
        <f>IF(Q$9&lt;1,"",(Q17/$C17*(Q$9)*$C$47+Q28/$C17*(Q$9)*$C$48+Q39/$C17*(Q$9)*$C$49))</f>
        <v>1.1930307923445107</v>
      </c>
      <c r="R54" s="260">
        <f>IF(R$9&lt;1,"",(R17/$C17*(R$9)*$C$47+R28/$C17*(R$9)*$C$48+R39/$C17*(R$9)*$C$49))</f>
        <v>1.192782703989431</v>
      </c>
      <c r="S54" s="260">
        <f>IF(S$9&lt;1,"",(S17/$C17*(S$9)*$C$47+S28/$C17*(S$9)*$C$48+S39/$C17*(S$9)*$C$49))</f>
        <v>1.1925302379454259</v>
      </c>
      <c r="T54" s="260">
        <f>IF(T$9&lt;1,"",(T17/$C17*(T$9)*$C$47+T28/$C17*(T$9)*$C$48+T39/$C17*(T$9)*$C$49))</f>
        <v>1.1922841891640918</v>
      </c>
      <c r="U54" s="260">
        <f>IF(U$9&lt;1,"",(U17/$C17*(U$9)*$C$47+U28/$C17*(U$9)*$C$48+U39/$C17*(U$9)*$C$49))</f>
        <v>1.1920506121917998</v>
      </c>
      <c r="V54" s="260">
        <f>IF(V$9&lt;1,"",(V17/$C17*(V$9)*$C$47+V28/$C17*(V$9)*$C$48+V39/$C17*(V$9)*$C$49))</f>
        <v>1.1918217082824747</v>
      </c>
      <c r="W54" s="260">
        <f>IF(W$9&lt;1,"",(W17/$C17*(W$9)*$C$47+W28/$C17*(W$9)*$C$48+W39/$C17*(W$9)*$C$49))</f>
        <v>1.1918217082824747</v>
      </c>
      <c r="X54" s="261">
        <f>IF(X$9&lt;1,"",(X17/$C17*(X$9)*$C$47+X28/$C17*(X$9)*$C$48+X39/$C17*(X$9)*$C$49))</f>
        <v>1.1918217082824747</v>
      </c>
    </row>
    <row r="55" spans="1:30">
      <c r="B55" s="251"/>
      <c r="C55" s="258"/>
      <c r="D55" s="260"/>
      <c r="E55" s="260"/>
      <c r="F55" s="260"/>
      <c r="G55" s="260"/>
      <c r="H55" s="260"/>
      <c r="I55" s="260"/>
      <c r="J55" s="260"/>
      <c r="K55" s="260"/>
      <c r="L55" s="260"/>
      <c r="M55" s="260"/>
      <c r="N55" s="260"/>
      <c r="O55" s="260"/>
      <c r="P55" s="260"/>
      <c r="Q55" s="260"/>
      <c r="R55" s="260"/>
      <c r="S55" s="260"/>
      <c r="T55" s="260"/>
      <c r="U55" s="260"/>
      <c r="V55" s="260"/>
      <c r="W55" s="260"/>
      <c r="X55" s="261"/>
    </row>
    <row r="56" spans="1:30">
      <c r="B56" s="249" t="s">
        <v>560</v>
      </c>
      <c r="C56" s="259"/>
      <c r="D56" s="239"/>
      <c r="E56" s="239"/>
      <c r="F56" s="239"/>
      <c r="G56" s="239"/>
      <c r="H56" s="239"/>
      <c r="I56" s="239"/>
      <c r="J56" s="239"/>
      <c r="K56" s="239"/>
      <c r="L56" s="239"/>
      <c r="M56" s="239"/>
      <c r="N56" s="239"/>
      <c r="O56" s="239"/>
      <c r="P56" s="239"/>
      <c r="Q56" s="239"/>
      <c r="R56" s="239"/>
      <c r="S56" s="239"/>
      <c r="T56" s="239"/>
      <c r="U56" s="239"/>
      <c r="V56" s="239"/>
      <c r="W56" s="239"/>
      <c r="X56" s="240"/>
    </row>
    <row r="57" spans="1:30">
      <c r="B57" s="251" t="s">
        <v>438</v>
      </c>
      <c r="C57" s="239"/>
      <c r="D57" s="260" t="str">
        <f>IF(D$9&lt;1,"",(D20/$C20*(D$9)*$C$47+D31/$C20*(D$9)*$C$48+D42/$C20*(D$9)*$C$49))</f>
        <v/>
      </c>
      <c r="E57" s="260" t="str">
        <f>IF(E$9&lt;1,"",(E20/$C20*(E$9)*$C$47+E31/$C20*(E$9)*$C$48+E42/$C20*(E$9)*$C$49))</f>
        <v/>
      </c>
      <c r="F57" s="260">
        <f>IF(F$9&lt;1,"",(F20/$C20*(F$9)*$C$47+F31/$C20*(F$9)*$C$48+F42/$C20*(F$9)*$C$49))</f>
        <v>1</v>
      </c>
      <c r="G57" s="260">
        <f>IF(G$9&lt;1,"",(G20/$C20*(G$9)*$C$47+G31/$C20*(G$9)*$C$48+G42/$C20*(G$9)*$C$49))</f>
        <v>1.0088917324448721</v>
      </c>
      <c r="H57" s="260">
        <f>IF(H$9&lt;1,"",(H20/$C20*(H$9)*$C$47+H31/$C20*(H$9)*$C$48+H42/$C20*(H$9)*$C$49))</f>
        <v>1.0130887750080795</v>
      </c>
      <c r="I57" s="260">
        <f>IF(I$9&lt;1,"",(I20/$C20*(I$9)*$C$47+I31/$C20*(I$9)*$C$48+I42/$C20*(I$9)*$C$49))</f>
        <v>1.0065951231287553</v>
      </c>
      <c r="J57" s="260">
        <f>IF(J$9&lt;1,"",(J20/$C20*(J$9)*$C$47+J31/$C20*(J$9)*$C$48+J42/$C20*(J$9)*$C$49))</f>
        <v>0.98234460943997282</v>
      </c>
      <c r="K57" s="260">
        <f>IF(K$9&lt;1,"",(K20/$C20*(K$9)*$C$47+K31/$C20*(K$9)*$C$48+K42/$C20*(K$9)*$C$49))</f>
        <v>0.97185232075064143</v>
      </c>
      <c r="L57" s="260">
        <f>IF(L$9&lt;1,"",(L20/$C20*(L$9)*$C$47+L31/$C20*(L$9)*$C$48+L42/$C20*(L$9)*$C$49))</f>
        <v>0.98032163196508537</v>
      </c>
      <c r="M57" s="260">
        <f>IF(M$9&lt;1,"",(M20/$C20*(M$9)*$C$47+M31/$C20*(M$9)*$C$48+M42/$C20*(M$9)*$C$49))</f>
        <v>0.95831975992460638</v>
      </c>
      <c r="N57" s="260">
        <f>IF(N$9&lt;1,"",(N20/$C20*(N$9)*$C$47+N31/$C20*(N$9)*$C$48+N42/$C20*(N$9)*$C$49))</f>
        <v>0.94900407716997304</v>
      </c>
      <c r="O57" s="260">
        <f>IF(O$9&lt;1,"",(O20/$C20*(O$9)*$C$47+O31/$C20*(O$9)*$C$48+O42/$C20*(O$9)*$C$49))</f>
        <v>0.93200189999812033</v>
      </c>
      <c r="P57" s="260">
        <f>IF(P$9&lt;1,"",(P20/$C20*(P$9)*$C$47+P31/$C20*(P$9)*$C$48+P42/$C20*(P$9)*$C$49))</f>
        <v>0.91467218431818575</v>
      </c>
      <c r="Q57" s="260">
        <f>IF(Q$9&lt;1,"",(Q20/$C20*(Q$9)*$C$47+Q31/$C20*(Q$9)*$C$48+Q42/$C20*(Q$9)*$C$49))</f>
        <v>0.9079585725008007</v>
      </c>
      <c r="R57" s="260">
        <f>IF(R$9&lt;1,"",(R20/$C20*(R$9)*$C$47+R31/$C20*(R$9)*$C$48+R42/$C20*(R$9)*$C$49))</f>
        <v>0.91025134999427681</v>
      </c>
      <c r="S57" s="260">
        <f>IF(S$9&lt;1,"",(S20/$C20*(S$9)*$C$47+S31/$C20*(S$9)*$C$48+S42/$C20*(S$9)*$C$49))</f>
        <v>0.9117349132456356</v>
      </c>
      <c r="T57" s="260">
        <f>IF(T$9&lt;1,"",(T20/$C20*(T$9)*$C$47+T31/$C20*(T$9)*$C$48+T42/$C20*(T$9)*$C$49))</f>
        <v>0.92453324361506284</v>
      </c>
      <c r="U57" s="260">
        <f>IF(U$9&lt;1,"",(U20/$C20*(U$9)*$C$47+U31/$C20*(U$9)*$C$48+U42/$C20*(U$9)*$C$49))</f>
        <v>0.92179281630566512</v>
      </c>
      <c r="V57" s="260">
        <f>IF(V$9&lt;1,"",(V20/$C20*(V$9)*$C$47+V31/$C20*(V$9)*$C$48+V42/$C20*(V$9)*$C$49))</f>
        <v>0.91557823315388187</v>
      </c>
      <c r="W57" s="260">
        <f>IF(W$9&lt;1,"",(W20/$C20*(W$9)*$C$47+W31/$C20*(W$9)*$C$48+W42/$C20*(W$9)*$C$49))</f>
        <v>0.91557823315388187</v>
      </c>
      <c r="X57" s="261">
        <f>IF(X$9&lt;1,"",(X20/$C20*(X$9)*$C$47+X31/$C20*(X$9)*$C$48+X42/$C20*(X$9)*$C$49))</f>
        <v>0.91557823315388187</v>
      </c>
    </row>
    <row r="58" spans="1:30">
      <c r="B58" s="251" t="s">
        <v>439</v>
      </c>
      <c r="C58" s="239"/>
      <c r="D58" s="260" t="str">
        <f>IF(D$9&lt;1,"",(D21/$C21*(D$9)*$C$47+D32/$C21*(D$9)*$C$48+D43/$C21*(D$9)*$C$49))</f>
        <v/>
      </c>
      <c r="E58" s="260" t="str">
        <f>IF(E$9&lt;1,"",(E21/$C21*(E$9)*$C$47+E32/$C21*(E$9)*$C$48+E43/$C21*(E$9)*$C$49))</f>
        <v/>
      </c>
      <c r="F58" s="260">
        <f>IF(F$9&lt;1,"",(F21/$C21*(F$9)*$C$47+F32/$C21*(F$9)*$C$48+F43/$C21*(F$9)*$C$49))</f>
        <v>1</v>
      </c>
      <c r="G58" s="260">
        <f>IF(G$9&lt;1,"",(G21/$C21*(G$9)*$C$47+G32/$C21*(G$9)*$C$48+G43/$C21*(G$9)*$C$49))</f>
        <v>1.0104893696137989</v>
      </c>
      <c r="H58" s="260">
        <f>IF(H$9&lt;1,"",(H21/$C21*(H$9)*$C$47+H32/$C21*(H$9)*$C$48+H43/$C21*(H$9)*$C$49))</f>
        <v>1.0195185817203083</v>
      </c>
      <c r="I58" s="260">
        <f>IF(I$9&lt;1,"",(I21/$C21*(I$9)*$C$47+I32/$C21*(I$9)*$C$48+I43/$C21*(I$9)*$C$49))</f>
        <v>1.0005031741825721</v>
      </c>
      <c r="J58" s="260">
        <f>IF(J$9&lt;1,"",(J21/$C21*(J$9)*$C$47+J32/$C21*(J$9)*$C$48+J43/$C21*(J$9)*$C$49))</f>
        <v>0.99776181055833113</v>
      </c>
      <c r="K58" s="260">
        <f>IF(K$9&lt;1,"",(K21/$C21*(K$9)*$C$47+K32/$C21*(K$9)*$C$48+K43/$C21*(K$9)*$C$49))</f>
        <v>0.9898937708027562</v>
      </c>
      <c r="L58" s="260">
        <f>IF(L$9&lt;1,"",(L21/$C21*(L$9)*$C$47+L32/$C21*(L$9)*$C$48+L43/$C21*(L$9)*$C$49))</f>
        <v>1.0084606946101653</v>
      </c>
      <c r="M58" s="260">
        <f>IF(M$9&lt;1,"",(M21/$C21*(M$9)*$C$47+M32/$C21*(M$9)*$C$48+M43/$C21*(M$9)*$C$49))</f>
        <v>1.0055629671277362</v>
      </c>
      <c r="N58" s="260">
        <f>IF(N$9&lt;1,"",(N21/$C21*(N$9)*$C$47+N32/$C21*(N$9)*$C$48+N43/$C21*(N$9)*$C$49))</f>
        <v>0.98332665458266411</v>
      </c>
      <c r="O58" s="260">
        <f>IF(O$9&lt;1,"",(O21/$C21*(O$9)*$C$47+O32/$C21*(O$9)*$C$48+O43/$C21*(O$9)*$C$49))</f>
        <v>0.95810150409050221</v>
      </c>
      <c r="P58" s="260">
        <f>IF(P$9&lt;1,"",(P21/$C21*(P$9)*$C$47+P32/$C21*(P$9)*$C$48+P43/$C21*(P$9)*$C$49))</f>
        <v>0.9446954730149939</v>
      </c>
      <c r="Q58" s="260">
        <f>IF(Q$9&lt;1,"",(Q21/$C21*(Q$9)*$C$47+Q32/$C21*(Q$9)*$C$48+Q43/$C21*(Q$9)*$C$49))</f>
        <v>0.93105387479207913</v>
      </c>
      <c r="R58" s="260">
        <f>IF(R$9&lt;1,"",(R21/$C21*(R$9)*$C$47+R32/$C21*(R$9)*$C$48+R43/$C21*(R$9)*$C$49))</f>
        <v>0.92458420578550971</v>
      </c>
      <c r="S58" s="260">
        <f>IF(S$9&lt;1,"",(S21/$C21*(S$9)*$C$47+S32/$C21*(S$9)*$C$48+S43/$C21*(S$9)*$C$49))</f>
        <v>0.922202584015402</v>
      </c>
      <c r="T58" s="260">
        <f>IF(T$9&lt;1,"",(T21/$C21*(T$9)*$C$47+T32/$C21*(T$9)*$C$48+T43/$C21*(T$9)*$C$49))</f>
        <v>0.91430532321563718</v>
      </c>
      <c r="U58" s="260">
        <f>IF(U$9&lt;1,"",(U21/$C21*(U$9)*$C$47+U32/$C21*(U$9)*$C$48+U43/$C21*(U$9)*$C$49))</f>
        <v>0.92757635128141069</v>
      </c>
      <c r="V58" s="260">
        <f>IF(V$9&lt;1,"",(V21/$C21*(V$9)*$C$47+V32/$C21*(V$9)*$C$48+V43/$C21*(V$9)*$C$49))</f>
        <v>0.91354776401679139</v>
      </c>
      <c r="W58" s="260">
        <f>IF(W$9&lt;1,"",(W21/$C21*(W$9)*$C$47+W32/$C21*(W$9)*$C$48+W43/$C21*(W$9)*$C$49))</f>
        <v>0.91354776401679139</v>
      </c>
      <c r="X58" s="261">
        <f>IF(X$9&lt;1,"",(X21/$C21*(X$9)*$C$47+X32/$C21*(X$9)*$C$48+X43/$C21*(X$9)*$C$49))</f>
        <v>0.91354776401679139</v>
      </c>
    </row>
    <row r="59" spans="1:30">
      <c r="B59" s="262" t="s">
        <v>559</v>
      </c>
      <c r="C59" s="263"/>
      <c r="D59" s="264" t="str">
        <f>IF(D$9&lt;1,"",(D22/$C22*(D$9)*$C$47+D33/$C22*(D$9)*$C$48+D44/$C22*(D$9)*$C$49))</f>
        <v/>
      </c>
      <c r="E59" s="264" t="str">
        <f>IF(E$9&lt;1,"",(E22/$C22*(E$9)*$C$47+E33/$C22*(E$9)*$C$48+E44/$C22*(E$9)*$C$49))</f>
        <v/>
      </c>
      <c r="F59" s="264">
        <f>IF(F$9&lt;1,"",(F22/$C22*(F$9)*$C$47+F33/$C22*(F$9)*$C$48+F44/$C22*(F$9)*$C$49))</f>
        <v>1</v>
      </c>
      <c r="G59" s="264">
        <f>IF(G$9&lt;1,"",(G22/$C22*(G$9)*$C$47+G33/$C22*(G$9)*$C$48+G44/$C22*(G$9)*$C$49))</f>
        <v>1.0075865310969148</v>
      </c>
      <c r="H59" s="264">
        <f>IF(H$9&lt;1,"",(H22/$C22*(H$9)*$C$47+H33/$C22*(H$9)*$C$48+H44/$C22*(H$9)*$C$49))</f>
        <v>1.0115682376063482</v>
      </c>
      <c r="I59" s="264">
        <f>IF(I$9&lt;1,"",(I22/$C22*(I$9)*$C$47+I33/$C22*(I$9)*$C$48+I44/$C22*(I$9)*$C$49))</f>
        <v>1.001646025301185</v>
      </c>
      <c r="J59" s="264">
        <f>IF(J$9&lt;1,"",(J22/$C22*(J$9)*$C$47+J33/$C22*(J$9)*$C$48+J44/$C22*(J$9)*$C$49))</f>
        <v>0.97825340616518364</v>
      </c>
      <c r="K59" s="264">
        <f>IF(K$9&lt;1,"",(K22/$C22*(K$9)*$C$47+K33/$C22*(K$9)*$C$48+K44/$C22*(K$9)*$C$49))</f>
        <v>0.96964720704013363</v>
      </c>
      <c r="L59" s="264">
        <f>IF(L$9&lt;1,"",(L22/$C22*(L$9)*$C$47+L33/$C22*(L$9)*$C$48+L44/$C22*(L$9)*$C$49))</f>
        <v>0.98215539337602242</v>
      </c>
      <c r="M59" s="264">
        <f>IF(M$9&lt;1,"",(M22/$C22*(M$9)*$C$47+M33/$C22*(M$9)*$C$48+M44/$C22*(M$9)*$C$49))</f>
        <v>0.98771250152416956</v>
      </c>
      <c r="N59" s="264">
        <f>IF(N$9&lt;1,"",(N22/$C22*(N$9)*$C$47+N33/$C22*(N$9)*$C$48+N44/$C22*(N$9)*$C$49))</f>
        <v>0.97356428501398595</v>
      </c>
      <c r="O59" s="264">
        <f>IF(O$9&lt;1,"",(O22/$C22*(O$9)*$C$47+O33/$C22*(O$9)*$C$48+O44/$C22*(O$9)*$C$49))</f>
        <v>0.95141163182544131</v>
      </c>
      <c r="P59" s="264">
        <f>IF(P$9&lt;1,"",(P22/$C22*(P$9)*$C$47+P33/$C22*(P$9)*$C$48+P44/$C22*(P$9)*$C$49))</f>
        <v>0.93106072525573325</v>
      </c>
      <c r="Q59" s="264">
        <f>IF(Q$9&lt;1,"",(Q22/$C22*(Q$9)*$C$47+Q33/$C22*(Q$9)*$C$48+Q44/$C22*(Q$9)*$C$49))</f>
        <v>0.92188436127049844</v>
      </c>
      <c r="R59" s="264">
        <f>IF(R$9&lt;1,"",(R22/$C22*(R$9)*$C$47+R33/$C22*(R$9)*$C$48+R44/$C22*(R$9)*$C$49))</f>
        <v>0.91564220566455767</v>
      </c>
      <c r="S59" s="264">
        <f>IF(S$9&lt;1,"",(S22/$C22*(S$9)*$C$47+S33/$C22*(S$9)*$C$48+S44/$C22*(S$9)*$C$49))</f>
        <v>0.902598551885197</v>
      </c>
      <c r="T59" s="264">
        <f>IF(T$9&lt;1,"",(T22/$C22*(T$9)*$C$47+T33/$C22*(T$9)*$C$48+T44/$C22*(T$9)*$C$49))</f>
        <v>0.90979839543802188</v>
      </c>
      <c r="U59" s="264">
        <f>IF(U$9&lt;1,"",(U22/$C22*(U$9)*$C$47+U33/$C22*(U$9)*$C$48+U44/$C22*(U$9)*$C$49))</f>
        <v>0.90577087012549284</v>
      </c>
      <c r="V59" s="264">
        <f>IF(V$9&lt;1,"",(V22/$C22*(V$9)*$C$47+V33/$C22*(V$9)*$C$48+V44/$C22*(V$9)*$C$49))</f>
        <v>0.89716178579190076</v>
      </c>
      <c r="W59" s="264">
        <f>IF(W$9&lt;1,"",(W22/$C22*(W$9)*$C$47+W33/$C22*(W$9)*$C$48+W44/$C22*(W$9)*$C$49))</f>
        <v>0.89716178579190076</v>
      </c>
      <c r="X59" s="265">
        <f>IF(X$9&lt;1,"",(X22/$C22*(X$9)*$C$47+X33/$C22*(X$9)*$C$48+X44/$C22*(X$9)*$C$49))</f>
        <v>0.89716178579190076</v>
      </c>
    </row>
    <row r="61" spans="1:30">
      <c r="B61" s="11" t="s">
        <v>567</v>
      </c>
      <c r="C61" s="266" t="s">
        <v>568</v>
      </c>
    </row>
    <row r="62" spans="1:30">
      <c r="B62" s="11" t="s">
        <v>569</v>
      </c>
      <c r="C62" s="267">
        <v>44476</v>
      </c>
    </row>
    <row r="64" spans="1:30">
      <c r="A64" s="117"/>
      <c r="B64" s="117" t="s">
        <v>397</v>
      </c>
      <c r="C64" s="117"/>
      <c r="D64" s="116"/>
      <c r="E64" s="116"/>
      <c r="F64" s="116"/>
      <c r="G64" s="116"/>
      <c r="H64" s="116"/>
      <c r="I64" s="116"/>
      <c r="J64" s="116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</row>
  </sheetData>
  <hyperlinks>
    <hyperlink ref="C61" r:id="rId1" xr:uid="{00000000-0004-0000-0E00-000000000000}"/>
  </hyperlinks>
  <pageMargins left="0.7" right="0.7" top="0.75" bottom="0.75" header="0.511811023622047" footer="0.511811023622047"/>
  <pageSetup paperSize="9" orientation="portrait" horizontalDpi="300" verticalDpi="30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AMJ49"/>
  <sheetViews>
    <sheetView topLeftCell="A19" zoomScaleNormal="100" workbookViewId="0">
      <selection activeCell="B49" sqref="B49"/>
    </sheetView>
  </sheetViews>
  <sheetFormatPr defaultColWidth="9.140625" defaultRowHeight="12.75"/>
  <cols>
    <col min="1" max="1" width="3.7109375" style="11" customWidth="1"/>
    <col min="2" max="2" width="29.85546875" style="11" customWidth="1"/>
    <col min="3" max="1024" width="9.140625" style="11"/>
  </cols>
  <sheetData>
    <row r="3" spans="2:2">
      <c r="B3" s="11" t="s">
        <v>570</v>
      </c>
    </row>
    <row r="4" spans="2:2">
      <c r="B4" s="11" t="s">
        <v>114</v>
      </c>
    </row>
    <row r="5" spans="2:2">
      <c r="B5" s="11" t="s">
        <v>117</v>
      </c>
    </row>
    <row r="7" spans="2:2">
      <c r="B7" s="11" t="s">
        <v>571</v>
      </c>
    </row>
    <row r="8" spans="2:2">
      <c r="B8" s="11" t="s">
        <v>389</v>
      </c>
    </row>
    <row r="9" spans="2:2">
      <c r="B9" s="11" t="s">
        <v>390</v>
      </c>
    </row>
    <row r="10" spans="2:2">
      <c r="B10" s="11" t="s">
        <v>91</v>
      </c>
    </row>
    <row r="12" spans="2:2">
      <c r="B12" s="11" t="s">
        <v>572</v>
      </c>
    </row>
    <row r="13" spans="2:2">
      <c r="B13" s="11" t="s">
        <v>573</v>
      </c>
    </row>
    <row r="14" spans="2:2">
      <c r="B14" s="11" t="s">
        <v>81</v>
      </c>
    </row>
    <row r="16" spans="2:2">
      <c r="B16" s="11" t="s">
        <v>256</v>
      </c>
    </row>
    <row r="17" spans="2:2">
      <c r="B17" s="11" t="s">
        <v>574</v>
      </c>
    </row>
    <row r="18" spans="2:2">
      <c r="B18" s="11" t="s">
        <v>152</v>
      </c>
    </row>
    <row r="19" spans="2:2">
      <c r="B19" s="11" t="s">
        <v>575</v>
      </c>
    </row>
    <row r="21" spans="2:2">
      <c r="B21" s="11" t="s">
        <v>576</v>
      </c>
    </row>
    <row r="22" spans="2:2">
      <c r="B22" s="11" t="s">
        <v>577</v>
      </c>
    </row>
    <row r="23" spans="2:2">
      <c r="B23" s="11" t="s">
        <v>111</v>
      </c>
    </row>
    <row r="24" spans="2:2">
      <c r="B24" s="11" t="s">
        <v>578</v>
      </c>
    </row>
    <row r="26" spans="2:2">
      <c r="B26" s="11" t="s">
        <v>579</v>
      </c>
    </row>
    <row r="27" spans="2:2">
      <c r="B27" s="11" t="s">
        <v>530</v>
      </c>
    </row>
    <row r="28" spans="2:2">
      <c r="B28" s="11" t="s">
        <v>134</v>
      </c>
    </row>
    <row r="29" spans="2:2">
      <c r="B29" s="11" t="s">
        <v>531</v>
      </c>
    </row>
    <row r="31" spans="2:2">
      <c r="B31" s="11" t="s">
        <v>580</v>
      </c>
    </row>
    <row r="32" spans="2:2">
      <c r="B32" s="11" t="s">
        <v>137</v>
      </c>
    </row>
    <row r="33" spans="2:2">
      <c r="B33" s="11" t="s">
        <v>581</v>
      </c>
    </row>
    <row r="35" spans="2:2">
      <c r="B35" s="11" t="s">
        <v>582</v>
      </c>
    </row>
    <row r="36" spans="2:2">
      <c r="B36" s="11" t="s">
        <v>198</v>
      </c>
    </row>
    <row r="37" spans="2:2">
      <c r="B37" s="11" t="s">
        <v>583</v>
      </c>
    </row>
    <row r="38" spans="2:2">
      <c r="B38" s="11" t="s">
        <v>584</v>
      </c>
    </row>
    <row r="39" spans="2:2">
      <c r="B39" s="11" t="s">
        <v>585</v>
      </c>
    </row>
    <row r="40" spans="2:2">
      <c r="B40" s="11" t="s">
        <v>586</v>
      </c>
    </row>
    <row r="41" spans="2:2">
      <c r="B41" s="11" t="s">
        <v>587</v>
      </c>
    </row>
    <row r="42" spans="2:2">
      <c r="B42" s="11" t="s">
        <v>588</v>
      </c>
    </row>
    <row r="43" spans="2:2">
      <c r="B43" s="11" t="s">
        <v>589</v>
      </c>
    </row>
    <row r="44" spans="2:2">
      <c r="B44" s="11" t="s">
        <v>590</v>
      </c>
    </row>
    <row r="45" spans="2:2">
      <c r="B45" s="11" t="s">
        <v>591</v>
      </c>
    </row>
    <row r="46" spans="2:2">
      <c r="B46" s="11" t="s">
        <v>592</v>
      </c>
    </row>
    <row r="47" spans="2:2">
      <c r="B47" s="11" t="s">
        <v>593</v>
      </c>
    </row>
    <row r="48" spans="2:2">
      <c r="B48" s="11" t="s">
        <v>594</v>
      </c>
    </row>
    <row r="49" spans="2:2">
      <c r="B49" s="11" t="s">
        <v>595</v>
      </c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I92"/>
  <sheetViews>
    <sheetView zoomScaleNormal="100" workbookViewId="0">
      <selection activeCell="M50" sqref="M50"/>
    </sheetView>
  </sheetViews>
  <sheetFormatPr defaultColWidth="8.7109375" defaultRowHeight="14.25"/>
  <cols>
    <col min="2" max="2" width="33.7109375" customWidth="1"/>
  </cols>
  <sheetData>
    <row r="1" spans="1:61">
      <c r="A1" s="268"/>
      <c r="B1" s="268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</row>
    <row r="2" spans="1:61">
      <c r="A2" s="23"/>
      <c r="B2" s="24" t="s">
        <v>10</v>
      </c>
      <c r="C2" s="10"/>
      <c r="D2" s="10"/>
      <c r="E2" s="10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  <c r="AJ2" s="23"/>
      <c r="AK2" s="23"/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3"/>
      <c r="AW2" s="23"/>
      <c r="AX2" s="23"/>
      <c r="AY2" s="23"/>
      <c r="AZ2" s="23"/>
      <c r="BA2" s="23"/>
      <c r="BB2" s="23"/>
      <c r="BC2" s="23"/>
      <c r="BD2" s="23"/>
      <c r="BE2" s="23"/>
      <c r="BF2" s="23"/>
      <c r="BG2" s="23"/>
      <c r="BH2" s="23"/>
      <c r="BI2" s="23"/>
    </row>
    <row r="3" spans="1:61">
      <c r="A3" s="23"/>
      <c r="B3" s="23" t="s">
        <v>11</v>
      </c>
      <c r="C3" s="9"/>
      <c r="D3" s="9"/>
      <c r="E3" s="9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23"/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3"/>
      <c r="BI3" s="23"/>
    </row>
    <row r="4" spans="1:61">
      <c r="A4" s="23"/>
      <c r="B4" s="23" t="s">
        <v>12</v>
      </c>
      <c r="C4" s="9"/>
      <c r="D4" s="9"/>
      <c r="E4" s="9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3"/>
      <c r="AA4" s="23"/>
      <c r="AB4" s="23"/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3"/>
      <c r="AR4" s="23"/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</row>
    <row r="5" spans="1:61">
      <c r="A5" s="23"/>
      <c r="B5" s="23" t="s">
        <v>13</v>
      </c>
      <c r="C5" s="9"/>
      <c r="D5" s="9"/>
      <c r="E5" s="9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3"/>
      <c r="AR5" s="23"/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</row>
    <row r="6" spans="1:61">
      <c r="A6" s="23"/>
      <c r="B6" s="23" t="s">
        <v>14</v>
      </c>
      <c r="C6" s="9"/>
      <c r="D6" s="9"/>
      <c r="E6" s="9"/>
      <c r="F6" s="23"/>
      <c r="G6" s="23"/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  <c r="AB6" s="23"/>
      <c r="AC6" s="23"/>
      <c r="AD6" s="23"/>
      <c r="AE6" s="23"/>
      <c r="AF6" s="23"/>
      <c r="AG6" s="23"/>
      <c r="AH6" s="23"/>
      <c r="AI6" s="23"/>
      <c r="AJ6" s="23"/>
      <c r="AK6" s="23"/>
      <c r="AL6" s="23"/>
      <c r="AM6" s="23"/>
      <c r="AN6" s="23"/>
      <c r="AO6" s="23"/>
      <c r="AP6" s="23"/>
      <c r="AQ6" s="23"/>
      <c r="AR6" s="23"/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</row>
    <row r="7" spans="1:61">
      <c r="A7" s="23"/>
      <c r="B7" s="23" t="s">
        <v>15</v>
      </c>
      <c r="C7" s="9"/>
      <c r="D7" s="9"/>
      <c r="E7" s="9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23"/>
      <c r="AP7" s="23"/>
      <c r="AQ7" s="23"/>
      <c r="AR7" s="23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</row>
    <row r="8" spans="1:61">
      <c r="A8" s="23"/>
      <c r="B8" s="23" t="s">
        <v>16</v>
      </c>
      <c r="C8" s="9"/>
      <c r="D8" s="9"/>
      <c r="E8" s="9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23"/>
      <c r="AP8" s="23"/>
      <c r="AQ8" s="23"/>
      <c r="AR8" s="23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</row>
    <row r="9" spans="1:61">
      <c r="A9" s="23"/>
      <c r="B9" s="23" t="s">
        <v>0</v>
      </c>
      <c r="C9" s="9" t="s">
        <v>17</v>
      </c>
      <c r="D9" s="9"/>
      <c r="E9" s="9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23"/>
      <c r="AP9" s="23"/>
      <c r="AQ9" s="23"/>
      <c r="AR9" s="23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</row>
    <row r="10" spans="1:61">
      <c r="A10" s="23"/>
      <c r="B10" s="23" t="s">
        <v>18</v>
      </c>
      <c r="C10" s="9" t="s">
        <v>19</v>
      </c>
      <c r="D10" s="9"/>
      <c r="E10" s="9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</row>
    <row r="11" spans="1:61">
      <c r="A11" s="23"/>
      <c r="B11" s="25" t="s">
        <v>20</v>
      </c>
      <c r="C11" s="8"/>
      <c r="D11" s="8"/>
      <c r="E11" s="8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23"/>
      <c r="AP11" s="23"/>
      <c r="AQ11" s="23"/>
      <c r="AR11" s="23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</row>
    <row r="12" spans="1:61">
      <c r="A12" s="268"/>
      <c r="B12" s="268"/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  <c r="V12" s="23"/>
      <c r="W12" s="23"/>
      <c r="X12" s="23"/>
      <c r="Y12" s="23"/>
      <c r="Z12" s="23"/>
      <c r="AA12" s="23"/>
      <c r="AB12" s="23"/>
      <c r="AC12" s="23"/>
      <c r="AD12" s="23"/>
      <c r="AE12" s="23"/>
      <c r="AF12" s="23"/>
      <c r="AG12" s="23"/>
      <c r="AH12" s="23"/>
      <c r="AI12" s="23"/>
      <c r="AJ12" s="23"/>
      <c r="AK12" s="23"/>
      <c r="AL12" s="23"/>
      <c r="AM12" s="23"/>
      <c r="AN12" s="23"/>
      <c r="AO12" s="23"/>
      <c r="AP12" s="23"/>
      <c r="AQ12" s="23"/>
      <c r="AR12" s="23"/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</row>
    <row r="13" spans="1:61">
      <c r="A13" s="26"/>
      <c r="B13" s="26" t="s">
        <v>21</v>
      </c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26"/>
      <c r="S13" s="26"/>
      <c r="T13" s="26"/>
      <c r="U13" s="26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/>
      <c r="AG13" s="23"/>
      <c r="AH13" s="23"/>
      <c r="AI13" s="23"/>
      <c r="AJ13" s="23"/>
      <c r="AK13" s="23"/>
      <c r="AL13" s="23"/>
      <c r="AM13" s="23"/>
      <c r="AN13" s="23"/>
      <c r="AO13" s="23"/>
      <c r="AP13" s="23"/>
      <c r="AQ13" s="23"/>
      <c r="AR13" s="23"/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</row>
    <row r="14" spans="1:61">
      <c r="A14" s="268"/>
      <c r="B14" s="268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/>
      <c r="AO14" s="23"/>
      <c r="AP14" s="23"/>
      <c r="AQ14" s="23"/>
      <c r="AR14" s="23"/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</row>
    <row r="15" spans="1:61">
      <c r="A15" s="23"/>
      <c r="B15" s="7" t="s">
        <v>22</v>
      </c>
      <c r="C15" s="7"/>
      <c r="D15" s="7"/>
      <c r="E15" s="7"/>
      <c r="F15" s="7"/>
      <c r="G15" s="7"/>
      <c r="H15" s="7"/>
      <c r="I15" s="7"/>
      <c r="J15" s="7"/>
      <c r="K15" s="7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  <c r="AB15" s="23"/>
      <c r="AC15" s="23"/>
      <c r="AD15" s="23"/>
      <c r="AE15" s="23"/>
      <c r="AF15" s="23"/>
      <c r="AG15" s="23"/>
      <c r="AH15" s="23"/>
      <c r="AI15" s="23"/>
      <c r="AJ15" s="23"/>
      <c r="AK15" s="23"/>
      <c r="AL15" s="23"/>
      <c r="AM15" s="23"/>
      <c r="AN15" s="23"/>
      <c r="AO15" s="23"/>
      <c r="AP15" s="23"/>
      <c r="AQ15" s="23"/>
      <c r="AR15" s="23"/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</row>
    <row r="16" spans="1:61">
      <c r="A16" s="23"/>
      <c r="B16" s="9"/>
      <c r="C16" s="9"/>
      <c r="D16" s="9"/>
      <c r="E16" s="9"/>
      <c r="F16" s="9"/>
      <c r="G16" s="9"/>
      <c r="H16" s="9"/>
      <c r="I16" s="9"/>
      <c r="J16" s="9"/>
      <c r="K16" s="9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/>
      <c r="AG16" s="23"/>
      <c r="AH16" s="23"/>
      <c r="AI16" s="23"/>
      <c r="AJ16" s="23"/>
      <c r="AK16" s="23"/>
      <c r="AL16" s="23"/>
      <c r="AM16" s="23"/>
      <c r="AN16" s="23"/>
      <c r="AO16" s="23"/>
      <c r="AP16" s="23"/>
      <c r="AQ16" s="23"/>
      <c r="AR16" s="23"/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</row>
    <row r="17" spans="1:61">
      <c r="A17" s="23"/>
      <c r="B17" s="6" t="s">
        <v>23</v>
      </c>
      <c r="C17" s="6"/>
      <c r="D17" s="6"/>
      <c r="E17" s="6"/>
      <c r="F17" s="6"/>
      <c r="G17" s="6"/>
      <c r="H17" s="6"/>
      <c r="I17" s="6"/>
      <c r="J17" s="6"/>
      <c r="K17" s="6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23"/>
      <c r="AP17" s="23"/>
      <c r="AQ17" s="23"/>
      <c r="AR17" s="23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</row>
    <row r="18" spans="1:61">
      <c r="A18" s="23"/>
      <c r="B18" s="9"/>
      <c r="C18" s="9"/>
      <c r="D18" s="9"/>
      <c r="E18" s="9"/>
      <c r="F18" s="9"/>
      <c r="G18" s="9"/>
      <c r="H18" s="9"/>
      <c r="I18" s="9"/>
      <c r="J18" s="9"/>
      <c r="K18" s="9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23"/>
      <c r="AP18" s="23"/>
      <c r="AQ18" s="23"/>
      <c r="AR18" s="23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</row>
    <row r="19" spans="1:61">
      <c r="A19" s="23"/>
      <c r="B19" s="7" t="s">
        <v>24</v>
      </c>
      <c r="C19" s="7"/>
      <c r="D19" s="7"/>
      <c r="E19" s="7"/>
      <c r="F19" s="7"/>
      <c r="G19" s="7"/>
      <c r="H19" s="7"/>
      <c r="I19" s="7"/>
      <c r="J19" s="7"/>
      <c r="K19" s="7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/>
      <c r="AD19" s="23"/>
      <c r="AE19" s="23"/>
      <c r="AF19" s="23"/>
      <c r="AG19" s="23"/>
      <c r="AH19" s="23"/>
      <c r="AI19" s="23"/>
      <c r="AJ19" s="23"/>
      <c r="AK19" s="23"/>
      <c r="AL19" s="23"/>
      <c r="AM19" s="23"/>
      <c r="AN19" s="23"/>
      <c r="AO19" s="23"/>
      <c r="AP19" s="23"/>
      <c r="AQ19" s="23"/>
      <c r="AR19" s="23"/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</row>
    <row r="20" spans="1:61">
      <c r="A20" s="23"/>
      <c r="B20" s="23"/>
      <c r="C20" s="27"/>
      <c r="D20" s="27"/>
      <c r="E20" s="27"/>
      <c r="F20" s="27"/>
      <c r="G20" s="27"/>
      <c r="H20" s="27"/>
      <c r="I20" s="27"/>
      <c r="J20" s="27"/>
      <c r="K20" s="27"/>
      <c r="L20" s="23"/>
      <c r="M20" s="23"/>
      <c r="N20" s="23"/>
      <c r="O20" s="23"/>
      <c r="P20" s="23"/>
      <c r="Q20" s="23"/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/>
      <c r="AO20" s="23"/>
      <c r="AP20" s="23"/>
      <c r="AQ20" s="23"/>
      <c r="AR20" s="23"/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</row>
    <row r="21" spans="1:61">
      <c r="A21" s="23"/>
      <c r="B21" s="5" t="s">
        <v>25</v>
      </c>
      <c r="C21" s="5"/>
      <c r="D21" s="5"/>
      <c r="E21" s="5"/>
      <c r="F21" s="5"/>
      <c r="G21" s="5"/>
      <c r="H21" s="5"/>
      <c r="I21" s="5"/>
      <c r="J21" s="5"/>
      <c r="K21" s="5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23"/>
      <c r="AP21" s="23"/>
      <c r="AQ21" s="23"/>
      <c r="AR21" s="23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</row>
    <row r="22" spans="1:61" ht="28.5" customHeight="1">
      <c r="A22" s="23"/>
      <c r="B22" s="4" t="s">
        <v>26</v>
      </c>
      <c r="C22" s="4"/>
      <c r="D22" s="4"/>
      <c r="E22" s="4"/>
      <c r="F22" s="4"/>
      <c r="G22" s="4"/>
      <c r="H22" s="4"/>
      <c r="I22" s="4"/>
      <c r="J22" s="4"/>
      <c r="K22" s="4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  <c r="AB22" s="23"/>
      <c r="AC22" s="23"/>
      <c r="AD22" s="23"/>
      <c r="AE22" s="23"/>
      <c r="AF22" s="23"/>
      <c r="AG22" s="23"/>
      <c r="AH22" s="23"/>
      <c r="AI22" s="23"/>
      <c r="AJ22" s="23"/>
      <c r="AK22" s="23"/>
      <c r="AL22" s="23"/>
      <c r="AM22" s="23"/>
      <c r="AN22" s="23"/>
      <c r="AO22" s="23"/>
      <c r="AP22" s="23"/>
      <c r="AQ22" s="23"/>
      <c r="AR22" s="23"/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</row>
    <row r="23" spans="1:61">
      <c r="A23" s="268"/>
      <c r="B23" s="268"/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/>
      <c r="AO23" s="23"/>
      <c r="AP23" s="23"/>
      <c r="AQ23" s="23"/>
      <c r="AR23" s="23"/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</row>
    <row r="24" spans="1:61">
      <c r="A24" s="26"/>
      <c r="B24" s="26" t="s">
        <v>27</v>
      </c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26"/>
      <c r="U24" s="26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23"/>
      <c r="AP24" s="23"/>
      <c r="AQ24" s="23"/>
      <c r="AR24" s="23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</row>
    <row r="25" spans="1:61">
      <c r="A25" s="268"/>
      <c r="B25" s="268"/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23"/>
      <c r="AP25" s="23"/>
      <c r="AQ25" s="23"/>
      <c r="AR25" s="23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</row>
    <row r="26" spans="1:61">
      <c r="A26" s="23"/>
      <c r="B26" s="29" t="s">
        <v>28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23"/>
      <c r="AP26" s="23"/>
      <c r="AQ26" s="23"/>
      <c r="AR26" s="23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</row>
    <row r="27" spans="1:61">
      <c r="A27" s="23"/>
      <c r="B27" s="30" t="s">
        <v>29</v>
      </c>
      <c r="C27" s="30"/>
      <c r="D27" s="30"/>
      <c r="E27" s="30"/>
      <c r="F27" s="30"/>
      <c r="G27" s="30"/>
      <c r="H27" s="30"/>
      <c r="I27" s="30"/>
      <c r="J27" s="30"/>
      <c r="K27" s="30"/>
      <c r="L27" s="23"/>
      <c r="M27" s="23"/>
      <c r="N27" s="23"/>
      <c r="O27" s="23"/>
      <c r="P27" s="23"/>
      <c r="Q27" s="23"/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/>
      <c r="AO27" s="23"/>
      <c r="AP27" s="23"/>
      <c r="AQ27" s="23"/>
      <c r="AR27" s="23"/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</row>
    <row r="28" spans="1:61">
      <c r="A28" s="23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23"/>
      <c r="AP28" s="23"/>
      <c r="AQ28" s="23"/>
      <c r="AR28" s="23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</row>
    <row r="29" spans="1:61">
      <c r="A29" s="23"/>
      <c r="B29" s="30" t="s">
        <v>30</v>
      </c>
      <c r="C29" s="28"/>
      <c r="D29" s="28"/>
      <c r="E29" s="28"/>
      <c r="F29" s="28"/>
      <c r="G29" s="28"/>
      <c r="H29" s="28"/>
      <c r="I29" s="28"/>
      <c r="J29" s="28"/>
      <c r="K29" s="28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23"/>
      <c r="AP29" s="23"/>
      <c r="AQ29" s="23"/>
      <c r="AR29" s="23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</row>
    <row r="30" spans="1:61">
      <c r="A30" s="23"/>
      <c r="B30" s="30"/>
      <c r="C30" s="28"/>
      <c r="D30" s="28"/>
      <c r="E30" s="28"/>
      <c r="F30" s="28"/>
      <c r="G30" s="28"/>
      <c r="H30" s="28"/>
      <c r="I30" s="28"/>
      <c r="J30" s="28"/>
      <c r="K30" s="28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23"/>
      <c r="AP30" s="23"/>
      <c r="AQ30" s="23"/>
      <c r="AR30" s="23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</row>
    <row r="31" spans="1:61">
      <c r="A31" s="23"/>
      <c r="B31" s="30" t="s">
        <v>31</v>
      </c>
      <c r="C31" s="28"/>
      <c r="D31" s="28"/>
      <c r="E31" s="28"/>
      <c r="F31" s="28"/>
      <c r="G31" s="28"/>
      <c r="H31" s="28"/>
      <c r="I31" s="28"/>
      <c r="J31" s="28"/>
      <c r="K31" s="28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23"/>
      <c r="AP31" s="23"/>
      <c r="AQ31" s="23"/>
      <c r="AR31" s="23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</row>
    <row r="32" spans="1:61">
      <c r="A32" s="23"/>
      <c r="B32" s="30"/>
      <c r="C32" s="28"/>
      <c r="D32" s="28"/>
      <c r="E32" s="28"/>
      <c r="F32" s="28"/>
      <c r="G32" s="28"/>
      <c r="H32" s="28"/>
      <c r="I32" s="28"/>
      <c r="J32" s="28"/>
      <c r="K32" s="28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  <c r="AP32" s="23"/>
      <c r="AQ32" s="23"/>
      <c r="AR32" s="23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</row>
    <row r="33" spans="1:61">
      <c r="A33" s="23"/>
      <c r="B33" s="30"/>
      <c r="C33" s="28"/>
      <c r="D33" s="28"/>
      <c r="E33" s="28"/>
      <c r="F33" s="28"/>
      <c r="G33" s="28"/>
      <c r="H33" s="28"/>
      <c r="I33" s="28"/>
      <c r="J33" s="28"/>
      <c r="K33" s="28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23"/>
      <c r="AP33" s="23"/>
      <c r="AQ33" s="23"/>
      <c r="AR33" s="23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</row>
    <row r="34" spans="1:61">
      <c r="A34" s="23"/>
      <c r="B34" s="31" t="s">
        <v>32</v>
      </c>
      <c r="C34" s="31"/>
      <c r="D34" s="31"/>
      <c r="E34" s="31"/>
      <c r="F34" s="31"/>
      <c r="G34" s="31"/>
      <c r="H34" s="31"/>
      <c r="I34" s="31"/>
      <c r="J34" s="31"/>
      <c r="K34" s="31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23"/>
      <c r="AP34" s="23"/>
      <c r="AQ34" s="23"/>
      <c r="AR34" s="23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</row>
    <row r="35" spans="1:61">
      <c r="A35" s="23"/>
      <c r="B35" s="29"/>
      <c r="C35" s="23" t="s">
        <v>33</v>
      </c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23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</row>
    <row r="36" spans="1:61">
      <c r="A36" s="23"/>
      <c r="B36" s="30"/>
      <c r="C36" s="30" t="s">
        <v>34</v>
      </c>
      <c r="D36" s="30"/>
      <c r="E36" s="30"/>
      <c r="F36" s="30"/>
      <c r="G36" s="30"/>
      <c r="H36" s="30"/>
      <c r="I36" s="30"/>
      <c r="J36" s="30"/>
      <c r="K36" s="30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23"/>
      <c r="AP36" s="23"/>
      <c r="AQ36" s="23"/>
      <c r="AR36" s="23"/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</row>
    <row r="37" spans="1:61">
      <c r="A37" s="23"/>
      <c r="B37" s="30"/>
      <c r="C37" s="30" t="s">
        <v>35</v>
      </c>
      <c r="D37" s="30"/>
      <c r="E37" s="30"/>
      <c r="F37" s="30"/>
      <c r="G37" s="30"/>
      <c r="H37" s="30"/>
      <c r="I37" s="30"/>
      <c r="J37" s="30"/>
      <c r="K37" s="30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/>
      <c r="AO37" s="23"/>
      <c r="AP37" s="23"/>
      <c r="AQ37" s="23"/>
      <c r="AR37" s="23"/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</row>
    <row r="38" spans="1:61">
      <c r="A38" s="23"/>
      <c r="B38" s="30"/>
      <c r="C38" s="30" t="s">
        <v>36</v>
      </c>
      <c r="D38" s="30"/>
      <c r="E38" s="30"/>
      <c r="F38" s="30"/>
      <c r="G38" s="30"/>
      <c r="H38" s="30"/>
      <c r="I38" s="30"/>
      <c r="J38" s="30"/>
      <c r="K38" s="30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  <c r="Y38" s="23"/>
      <c r="Z38" s="23"/>
      <c r="AA38" s="23"/>
      <c r="AB38" s="23"/>
      <c r="AC38" s="23"/>
      <c r="AD38" s="23"/>
      <c r="AE38" s="23"/>
      <c r="AF38" s="23"/>
      <c r="AG38" s="23"/>
      <c r="AH38" s="23"/>
      <c r="AI38" s="23"/>
      <c r="AJ38" s="23"/>
      <c r="AK38" s="23"/>
      <c r="AL38" s="23"/>
      <c r="AM38" s="23"/>
      <c r="AN38" s="23"/>
      <c r="AO38" s="23"/>
      <c r="AP38" s="23"/>
      <c r="AQ38" s="23"/>
      <c r="AR38" s="23"/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</row>
    <row r="39" spans="1:61">
      <c r="A39" s="23"/>
      <c r="B39" s="30"/>
      <c r="C39" s="30" t="s">
        <v>37</v>
      </c>
      <c r="D39" s="28"/>
      <c r="E39" s="28"/>
      <c r="F39" s="28"/>
      <c r="G39" s="28"/>
      <c r="H39" s="28"/>
      <c r="I39" s="28"/>
      <c r="J39" s="28"/>
      <c r="K39" s="28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/>
      <c r="AG39" s="23"/>
      <c r="AH39" s="23"/>
      <c r="AI39" s="23"/>
      <c r="AJ39" s="23"/>
      <c r="AK39" s="23"/>
      <c r="AL39" s="23"/>
      <c r="AM39" s="23"/>
      <c r="AN39" s="23"/>
      <c r="AO39" s="23"/>
      <c r="AP39" s="23"/>
      <c r="AQ39" s="23"/>
      <c r="AR39" s="23"/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</row>
    <row r="40" spans="1:61">
      <c r="A40" s="23"/>
      <c r="B40" s="23"/>
      <c r="C40" s="30" t="s">
        <v>38</v>
      </c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  <c r="Y40" s="23"/>
      <c r="Z40" s="23"/>
      <c r="AA40" s="23"/>
      <c r="AB40" s="23"/>
      <c r="AC40" s="23"/>
      <c r="AD40" s="23"/>
      <c r="AE40" s="23"/>
      <c r="AF40" s="23"/>
      <c r="AG40" s="23"/>
      <c r="AH40" s="23"/>
      <c r="AI40" s="23"/>
      <c r="AJ40" s="23"/>
      <c r="AK40" s="23"/>
      <c r="AL40" s="23"/>
      <c r="AM40" s="23"/>
      <c r="AN40" s="23"/>
      <c r="AO40" s="23"/>
      <c r="AP40" s="23"/>
      <c r="AQ40" s="23"/>
      <c r="AR40" s="23"/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</row>
    <row r="41" spans="1:61">
      <c r="A41" s="23"/>
      <c r="B41" s="23"/>
      <c r="C41" s="30" t="s">
        <v>39</v>
      </c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  <c r="Y41" s="23"/>
      <c r="Z41" s="23"/>
      <c r="AA41" s="23"/>
      <c r="AB41" s="23"/>
      <c r="AC41" s="23"/>
      <c r="AD41" s="23"/>
      <c r="AE41" s="23"/>
      <c r="AF41" s="23"/>
      <c r="AG41" s="23"/>
      <c r="AH41" s="23"/>
      <c r="AI41" s="23"/>
      <c r="AJ41" s="23"/>
      <c r="AK41" s="23"/>
      <c r="AL41" s="23"/>
      <c r="AM41" s="23"/>
      <c r="AN41" s="23"/>
      <c r="AO41" s="23"/>
      <c r="AP41" s="23"/>
      <c r="AQ41" s="23"/>
      <c r="AR41" s="23"/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</row>
    <row r="42" spans="1:61">
      <c r="A42" s="23"/>
      <c r="B42" s="23"/>
      <c r="C42" s="23" t="s">
        <v>40</v>
      </c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  <c r="AB42" s="23"/>
      <c r="AC42" s="23"/>
      <c r="AD42" s="23"/>
      <c r="AE42" s="23"/>
      <c r="AF42" s="23"/>
      <c r="AG42" s="23"/>
      <c r="AH42" s="23"/>
      <c r="AI42" s="23"/>
      <c r="AJ42" s="23"/>
      <c r="AK42" s="23"/>
      <c r="AL42" s="23"/>
      <c r="AM42" s="23"/>
      <c r="AN42" s="23"/>
      <c r="AO42" s="23"/>
      <c r="AP42" s="23"/>
      <c r="AQ42" s="23"/>
      <c r="AR42" s="23"/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</row>
    <row r="43" spans="1:61">
      <c r="A43" s="23"/>
      <c r="B43" s="23"/>
      <c r="C43" s="23" t="s">
        <v>41</v>
      </c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  <c r="AC43" s="23"/>
      <c r="AD43" s="23"/>
      <c r="AE43" s="23"/>
      <c r="AF43" s="23"/>
      <c r="AG43" s="23"/>
      <c r="AH43" s="23"/>
      <c r="AI43" s="23"/>
      <c r="AJ43" s="23"/>
      <c r="AK43" s="23"/>
      <c r="AL43" s="23"/>
      <c r="AM43" s="23"/>
      <c r="AN43" s="23"/>
      <c r="AO43" s="23"/>
      <c r="AP43" s="23"/>
      <c r="AQ43" s="23"/>
      <c r="AR43" s="23"/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</row>
    <row r="44" spans="1:61">
      <c r="A44" s="23"/>
      <c r="B44" s="23"/>
      <c r="C44" s="23" t="s">
        <v>42</v>
      </c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</row>
    <row r="45" spans="1:61">
      <c r="A45" s="23"/>
      <c r="B45" s="23"/>
      <c r="C45" s="23" t="s">
        <v>43</v>
      </c>
      <c r="D45" s="23"/>
      <c r="E45" s="23"/>
      <c r="F45" s="23"/>
      <c r="G45" s="23"/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  <c r="V45" s="23"/>
      <c r="W45" s="23"/>
      <c r="X45" s="23"/>
      <c r="Y45" s="23"/>
      <c r="Z45" s="23"/>
      <c r="AA45" s="23"/>
      <c r="AB45" s="23"/>
      <c r="AC45" s="23"/>
      <c r="AD45" s="23"/>
      <c r="AE45" s="23"/>
      <c r="AF45" s="23"/>
      <c r="AG45" s="23"/>
      <c r="AH45" s="23"/>
      <c r="AI45" s="23"/>
      <c r="AJ45" s="23"/>
      <c r="AK45" s="23"/>
      <c r="AL45" s="23"/>
      <c r="AM45" s="23"/>
      <c r="AN45" s="23"/>
      <c r="AO45" s="23"/>
      <c r="AP45" s="23"/>
      <c r="AQ45" s="23"/>
      <c r="AR45" s="23"/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</row>
    <row r="46" spans="1:61">
      <c r="A46" s="23"/>
      <c r="B46" s="23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/>
      <c r="AG46" s="23"/>
      <c r="AH46" s="23"/>
      <c r="AI46" s="23"/>
      <c r="AJ46" s="23"/>
      <c r="AK46" s="23"/>
      <c r="AL46" s="23"/>
      <c r="AM46" s="23"/>
      <c r="AN46" s="23"/>
      <c r="AO46" s="23"/>
      <c r="AP46" s="23"/>
      <c r="AQ46" s="23"/>
      <c r="AR46" s="23"/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</row>
    <row r="47" spans="1:61">
      <c r="A47" s="23"/>
      <c r="B47" s="29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</row>
    <row r="48" spans="1:61">
      <c r="A48" s="26"/>
      <c r="B48" s="32" t="s">
        <v>44</v>
      </c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26"/>
      <c r="N48" s="26"/>
      <c r="O48" s="26"/>
      <c r="P48" s="26"/>
      <c r="Q48" s="26"/>
      <c r="R48" s="26"/>
      <c r="S48" s="26"/>
      <c r="T48" s="26"/>
      <c r="U48" s="26"/>
      <c r="V48" s="23"/>
      <c r="W48" s="23"/>
      <c r="X48" s="23"/>
      <c r="Y48" s="23"/>
      <c r="Z48" s="23"/>
      <c r="AA48" s="23"/>
      <c r="AB48" s="23"/>
      <c r="AC48" s="23"/>
      <c r="AD48" s="23"/>
      <c r="AE48" s="23"/>
      <c r="AF48" s="23"/>
      <c r="AG48" s="23"/>
      <c r="AH48" s="23"/>
      <c r="AI48" s="23"/>
      <c r="AJ48" s="23"/>
      <c r="AK48" s="23"/>
      <c r="AL48" s="23"/>
      <c r="AM48" s="23"/>
      <c r="AN48" s="23"/>
      <c r="AO48" s="23"/>
      <c r="AP48" s="23"/>
      <c r="AQ48" s="23"/>
      <c r="AR48" s="23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</row>
    <row r="49" spans="1:61">
      <c r="A49" s="23"/>
      <c r="B49" s="33"/>
      <c r="C49" s="23"/>
      <c r="D49" s="23"/>
      <c r="E49" s="23"/>
      <c r="F49" s="23"/>
      <c r="G49" s="23"/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  <c r="V49" s="23"/>
      <c r="W49" s="23"/>
      <c r="X49" s="23"/>
      <c r="Y49" s="23"/>
      <c r="Z49" s="23"/>
      <c r="AA49" s="23"/>
      <c r="AB49" s="23"/>
      <c r="AC49" s="23"/>
      <c r="AD49" s="23"/>
      <c r="AE49" s="23"/>
      <c r="AF49" s="23"/>
      <c r="AG49" s="23"/>
      <c r="AH49" s="23"/>
      <c r="AI49" s="23"/>
      <c r="AJ49" s="23"/>
      <c r="AK49" s="23"/>
      <c r="AL49" s="23"/>
      <c r="AM49" s="23"/>
      <c r="AN49" s="23"/>
      <c r="AO49" s="23"/>
      <c r="AP49" s="23"/>
      <c r="AQ49" s="23"/>
      <c r="AR49" s="23"/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</row>
    <row r="50" spans="1:61">
      <c r="A50" s="23"/>
      <c r="B50" s="23" t="s">
        <v>45</v>
      </c>
      <c r="C50" s="3" t="s">
        <v>46</v>
      </c>
      <c r="D50" s="3"/>
      <c r="E50" s="3"/>
      <c r="F50" s="3"/>
      <c r="G50" s="3"/>
      <c r="H50" s="3"/>
      <c r="I50" s="3"/>
      <c r="J50" s="3"/>
      <c r="K50" s="3"/>
      <c r="L50" s="23"/>
      <c r="M50" s="23"/>
      <c r="N50" s="23"/>
      <c r="O50" s="23"/>
      <c r="P50" s="23"/>
      <c r="Q50" s="23"/>
      <c r="R50" s="23"/>
      <c r="S50" s="23"/>
      <c r="T50" s="23"/>
      <c r="U50" s="23"/>
      <c r="V50" s="23"/>
      <c r="W50" s="23"/>
      <c r="X50" s="23"/>
      <c r="Y50" s="23"/>
      <c r="Z50" s="23"/>
      <c r="AA50" s="23"/>
      <c r="AB50" s="23"/>
      <c r="AC50" s="23"/>
      <c r="AD50" s="23"/>
      <c r="AE50" s="23"/>
      <c r="AF50" s="23"/>
      <c r="AG50" s="23"/>
      <c r="AH50" s="23"/>
      <c r="AI50" s="23"/>
      <c r="AJ50" s="23"/>
      <c r="AK50" s="23"/>
      <c r="AL50" s="23"/>
      <c r="AM50" s="23"/>
      <c r="AN50" s="23"/>
      <c r="AO50" s="23"/>
      <c r="AP50" s="23"/>
      <c r="AQ50" s="23"/>
      <c r="AR50" s="23"/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</row>
    <row r="51" spans="1:61">
      <c r="A51" s="23"/>
      <c r="B51" s="23" t="s">
        <v>47</v>
      </c>
      <c r="C51" s="7" t="s">
        <v>48</v>
      </c>
      <c r="D51" s="7"/>
      <c r="E51" s="7"/>
      <c r="F51" s="7"/>
      <c r="G51" s="7"/>
      <c r="H51" s="7"/>
      <c r="I51" s="7"/>
      <c r="J51" s="7"/>
      <c r="K51" s="7"/>
      <c r="L51" s="23"/>
      <c r="M51" s="23"/>
      <c r="N51" s="23"/>
      <c r="O51" s="23"/>
      <c r="P51" s="23"/>
      <c r="Q51" s="23"/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/>
      <c r="AO51" s="23"/>
      <c r="AP51" s="23"/>
      <c r="AQ51" s="23"/>
      <c r="AR51" s="23"/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</row>
    <row r="52" spans="1:61">
      <c r="A52" s="23"/>
      <c r="B52" s="23" t="s">
        <v>49</v>
      </c>
      <c r="C52" s="27" t="s">
        <v>50</v>
      </c>
      <c r="D52" s="27"/>
      <c r="E52" s="27"/>
      <c r="F52" s="27"/>
      <c r="G52" s="27"/>
      <c r="H52" s="27"/>
      <c r="I52" s="27"/>
      <c r="J52" s="27"/>
      <c r="K52" s="27"/>
      <c r="L52" s="23"/>
      <c r="M52" s="23"/>
      <c r="N52" s="23"/>
      <c r="O52" s="23"/>
      <c r="P52" s="23"/>
      <c r="Q52" s="23"/>
      <c r="R52" s="23"/>
      <c r="S52" s="23"/>
      <c r="T52" s="23"/>
      <c r="U52" s="23"/>
      <c r="V52" s="23"/>
      <c r="W52" s="23"/>
      <c r="X52" s="23"/>
      <c r="Y52" s="23"/>
      <c r="Z52" s="23"/>
      <c r="AA52" s="23"/>
      <c r="AB52" s="23"/>
      <c r="AC52" s="23"/>
      <c r="AD52" s="23"/>
      <c r="AE52" s="23"/>
      <c r="AF52" s="23"/>
      <c r="AG52" s="23"/>
      <c r="AH52" s="23"/>
      <c r="AI52" s="23"/>
      <c r="AJ52" s="23"/>
      <c r="AK52" s="23"/>
      <c r="AL52" s="23"/>
      <c r="AM52" s="23"/>
      <c r="AN52" s="23"/>
      <c r="AO52" s="23"/>
      <c r="AP52" s="23"/>
      <c r="AQ52" s="23"/>
      <c r="AR52" s="23"/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</row>
    <row r="53" spans="1:61">
      <c r="A53" s="23"/>
      <c r="B53" s="23" t="s">
        <v>51</v>
      </c>
      <c r="C53" s="7" t="s">
        <v>52</v>
      </c>
      <c r="D53" s="7"/>
      <c r="E53" s="7"/>
      <c r="F53" s="7"/>
      <c r="G53" s="7"/>
      <c r="H53" s="7"/>
      <c r="I53" s="7"/>
      <c r="J53" s="7"/>
      <c r="K53" s="7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/>
      <c r="AO53" s="23"/>
      <c r="AP53" s="23"/>
      <c r="AQ53" s="23"/>
      <c r="AR53" s="23"/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</row>
    <row r="54" spans="1:61">
      <c r="A54" s="23"/>
      <c r="B54" s="23" t="s">
        <v>53</v>
      </c>
      <c r="C54" s="7" t="s">
        <v>54</v>
      </c>
      <c r="D54" s="7"/>
      <c r="E54" s="7"/>
      <c r="F54" s="7"/>
      <c r="G54" s="7"/>
      <c r="H54" s="7"/>
      <c r="I54" s="7"/>
      <c r="J54" s="7"/>
      <c r="K54" s="7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/>
      <c r="AO54" s="23"/>
      <c r="AP54" s="23"/>
      <c r="AQ54" s="23"/>
      <c r="AR54" s="23"/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</row>
    <row r="55" spans="1:61">
      <c r="A55" s="23"/>
      <c r="B55" s="23" t="s">
        <v>55</v>
      </c>
      <c r="C55" s="7" t="s">
        <v>56</v>
      </c>
      <c r="D55" s="7"/>
      <c r="E55" s="7"/>
      <c r="F55" s="7"/>
      <c r="G55" s="7"/>
      <c r="H55" s="7"/>
      <c r="I55" s="7"/>
      <c r="J55" s="7"/>
      <c r="K55" s="7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/>
      <c r="AO55" s="23"/>
      <c r="AP55" s="23"/>
      <c r="AQ55" s="23"/>
      <c r="AR55" s="23"/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</row>
    <row r="56" spans="1:61">
      <c r="A56" s="23"/>
      <c r="B56" s="23"/>
      <c r="C56" s="27"/>
      <c r="D56" s="27"/>
      <c r="E56" s="27"/>
      <c r="F56" s="27"/>
      <c r="G56" s="27"/>
      <c r="H56" s="27"/>
      <c r="I56" s="27"/>
      <c r="J56" s="27"/>
      <c r="K56" s="27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/>
      <c r="AO56" s="23"/>
      <c r="AP56" s="23"/>
      <c r="AQ56" s="23"/>
      <c r="AR56" s="23"/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</row>
    <row r="57" spans="1:61">
      <c r="A57" s="32"/>
      <c r="B57" s="32" t="s">
        <v>57</v>
      </c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6"/>
      <c r="P57" s="26"/>
      <c r="Q57" s="26"/>
      <c r="R57" s="26"/>
      <c r="S57" s="26"/>
      <c r="T57" s="26"/>
      <c r="U57" s="26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/>
      <c r="AO57" s="23"/>
      <c r="AP57" s="23"/>
      <c r="AQ57" s="23"/>
      <c r="AR57" s="23"/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</row>
    <row r="58" spans="1:61">
      <c r="A58" s="23"/>
      <c r="B58" s="23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/>
      <c r="AO58" s="23"/>
      <c r="AP58" s="23"/>
      <c r="AQ58" s="23"/>
      <c r="AR58" s="23"/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</row>
    <row r="59" spans="1:61">
      <c r="A59" s="23"/>
      <c r="B59" s="23" t="s">
        <v>58</v>
      </c>
      <c r="C59" s="27" t="s">
        <v>59</v>
      </c>
      <c r="D59" s="23"/>
      <c r="E59" s="23"/>
      <c r="F59" s="23"/>
      <c r="G59" s="23"/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23"/>
      <c r="AP59" s="23"/>
      <c r="AQ59" s="23"/>
      <c r="AR59" s="23"/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</row>
    <row r="60" spans="1:61">
      <c r="A60" s="23"/>
      <c r="B60" s="23" t="s">
        <v>60</v>
      </c>
      <c r="C60" s="27" t="s">
        <v>61</v>
      </c>
      <c r="D60" s="23"/>
      <c r="E60" s="23"/>
      <c r="F60" s="23"/>
      <c r="G60" s="23"/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  <c r="Y60" s="23"/>
      <c r="Z60" s="23"/>
      <c r="AA60" s="23"/>
      <c r="AB60" s="23"/>
      <c r="AC60" s="23"/>
      <c r="AD60" s="23"/>
      <c r="AE60" s="23"/>
      <c r="AF60" s="23"/>
      <c r="AG60" s="23"/>
      <c r="AH60" s="23"/>
      <c r="AI60" s="23"/>
      <c r="AJ60" s="23"/>
      <c r="AK60" s="23"/>
      <c r="AL60" s="23"/>
      <c r="AM60" s="23"/>
      <c r="AN60" s="23"/>
      <c r="AO60" s="23"/>
      <c r="AP60" s="23"/>
      <c r="AQ60" s="23"/>
      <c r="AR60" s="23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</row>
    <row r="61" spans="1:61">
      <c r="A61" s="23"/>
      <c r="B61" s="23" t="s">
        <v>62</v>
      </c>
      <c r="C61" s="27" t="s">
        <v>63</v>
      </c>
      <c r="D61" s="23"/>
      <c r="E61" s="23"/>
      <c r="F61" s="23"/>
      <c r="G61" s="23"/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  <c r="Y61" s="23"/>
      <c r="Z61" s="23"/>
      <c r="AA61" s="23"/>
      <c r="AB61" s="23"/>
      <c r="AC61" s="23"/>
      <c r="AD61" s="23"/>
      <c r="AE61" s="23"/>
      <c r="AF61" s="23"/>
      <c r="AG61" s="23"/>
      <c r="AH61" s="23"/>
      <c r="AI61" s="23"/>
      <c r="AJ61" s="23"/>
      <c r="AK61" s="23"/>
      <c r="AL61" s="23"/>
      <c r="AM61" s="23"/>
      <c r="AN61" s="23"/>
      <c r="AO61" s="23"/>
      <c r="AP61" s="23"/>
      <c r="AQ61" s="23"/>
      <c r="AR61" s="23"/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</row>
    <row r="62" spans="1:61">
      <c r="A62" s="23"/>
      <c r="B62" s="23" t="s">
        <v>64</v>
      </c>
      <c r="C62" s="27" t="s">
        <v>65</v>
      </c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23"/>
      <c r="AP62" s="23"/>
      <c r="AQ62" s="23"/>
      <c r="AR62" s="23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</row>
    <row r="63" spans="1:61">
      <c r="A63" s="23"/>
      <c r="B63" s="23" t="s">
        <v>66</v>
      </c>
      <c r="C63" s="27" t="s">
        <v>67</v>
      </c>
      <c r="D63" s="23"/>
      <c r="E63" s="23"/>
      <c r="F63" s="23"/>
      <c r="G63" s="23"/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  <c r="Y63" s="23"/>
      <c r="Z63" s="23"/>
      <c r="AA63" s="23"/>
      <c r="AB63" s="23"/>
      <c r="AC63" s="23"/>
      <c r="AD63" s="23"/>
      <c r="AE63" s="23"/>
      <c r="AF63" s="23"/>
      <c r="AG63" s="23"/>
      <c r="AH63" s="23"/>
      <c r="AI63" s="23"/>
      <c r="AJ63" s="23"/>
      <c r="AK63" s="23"/>
      <c r="AL63" s="23"/>
      <c r="AM63" s="23"/>
      <c r="AN63" s="23"/>
      <c r="AO63" s="23"/>
      <c r="AP63" s="23"/>
      <c r="AQ63" s="23"/>
      <c r="AR63" s="23"/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</row>
    <row r="64" spans="1:61">
      <c r="A64" s="23"/>
      <c r="B64" s="23" t="s">
        <v>68</v>
      </c>
      <c r="C64" s="27" t="s">
        <v>69</v>
      </c>
      <c r="D64" s="23"/>
      <c r="E64" s="23"/>
      <c r="F64" s="23"/>
      <c r="G64" s="23"/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  <c r="Y64" s="23"/>
      <c r="Z64" s="23"/>
      <c r="AA64" s="23"/>
      <c r="AB64" s="23"/>
      <c r="AC64" s="23"/>
      <c r="AD64" s="23"/>
      <c r="AE64" s="23"/>
      <c r="AF64" s="23"/>
      <c r="AG64" s="23"/>
      <c r="AH64" s="23"/>
      <c r="AI64" s="23"/>
      <c r="AJ64" s="23"/>
      <c r="AK64" s="23"/>
      <c r="AL64" s="23"/>
      <c r="AM64" s="23"/>
      <c r="AN64" s="23"/>
      <c r="AO64" s="23"/>
      <c r="AP64" s="23"/>
      <c r="AQ64" s="23"/>
      <c r="AR64" s="23"/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</row>
    <row r="65" spans="1:61">
      <c r="A65" s="23"/>
      <c r="B65" s="23" t="s">
        <v>70</v>
      </c>
      <c r="C65" s="27" t="s">
        <v>71</v>
      </c>
      <c r="D65" s="23"/>
      <c r="E65" s="23"/>
      <c r="F65" s="23"/>
      <c r="G65" s="23"/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  <c r="Y65" s="23"/>
      <c r="Z65" s="23"/>
      <c r="AA65" s="23"/>
      <c r="AB65" s="23"/>
      <c r="AC65" s="23"/>
      <c r="AD65" s="23"/>
      <c r="AE65" s="23"/>
      <c r="AF65" s="23"/>
      <c r="AG65" s="23"/>
      <c r="AH65" s="23"/>
      <c r="AI65" s="23"/>
      <c r="AJ65" s="23"/>
      <c r="AK65" s="23"/>
      <c r="AL65" s="23"/>
      <c r="AM65" s="23"/>
      <c r="AN65" s="23"/>
      <c r="AO65" s="23"/>
      <c r="AP65" s="23"/>
      <c r="AQ65" s="23"/>
      <c r="AR65" s="23"/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</row>
    <row r="66" spans="1:61">
      <c r="A66" s="23"/>
      <c r="B66" s="23" t="s">
        <v>72</v>
      </c>
      <c r="C66" s="27" t="s">
        <v>73</v>
      </c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23"/>
      <c r="AP66" s="23"/>
      <c r="AQ66" s="23"/>
      <c r="AR66" s="23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</row>
    <row r="67" spans="1:61">
      <c r="A67" s="23"/>
      <c r="B67" s="23" t="s">
        <v>74</v>
      </c>
      <c r="C67" s="23" t="s">
        <v>55</v>
      </c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23"/>
      <c r="AP67" s="23"/>
      <c r="AQ67" s="23"/>
      <c r="AR67" s="23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</row>
    <row r="68" spans="1:61">
      <c r="A68" s="23"/>
      <c r="B68" s="23"/>
      <c r="C68" s="23"/>
      <c r="D68" s="23"/>
      <c r="E68" s="23"/>
      <c r="F68" s="23"/>
      <c r="G68" s="23"/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23"/>
      <c r="AP68" s="23"/>
      <c r="AQ68" s="23"/>
      <c r="AR68" s="23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</row>
    <row r="69" spans="1:61">
      <c r="A69" s="23"/>
      <c r="B69" s="23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23"/>
      <c r="AP69" s="23"/>
      <c r="AQ69" s="23"/>
      <c r="AR69" s="23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</row>
    <row r="70" spans="1:61">
      <c r="A70" s="35"/>
      <c r="B70" s="36" t="s">
        <v>75</v>
      </c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23"/>
      <c r="AP70" s="23"/>
      <c r="AQ70" s="23"/>
      <c r="AR70" s="23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</row>
    <row r="71" spans="1:61">
      <c r="A71" s="23"/>
      <c r="B71" s="23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23"/>
      <c r="AP71" s="23"/>
      <c r="AQ71" s="23"/>
      <c r="AR71" s="23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</row>
    <row r="72" spans="1:61">
      <c r="A72" s="23"/>
      <c r="B72" s="23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23"/>
      <c r="AP72" s="23"/>
      <c r="AQ72" s="23"/>
      <c r="AR72" s="23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</row>
    <row r="73" spans="1:61">
      <c r="A73" s="23"/>
      <c r="B73" s="23"/>
      <c r="C73" s="23"/>
      <c r="D73" s="23"/>
      <c r="E73" s="23"/>
      <c r="F73" s="23"/>
      <c r="G73" s="23"/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  <c r="Y73" s="23"/>
      <c r="Z73" s="23"/>
      <c r="AA73" s="23"/>
      <c r="AB73" s="23"/>
      <c r="AC73" s="23"/>
      <c r="AD73" s="23"/>
      <c r="AE73" s="23"/>
      <c r="AF73" s="23"/>
      <c r="AG73" s="23"/>
      <c r="AH73" s="23"/>
      <c r="AI73" s="23"/>
      <c r="AJ73" s="23"/>
      <c r="AK73" s="23"/>
      <c r="AL73" s="23"/>
      <c r="AM73" s="23"/>
      <c r="AN73" s="23"/>
      <c r="AO73" s="23"/>
      <c r="AP73" s="23"/>
      <c r="AQ73" s="23"/>
      <c r="AR73" s="23"/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</row>
    <row r="74" spans="1:61">
      <c r="A74" s="23"/>
      <c r="B74" s="23"/>
      <c r="C74" s="23"/>
      <c r="D74" s="23"/>
      <c r="E74" s="23"/>
      <c r="F74" s="23"/>
      <c r="G74" s="23"/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  <c r="Y74" s="23"/>
      <c r="Z74" s="23"/>
      <c r="AA74" s="23"/>
      <c r="AB74" s="23"/>
      <c r="AC74" s="23"/>
      <c r="AD74" s="23"/>
      <c r="AE74" s="23"/>
      <c r="AF74" s="23"/>
      <c r="AG74" s="23"/>
      <c r="AH74" s="23"/>
      <c r="AI74" s="23"/>
      <c r="AJ74" s="23"/>
      <c r="AK74" s="23"/>
      <c r="AL74" s="23"/>
      <c r="AM74" s="23"/>
      <c r="AN74" s="23"/>
      <c r="AO74" s="23"/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</row>
    <row r="75" spans="1:61">
      <c r="A75" s="23"/>
      <c r="B75" s="23"/>
      <c r="C75" s="23"/>
      <c r="D75" s="23"/>
      <c r="E75" s="23"/>
      <c r="F75" s="23"/>
      <c r="G75" s="23"/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  <c r="Y75" s="23"/>
      <c r="Z75" s="23"/>
      <c r="AA75" s="23"/>
      <c r="AB75" s="23"/>
      <c r="AC75" s="23"/>
      <c r="AD75" s="23"/>
      <c r="AE75" s="23"/>
      <c r="AF75" s="23"/>
      <c r="AG75" s="23"/>
      <c r="AH75" s="23"/>
      <c r="AI75" s="23"/>
      <c r="AJ75" s="23"/>
      <c r="AK75" s="23"/>
      <c r="AL75" s="23"/>
      <c r="AM75" s="23"/>
      <c r="AN75" s="23"/>
      <c r="AO75" s="23"/>
      <c r="AP75" s="23"/>
      <c r="AQ75" s="23"/>
      <c r="AR75" s="23"/>
      <c r="AS75" s="23"/>
      <c r="AT75" s="23"/>
      <c r="AU75" s="23"/>
      <c r="AV75" s="23"/>
      <c r="AW75" s="23"/>
      <c r="AX75" s="23"/>
      <c r="AY75" s="23"/>
      <c r="AZ75" s="23"/>
      <c r="BA75" s="23"/>
      <c r="BB75" s="23"/>
      <c r="BC75" s="23"/>
      <c r="BD75" s="23"/>
      <c r="BE75" s="23"/>
      <c r="BF75" s="23"/>
      <c r="BG75" s="23"/>
      <c r="BH75" s="23"/>
      <c r="BI75" s="23"/>
    </row>
    <row r="76" spans="1:61">
      <c r="A76" s="23"/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  <c r="Y76" s="23"/>
      <c r="Z76" s="23"/>
      <c r="AA76" s="23"/>
      <c r="AB76" s="23"/>
      <c r="AC76" s="23"/>
      <c r="AD76" s="23"/>
      <c r="AE76" s="23"/>
      <c r="AF76" s="23"/>
      <c r="AG76" s="23"/>
      <c r="AH76" s="23"/>
      <c r="AI76" s="23"/>
      <c r="AJ76" s="23"/>
      <c r="AK76" s="23"/>
      <c r="AL76" s="23"/>
      <c r="AM76" s="23"/>
      <c r="AN76" s="23"/>
      <c r="AO76" s="23"/>
      <c r="AP76" s="23"/>
      <c r="AQ76" s="23"/>
      <c r="AR76" s="23"/>
      <c r="AS76" s="23"/>
      <c r="AT76" s="23"/>
      <c r="AU76" s="23"/>
      <c r="AV76" s="23"/>
      <c r="AW76" s="23"/>
      <c r="AX76" s="23"/>
      <c r="AY76" s="23"/>
      <c r="AZ76" s="23"/>
      <c r="BA76" s="23"/>
      <c r="BB76" s="23"/>
      <c r="BC76" s="23"/>
      <c r="BD76" s="23"/>
      <c r="BE76" s="23"/>
      <c r="BF76" s="23"/>
      <c r="BG76" s="23"/>
      <c r="BH76" s="23"/>
      <c r="BI76" s="23"/>
    </row>
    <row r="77" spans="1:61">
      <c r="A77" s="23"/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  <c r="Y77" s="23"/>
      <c r="Z77" s="23"/>
      <c r="AA77" s="23"/>
      <c r="AB77" s="23"/>
      <c r="AC77" s="23"/>
      <c r="AD77" s="23"/>
      <c r="AE77" s="23"/>
      <c r="AF77" s="23"/>
      <c r="AG77" s="23"/>
      <c r="AH77" s="23"/>
      <c r="AI77" s="23"/>
      <c r="AJ77" s="23"/>
      <c r="AK77" s="23"/>
      <c r="AL77" s="23"/>
      <c r="AM77" s="23"/>
      <c r="AN77" s="23"/>
      <c r="AO77" s="23"/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</row>
    <row r="78" spans="1:61">
      <c r="A78" s="23"/>
      <c r="B78" s="23"/>
      <c r="C78" s="23"/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  <c r="AB78" s="23"/>
      <c r="AC78" s="23"/>
      <c r="AD78" s="23"/>
      <c r="AE78" s="23"/>
      <c r="AF78" s="23"/>
      <c r="AG78" s="23"/>
      <c r="AH78" s="23"/>
      <c r="AI78" s="23"/>
      <c r="AJ78" s="23"/>
      <c r="AK78" s="23"/>
      <c r="AL78" s="23"/>
      <c r="AM78" s="23"/>
      <c r="AN78" s="23"/>
      <c r="AO78" s="23"/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</row>
    <row r="79" spans="1:61">
      <c r="A79" s="23"/>
      <c r="B79" s="23"/>
      <c r="C79" s="23"/>
      <c r="D79" s="23"/>
      <c r="E79" s="23"/>
      <c r="F79" s="23"/>
      <c r="G79" s="23"/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  <c r="Y79" s="23"/>
      <c r="Z79" s="23"/>
      <c r="AA79" s="23"/>
      <c r="AB79" s="23"/>
      <c r="AC79" s="23"/>
      <c r="AD79" s="23"/>
      <c r="AE79" s="23"/>
      <c r="AF79" s="23"/>
      <c r="AG79" s="23"/>
      <c r="AH79" s="23"/>
      <c r="AI79" s="23"/>
      <c r="AJ79" s="23"/>
      <c r="AK79" s="23"/>
      <c r="AL79" s="23"/>
      <c r="AM79" s="23"/>
      <c r="AN79" s="23"/>
      <c r="AO79" s="23"/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</row>
    <row r="80" spans="1:61">
      <c r="A80" s="23"/>
      <c r="B80" s="23"/>
      <c r="C80" s="23"/>
      <c r="D80" s="23"/>
      <c r="E80" s="23"/>
      <c r="F80" s="23"/>
      <c r="G80" s="23"/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  <c r="Y80" s="23"/>
      <c r="Z80" s="23"/>
      <c r="AA80" s="23"/>
      <c r="AB80" s="23"/>
      <c r="AC80" s="23"/>
      <c r="AD80" s="23"/>
      <c r="AE80" s="23"/>
      <c r="AF80" s="23"/>
      <c r="AG80" s="23"/>
      <c r="AH80" s="23"/>
      <c r="AI80" s="23"/>
      <c r="AJ80" s="23"/>
      <c r="AK80" s="23"/>
      <c r="AL80" s="23"/>
      <c r="AM80" s="23"/>
      <c r="AN80" s="23"/>
      <c r="AO80" s="23"/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</row>
    <row r="81" spans="1:61">
      <c r="A81" s="23"/>
      <c r="B81" s="23"/>
      <c r="C81" s="23"/>
      <c r="D81" s="23"/>
      <c r="E81" s="23"/>
      <c r="F81" s="23"/>
      <c r="G81" s="23"/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  <c r="Y81" s="23"/>
      <c r="Z81" s="23"/>
      <c r="AA81" s="23"/>
      <c r="AB81" s="23"/>
      <c r="AC81" s="23"/>
      <c r="AD81" s="23"/>
      <c r="AE81" s="23"/>
      <c r="AF81" s="23"/>
      <c r="AG81" s="23"/>
      <c r="AH81" s="23"/>
      <c r="AI81" s="23"/>
      <c r="AJ81" s="23"/>
      <c r="AK81" s="23"/>
      <c r="AL81" s="23"/>
      <c r="AM81" s="23"/>
      <c r="AN81" s="23"/>
      <c r="AO81" s="23"/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</row>
    <row r="82" spans="1:61">
      <c r="A82" s="23"/>
      <c r="B82" s="23"/>
      <c r="C82" s="23"/>
      <c r="D82" s="23"/>
      <c r="E82" s="23"/>
      <c r="F82" s="23"/>
      <c r="G82" s="23"/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  <c r="Y82" s="23"/>
      <c r="Z82" s="23"/>
      <c r="AA82" s="23"/>
      <c r="AB82" s="23"/>
      <c r="AC82" s="23"/>
      <c r="AD82" s="23"/>
      <c r="AE82" s="23"/>
      <c r="AF82" s="23"/>
      <c r="AG82" s="23"/>
      <c r="AH82" s="23"/>
      <c r="AI82" s="23"/>
      <c r="AJ82" s="23"/>
      <c r="AK82" s="23"/>
      <c r="AL82" s="23"/>
      <c r="AM82" s="23"/>
      <c r="AN82" s="23"/>
      <c r="AO82" s="23"/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</row>
    <row r="83" spans="1:61">
      <c r="A83" s="23"/>
      <c r="B83" s="23"/>
      <c r="C83" s="23"/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  <c r="Y83" s="23"/>
      <c r="Z83" s="23"/>
      <c r="AA83" s="23"/>
      <c r="AB83" s="23"/>
      <c r="AC83" s="23"/>
      <c r="AD83" s="23"/>
      <c r="AE83" s="23"/>
      <c r="AF83" s="23"/>
      <c r="AG83" s="23"/>
      <c r="AH83" s="23"/>
      <c r="AI83" s="23"/>
      <c r="AJ83" s="23"/>
      <c r="AK83" s="23"/>
      <c r="AL83" s="23"/>
      <c r="AM83" s="23"/>
      <c r="AN83" s="23"/>
      <c r="AO83" s="23"/>
      <c r="AP83" s="23"/>
      <c r="AQ83" s="23"/>
      <c r="AR83" s="23"/>
      <c r="AS83" s="23"/>
      <c r="AT83" s="23"/>
      <c r="AU83" s="23"/>
      <c r="AV83" s="23"/>
      <c r="AW83" s="23"/>
      <c r="AX83" s="23"/>
      <c r="AY83" s="23"/>
      <c r="AZ83" s="23"/>
      <c r="BA83" s="23"/>
      <c r="BB83" s="23"/>
      <c r="BC83" s="23"/>
      <c r="BD83" s="23"/>
      <c r="BE83" s="23"/>
      <c r="BF83" s="23"/>
      <c r="BG83" s="23"/>
      <c r="BH83" s="23"/>
      <c r="BI83" s="23"/>
    </row>
    <row r="84" spans="1:61">
      <c r="A84" s="23"/>
      <c r="B84" s="23"/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  <c r="Y84" s="23"/>
      <c r="Z84" s="23"/>
      <c r="AA84" s="23"/>
      <c r="AB84" s="23"/>
      <c r="AC84" s="23"/>
      <c r="AD84" s="23"/>
      <c r="AE84" s="23"/>
      <c r="AF84" s="23"/>
      <c r="AG84" s="23"/>
      <c r="AH84" s="23"/>
      <c r="AI84" s="23"/>
      <c r="AJ84" s="23"/>
      <c r="AK84" s="23"/>
      <c r="AL84" s="23"/>
      <c r="AM84" s="23"/>
      <c r="AN84" s="23"/>
      <c r="AO84" s="23"/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</row>
    <row r="85" spans="1:61">
      <c r="A85" s="23"/>
      <c r="B85" s="23"/>
      <c r="C85" s="23"/>
      <c r="D85" s="23"/>
      <c r="E85" s="23"/>
      <c r="F85" s="23"/>
      <c r="G85" s="23"/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  <c r="Y85" s="23"/>
      <c r="Z85" s="23"/>
      <c r="AA85" s="23"/>
      <c r="AB85" s="23"/>
      <c r="AC85" s="23"/>
      <c r="AD85" s="23"/>
      <c r="AE85" s="23"/>
      <c r="AF85" s="23"/>
      <c r="AG85" s="23"/>
      <c r="AH85" s="23"/>
      <c r="AI85" s="23"/>
      <c r="AJ85" s="23"/>
      <c r="AK85" s="23"/>
      <c r="AL85" s="23"/>
      <c r="AM85" s="23"/>
      <c r="AN85" s="23"/>
      <c r="AO85" s="23"/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</row>
    <row r="86" spans="1:61">
      <c r="A86" s="23"/>
      <c r="B86" s="23"/>
      <c r="C86" s="23"/>
      <c r="D86" s="23"/>
      <c r="E86" s="23"/>
      <c r="F86" s="23"/>
      <c r="G86" s="23"/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  <c r="Y86" s="23"/>
      <c r="Z86" s="23"/>
      <c r="AA86" s="23"/>
      <c r="AB86" s="23"/>
      <c r="AC86" s="23"/>
      <c r="AD86" s="23"/>
      <c r="AE86" s="23"/>
      <c r="AF86" s="23"/>
      <c r="AG86" s="23"/>
      <c r="AH86" s="23"/>
      <c r="AI86" s="23"/>
      <c r="AJ86" s="23"/>
      <c r="AK86" s="23"/>
      <c r="AL86" s="23"/>
      <c r="AM86" s="23"/>
      <c r="AN86" s="23"/>
      <c r="AO86" s="23"/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</row>
    <row r="87" spans="1:61">
      <c r="A87" s="23"/>
      <c r="B87" s="23"/>
      <c r="C87" s="23"/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  <c r="Y87" s="23"/>
      <c r="Z87" s="23"/>
      <c r="AA87" s="23"/>
      <c r="AB87" s="23"/>
      <c r="AC87" s="23"/>
      <c r="AD87" s="23"/>
      <c r="AE87" s="23"/>
      <c r="AF87" s="23"/>
      <c r="AG87" s="23"/>
      <c r="AH87" s="23"/>
      <c r="AI87" s="23"/>
      <c r="AJ87" s="23"/>
      <c r="AK87" s="23"/>
      <c r="AL87" s="23"/>
      <c r="AM87" s="23"/>
      <c r="AN87" s="23"/>
      <c r="AO87" s="23"/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</row>
    <row r="88" spans="1:61">
      <c r="A88" s="23"/>
      <c r="B88" s="23"/>
      <c r="C88" s="23"/>
      <c r="D88" s="23"/>
      <c r="E88" s="23"/>
      <c r="F88" s="23"/>
      <c r="G88" s="23"/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  <c r="Y88" s="23"/>
      <c r="Z88" s="23"/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</row>
    <row r="89" spans="1:61">
      <c r="A89" s="23"/>
      <c r="B89" s="23"/>
      <c r="C89" s="23"/>
      <c r="D89" s="23"/>
      <c r="E89" s="23"/>
      <c r="F89" s="23"/>
      <c r="G89" s="23"/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  <c r="Y89" s="23"/>
      <c r="Z89" s="23"/>
      <c r="AA89" s="23"/>
      <c r="AB89" s="23"/>
      <c r="AC89" s="23"/>
      <c r="AD89" s="23"/>
      <c r="AE89" s="23"/>
      <c r="AF89" s="23"/>
      <c r="AG89" s="23"/>
      <c r="AH89" s="23"/>
      <c r="AI89" s="23"/>
      <c r="AJ89" s="23"/>
      <c r="AK89" s="23"/>
      <c r="AL89" s="23"/>
      <c r="AM89" s="23"/>
      <c r="AN89" s="23"/>
      <c r="AO89" s="23"/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</row>
    <row r="90" spans="1:61">
      <c r="A90" s="23"/>
      <c r="B90" s="23"/>
      <c r="C90" s="23"/>
      <c r="D90" s="23"/>
      <c r="E90" s="23"/>
      <c r="F90" s="23"/>
      <c r="G90" s="23"/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  <c r="Y90" s="23"/>
      <c r="Z90" s="23"/>
      <c r="AA90" s="23"/>
      <c r="AB90" s="23"/>
      <c r="AC90" s="23"/>
      <c r="AD90" s="23"/>
      <c r="AE90" s="23"/>
      <c r="AF90" s="23"/>
      <c r="AG90" s="23"/>
      <c r="AH90" s="23"/>
      <c r="AI90" s="23"/>
      <c r="AJ90" s="23"/>
      <c r="AK90" s="23"/>
      <c r="AL90" s="23"/>
      <c r="AM90" s="23"/>
      <c r="AN90" s="23"/>
      <c r="AO90" s="23"/>
      <c r="AP90" s="23"/>
      <c r="AQ90" s="23"/>
      <c r="AR90" s="23"/>
      <c r="AS90" s="23"/>
      <c r="AT90" s="23"/>
      <c r="AU90" s="23"/>
      <c r="AV90" s="23"/>
      <c r="AW90" s="23"/>
      <c r="AX90" s="23"/>
      <c r="AY90" s="23"/>
      <c r="AZ90" s="23"/>
      <c r="BA90" s="23"/>
      <c r="BB90" s="23"/>
      <c r="BC90" s="23"/>
      <c r="BD90" s="23"/>
      <c r="BE90" s="23"/>
      <c r="BF90" s="23"/>
      <c r="BG90" s="23"/>
      <c r="BH90" s="23"/>
      <c r="BI90" s="23"/>
    </row>
    <row r="91" spans="1:61">
      <c r="A91" s="23"/>
      <c r="B91" s="23"/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  <c r="Y91" s="23"/>
      <c r="Z91" s="23"/>
      <c r="AA91" s="23"/>
      <c r="AB91" s="23"/>
      <c r="AC91" s="23"/>
      <c r="AD91" s="23"/>
      <c r="AE91" s="23"/>
      <c r="AF91" s="23"/>
      <c r="AG91" s="23"/>
      <c r="AH91" s="23"/>
      <c r="AI91" s="23"/>
      <c r="AJ91" s="23"/>
      <c r="AK91" s="23"/>
      <c r="AL91" s="23"/>
      <c r="AM91" s="23"/>
      <c r="AN91" s="23"/>
      <c r="AO91" s="23"/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</row>
    <row r="92" spans="1:61">
      <c r="A92" s="23"/>
      <c r="B92" s="23"/>
      <c r="C92" s="23"/>
      <c r="D92" s="23"/>
      <c r="E92" s="23"/>
      <c r="F92" s="23"/>
      <c r="G92" s="23"/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  <c r="Y92" s="23"/>
      <c r="Z92" s="23"/>
      <c r="AA92" s="23"/>
      <c r="AB92" s="23"/>
      <c r="AC92" s="23"/>
      <c r="AD92" s="23"/>
      <c r="AE92" s="23"/>
      <c r="AF92" s="23"/>
      <c r="AG92" s="23"/>
      <c r="AH92" s="23"/>
      <c r="AI92" s="23"/>
      <c r="AJ92" s="23"/>
      <c r="AK92" s="23"/>
      <c r="AL92" s="23"/>
      <c r="AM92" s="23"/>
      <c r="AN92" s="23"/>
      <c r="AO92" s="23"/>
      <c r="AP92" s="23"/>
      <c r="AQ92" s="23"/>
      <c r="AR92" s="23"/>
      <c r="AS92" s="23"/>
      <c r="AT92" s="23"/>
      <c r="AU92" s="23"/>
      <c r="AV92" s="23"/>
      <c r="AW92" s="23"/>
      <c r="AX92" s="23"/>
      <c r="AY92" s="23"/>
      <c r="AZ92" s="23"/>
      <c r="BA92" s="23"/>
      <c r="BB92" s="23"/>
      <c r="BC92" s="23"/>
      <c r="BD92" s="23"/>
      <c r="BE92" s="23"/>
      <c r="BF92" s="23"/>
      <c r="BG92" s="23"/>
      <c r="BH92" s="23"/>
      <c r="BI92" s="23"/>
    </row>
  </sheetData>
  <mergeCells count="27">
    <mergeCell ref="C54:K54"/>
    <mergeCell ref="C55:K55"/>
    <mergeCell ref="A23:B23"/>
    <mergeCell ref="A25:B25"/>
    <mergeCell ref="C50:K50"/>
    <mergeCell ref="C51:K51"/>
    <mergeCell ref="C53:K53"/>
    <mergeCell ref="B17:K17"/>
    <mergeCell ref="B18:K18"/>
    <mergeCell ref="B19:K19"/>
    <mergeCell ref="B21:K21"/>
    <mergeCell ref="B22:K22"/>
    <mergeCell ref="C11:E11"/>
    <mergeCell ref="A12:B12"/>
    <mergeCell ref="A14:B14"/>
    <mergeCell ref="B15:K15"/>
    <mergeCell ref="B16:K16"/>
    <mergeCell ref="C6:E6"/>
    <mergeCell ref="C7:E7"/>
    <mergeCell ref="C8:E8"/>
    <mergeCell ref="C9:E9"/>
    <mergeCell ref="C10:E10"/>
    <mergeCell ref="A1:B1"/>
    <mergeCell ref="C2:E2"/>
    <mergeCell ref="C3:E3"/>
    <mergeCell ref="C4:E4"/>
    <mergeCell ref="C5:E5"/>
  </mergeCell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J74"/>
  <sheetViews>
    <sheetView zoomScaleNormal="100" workbookViewId="0">
      <selection activeCell="E7" sqref="E7"/>
    </sheetView>
  </sheetViews>
  <sheetFormatPr defaultColWidth="9.140625" defaultRowHeight="12.75"/>
  <cols>
    <col min="1" max="1" width="3.28515625" style="11" customWidth="1"/>
    <col min="2" max="2" width="50.85546875" style="11" customWidth="1"/>
    <col min="3" max="3" width="25.85546875" style="11" customWidth="1"/>
    <col min="4" max="4" width="17.7109375" style="11" customWidth="1"/>
    <col min="5" max="5" width="49.42578125" style="11" customWidth="1"/>
    <col min="6" max="6" width="19.85546875" style="11" customWidth="1"/>
    <col min="7" max="7" width="20.5703125" style="11" customWidth="1"/>
    <col min="8" max="8" width="19.85546875" style="11" customWidth="1"/>
    <col min="9" max="11" width="19.5703125" style="11" customWidth="1"/>
    <col min="12" max="13" width="15.85546875" style="11" customWidth="1"/>
    <col min="14" max="15" width="25.85546875" style="11" customWidth="1"/>
    <col min="16" max="16" width="8" style="11" customWidth="1"/>
    <col min="17" max="26" width="25.85546875" style="11" customWidth="1"/>
    <col min="27" max="1024" width="9.140625" style="11"/>
  </cols>
  <sheetData>
    <row r="1" spans="2:9">
      <c r="C1" s="23"/>
      <c r="D1" s="23"/>
    </row>
    <row r="2" spans="2:9">
      <c r="B2" s="37" t="s">
        <v>76</v>
      </c>
      <c r="C2" s="23"/>
      <c r="D2" s="23"/>
    </row>
    <row r="3" spans="2:9">
      <c r="B3" s="38" t="s">
        <v>77</v>
      </c>
      <c r="C3" s="23"/>
      <c r="D3" s="23"/>
    </row>
    <row r="4" spans="2:9">
      <c r="B4" s="39" t="s">
        <v>78</v>
      </c>
      <c r="C4" s="23"/>
      <c r="D4" s="23"/>
    </row>
    <row r="5" spans="2:9">
      <c r="B5" s="26" t="s">
        <v>79</v>
      </c>
      <c r="C5" s="23"/>
      <c r="D5" s="23"/>
      <c r="E5" s="40" t="s">
        <v>80</v>
      </c>
      <c r="F5" s="41" t="s">
        <v>81</v>
      </c>
    </row>
    <row r="6" spans="2:9">
      <c r="B6" s="11" t="s">
        <v>82</v>
      </c>
    </row>
    <row r="7" spans="2:9" ht="29.25" customHeight="1">
      <c r="D7" s="11" t="s">
        <v>83</v>
      </c>
      <c r="E7" s="42"/>
      <c r="F7" s="43" t="s">
        <v>84</v>
      </c>
      <c r="G7" s="43" t="s">
        <v>85</v>
      </c>
      <c r="H7" s="43" t="s">
        <v>86</v>
      </c>
      <c r="I7" s="44" t="s">
        <v>87</v>
      </c>
    </row>
    <row r="8" spans="2:9">
      <c r="B8" s="45" t="s">
        <v>88</v>
      </c>
      <c r="C8" s="46"/>
      <c r="D8" s="20"/>
      <c r="E8" s="47" t="s">
        <v>89</v>
      </c>
      <c r="F8" s="48"/>
      <c r="G8" s="48"/>
      <c r="H8" s="48"/>
      <c r="I8" s="49"/>
    </row>
    <row r="9" spans="2:9">
      <c r="B9" s="50" t="s">
        <v>90</v>
      </c>
      <c r="C9" s="51" t="s">
        <v>91</v>
      </c>
      <c r="E9" s="52" t="s">
        <v>92</v>
      </c>
      <c r="F9" s="53" t="e">
        <f>'Financial Analysis'!C169</f>
        <v>#REF!</v>
      </c>
      <c r="G9" s="53" t="e">
        <f>'Financial Analysis'!C171</f>
        <v>#REF!</v>
      </c>
      <c r="H9" s="53">
        <f>IF(C34=Lists!B4,'Financial Analysis'!C175,0)</f>
        <v>0</v>
      </c>
      <c r="I9" s="54" t="e">
        <f>'Financial Analysis'!C173</f>
        <v>#REF!</v>
      </c>
    </row>
    <row r="10" spans="2:9">
      <c r="B10" s="55" t="s">
        <v>93</v>
      </c>
      <c r="C10" s="56">
        <v>7.5</v>
      </c>
      <c r="E10" s="52" t="s">
        <v>94</v>
      </c>
      <c r="F10" s="57" t="e">
        <f>IF($F$5=Lists!$B$12,'Financial Analysis'!C189,IF($F$5=Lists!$B$13,'Financial Analysis'!C201,'Financial Analysis'!C213))</f>
        <v>#REF!</v>
      </c>
      <c r="G10" s="57">
        <f>'Financial Analysis'!C172</f>
        <v>0</v>
      </c>
      <c r="H10" s="58">
        <f>IF(C34=Lists!B4,'Financial Analysis'!C176,0)</f>
        <v>0</v>
      </c>
      <c r="I10" s="59" t="e">
        <f>'Financial Analysis'!C174</f>
        <v>#REF!</v>
      </c>
    </row>
    <row r="11" spans="2:9">
      <c r="B11" s="60" t="s">
        <v>95</v>
      </c>
      <c r="C11" s="61">
        <v>25</v>
      </c>
      <c r="E11" s="52" t="s">
        <v>96</v>
      </c>
      <c r="F11" s="53" t="e">
        <f>IF($F$5=Lists!$B$12,'Financial Analysis'!C186,IF($F$5=Lists!$B$13,'Financial Analysis'!C198,'Financial Analysis'!C210))</f>
        <v>#REF!</v>
      </c>
      <c r="G11" s="62"/>
      <c r="H11" s="62"/>
      <c r="I11" s="63"/>
    </row>
    <row r="12" spans="2:9">
      <c r="B12" s="55" t="s">
        <v>97</v>
      </c>
      <c r="C12" s="64">
        <v>0.77500000000000002</v>
      </c>
      <c r="E12" s="52" t="s">
        <v>98</v>
      </c>
      <c r="F12" s="65" t="str">
        <f>IF($C$41=Lists!$B$4,IF($F$5=Lists!$B$12,'Financial Analysis'!C185,IF($F$5=Lists!$B$13,'Financial Analysis'!C197,'Financial Analysis'!C209)),"")</f>
        <v/>
      </c>
      <c r="G12" s="62"/>
      <c r="H12" s="62"/>
      <c r="I12" s="63"/>
    </row>
    <row r="13" spans="2:9">
      <c r="B13" s="55" t="s">
        <v>99</v>
      </c>
      <c r="C13" s="66">
        <v>0.77500000000000002</v>
      </c>
      <c r="E13" s="52" t="s">
        <v>100</v>
      </c>
      <c r="F13" s="11" t="str">
        <f>IF($C$41=Lists!$B$4,IF($F$5=Lists!$B$12,'Financial Analysis'!C187,IF($F$5=Lists!$B$13,'Financial Analysis'!C199,'Financial Analysis'!C211)),"")</f>
        <v/>
      </c>
      <c r="G13" s="62"/>
      <c r="H13" s="62"/>
      <c r="I13" s="63"/>
    </row>
    <row r="14" spans="2:9">
      <c r="B14" s="55" t="s">
        <v>101</v>
      </c>
      <c r="C14" s="67">
        <v>21</v>
      </c>
      <c r="E14" s="52" t="s">
        <v>62</v>
      </c>
      <c r="F14" s="53">
        <f>IF($F$5=Lists!$B$12,SUM('Financial Analysis'!D119:X119),IF($F$5=Lists!$B$13,SUM('Financial Analysis'!D119:AH119),IF($F$5=Lists!$B$14,SUM('Financial Analysis'!D119:AR119),"")))</f>
        <v>14996146.654741211</v>
      </c>
      <c r="G14" s="53">
        <f>IF($F$5=Lists!$B$12,SUM('Financial Analysis'!D121:X121),IF($F$5=Lists!$B$13,SUM('Financial Analysis'!D121:AH121),IF($F$5=Lists!$B$14,SUM('Financial Analysis'!D121:AR121),"")))</f>
        <v>0</v>
      </c>
      <c r="H14" s="53">
        <f>IF($C$34=Lists!$B$4,F14+G14,0)</f>
        <v>0</v>
      </c>
      <c r="I14" s="54" t="e">
        <f>IF($F$5=Lists!$B$12,SUM('Financial Analysis'!D123:X123),IF($F$5=Lists!$B$13,SUM('Financial Analysis'!D123:AH123),IF($F$5=Lists!$B$14,SUM('Financial Analysis'!D123:AR123),"")))</f>
        <v>#REF!</v>
      </c>
    </row>
    <row r="15" spans="2:9">
      <c r="B15" s="55" t="s">
        <v>102</v>
      </c>
      <c r="C15" s="68">
        <f>('Operating model'!C11/2)+('Operating model'!C12/2.5)+'Operating model'!C16</f>
        <v>6821.9521423190617</v>
      </c>
      <c r="E15" s="52" t="s">
        <v>103</v>
      </c>
      <c r="F15" s="69">
        <f>IF($F$5=Lists!$B$12,SUM('Financial Analysis'!D127:X127),IF($F$5=Lists!$B$13,SUM('Financial Analysis'!D127:AH127),IF($F$5=Lists!$B$14,SUM('Financial Analysis'!D127:AR127),"")))</f>
        <v>27867140.681534804</v>
      </c>
      <c r="G15" s="53" t="e">
        <f>IF($F$5=Lists!$B$12,SUM('Financial Analysis'!D128:X128),IF($F$5=Lists!$B$13,SUM('Financial Analysis'!D128:AH128),IF($F$5=Lists!$B$14,SUM('Financial Analysis'!D128:AR128),"")))</f>
        <v>#REF!</v>
      </c>
      <c r="H15" s="53">
        <f>IF($C$34=Lists!$B$4,F15+G15,0)</f>
        <v>0</v>
      </c>
      <c r="I15" s="54" t="e">
        <f>IF($F$5=Lists!$B$12,SUM('Financial Analysis'!D129:X129),IF($F$5=Lists!$B$13,SUM('Financial Analysis'!D129:AH129),IF($F$5=Lists!$B$14,SUM('Financial Analysis'!D129:AR129),"")))</f>
        <v>#REF!</v>
      </c>
    </row>
    <row r="16" spans="2:9">
      <c r="B16" s="55" t="s">
        <v>104</v>
      </c>
      <c r="C16" s="68">
        <f>IF(Dashboard!$C$9=Lists!$B$9,(('Operating model'!D11/2)+('Operating model'!D12/2.5)+'Operating model'!D16),IF(Dashboard!$C$9=Lists!$B$10,(('Operating model'!D11/2)+('Operating model'!D12/2.5)+'Operating model'!D16),0))</f>
        <v>8160.7002088595382</v>
      </c>
      <c r="E16" s="52" t="s">
        <v>72</v>
      </c>
      <c r="F16" s="53" t="e">
        <f>IF($F$5=Lists!$B$12,SUM('Financial Analysis'!D87:X87),IF($F$5=Lists!$B$13,SUM('Financial Analysis'!D87:AH87),IF($F$5=Lists!$B$14,SUM('Financial Analysis'!D87:AR87),"")))</f>
        <v>#REF!</v>
      </c>
      <c r="G16" s="53">
        <f>IF($F$5=Lists!$B$12,SUM('Financial Analysis'!D93:X93),IF($F$5=Lists!$B$13,SUM('Financial Analysis'!D93:AH93),IF($F$5=Lists!$B$14,SUM('Financial Analysis'!D93:AR93),"")))</f>
        <v>0</v>
      </c>
      <c r="H16" s="53">
        <f>IF($C$34=Lists!$B$4,F16+G16,0)</f>
        <v>0</v>
      </c>
      <c r="I16" s="54" t="e">
        <f>IF($F$5=Lists!$B$12,SUM('Financial Analysis'!D103:X103),IF($F$5=Lists!$B$13,SUM('Financial Analysis'!D103:AH103),IF($F$5=Lists!$B$14,SUM('Financial Analysis'!D103:AR103),"")))</f>
        <v>#REF!</v>
      </c>
    </row>
    <row r="17" spans="2:9">
      <c r="B17" s="55" t="s">
        <v>105</v>
      </c>
      <c r="C17" s="68">
        <f>IF(Dashboard!$C$9=Lists!$B$10,('Operating model'!E11/2)+('Operating model'!E12/2.5)+'Operating model'!E16,0)</f>
        <v>8616.6384279083377</v>
      </c>
      <c r="E17" s="52"/>
      <c r="I17" s="70"/>
    </row>
    <row r="18" spans="2:9">
      <c r="B18" s="55" t="s">
        <v>106</v>
      </c>
      <c r="C18" s="61">
        <v>251.8956</v>
      </c>
      <c r="E18" s="71" t="s">
        <v>107</v>
      </c>
      <c r="I18" s="70"/>
    </row>
    <row r="19" spans="2:9">
      <c r="B19" s="55" t="s">
        <v>108</v>
      </c>
      <c r="C19" s="67">
        <v>5.6399999999999999E-2</v>
      </c>
      <c r="E19" s="52" t="s">
        <v>109</v>
      </c>
      <c r="F19" s="72" t="e">
        <f>CO2e!D41</f>
        <v>#REF!</v>
      </c>
      <c r="G19" s="57">
        <f>CO2e!D62</f>
        <v>0</v>
      </c>
      <c r="H19" s="57">
        <f>IF($C$34=Lists!$B$4,(F19+G19)/2,0)</f>
        <v>0</v>
      </c>
      <c r="I19" s="59" t="e">
        <f>CO2e!D78</f>
        <v>#REF!</v>
      </c>
    </row>
    <row r="20" spans="2:9">
      <c r="B20" s="55" t="s">
        <v>110</v>
      </c>
      <c r="C20" s="73" t="s">
        <v>111</v>
      </c>
      <c r="E20" s="52" t="s">
        <v>112</v>
      </c>
      <c r="F20" s="57" t="e">
        <f>IF(Dashboard!$F$5=Lists!$B$12,CO2e!$W$41,IF(Dashboard!$F$5=Lists!$B$13,CO2e!AG41,CO2e!AQ41))</f>
        <v>#REF!</v>
      </c>
      <c r="G20" s="57">
        <f>IF(Dashboard!$F$5=Lists!$B$12,CO2e!$W$62,IF(Dashboard!$F$5=Lists!$B$13,CO2e!AG62,CO2e!AQ62))</f>
        <v>0</v>
      </c>
      <c r="H20" s="57">
        <f>IF($C$34=Lists!$B$4,(F20+G20)/2,0)</f>
        <v>0</v>
      </c>
      <c r="I20" s="74" t="e">
        <f>IF(Dashboard!$F$5=Lists!$B$12,CO2e!W78,IF(Dashboard!$F$5=Lists!$B$13,CO2e!AG78,CO2e!AQ78))</f>
        <v>#REF!</v>
      </c>
    </row>
    <row r="21" spans="2:9">
      <c r="B21" s="75" t="s">
        <v>113</v>
      </c>
      <c r="C21" s="73" t="s">
        <v>114</v>
      </c>
      <c r="E21" s="52" t="s">
        <v>115</v>
      </c>
      <c r="F21" s="76" t="e">
        <f>IF(Dashboard!$F$5=Lists!$B$12,CO2e!$C$45,IF(Dashboard!$F$5=Lists!$B$13,CO2e!$C$47,CO2e!$C$49))</f>
        <v>#REF!</v>
      </c>
      <c r="G21" s="76">
        <f>IF(Dashboard!$F$5=Lists!$B$12,CO2e!$C$66,IF(Dashboard!$F$5=Lists!$B$13,CO2e!$C$68,CO2e!$C$70))</f>
        <v>0</v>
      </c>
      <c r="H21" s="76">
        <f>IF($C$34=Lists!$B$4,F21+G21,0)</f>
        <v>0</v>
      </c>
      <c r="I21" s="63"/>
    </row>
    <row r="22" spans="2:9">
      <c r="B22" s="77" t="s">
        <v>116</v>
      </c>
      <c r="C22" s="78" t="s">
        <v>117</v>
      </c>
      <c r="E22" s="52" t="s">
        <v>118</v>
      </c>
      <c r="F22" s="53" t="e">
        <f>F14/F23</f>
        <v>#REF!</v>
      </c>
      <c r="G22" s="53">
        <f>IF(C36=Lists!B4,G14/G23,0)</f>
        <v>0</v>
      </c>
      <c r="H22" s="53">
        <f>IF($C$34=Lists!$B$4,H14/H23,0)</f>
        <v>0</v>
      </c>
      <c r="I22" s="70"/>
    </row>
    <row r="23" spans="2:9">
      <c r="B23" s="79" t="s">
        <v>119</v>
      </c>
      <c r="C23" s="80"/>
      <c r="E23" s="81" t="s">
        <v>120</v>
      </c>
      <c r="F23" s="82" t="e">
        <f>IF(Dashboard!$F$5=Lists!$B$12,CO2e!$C$44,IF(Dashboard!$F$5=Lists!$B$13,CO2e!$C$46,CO2e!$C$48))</f>
        <v>#REF!</v>
      </c>
      <c r="G23" s="82">
        <f>IF(Dashboard!$F$5=Lists!$B$12,CO2e!C65,IF(Dashboard!$F$5=Lists!$B$13,CO2e!C67,CO2e!C69))</f>
        <v>0</v>
      </c>
      <c r="H23" s="82">
        <f>IF($C$34=Lists!$B$4,F23+G23,0)</f>
        <v>0</v>
      </c>
      <c r="I23" s="83" t="e">
        <f>IF(Dashboard!$F$5=Lists!$B$12,CO2e!C81,IF(Dashboard!$F$5=Lists!$B$13,CO2e!C82,CO2e!C83))</f>
        <v>#REF!</v>
      </c>
    </row>
    <row r="24" spans="2:9">
      <c r="B24" s="55" t="s">
        <v>121</v>
      </c>
      <c r="C24" s="84">
        <v>3.5000000000000003E-2</v>
      </c>
    </row>
    <row r="25" spans="2:9">
      <c r="B25" s="85" t="s">
        <v>122</v>
      </c>
      <c r="C25" s="86">
        <v>0</v>
      </c>
    </row>
    <row r="26" spans="2:9">
      <c r="B26" s="85" t="s">
        <v>123</v>
      </c>
      <c r="C26" s="86">
        <v>0</v>
      </c>
    </row>
    <row r="27" spans="2:9">
      <c r="B27" s="85" t="s">
        <v>124</v>
      </c>
      <c r="C27" s="86">
        <v>0</v>
      </c>
    </row>
    <row r="28" spans="2:9">
      <c r="B28" s="85" t="s">
        <v>125</v>
      </c>
      <c r="C28" s="87">
        <v>2027</v>
      </c>
    </row>
    <row r="29" spans="2:9">
      <c r="B29" s="85" t="s">
        <v>126</v>
      </c>
      <c r="C29" s="87">
        <v>2032</v>
      </c>
      <c r="E29" s="42"/>
      <c r="F29" s="88"/>
      <c r="G29" s="88" t="s">
        <v>127</v>
      </c>
      <c r="H29" s="88"/>
      <c r="I29" s="89"/>
    </row>
    <row r="30" spans="2:9">
      <c r="B30" s="85" t="s">
        <v>128</v>
      </c>
      <c r="C30" s="87">
        <v>2037</v>
      </c>
      <c r="E30" s="90"/>
      <c r="F30" s="48" t="s">
        <v>129</v>
      </c>
      <c r="G30" s="48" t="s">
        <v>130</v>
      </c>
      <c r="H30" s="48" t="s">
        <v>131</v>
      </c>
      <c r="I30" s="49" t="s">
        <v>132</v>
      </c>
    </row>
    <row r="31" spans="2:9">
      <c r="B31" s="75" t="s">
        <v>133</v>
      </c>
      <c r="C31" s="73" t="s">
        <v>134</v>
      </c>
      <c r="E31" s="91" t="s">
        <v>135</v>
      </c>
      <c r="F31" s="11">
        <f>IF($C$9=Lists!$B$8,1,0)</f>
        <v>0</v>
      </c>
      <c r="G31" s="11">
        <f>IF($C$9=Lists!$B$9,1,0)</f>
        <v>0</v>
      </c>
      <c r="H31" s="11">
        <f>IF($C$9=Lists!$B$10,1,0)</f>
        <v>1</v>
      </c>
      <c r="I31" s="70"/>
    </row>
    <row r="32" spans="2:9">
      <c r="B32" s="60" t="s">
        <v>136</v>
      </c>
      <c r="C32" s="92" t="s">
        <v>137</v>
      </c>
      <c r="E32" s="91" t="s">
        <v>138</v>
      </c>
      <c r="F32" s="53">
        <f>IF($C$21=Lists!$B$5,CAPEX!G38,CAPEX!L38)</f>
        <v>9267897.107294064</v>
      </c>
      <c r="G32" s="53">
        <f>IF($C$21=Lists!$B$5,CAPEX!H38-F32,CAPEX!M38-F32)</f>
        <v>2955888.5831037536</v>
      </c>
      <c r="H32" s="53">
        <f>IF($C$21=Lists!$B$5,CAPEX!I38-G32-F32,CAPEX!N38-G32-F32)</f>
        <v>2772360.9643433932</v>
      </c>
      <c r="I32" s="93">
        <f>SUM(F32:H32)</f>
        <v>14996146.654741211</v>
      </c>
    </row>
    <row r="33" spans="2:9">
      <c r="B33" s="85" t="s">
        <v>139</v>
      </c>
      <c r="C33" s="94">
        <v>2.5000000000000001E-2</v>
      </c>
      <c r="E33" s="91" t="s">
        <v>140</v>
      </c>
      <c r="F33" s="53">
        <f>CAPEX!G39</f>
        <v>0</v>
      </c>
      <c r="G33" s="53">
        <f>CAPEX!H39</f>
        <v>0</v>
      </c>
      <c r="H33" s="53">
        <f>CAPEX!I39</f>
        <v>0</v>
      </c>
      <c r="I33" s="93">
        <f>SUM(F33:H33)</f>
        <v>0</v>
      </c>
    </row>
    <row r="34" spans="2:9">
      <c r="B34" s="75" t="s">
        <v>141</v>
      </c>
      <c r="C34" s="73" t="s">
        <v>117</v>
      </c>
      <c r="D34" s="95"/>
      <c r="E34" s="96" t="s">
        <v>142</v>
      </c>
      <c r="F34" s="53">
        <f>CAPEX!G40</f>
        <v>0</v>
      </c>
      <c r="G34" s="53">
        <f>CAPEX!H40</f>
        <v>0</v>
      </c>
      <c r="H34" s="53">
        <f>CAPEX!I40</f>
        <v>0</v>
      </c>
      <c r="I34" s="93">
        <f>SUM(F34:H34)</f>
        <v>0</v>
      </c>
    </row>
    <row r="35" spans="2:9">
      <c r="B35" s="85" t="s">
        <v>143</v>
      </c>
      <c r="C35" s="87">
        <v>2024</v>
      </c>
      <c r="D35" s="95"/>
      <c r="E35" s="91" t="s">
        <v>144</v>
      </c>
      <c r="F35" s="97">
        <f>F32-F33-F34</f>
        <v>9267897.107294064</v>
      </c>
      <c r="G35" s="97">
        <f>G32-G33-G34</f>
        <v>2955888.5831037536</v>
      </c>
      <c r="H35" s="97">
        <f>H32-H33-H34</f>
        <v>2772360.9643433932</v>
      </c>
      <c r="I35" s="93">
        <f>SUM(F35:H35)</f>
        <v>14996146.654741211</v>
      </c>
    </row>
    <row r="36" spans="2:9">
      <c r="B36" s="75" t="s">
        <v>145</v>
      </c>
      <c r="C36" s="73" t="s">
        <v>117</v>
      </c>
      <c r="D36" s="95"/>
      <c r="E36" s="91" t="s">
        <v>146</v>
      </c>
      <c r="F36" s="76" t="e">
        <f>'Operating model'!C7</f>
        <v>#REF!</v>
      </c>
      <c r="G36" s="76" t="e">
        <f>'Operating model'!D7-F36</f>
        <v>#REF!</v>
      </c>
      <c r="H36" s="76" t="e">
        <f>'Operating model'!E7-G36-F36</f>
        <v>#REF!</v>
      </c>
      <c r="I36" s="98" t="e">
        <f>SUM(F36:H36)</f>
        <v>#REF!</v>
      </c>
    </row>
    <row r="37" spans="2:9">
      <c r="B37" s="85" t="s">
        <v>147</v>
      </c>
      <c r="C37" s="99">
        <v>21</v>
      </c>
      <c r="D37" s="95"/>
      <c r="E37" s="91" t="s">
        <v>148</v>
      </c>
      <c r="F37" s="76" t="e">
        <f>'Operating model'!C8</f>
        <v>#REF!</v>
      </c>
      <c r="G37" s="76" t="e">
        <f>'Operating model'!D8-F37</f>
        <v>#REF!</v>
      </c>
      <c r="H37" s="76" t="e">
        <f>'Operating model'!E8-G37-F37</f>
        <v>#REF!</v>
      </c>
      <c r="I37" s="98" t="e">
        <f>SUM(F37:H37)</f>
        <v>#REF!</v>
      </c>
    </row>
    <row r="38" spans="2:9">
      <c r="B38" s="85" t="s">
        <v>149</v>
      </c>
      <c r="C38" s="99">
        <v>34</v>
      </c>
      <c r="D38" s="95"/>
      <c r="E38" s="91" t="s">
        <v>150</v>
      </c>
      <c r="F38" s="100" t="e">
        <f>F36+F37</f>
        <v>#REF!</v>
      </c>
      <c r="G38" s="100" t="e">
        <f>G36+G37</f>
        <v>#REF!</v>
      </c>
      <c r="H38" s="100" t="e">
        <f>H36+H37</f>
        <v>#REF!</v>
      </c>
      <c r="I38" s="98" t="e">
        <f>SUM(F38:H38)</f>
        <v>#REF!</v>
      </c>
    </row>
    <row r="39" spans="2:9">
      <c r="B39" s="60" t="s">
        <v>151</v>
      </c>
      <c r="C39" s="92" t="s">
        <v>152</v>
      </c>
      <c r="D39" s="95"/>
      <c r="E39" s="91" t="s">
        <v>153</v>
      </c>
      <c r="F39" s="76">
        <f>'Operating model'!C13</f>
        <v>2728.7808569276249</v>
      </c>
      <c r="G39" s="76">
        <f>'Operating model'!D13-F39</f>
        <v>535.4992266161903</v>
      </c>
      <c r="H39" s="76">
        <f>'Operating model'!E13-G39-F39</f>
        <v>182.3752876195199</v>
      </c>
      <c r="I39" s="98">
        <f>SUM(F39:H39)</f>
        <v>3446.6553711633351</v>
      </c>
    </row>
    <row r="40" spans="2:9">
      <c r="B40" s="85" t="s">
        <v>154</v>
      </c>
      <c r="C40" s="87"/>
      <c r="D40" s="95"/>
      <c r="E40" s="91" t="s">
        <v>155</v>
      </c>
      <c r="F40" s="76" t="e">
        <f>'Operating model'!C20</f>
        <v>#REF!</v>
      </c>
      <c r="G40" s="76" t="e">
        <f>'Operating model'!D20-F40</f>
        <v>#REF!</v>
      </c>
      <c r="H40" s="76" t="e">
        <f>'Operating model'!E20-G40-F40</f>
        <v>#REF!</v>
      </c>
      <c r="I40" s="98" t="e">
        <f>SUM(F40:H40)</f>
        <v>#REF!</v>
      </c>
    </row>
    <row r="41" spans="2:9">
      <c r="B41" s="101" t="s">
        <v>156</v>
      </c>
      <c r="C41" s="102" t="s">
        <v>117</v>
      </c>
      <c r="D41" s="95"/>
      <c r="E41" s="91" t="s">
        <v>157</v>
      </c>
      <c r="F41" s="76">
        <f>'Operating model'!C21</f>
        <v>0</v>
      </c>
      <c r="G41" s="76">
        <f>'Operating model'!D21-F41</f>
        <v>0</v>
      </c>
      <c r="H41" s="76">
        <f>'Operating model'!E21-G41-F41</f>
        <v>0</v>
      </c>
      <c r="I41" s="98">
        <f>SUM(F41:H41)</f>
        <v>0</v>
      </c>
    </row>
    <row r="42" spans="2:9">
      <c r="D42" s="95"/>
      <c r="E42" s="91" t="s">
        <v>158</v>
      </c>
      <c r="F42" s="76" t="e">
        <f>'Operating model'!C22</f>
        <v>#REF!</v>
      </c>
      <c r="G42" s="76" t="e">
        <f>'Operating model'!D22-F42</f>
        <v>#REF!</v>
      </c>
      <c r="H42" s="76" t="e">
        <f>'Operating model'!E22-G42-F42</f>
        <v>#REF!</v>
      </c>
      <c r="I42" s="98" t="e">
        <f>SUM(F42:H42)</f>
        <v>#REF!</v>
      </c>
    </row>
    <row r="43" spans="2:9">
      <c r="D43" s="95"/>
      <c r="E43" s="103" t="s">
        <v>159</v>
      </c>
      <c r="F43" s="104">
        <f>IFERROR(F40/F38,0)</f>
        <v>0</v>
      </c>
      <c r="G43" s="104">
        <f>IFERROR((G40+F40)/(G38+F38),0)</f>
        <v>0</v>
      </c>
      <c r="H43" s="104">
        <f>IFERROR((H40+G40)/(H38+G38),0)</f>
        <v>0</v>
      </c>
      <c r="I43" s="93"/>
    </row>
    <row r="44" spans="2:9">
      <c r="E44" s="105" t="s">
        <v>160</v>
      </c>
      <c r="F44" s="82">
        <f>'Technical inputs'!C94</f>
        <v>1408</v>
      </c>
      <c r="G44" s="82">
        <f>'Technical inputs'!D94-F44</f>
        <v>841</v>
      </c>
      <c r="H44" s="82">
        <f>'Technical inputs'!E94-G44-F44</f>
        <v>872</v>
      </c>
      <c r="I44" s="83">
        <f>SUM(F44:H44)</f>
        <v>3121</v>
      </c>
    </row>
    <row r="46" spans="2:9">
      <c r="B46" s="45" t="s">
        <v>161</v>
      </c>
      <c r="C46" s="106"/>
    </row>
    <row r="47" spans="2:9">
      <c r="B47" s="50"/>
      <c r="C47" s="107" t="s">
        <v>162</v>
      </c>
    </row>
    <row r="48" spans="2:9">
      <c r="B48" s="108" t="s">
        <v>163</v>
      </c>
      <c r="C48" s="109">
        <v>0.15</v>
      </c>
    </row>
    <row r="49" spans="2:3">
      <c r="B49" s="108" t="s">
        <v>164</v>
      </c>
      <c r="C49" s="109">
        <v>0.2</v>
      </c>
    </row>
    <row r="50" spans="2:3">
      <c r="B50" s="108"/>
      <c r="C50" s="109"/>
    </row>
    <row r="51" spans="2:3">
      <c r="B51" s="108" t="s">
        <v>165</v>
      </c>
      <c r="C51" s="109">
        <v>0.1</v>
      </c>
    </row>
    <row r="52" spans="2:3">
      <c r="B52" s="108" t="s">
        <v>166</v>
      </c>
      <c r="C52" s="109">
        <v>0.1</v>
      </c>
    </row>
    <row r="53" spans="2:3">
      <c r="B53" s="108"/>
      <c r="C53" s="109"/>
    </row>
    <row r="54" spans="2:3">
      <c r="B54" s="110" t="s">
        <v>167</v>
      </c>
      <c r="C54" s="109">
        <v>0.1</v>
      </c>
    </row>
    <row r="55" spans="2:3">
      <c r="B55" s="108" t="s">
        <v>168</v>
      </c>
      <c r="C55" s="109">
        <v>0.2</v>
      </c>
    </row>
    <row r="56" spans="2:3">
      <c r="B56" s="108" t="s">
        <v>169</v>
      </c>
      <c r="C56" s="109">
        <v>0.1</v>
      </c>
    </row>
    <row r="57" spans="2:3">
      <c r="B57" s="108" t="s">
        <v>170</v>
      </c>
      <c r="C57" s="109">
        <v>0.2</v>
      </c>
    </row>
    <row r="58" spans="2:3">
      <c r="B58" s="108" t="s">
        <v>171</v>
      </c>
      <c r="C58" s="109">
        <v>0.1</v>
      </c>
    </row>
    <row r="59" spans="2:3">
      <c r="B59" s="108" t="s">
        <v>172</v>
      </c>
      <c r="C59" s="109">
        <v>0.1</v>
      </c>
    </row>
    <row r="60" spans="2:3">
      <c r="B60" s="108"/>
      <c r="C60" s="109"/>
    </row>
    <row r="61" spans="2:3">
      <c r="B61" s="108"/>
      <c r="C61" s="109"/>
    </row>
    <row r="62" spans="2:3">
      <c r="B62" s="108" t="s">
        <v>173</v>
      </c>
      <c r="C62" s="109">
        <v>0.2</v>
      </c>
    </row>
    <row r="63" spans="2:3">
      <c r="B63" s="108" t="s">
        <v>174</v>
      </c>
      <c r="C63" s="109">
        <v>0.2</v>
      </c>
    </row>
    <row r="64" spans="2:3">
      <c r="B64" s="108" t="s">
        <v>175</v>
      </c>
      <c r="C64" s="109">
        <v>0.2</v>
      </c>
    </row>
    <row r="65" spans="1:17">
      <c r="B65" s="108"/>
      <c r="C65" s="109"/>
    </row>
    <row r="66" spans="1:17">
      <c r="B66" s="111" t="s">
        <v>176</v>
      </c>
      <c r="C66" s="109"/>
    </row>
    <row r="67" spans="1:17">
      <c r="B67" s="111" t="s">
        <v>177</v>
      </c>
      <c r="C67" s="109">
        <v>0.1</v>
      </c>
    </row>
    <row r="68" spans="1:17">
      <c r="B68" s="112" t="s">
        <v>178</v>
      </c>
      <c r="C68" s="113">
        <v>0.1</v>
      </c>
    </row>
    <row r="69" spans="1:17">
      <c r="B69" s="111"/>
      <c r="C69" s="109"/>
    </row>
    <row r="70" spans="1:17">
      <c r="B70" s="112" t="s">
        <v>179</v>
      </c>
      <c r="C70" s="109">
        <v>0.2</v>
      </c>
    </row>
    <row r="71" spans="1:17">
      <c r="B71" s="114" t="s">
        <v>180</v>
      </c>
      <c r="C71" s="115">
        <v>0.2</v>
      </c>
    </row>
    <row r="74" spans="1:17">
      <c r="A74" s="116"/>
      <c r="B74" s="117" t="s">
        <v>75</v>
      </c>
      <c r="C74" s="117"/>
      <c r="D74" s="116"/>
      <c r="E74" s="116"/>
      <c r="F74" s="116"/>
      <c r="G74" s="116"/>
      <c r="H74" s="116"/>
      <c r="I74" s="116"/>
      <c r="J74" s="116"/>
      <c r="K74" s="116"/>
      <c r="L74" s="116"/>
      <c r="M74" s="116"/>
      <c r="N74" s="116"/>
      <c r="O74" s="116"/>
      <c r="P74" s="116"/>
      <c r="Q74" s="116"/>
    </row>
  </sheetData>
  <conditionalFormatting sqref="C23">
    <cfRule type="expression" dxfId="1" priority="2">
      <formula>#REF!="No"</formula>
    </cfRule>
  </conditionalFormatting>
  <dataValidations count="7">
    <dataValidation type="list" allowBlank="1" showInputMessage="1" showErrorMessage="1" sqref="C21:C22 C34 C36 C41" xr:uid="{00000000-0002-0000-0200-000000000000}">
      <formula1>YesNo</formula1>
      <formula2>0</formula2>
    </dataValidation>
    <dataValidation type="list" allowBlank="1" showInputMessage="1" showErrorMessage="1" sqref="C32" xr:uid="{00000000-0002-0000-0200-000001000000}">
      <formula1>Energytariffindexing</formula1>
      <formula2>0</formula2>
    </dataValidation>
    <dataValidation type="list" allowBlank="1" showInputMessage="1" showErrorMessage="1" sqref="C31" xr:uid="{00000000-0002-0000-0200-000002000000}">
      <formula1>BEISpriceprojections</formula1>
      <formula2>0</formula2>
    </dataValidation>
    <dataValidation type="list" allowBlank="1" showInputMessage="1" showErrorMessage="1" sqref="C9" xr:uid="{00000000-0002-0000-0200-000003000000}">
      <formula1>Phase</formula1>
      <formula2>0</formula2>
    </dataValidation>
    <dataValidation type="list" allowBlank="1" showInputMessage="1" showErrorMessage="1" sqref="C20" xr:uid="{00000000-0002-0000-0200-000004000000}">
      <formula1>Auxillaryboilers</formula1>
      <formula2>0</formula2>
    </dataValidation>
    <dataValidation type="list" allowBlank="1" showInputMessage="1" showErrorMessage="1" sqref="C39" xr:uid="{00000000-0002-0000-0200-000005000000}">
      <formula1>Counterfactual</formula1>
      <formula2>0</formula2>
    </dataValidation>
    <dataValidation type="list" allowBlank="1" showInputMessage="1" showErrorMessage="1" sqref="F5" xr:uid="{00000000-0002-0000-0200-000006000000}">
      <formula1>Years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E2F0D9"/>
  </sheetPr>
  <dimension ref="A2:AMI5"/>
  <sheetViews>
    <sheetView zoomScaleNormal="100" workbookViewId="0">
      <selection activeCell="B5" sqref="B5:I5"/>
    </sheetView>
  </sheetViews>
  <sheetFormatPr defaultColWidth="9.140625" defaultRowHeight="15" customHeight="1"/>
  <cols>
    <col min="1" max="1" width="2.85546875" style="11" customWidth="1"/>
    <col min="2" max="2" width="10.140625" style="11" customWidth="1"/>
    <col min="3" max="3" width="54.85546875" style="11" customWidth="1"/>
    <col min="4" max="4" width="19.140625" style="11" customWidth="1"/>
    <col min="5" max="5" width="15.42578125" style="11" customWidth="1"/>
    <col min="6" max="6" width="21.140625" style="11" customWidth="1"/>
    <col min="7" max="7" width="13.140625" customWidth="1"/>
    <col min="8" max="8" width="10.42578125" style="20" customWidth="1"/>
    <col min="9" max="9" width="14.140625" style="20" customWidth="1"/>
    <col min="10" max="11" width="8.7109375" customWidth="1"/>
    <col min="12" max="13" width="9.140625" style="20"/>
    <col min="14" max="14" width="8.7109375" customWidth="1"/>
    <col min="15" max="16" width="9.140625" style="20"/>
    <col min="17" max="18" width="8.7109375" customWidth="1"/>
    <col min="19" max="20" width="9.140625" style="11"/>
    <col min="21" max="21" width="11" style="11" customWidth="1"/>
    <col min="22" max="1023" width="9.140625" style="11"/>
  </cols>
  <sheetData>
    <row r="2" spans="1:15" s="11" customFormat="1" ht="14.25" customHeight="1">
      <c r="A2" s="118">
        <v>1</v>
      </c>
      <c r="B2" s="119" t="s">
        <v>181</v>
      </c>
      <c r="C2" s="118"/>
      <c r="D2" s="118"/>
      <c r="E2" s="118"/>
      <c r="F2" s="118"/>
      <c r="G2" s="118"/>
      <c r="H2" s="118"/>
      <c r="I2" s="118"/>
      <c r="J2" s="118"/>
      <c r="K2" s="118"/>
      <c r="L2" s="118"/>
      <c r="M2" s="118"/>
    </row>
    <row r="3" spans="1:15" s="11" customFormat="1" ht="67.5">
      <c r="G3" s="20"/>
      <c r="H3" s="120" t="s">
        <v>182</v>
      </c>
      <c r="I3" s="120" t="s">
        <v>183</v>
      </c>
      <c r="J3" s="2" t="s">
        <v>184</v>
      </c>
      <c r="K3" s="2"/>
      <c r="L3" s="2"/>
      <c r="M3" s="2"/>
    </row>
    <row r="4" spans="1:15" s="11" customFormat="1" ht="41.25" customHeight="1">
      <c r="B4" s="121" t="s">
        <v>185</v>
      </c>
      <c r="C4" s="122" t="s">
        <v>186</v>
      </c>
      <c r="D4" s="122" t="s">
        <v>187</v>
      </c>
      <c r="E4" s="122" t="s">
        <v>188</v>
      </c>
      <c r="F4" s="122" t="s">
        <v>189</v>
      </c>
      <c r="G4" s="122" t="s">
        <v>190</v>
      </c>
      <c r="H4" s="122" t="s">
        <v>191</v>
      </c>
      <c r="I4" s="122" t="s">
        <v>192</v>
      </c>
      <c r="J4" s="121" t="s">
        <v>193</v>
      </c>
      <c r="K4" s="122" t="s">
        <v>194</v>
      </c>
      <c r="L4" s="122" t="s">
        <v>195</v>
      </c>
      <c r="M4" s="123" t="s">
        <v>196</v>
      </c>
      <c r="O4" s="100"/>
    </row>
    <row r="5" spans="1:15" s="11" customFormat="1" ht="12.75">
      <c r="B5" s="124">
        <v>1</v>
      </c>
      <c r="C5" s="125" t="s">
        <v>197</v>
      </c>
      <c r="D5" s="126" t="s">
        <v>198</v>
      </c>
      <c r="E5" s="127">
        <v>500000</v>
      </c>
      <c r="F5" s="127">
        <v>150</v>
      </c>
      <c r="G5" s="128">
        <v>50</v>
      </c>
      <c r="H5" s="128">
        <v>1</v>
      </c>
      <c r="I5" s="128"/>
      <c r="J5" s="129"/>
      <c r="K5" s="130" t="s">
        <v>114</v>
      </c>
      <c r="L5" s="131">
        <f>IF(J5=1,Dashboard!$C$28,IF(J5=2,Dashboard!$C$29,Dashboard!$C$30))</f>
        <v>2037</v>
      </c>
      <c r="M5" s="132"/>
    </row>
  </sheetData>
  <mergeCells count="1">
    <mergeCell ref="J3:M3"/>
  </mergeCells>
  <conditionalFormatting sqref="G5:I5 K5">
    <cfRule type="cellIs" dxfId="0" priority="2" operator="equal">
      <formula>"No"</formula>
    </cfRule>
  </conditionalFormatting>
  <dataValidations count="1">
    <dataValidation type="list" allowBlank="1" showInputMessage="1" showErrorMessage="1" sqref="K5" xr:uid="{00000000-0002-0000-0300-000000000000}">
      <formula1>YesNo</formula1>
      <formula2>0</formula2>
    </dataValidation>
  </dataValidation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1000000}">
          <x14:formula1>
            <xm:f>Lists!$B$35:$B$49</xm:f>
          </x14:formula1>
          <x14:formula2>
            <xm:f>0</xm:f>
          </x14:formula2>
          <xm:sqref>D5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E2F0D9"/>
  </sheetPr>
  <dimension ref="A1:L164"/>
  <sheetViews>
    <sheetView tabSelected="1" zoomScaleNormal="100" workbookViewId="0">
      <selection activeCell="C4" sqref="C4"/>
    </sheetView>
  </sheetViews>
  <sheetFormatPr defaultColWidth="8.7109375" defaultRowHeight="14.25"/>
  <cols>
    <col min="1" max="1" width="2.85546875" customWidth="1"/>
    <col min="4" max="4" width="9.7109375" customWidth="1"/>
    <col min="5" max="5" width="19.42578125" customWidth="1"/>
    <col min="9" max="9" width="26.7109375" customWidth="1"/>
    <col min="10" max="12" width="35.5703125" customWidth="1"/>
    <col min="13" max="13" width="28" customWidth="1"/>
  </cols>
  <sheetData>
    <row r="1" spans="1:12">
      <c r="A1" s="11"/>
    </row>
    <row r="2" spans="1:12" s="11" customFormat="1" ht="14.25" customHeight="1">
      <c r="A2" s="118">
        <v>1</v>
      </c>
      <c r="B2" s="118" t="s">
        <v>199</v>
      </c>
      <c r="C2" s="119"/>
      <c r="D2" s="118"/>
      <c r="E2" s="118"/>
      <c r="F2" s="118"/>
      <c r="G2" s="118"/>
      <c r="H2" s="118"/>
      <c r="I2" s="118"/>
      <c r="J2" s="118"/>
      <c r="K2" s="118"/>
      <c r="L2" s="118"/>
    </row>
    <row r="3" spans="1:12" ht="72">
      <c r="K3" s="133" t="s">
        <v>200</v>
      </c>
    </row>
    <row r="4" spans="1:12" ht="39">
      <c r="B4" s="121" t="s">
        <v>185</v>
      </c>
      <c r="C4" s="122" t="s">
        <v>201</v>
      </c>
      <c r="D4" s="122" t="s">
        <v>202</v>
      </c>
      <c r="E4" s="122" t="s">
        <v>203</v>
      </c>
      <c r="F4" s="122" t="s">
        <v>204</v>
      </c>
      <c r="G4" s="122" t="s">
        <v>205</v>
      </c>
      <c r="H4" s="122" t="s">
        <v>206</v>
      </c>
      <c r="I4" s="122" t="s">
        <v>207</v>
      </c>
      <c r="J4" s="122" t="s">
        <v>208</v>
      </c>
      <c r="K4" s="122" t="s">
        <v>209</v>
      </c>
      <c r="L4" s="122" t="s">
        <v>210</v>
      </c>
    </row>
    <row r="5" spans="1:12">
      <c r="B5" s="134"/>
      <c r="C5" s="134"/>
      <c r="D5" s="134"/>
      <c r="E5" s="134"/>
      <c r="F5" s="134"/>
      <c r="G5" s="134"/>
      <c r="H5" s="134"/>
      <c r="I5" s="134"/>
      <c r="J5" s="134"/>
      <c r="K5" s="134"/>
      <c r="L5" s="134"/>
    </row>
    <row r="6" spans="1:12">
      <c r="B6" s="134"/>
      <c r="C6" s="134"/>
      <c r="D6" s="134"/>
      <c r="E6" s="134"/>
      <c r="F6" s="134"/>
      <c r="G6" s="134"/>
      <c r="H6" s="134"/>
      <c r="I6" s="134"/>
      <c r="J6" s="134"/>
      <c r="K6" s="134"/>
      <c r="L6" s="134"/>
    </row>
    <row r="7" spans="1:12">
      <c r="B7" s="134"/>
      <c r="C7" s="134"/>
      <c r="D7" s="134"/>
      <c r="E7" s="134"/>
      <c r="F7" s="134"/>
      <c r="G7" s="134"/>
      <c r="H7" s="134"/>
      <c r="I7" s="134"/>
      <c r="J7" s="134"/>
      <c r="K7" s="134"/>
      <c r="L7" s="134"/>
    </row>
    <row r="8" spans="1:12">
      <c r="B8" s="134"/>
      <c r="C8" s="134"/>
      <c r="D8" s="134"/>
      <c r="E8" s="134"/>
      <c r="F8" s="134"/>
      <c r="G8" s="134"/>
      <c r="H8" s="134"/>
      <c r="I8" s="134"/>
      <c r="J8" s="134"/>
      <c r="K8" s="134"/>
      <c r="L8" s="134"/>
    </row>
    <row r="9" spans="1:12">
      <c r="B9" s="134"/>
      <c r="C9" s="134"/>
      <c r="D9" s="134"/>
      <c r="E9" s="134"/>
      <c r="F9" s="134"/>
      <c r="G9" s="134"/>
      <c r="H9" s="134"/>
      <c r="I9" s="134"/>
      <c r="J9" s="134"/>
      <c r="K9" s="134"/>
      <c r="L9" s="134"/>
    </row>
    <row r="10" spans="1:12">
      <c r="B10" s="134"/>
      <c r="C10" s="134"/>
      <c r="D10" s="134"/>
      <c r="E10" s="134"/>
      <c r="F10" s="134"/>
      <c r="G10" s="134"/>
      <c r="H10" s="134"/>
      <c r="I10" s="134"/>
      <c r="J10" s="134"/>
      <c r="K10" s="134"/>
      <c r="L10" s="134"/>
    </row>
    <row r="11" spans="1:12">
      <c r="B11" s="134"/>
      <c r="C11" s="134"/>
      <c r="D11" s="134"/>
      <c r="E11" s="134"/>
      <c r="F11" s="134"/>
      <c r="G11" s="134"/>
      <c r="H11" s="134"/>
      <c r="I11" s="134"/>
      <c r="J11" s="134"/>
      <c r="K11" s="134"/>
      <c r="L11" s="134"/>
    </row>
    <row r="12" spans="1:12">
      <c r="B12" s="134"/>
      <c r="C12" s="134"/>
      <c r="D12" s="134"/>
      <c r="E12" s="134"/>
      <c r="F12" s="134"/>
      <c r="G12" s="134"/>
      <c r="H12" s="134"/>
      <c r="I12" s="134"/>
      <c r="J12" s="134"/>
      <c r="K12" s="134"/>
      <c r="L12" s="134"/>
    </row>
    <row r="13" spans="1:12">
      <c r="B13" s="134"/>
      <c r="C13" s="134"/>
      <c r="D13" s="134"/>
      <c r="E13" s="134"/>
      <c r="F13" s="134"/>
      <c r="G13" s="134"/>
      <c r="H13" s="134"/>
      <c r="I13" s="134"/>
      <c r="J13" s="134"/>
      <c r="K13" s="134"/>
      <c r="L13" s="134"/>
    </row>
    <row r="14" spans="1:12">
      <c r="B14" s="134"/>
      <c r="C14" s="134"/>
      <c r="D14" s="134"/>
      <c r="E14" s="134"/>
      <c r="F14" s="134"/>
      <c r="G14" s="134"/>
      <c r="H14" s="134"/>
      <c r="I14" s="134"/>
      <c r="J14" s="134"/>
      <c r="K14" s="134"/>
      <c r="L14" s="134"/>
    </row>
    <row r="15" spans="1:12">
      <c r="B15" s="134"/>
      <c r="C15" s="134"/>
      <c r="D15" s="134"/>
      <c r="E15" s="134"/>
      <c r="F15" s="134"/>
      <c r="G15" s="134"/>
      <c r="H15" s="134"/>
      <c r="I15" s="134"/>
      <c r="J15" s="134"/>
      <c r="K15" s="134"/>
      <c r="L15" s="134"/>
    </row>
    <row r="16" spans="1:12">
      <c r="B16" s="134"/>
      <c r="C16" s="134"/>
      <c r="D16" s="134"/>
      <c r="E16" s="134"/>
      <c r="F16" s="134"/>
      <c r="G16" s="134"/>
      <c r="H16" s="134"/>
      <c r="I16" s="134"/>
      <c r="J16" s="134"/>
      <c r="K16" s="134"/>
      <c r="L16" s="134"/>
    </row>
    <row r="17" spans="2:12">
      <c r="B17" s="134"/>
      <c r="C17" s="134"/>
      <c r="D17" s="134"/>
      <c r="E17" s="134"/>
      <c r="F17" s="134"/>
      <c r="G17" s="134"/>
      <c r="H17" s="134"/>
      <c r="I17" s="134"/>
      <c r="J17" s="134"/>
      <c r="K17" s="134"/>
      <c r="L17" s="134"/>
    </row>
    <row r="18" spans="2:12">
      <c r="B18" s="134"/>
      <c r="C18" s="134"/>
      <c r="D18" s="134"/>
      <c r="E18" s="134"/>
      <c r="F18" s="134"/>
      <c r="G18" s="134"/>
      <c r="H18" s="134"/>
      <c r="I18" s="134"/>
      <c r="J18" s="134"/>
      <c r="K18" s="134"/>
      <c r="L18" s="134"/>
    </row>
    <row r="19" spans="2:12">
      <c r="B19" s="134"/>
      <c r="C19" s="134"/>
      <c r="D19" s="134"/>
      <c r="E19" s="134"/>
      <c r="F19" s="134"/>
      <c r="G19" s="134"/>
      <c r="H19" s="134"/>
      <c r="I19" s="134"/>
      <c r="J19" s="134"/>
      <c r="K19" s="134"/>
      <c r="L19" s="134"/>
    </row>
    <row r="20" spans="2:12">
      <c r="B20" s="134"/>
      <c r="C20" s="134"/>
      <c r="D20" s="134"/>
      <c r="E20" s="134"/>
      <c r="F20" s="134"/>
      <c r="G20" s="134"/>
      <c r="H20" s="134"/>
      <c r="I20" s="134"/>
      <c r="J20" s="134"/>
      <c r="K20" s="134"/>
      <c r="L20" s="134"/>
    </row>
    <row r="21" spans="2:12">
      <c r="B21" s="134"/>
      <c r="C21" s="134"/>
      <c r="D21" s="134"/>
      <c r="E21" s="134"/>
      <c r="F21" s="134"/>
      <c r="G21" s="134"/>
      <c r="H21" s="134"/>
      <c r="I21" s="134"/>
      <c r="J21" s="134"/>
      <c r="K21" s="134"/>
      <c r="L21" s="134"/>
    </row>
    <row r="22" spans="2:12">
      <c r="B22" s="134"/>
      <c r="C22" s="134"/>
      <c r="D22" s="134"/>
      <c r="E22" s="134"/>
      <c r="F22" s="134"/>
      <c r="G22" s="134"/>
      <c r="H22" s="134"/>
      <c r="I22" s="134"/>
      <c r="J22" s="134"/>
      <c r="K22" s="134"/>
      <c r="L22" s="134"/>
    </row>
    <row r="23" spans="2:12">
      <c r="B23" s="134"/>
      <c r="C23" s="134"/>
      <c r="D23" s="134"/>
      <c r="E23" s="134"/>
      <c r="F23" s="134"/>
      <c r="G23" s="134"/>
      <c r="H23" s="134"/>
      <c r="I23" s="134"/>
      <c r="J23" s="134"/>
      <c r="K23" s="134"/>
      <c r="L23" s="134"/>
    </row>
    <row r="24" spans="2:12">
      <c r="B24" s="134"/>
      <c r="C24" s="134"/>
      <c r="D24" s="134"/>
      <c r="E24" s="134"/>
      <c r="F24" s="134"/>
      <c r="G24" s="134"/>
      <c r="H24" s="134"/>
      <c r="I24" s="134"/>
      <c r="J24" s="134"/>
      <c r="K24" s="134"/>
      <c r="L24" s="134"/>
    </row>
    <row r="25" spans="2:12">
      <c r="B25" s="134"/>
      <c r="C25" s="134"/>
      <c r="D25" s="134"/>
      <c r="E25" s="134"/>
      <c r="F25" s="134"/>
      <c r="G25" s="134"/>
      <c r="H25" s="134"/>
      <c r="I25" s="134"/>
      <c r="J25" s="134"/>
      <c r="K25" s="134"/>
      <c r="L25" s="134"/>
    </row>
    <row r="26" spans="2:12">
      <c r="B26" s="134"/>
      <c r="C26" s="134"/>
      <c r="D26" s="134"/>
      <c r="E26" s="134"/>
      <c r="F26" s="134"/>
      <c r="G26" s="134"/>
      <c r="H26" s="134"/>
      <c r="I26" s="134"/>
      <c r="J26" s="134"/>
      <c r="K26" s="134"/>
      <c r="L26" s="134"/>
    </row>
    <row r="27" spans="2:12">
      <c r="B27" s="134"/>
      <c r="C27" s="134"/>
      <c r="D27" s="134"/>
      <c r="E27" s="134"/>
      <c r="F27" s="134"/>
      <c r="G27" s="134"/>
      <c r="H27" s="134"/>
      <c r="I27" s="134"/>
      <c r="J27" s="134"/>
      <c r="K27" s="134"/>
      <c r="L27" s="134"/>
    </row>
    <row r="28" spans="2:12">
      <c r="B28" s="134"/>
      <c r="C28" s="134"/>
      <c r="D28" s="134"/>
      <c r="E28" s="134"/>
      <c r="F28" s="134"/>
      <c r="G28" s="134"/>
      <c r="H28" s="134"/>
      <c r="I28" s="134"/>
      <c r="J28" s="134"/>
      <c r="K28" s="134"/>
      <c r="L28" s="134"/>
    </row>
    <row r="29" spans="2:12">
      <c r="B29" s="134"/>
      <c r="C29" s="134"/>
      <c r="D29" s="134"/>
      <c r="E29" s="134"/>
      <c r="F29" s="134"/>
      <c r="G29" s="134"/>
      <c r="H29" s="134"/>
      <c r="I29" s="134"/>
      <c r="J29" s="134"/>
      <c r="K29" s="134"/>
      <c r="L29" s="134"/>
    </row>
    <row r="30" spans="2:12">
      <c r="B30" s="134"/>
      <c r="C30" s="134"/>
      <c r="D30" s="134"/>
      <c r="E30" s="134"/>
      <c r="F30" s="134"/>
      <c r="G30" s="134"/>
      <c r="H30" s="134"/>
      <c r="I30" s="134"/>
      <c r="J30" s="134"/>
      <c r="K30" s="134"/>
      <c r="L30" s="134"/>
    </row>
    <row r="31" spans="2:12">
      <c r="B31" s="134"/>
      <c r="C31" s="134"/>
      <c r="D31" s="134"/>
      <c r="E31" s="134"/>
      <c r="F31" s="134"/>
      <c r="G31" s="134"/>
      <c r="H31" s="134"/>
      <c r="I31" s="134"/>
      <c r="J31" s="134"/>
      <c r="K31" s="134"/>
      <c r="L31" s="134"/>
    </row>
    <row r="32" spans="2:12">
      <c r="B32" s="134"/>
      <c r="C32" s="134"/>
      <c r="D32" s="134"/>
      <c r="E32" s="134"/>
      <c r="F32" s="134"/>
      <c r="G32" s="134"/>
      <c r="H32" s="134"/>
      <c r="I32" s="134"/>
      <c r="J32" s="134"/>
      <c r="K32" s="134"/>
      <c r="L32" s="134"/>
    </row>
    <row r="33" spans="2:12">
      <c r="B33" s="134"/>
      <c r="C33" s="134"/>
      <c r="D33" s="134"/>
      <c r="E33" s="134"/>
      <c r="F33" s="134"/>
      <c r="G33" s="134"/>
      <c r="H33" s="134"/>
      <c r="I33" s="134"/>
      <c r="J33" s="134"/>
      <c r="K33" s="134"/>
      <c r="L33" s="134"/>
    </row>
    <row r="34" spans="2:12">
      <c r="B34" s="134"/>
      <c r="C34" s="134"/>
      <c r="D34" s="134"/>
      <c r="E34" s="134"/>
      <c r="F34" s="134"/>
      <c r="G34" s="134"/>
      <c r="H34" s="134"/>
      <c r="I34" s="134"/>
      <c r="J34" s="134"/>
      <c r="K34" s="134"/>
      <c r="L34" s="134"/>
    </row>
    <row r="35" spans="2:12">
      <c r="B35" s="134"/>
      <c r="C35" s="134"/>
      <c r="D35" s="134"/>
      <c r="E35" s="134"/>
      <c r="F35" s="134"/>
      <c r="G35" s="134"/>
      <c r="H35" s="134"/>
      <c r="I35" s="134"/>
      <c r="J35" s="134"/>
      <c r="K35" s="134"/>
      <c r="L35" s="134"/>
    </row>
    <row r="36" spans="2:12">
      <c r="B36" s="134"/>
      <c r="C36" s="134"/>
      <c r="D36" s="134"/>
      <c r="E36" s="134"/>
      <c r="F36" s="134"/>
      <c r="G36" s="134"/>
      <c r="H36" s="134"/>
      <c r="I36" s="134"/>
      <c r="J36" s="134"/>
      <c r="K36" s="134"/>
      <c r="L36" s="134"/>
    </row>
    <row r="37" spans="2:12">
      <c r="B37" s="134"/>
      <c r="C37" s="134"/>
      <c r="D37" s="134"/>
      <c r="E37" s="134"/>
      <c r="F37" s="134"/>
      <c r="G37" s="134"/>
      <c r="H37" s="134"/>
      <c r="I37" s="134"/>
      <c r="J37" s="134"/>
      <c r="K37" s="134"/>
      <c r="L37" s="134"/>
    </row>
    <row r="38" spans="2:12">
      <c r="B38" s="134"/>
      <c r="C38" s="134"/>
      <c r="D38" s="134"/>
      <c r="E38" s="134"/>
      <c r="F38" s="134"/>
      <c r="G38" s="134"/>
      <c r="H38" s="134"/>
      <c r="I38" s="134"/>
      <c r="J38" s="134"/>
      <c r="K38" s="134"/>
      <c r="L38" s="134"/>
    </row>
    <row r="39" spans="2:12">
      <c r="B39" s="134"/>
      <c r="C39" s="134"/>
      <c r="D39" s="134"/>
      <c r="E39" s="134"/>
      <c r="F39" s="134"/>
      <c r="G39" s="134"/>
      <c r="H39" s="134"/>
      <c r="I39" s="134"/>
      <c r="J39" s="134"/>
      <c r="K39" s="134"/>
      <c r="L39" s="134"/>
    </row>
    <row r="40" spans="2:12">
      <c r="B40" s="134"/>
      <c r="C40" s="134"/>
      <c r="D40" s="134"/>
      <c r="E40" s="134"/>
      <c r="F40" s="134"/>
      <c r="G40" s="134"/>
      <c r="H40" s="134"/>
      <c r="I40" s="134"/>
      <c r="J40" s="134"/>
      <c r="K40" s="134"/>
      <c r="L40" s="134"/>
    </row>
    <row r="41" spans="2:12">
      <c r="B41" s="134"/>
      <c r="C41" s="134"/>
      <c r="D41" s="134"/>
      <c r="E41" s="134"/>
      <c r="F41" s="134"/>
      <c r="G41" s="134"/>
      <c r="H41" s="134"/>
      <c r="I41" s="134"/>
      <c r="J41" s="134"/>
      <c r="K41" s="134"/>
      <c r="L41" s="134"/>
    </row>
    <row r="42" spans="2:12">
      <c r="B42" s="134"/>
      <c r="C42" s="134"/>
      <c r="D42" s="134"/>
      <c r="E42" s="134"/>
      <c r="F42" s="134"/>
      <c r="G42" s="134"/>
      <c r="H42" s="134"/>
      <c r="I42" s="134"/>
      <c r="J42" s="134"/>
      <c r="K42" s="134"/>
      <c r="L42" s="134"/>
    </row>
    <row r="43" spans="2:12">
      <c r="B43" s="134"/>
      <c r="C43" s="134"/>
      <c r="D43" s="134"/>
      <c r="E43" s="134"/>
      <c r="F43" s="134"/>
      <c r="G43" s="134"/>
      <c r="H43" s="134"/>
      <c r="I43" s="134"/>
      <c r="J43" s="134"/>
      <c r="K43" s="134"/>
      <c r="L43" s="134"/>
    </row>
    <row r="44" spans="2:12">
      <c r="B44" s="134"/>
      <c r="C44" s="134"/>
      <c r="D44" s="134"/>
      <c r="E44" s="134"/>
      <c r="F44" s="134"/>
      <c r="G44" s="134"/>
      <c r="H44" s="134"/>
      <c r="I44" s="134"/>
      <c r="J44" s="134"/>
      <c r="K44" s="134"/>
      <c r="L44" s="134"/>
    </row>
    <row r="45" spans="2:12">
      <c r="B45" s="134"/>
      <c r="C45" s="134"/>
      <c r="D45" s="134"/>
      <c r="E45" s="134"/>
      <c r="F45" s="134"/>
      <c r="G45" s="134"/>
      <c r="H45" s="134"/>
      <c r="I45" s="134"/>
      <c r="J45" s="134"/>
      <c r="K45" s="134"/>
      <c r="L45" s="134"/>
    </row>
    <row r="46" spans="2:12">
      <c r="B46" s="134"/>
      <c r="C46" s="134"/>
      <c r="D46" s="134"/>
      <c r="E46" s="134"/>
      <c r="F46" s="134"/>
      <c r="G46" s="134"/>
      <c r="H46" s="134"/>
      <c r="I46" s="134"/>
      <c r="J46" s="134"/>
      <c r="K46" s="134"/>
      <c r="L46" s="134"/>
    </row>
    <row r="47" spans="2:12">
      <c r="B47" s="134"/>
      <c r="C47" s="134"/>
      <c r="D47" s="134"/>
      <c r="E47" s="134"/>
      <c r="F47" s="134"/>
      <c r="G47" s="134"/>
      <c r="H47" s="134"/>
      <c r="I47" s="134"/>
      <c r="J47" s="134"/>
      <c r="K47" s="134"/>
      <c r="L47" s="134"/>
    </row>
    <row r="48" spans="2:12">
      <c r="B48" s="134"/>
      <c r="C48" s="134"/>
      <c r="D48" s="134"/>
      <c r="E48" s="134"/>
      <c r="F48" s="134"/>
      <c r="G48" s="134"/>
      <c r="H48" s="134"/>
      <c r="I48" s="134"/>
      <c r="J48" s="134"/>
      <c r="K48" s="134"/>
      <c r="L48" s="134"/>
    </row>
    <row r="49" spans="2:12">
      <c r="B49" s="134"/>
      <c r="C49" s="134"/>
      <c r="D49" s="134"/>
      <c r="E49" s="134"/>
      <c r="F49" s="134"/>
      <c r="G49" s="134"/>
      <c r="H49" s="134"/>
      <c r="I49" s="134"/>
      <c r="J49" s="134"/>
      <c r="K49" s="134"/>
      <c r="L49" s="134"/>
    </row>
    <row r="50" spans="2:12">
      <c r="B50" s="134"/>
      <c r="C50" s="134"/>
      <c r="D50" s="134"/>
      <c r="E50" s="134"/>
      <c r="F50" s="134"/>
      <c r="G50" s="134"/>
      <c r="H50" s="134"/>
      <c r="I50" s="134"/>
      <c r="J50" s="134"/>
      <c r="K50" s="134"/>
      <c r="L50" s="134"/>
    </row>
    <row r="51" spans="2:12">
      <c r="B51" s="134"/>
      <c r="C51" s="134"/>
      <c r="D51" s="134"/>
      <c r="E51" s="134"/>
      <c r="F51" s="134"/>
      <c r="G51" s="134"/>
      <c r="H51" s="134"/>
      <c r="I51" s="134"/>
      <c r="J51" s="134"/>
      <c r="K51" s="134"/>
      <c r="L51" s="134"/>
    </row>
    <row r="52" spans="2:12">
      <c r="B52" s="134"/>
      <c r="C52" s="134"/>
      <c r="D52" s="134"/>
      <c r="E52" s="134"/>
      <c r="F52" s="134"/>
      <c r="G52" s="134"/>
      <c r="H52" s="134"/>
      <c r="I52" s="134"/>
      <c r="J52" s="134"/>
      <c r="K52" s="134"/>
      <c r="L52" s="134"/>
    </row>
    <row r="53" spans="2:12">
      <c r="B53" s="134"/>
      <c r="C53" s="134"/>
      <c r="D53" s="134"/>
      <c r="E53" s="134"/>
      <c r="F53" s="134"/>
      <c r="G53" s="134"/>
      <c r="H53" s="134"/>
      <c r="I53" s="134"/>
      <c r="J53" s="134"/>
      <c r="K53" s="134"/>
      <c r="L53" s="134"/>
    </row>
    <row r="54" spans="2:12">
      <c r="B54" s="134"/>
      <c r="C54" s="134"/>
      <c r="D54" s="134"/>
      <c r="E54" s="134"/>
      <c r="F54" s="134"/>
      <c r="G54" s="134"/>
      <c r="H54" s="134"/>
      <c r="I54" s="134"/>
      <c r="J54" s="134"/>
      <c r="K54" s="134"/>
      <c r="L54" s="134"/>
    </row>
    <row r="55" spans="2:12">
      <c r="B55" s="134"/>
      <c r="C55" s="134"/>
      <c r="D55" s="134"/>
      <c r="E55" s="134"/>
      <c r="F55" s="134"/>
      <c r="G55" s="134"/>
      <c r="H55" s="134"/>
      <c r="I55" s="134"/>
      <c r="J55" s="134"/>
      <c r="K55" s="134"/>
      <c r="L55" s="134"/>
    </row>
    <row r="56" spans="2:12">
      <c r="B56" s="134"/>
      <c r="C56" s="134"/>
      <c r="D56" s="134"/>
      <c r="E56" s="134"/>
      <c r="F56" s="134"/>
      <c r="G56" s="134"/>
      <c r="H56" s="134"/>
      <c r="I56" s="134"/>
      <c r="J56" s="134"/>
      <c r="K56" s="134"/>
      <c r="L56" s="134"/>
    </row>
    <row r="57" spans="2:12">
      <c r="B57" s="134"/>
      <c r="C57" s="134"/>
      <c r="D57" s="134"/>
      <c r="E57" s="134"/>
      <c r="F57" s="134"/>
      <c r="G57" s="134"/>
      <c r="H57" s="134"/>
      <c r="I57" s="134"/>
      <c r="J57" s="134"/>
      <c r="K57" s="134"/>
      <c r="L57" s="134"/>
    </row>
    <row r="58" spans="2:12">
      <c r="B58" s="134"/>
      <c r="C58" s="134"/>
      <c r="D58" s="134"/>
      <c r="E58" s="134"/>
      <c r="F58" s="134"/>
      <c r="G58" s="134"/>
      <c r="H58" s="134"/>
      <c r="I58" s="134"/>
      <c r="J58" s="134"/>
      <c r="K58" s="134"/>
      <c r="L58" s="134"/>
    </row>
    <row r="59" spans="2:12">
      <c r="B59" s="134"/>
      <c r="C59" s="134"/>
      <c r="D59" s="134"/>
      <c r="E59" s="134"/>
      <c r="F59" s="134"/>
      <c r="G59" s="134"/>
      <c r="H59" s="134"/>
      <c r="I59" s="134"/>
      <c r="J59" s="134"/>
      <c r="K59" s="134"/>
      <c r="L59" s="134"/>
    </row>
    <row r="60" spans="2:12">
      <c r="B60" s="134"/>
      <c r="C60" s="134"/>
      <c r="D60" s="134"/>
      <c r="E60" s="134"/>
      <c r="F60" s="134"/>
      <c r="G60" s="134"/>
      <c r="H60" s="134"/>
      <c r="I60" s="134"/>
      <c r="J60" s="134"/>
      <c r="K60" s="134"/>
      <c r="L60" s="134"/>
    </row>
    <row r="61" spans="2:12">
      <c r="B61" s="134"/>
      <c r="C61" s="134"/>
      <c r="D61" s="134"/>
      <c r="E61" s="134"/>
      <c r="F61" s="134"/>
      <c r="G61" s="134"/>
      <c r="H61" s="134"/>
      <c r="I61" s="134"/>
      <c r="J61" s="134"/>
      <c r="K61" s="134"/>
      <c r="L61" s="134"/>
    </row>
    <row r="62" spans="2:12">
      <c r="B62" s="134"/>
      <c r="C62" s="134"/>
      <c r="D62" s="134"/>
      <c r="E62" s="134"/>
      <c r="F62" s="134"/>
      <c r="G62" s="134"/>
      <c r="H62" s="134"/>
      <c r="I62" s="134"/>
      <c r="J62" s="134"/>
      <c r="K62" s="134"/>
      <c r="L62" s="134"/>
    </row>
    <row r="63" spans="2:12">
      <c r="B63" s="134"/>
      <c r="C63" s="134"/>
      <c r="D63" s="134"/>
      <c r="E63" s="134"/>
      <c r="F63" s="134"/>
      <c r="G63" s="134"/>
      <c r="H63" s="134"/>
      <c r="I63" s="134"/>
      <c r="J63" s="134"/>
      <c r="K63" s="134"/>
      <c r="L63" s="134"/>
    </row>
    <row r="64" spans="2:12">
      <c r="B64" s="134"/>
      <c r="C64" s="134"/>
      <c r="D64" s="134"/>
      <c r="E64" s="134"/>
      <c r="F64" s="134"/>
      <c r="G64" s="134"/>
      <c r="H64" s="134"/>
      <c r="I64" s="134"/>
      <c r="J64" s="134"/>
      <c r="K64" s="134"/>
      <c r="L64" s="134"/>
    </row>
    <row r="65" spans="2:12">
      <c r="B65" s="134"/>
      <c r="C65" s="134"/>
      <c r="D65" s="134"/>
      <c r="E65" s="134"/>
      <c r="F65" s="134"/>
      <c r="G65" s="134"/>
      <c r="H65" s="134"/>
      <c r="I65" s="134"/>
      <c r="J65" s="134"/>
      <c r="K65" s="134"/>
      <c r="L65" s="134"/>
    </row>
    <row r="66" spans="2:12">
      <c r="B66" s="134"/>
      <c r="C66" s="134"/>
      <c r="D66" s="134"/>
      <c r="E66" s="134"/>
      <c r="F66" s="134"/>
      <c r="G66" s="134"/>
      <c r="H66" s="134"/>
      <c r="I66" s="134"/>
      <c r="J66" s="134"/>
      <c r="K66" s="134"/>
      <c r="L66" s="134"/>
    </row>
    <row r="67" spans="2:12">
      <c r="B67" s="134"/>
      <c r="C67" s="134"/>
      <c r="D67" s="134"/>
      <c r="E67" s="134"/>
      <c r="F67" s="134"/>
      <c r="G67" s="134"/>
      <c r="H67" s="134"/>
      <c r="I67" s="134"/>
      <c r="J67" s="134"/>
      <c r="K67" s="134"/>
      <c r="L67" s="134"/>
    </row>
    <row r="68" spans="2:12">
      <c r="B68" s="134"/>
      <c r="C68" s="134"/>
      <c r="D68" s="134"/>
      <c r="E68" s="134"/>
      <c r="F68" s="134"/>
      <c r="G68" s="134"/>
      <c r="H68" s="134"/>
      <c r="I68" s="134"/>
      <c r="J68" s="134"/>
      <c r="K68" s="134"/>
      <c r="L68" s="134"/>
    </row>
    <row r="69" spans="2:12">
      <c r="B69" s="134"/>
      <c r="C69" s="134"/>
      <c r="D69" s="134"/>
      <c r="E69" s="134"/>
      <c r="F69" s="134"/>
      <c r="G69" s="134"/>
      <c r="H69" s="134"/>
      <c r="I69" s="134"/>
      <c r="J69" s="134"/>
      <c r="K69" s="134"/>
      <c r="L69" s="134"/>
    </row>
    <row r="70" spans="2:12">
      <c r="B70" s="134"/>
      <c r="C70" s="134"/>
      <c r="D70" s="134"/>
      <c r="E70" s="134"/>
      <c r="F70" s="134"/>
      <c r="G70" s="134"/>
      <c r="H70" s="134"/>
      <c r="I70" s="134"/>
      <c r="J70" s="134"/>
      <c r="K70" s="134"/>
      <c r="L70" s="134"/>
    </row>
    <row r="71" spans="2:12">
      <c r="B71" s="134"/>
      <c r="C71" s="134"/>
      <c r="D71" s="134"/>
      <c r="E71" s="134"/>
      <c r="F71" s="134"/>
      <c r="G71" s="134"/>
      <c r="H71" s="134"/>
      <c r="I71" s="134"/>
      <c r="J71" s="134"/>
      <c r="K71" s="134"/>
      <c r="L71" s="134"/>
    </row>
    <row r="72" spans="2:12">
      <c r="B72" s="134"/>
      <c r="C72" s="134"/>
      <c r="D72" s="134"/>
      <c r="E72" s="134"/>
      <c r="F72" s="134"/>
      <c r="G72" s="134"/>
      <c r="H72" s="134"/>
      <c r="I72" s="134"/>
      <c r="J72" s="134"/>
      <c r="K72" s="134"/>
      <c r="L72" s="134"/>
    </row>
    <row r="73" spans="2:12">
      <c r="B73" s="134"/>
      <c r="C73" s="134"/>
      <c r="D73" s="134"/>
      <c r="E73" s="134"/>
      <c r="F73" s="134"/>
      <c r="G73" s="134"/>
      <c r="H73" s="134"/>
      <c r="I73" s="134"/>
      <c r="J73" s="134"/>
      <c r="K73" s="134"/>
      <c r="L73" s="134"/>
    </row>
    <row r="74" spans="2:12">
      <c r="B74" s="134"/>
      <c r="C74" s="134"/>
      <c r="D74" s="134"/>
      <c r="E74" s="134"/>
      <c r="F74" s="134"/>
      <c r="G74" s="134"/>
      <c r="H74" s="134"/>
      <c r="I74" s="134"/>
      <c r="J74" s="134"/>
      <c r="K74" s="134"/>
      <c r="L74" s="134"/>
    </row>
    <row r="75" spans="2:12">
      <c r="B75" s="134"/>
      <c r="C75" s="134"/>
      <c r="D75" s="134"/>
      <c r="E75" s="134"/>
      <c r="F75" s="134"/>
      <c r="G75" s="134"/>
      <c r="H75" s="134"/>
      <c r="I75" s="134"/>
      <c r="J75" s="134"/>
      <c r="K75" s="134"/>
      <c r="L75" s="134"/>
    </row>
    <row r="76" spans="2:12">
      <c r="B76" s="134"/>
      <c r="C76" s="134"/>
      <c r="D76" s="134"/>
      <c r="E76" s="134"/>
      <c r="F76" s="134"/>
      <c r="G76" s="134"/>
      <c r="H76" s="134"/>
      <c r="I76" s="134"/>
      <c r="J76" s="134"/>
      <c r="K76" s="134"/>
      <c r="L76" s="134"/>
    </row>
    <row r="77" spans="2:12">
      <c r="B77" s="134"/>
      <c r="C77" s="134"/>
      <c r="D77" s="134"/>
      <c r="E77" s="134"/>
      <c r="F77" s="134"/>
      <c r="G77" s="134"/>
      <c r="H77" s="134"/>
      <c r="I77" s="134"/>
      <c r="J77" s="134"/>
      <c r="K77" s="134"/>
      <c r="L77" s="134"/>
    </row>
    <row r="78" spans="2:12">
      <c r="B78" s="134"/>
      <c r="C78" s="134"/>
      <c r="D78" s="134"/>
      <c r="E78" s="134"/>
      <c r="F78" s="134"/>
      <c r="G78" s="134"/>
      <c r="H78" s="134"/>
      <c r="I78" s="134"/>
      <c r="J78" s="134"/>
      <c r="K78" s="134"/>
      <c r="L78" s="134"/>
    </row>
    <row r="79" spans="2:12">
      <c r="B79" s="134"/>
      <c r="C79" s="134"/>
      <c r="D79" s="134"/>
      <c r="E79" s="134"/>
      <c r="F79" s="134"/>
      <c r="G79" s="134"/>
      <c r="H79" s="134"/>
      <c r="I79" s="134"/>
      <c r="J79" s="134"/>
      <c r="K79" s="134"/>
      <c r="L79" s="134"/>
    </row>
    <row r="80" spans="2:12">
      <c r="B80" s="134"/>
      <c r="C80" s="134"/>
      <c r="D80" s="134"/>
      <c r="E80" s="134"/>
      <c r="F80" s="134"/>
      <c r="G80" s="134"/>
      <c r="H80" s="134"/>
      <c r="I80" s="134"/>
      <c r="J80" s="134"/>
      <c r="K80" s="134"/>
      <c r="L80" s="134"/>
    </row>
    <row r="81" spans="2:12">
      <c r="B81" s="134"/>
      <c r="C81" s="134"/>
      <c r="D81" s="134"/>
      <c r="E81" s="134"/>
      <c r="F81" s="134"/>
      <c r="G81" s="134"/>
      <c r="H81" s="134"/>
      <c r="I81" s="134"/>
      <c r="J81" s="134"/>
      <c r="K81" s="134"/>
      <c r="L81" s="134"/>
    </row>
    <row r="82" spans="2:12">
      <c r="B82" s="134"/>
      <c r="C82" s="134"/>
      <c r="D82" s="134"/>
      <c r="E82" s="134"/>
      <c r="F82" s="134"/>
      <c r="G82" s="134"/>
      <c r="H82" s="134"/>
      <c r="I82" s="134"/>
      <c r="J82" s="134"/>
      <c r="K82" s="134"/>
      <c r="L82" s="134"/>
    </row>
    <row r="83" spans="2:12">
      <c r="B83" s="134"/>
      <c r="C83" s="134"/>
      <c r="D83" s="134"/>
      <c r="E83" s="134"/>
      <c r="F83" s="134"/>
      <c r="G83" s="134"/>
      <c r="H83" s="134"/>
      <c r="I83" s="134"/>
      <c r="J83" s="134"/>
      <c r="K83" s="134"/>
      <c r="L83" s="134"/>
    </row>
    <row r="84" spans="2:12">
      <c r="B84" s="134"/>
      <c r="C84" s="134"/>
      <c r="D84" s="134"/>
      <c r="E84" s="134"/>
      <c r="F84" s="134"/>
      <c r="G84" s="134"/>
      <c r="H84" s="134"/>
      <c r="I84" s="134"/>
      <c r="J84" s="134"/>
      <c r="K84" s="134"/>
      <c r="L84" s="134"/>
    </row>
    <row r="85" spans="2:12">
      <c r="B85" s="134"/>
      <c r="C85" s="134"/>
      <c r="D85" s="134"/>
      <c r="E85" s="134"/>
      <c r="F85" s="134"/>
      <c r="G85" s="134"/>
      <c r="H85" s="134"/>
      <c r="I85" s="134"/>
      <c r="J85" s="134"/>
      <c r="K85" s="134"/>
      <c r="L85" s="134"/>
    </row>
    <row r="86" spans="2:12">
      <c r="B86" s="134"/>
      <c r="C86" s="134"/>
      <c r="D86" s="134"/>
      <c r="E86" s="134"/>
      <c r="F86" s="134"/>
      <c r="G86" s="134"/>
      <c r="H86" s="134"/>
      <c r="I86" s="134"/>
      <c r="J86" s="134"/>
      <c r="K86" s="134"/>
      <c r="L86" s="134"/>
    </row>
    <row r="87" spans="2:12">
      <c r="B87" s="134"/>
      <c r="C87" s="134"/>
      <c r="D87" s="134"/>
      <c r="E87" s="134"/>
      <c r="F87" s="134"/>
      <c r="G87" s="134"/>
      <c r="H87" s="134"/>
      <c r="I87" s="134"/>
      <c r="J87" s="134"/>
      <c r="K87" s="134"/>
      <c r="L87" s="134"/>
    </row>
    <row r="88" spans="2:12">
      <c r="B88" s="134"/>
      <c r="C88" s="134"/>
      <c r="D88" s="134"/>
      <c r="E88" s="134"/>
      <c r="F88" s="134"/>
      <c r="G88" s="134"/>
      <c r="H88" s="134"/>
      <c r="I88" s="134"/>
      <c r="J88" s="134"/>
      <c r="K88" s="134"/>
      <c r="L88" s="134"/>
    </row>
    <row r="89" spans="2:12">
      <c r="B89" s="134"/>
      <c r="C89" s="134"/>
      <c r="D89" s="134"/>
      <c r="E89" s="134"/>
      <c r="F89" s="134"/>
      <c r="G89" s="134"/>
      <c r="H89" s="134"/>
      <c r="I89" s="134"/>
      <c r="J89" s="134"/>
      <c r="K89" s="134"/>
      <c r="L89" s="134"/>
    </row>
    <row r="90" spans="2:12">
      <c r="B90" s="134"/>
      <c r="C90" s="134"/>
      <c r="D90" s="134"/>
      <c r="E90" s="134"/>
      <c r="F90" s="134"/>
      <c r="G90" s="134"/>
      <c r="H90" s="134"/>
      <c r="I90" s="134"/>
      <c r="J90" s="134"/>
      <c r="K90" s="134"/>
      <c r="L90" s="134"/>
    </row>
    <row r="91" spans="2:12">
      <c r="B91" s="134"/>
      <c r="C91" s="134"/>
      <c r="D91" s="134"/>
      <c r="E91" s="134"/>
      <c r="F91" s="134"/>
      <c r="G91" s="134"/>
      <c r="H91" s="134"/>
      <c r="I91" s="134"/>
      <c r="J91" s="134"/>
      <c r="K91" s="134"/>
      <c r="L91" s="134"/>
    </row>
    <row r="92" spans="2:12">
      <c r="B92" s="134"/>
      <c r="C92" s="134"/>
      <c r="D92" s="134"/>
      <c r="E92" s="134"/>
      <c r="F92" s="134"/>
      <c r="G92" s="134"/>
      <c r="H92" s="134"/>
      <c r="I92" s="134"/>
      <c r="J92" s="134"/>
      <c r="K92" s="134"/>
      <c r="L92" s="134"/>
    </row>
    <row r="93" spans="2:12">
      <c r="B93" s="134"/>
      <c r="C93" s="134"/>
      <c r="D93" s="134"/>
      <c r="E93" s="134"/>
      <c r="F93" s="134"/>
      <c r="G93" s="134"/>
      <c r="H93" s="134"/>
      <c r="I93" s="134"/>
      <c r="J93" s="134"/>
      <c r="K93" s="134"/>
      <c r="L93" s="134"/>
    </row>
    <row r="94" spans="2:12">
      <c r="B94" s="134"/>
      <c r="C94" s="134"/>
      <c r="D94" s="134"/>
      <c r="E94" s="134"/>
      <c r="F94" s="134"/>
      <c r="G94" s="134"/>
      <c r="H94" s="134"/>
      <c r="I94" s="134"/>
      <c r="J94" s="134"/>
      <c r="K94" s="134"/>
      <c r="L94" s="134"/>
    </row>
    <row r="95" spans="2:12">
      <c r="B95" s="134"/>
      <c r="C95" s="134"/>
      <c r="D95" s="134"/>
      <c r="E95" s="134"/>
      <c r="F95" s="134"/>
      <c r="G95" s="134"/>
      <c r="H95" s="134"/>
      <c r="I95" s="134"/>
      <c r="J95" s="134"/>
      <c r="K95" s="134"/>
      <c r="L95" s="134"/>
    </row>
    <row r="96" spans="2:12">
      <c r="B96" s="134"/>
      <c r="C96" s="134"/>
      <c r="D96" s="134"/>
      <c r="E96" s="134"/>
      <c r="F96" s="134"/>
      <c r="G96" s="134"/>
      <c r="H96" s="134"/>
      <c r="I96" s="134"/>
      <c r="J96" s="134"/>
      <c r="K96" s="134"/>
      <c r="L96" s="134"/>
    </row>
    <row r="97" spans="2:12">
      <c r="B97" s="134"/>
      <c r="C97" s="134"/>
      <c r="D97" s="134"/>
      <c r="E97" s="134"/>
      <c r="F97" s="134"/>
      <c r="G97" s="134"/>
      <c r="H97" s="134"/>
      <c r="I97" s="134"/>
      <c r="J97" s="134"/>
      <c r="K97" s="134"/>
      <c r="L97" s="134"/>
    </row>
    <row r="98" spans="2:12">
      <c r="B98" s="134"/>
      <c r="C98" s="134"/>
      <c r="D98" s="134"/>
      <c r="E98" s="134"/>
      <c r="F98" s="134"/>
      <c r="G98" s="134"/>
      <c r="H98" s="134"/>
      <c r="I98" s="134"/>
      <c r="J98" s="134"/>
      <c r="K98" s="134"/>
      <c r="L98" s="134"/>
    </row>
    <row r="99" spans="2:12">
      <c r="B99" s="134"/>
      <c r="C99" s="134"/>
      <c r="D99" s="134"/>
      <c r="E99" s="134"/>
      <c r="F99" s="134"/>
      <c r="G99" s="134"/>
      <c r="H99" s="134"/>
      <c r="I99" s="134"/>
      <c r="J99" s="134"/>
      <c r="K99" s="134"/>
      <c r="L99" s="134"/>
    </row>
    <row r="100" spans="2:12">
      <c r="B100" s="134"/>
      <c r="C100" s="134"/>
      <c r="D100" s="134"/>
      <c r="E100" s="134"/>
      <c r="F100" s="134"/>
      <c r="G100" s="134"/>
      <c r="H100" s="134"/>
      <c r="I100" s="134"/>
      <c r="J100" s="134"/>
      <c r="K100" s="134"/>
      <c r="L100" s="134"/>
    </row>
    <row r="101" spans="2:12">
      <c r="B101" s="134"/>
      <c r="C101" s="134"/>
      <c r="D101" s="134"/>
      <c r="E101" s="134"/>
      <c r="F101" s="134"/>
      <c r="G101" s="134"/>
      <c r="H101" s="134"/>
      <c r="I101" s="134"/>
      <c r="J101" s="134"/>
      <c r="K101" s="134"/>
      <c r="L101" s="134"/>
    </row>
    <row r="102" spans="2:12">
      <c r="B102" s="134"/>
      <c r="C102" s="134"/>
      <c r="D102" s="134"/>
      <c r="E102" s="134"/>
      <c r="F102" s="134"/>
      <c r="G102" s="134"/>
      <c r="H102" s="134"/>
      <c r="I102" s="134"/>
      <c r="J102" s="134"/>
      <c r="K102" s="134"/>
      <c r="L102" s="134"/>
    </row>
    <row r="103" spans="2:12">
      <c r="B103" s="134"/>
      <c r="C103" s="134"/>
      <c r="D103" s="134"/>
      <c r="E103" s="134"/>
      <c r="F103" s="134"/>
      <c r="G103" s="134"/>
      <c r="H103" s="134"/>
      <c r="I103" s="134"/>
      <c r="J103" s="134"/>
      <c r="K103" s="134"/>
      <c r="L103" s="134"/>
    </row>
    <row r="104" spans="2:12">
      <c r="B104" s="134"/>
      <c r="C104" s="134"/>
      <c r="D104" s="134"/>
      <c r="E104" s="134"/>
      <c r="F104" s="134"/>
      <c r="G104" s="134"/>
      <c r="H104" s="134"/>
      <c r="I104" s="134"/>
      <c r="J104" s="134"/>
      <c r="K104" s="134"/>
      <c r="L104" s="134"/>
    </row>
    <row r="105" spans="2:12">
      <c r="B105" s="134"/>
      <c r="C105" s="134"/>
      <c r="D105" s="134"/>
      <c r="E105" s="134"/>
      <c r="F105" s="134"/>
      <c r="G105" s="134"/>
      <c r="H105" s="134"/>
      <c r="I105" s="134"/>
      <c r="J105" s="134"/>
      <c r="K105" s="134"/>
      <c r="L105" s="134"/>
    </row>
    <row r="106" spans="2:12">
      <c r="B106" s="134"/>
      <c r="C106" s="134"/>
      <c r="D106" s="134"/>
      <c r="E106" s="134"/>
      <c r="F106" s="134"/>
      <c r="G106" s="134"/>
      <c r="H106" s="134"/>
      <c r="I106" s="134"/>
      <c r="J106" s="134"/>
      <c r="K106" s="134"/>
      <c r="L106" s="134"/>
    </row>
    <row r="107" spans="2:12">
      <c r="B107" s="134"/>
      <c r="C107" s="134"/>
      <c r="D107" s="134"/>
      <c r="E107" s="134"/>
      <c r="F107" s="134"/>
      <c r="G107" s="134"/>
      <c r="H107" s="134"/>
      <c r="I107" s="134"/>
      <c r="J107" s="134"/>
      <c r="K107" s="134"/>
      <c r="L107" s="134"/>
    </row>
    <row r="108" spans="2:12">
      <c r="B108" s="134"/>
      <c r="C108" s="134"/>
      <c r="D108" s="134"/>
      <c r="E108" s="134"/>
      <c r="F108" s="134"/>
      <c r="G108" s="134"/>
      <c r="H108" s="134"/>
      <c r="I108" s="134"/>
      <c r="J108" s="134"/>
      <c r="K108" s="134"/>
      <c r="L108" s="134"/>
    </row>
    <row r="109" spans="2:12">
      <c r="B109" s="134"/>
      <c r="C109" s="134"/>
      <c r="D109" s="134"/>
      <c r="E109" s="134"/>
      <c r="F109" s="134"/>
      <c r="G109" s="134"/>
      <c r="H109" s="134"/>
      <c r="I109" s="134"/>
      <c r="J109" s="134"/>
      <c r="K109" s="134"/>
      <c r="L109" s="134"/>
    </row>
    <row r="110" spans="2:12">
      <c r="B110" s="134"/>
      <c r="C110" s="134"/>
      <c r="D110" s="134"/>
      <c r="E110" s="134"/>
      <c r="F110" s="134"/>
      <c r="G110" s="134"/>
      <c r="H110" s="134"/>
      <c r="I110" s="134"/>
      <c r="J110" s="134"/>
      <c r="K110" s="134"/>
      <c r="L110" s="134"/>
    </row>
    <row r="111" spans="2:12">
      <c r="B111" s="134"/>
      <c r="C111" s="134"/>
      <c r="D111" s="134"/>
      <c r="E111" s="134"/>
      <c r="F111" s="134"/>
      <c r="G111" s="134"/>
      <c r="H111" s="134"/>
      <c r="I111" s="134"/>
      <c r="J111" s="134"/>
      <c r="K111" s="134"/>
      <c r="L111" s="134"/>
    </row>
    <row r="112" spans="2:12">
      <c r="B112" s="134"/>
      <c r="C112" s="134"/>
      <c r="D112" s="134"/>
      <c r="E112" s="134"/>
      <c r="F112" s="134"/>
      <c r="G112" s="134"/>
      <c r="H112" s="134"/>
      <c r="I112" s="134"/>
      <c r="J112" s="134"/>
      <c r="K112" s="134"/>
      <c r="L112" s="134"/>
    </row>
    <row r="113" spans="2:12">
      <c r="B113" s="134"/>
      <c r="C113" s="134"/>
      <c r="D113" s="134"/>
      <c r="E113" s="134"/>
      <c r="F113" s="134"/>
      <c r="G113" s="134"/>
      <c r="H113" s="134"/>
      <c r="I113" s="134"/>
      <c r="J113" s="134"/>
      <c r="K113" s="134"/>
      <c r="L113" s="134"/>
    </row>
    <row r="114" spans="2:12">
      <c r="B114" s="134"/>
      <c r="C114" s="134"/>
      <c r="D114" s="134"/>
      <c r="E114" s="134"/>
      <c r="F114" s="134"/>
      <c r="G114" s="134"/>
      <c r="H114" s="134"/>
      <c r="I114" s="134"/>
      <c r="J114" s="134"/>
      <c r="K114" s="134"/>
      <c r="L114" s="134"/>
    </row>
    <row r="115" spans="2:12">
      <c r="B115" s="134"/>
      <c r="C115" s="134"/>
      <c r="D115" s="134"/>
      <c r="E115" s="134"/>
      <c r="F115" s="134"/>
      <c r="G115" s="134"/>
      <c r="H115" s="134"/>
      <c r="I115" s="134"/>
      <c r="J115" s="134"/>
      <c r="K115" s="134"/>
      <c r="L115" s="134"/>
    </row>
    <row r="116" spans="2:12">
      <c r="B116" s="134"/>
      <c r="C116" s="134"/>
      <c r="D116" s="134"/>
      <c r="E116" s="134"/>
      <c r="F116" s="134"/>
      <c r="G116" s="134"/>
      <c r="H116" s="134"/>
      <c r="I116" s="134"/>
      <c r="J116" s="134"/>
      <c r="K116" s="134"/>
      <c r="L116" s="134"/>
    </row>
    <row r="117" spans="2:12">
      <c r="B117" s="134"/>
      <c r="C117" s="134"/>
      <c r="D117" s="134"/>
      <c r="E117" s="134"/>
      <c r="F117" s="134"/>
      <c r="G117" s="134"/>
      <c r="H117" s="134"/>
      <c r="I117" s="134"/>
      <c r="J117" s="134"/>
      <c r="K117" s="134"/>
      <c r="L117" s="134"/>
    </row>
    <row r="118" spans="2:12">
      <c r="B118" s="134"/>
      <c r="C118" s="134"/>
      <c r="D118" s="134"/>
      <c r="E118" s="134"/>
      <c r="F118" s="134"/>
      <c r="G118" s="134"/>
      <c r="H118" s="134"/>
      <c r="I118" s="134"/>
      <c r="J118" s="134"/>
      <c r="K118" s="134"/>
      <c r="L118" s="134"/>
    </row>
    <row r="119" spans="2:12">
      <c r="B119" s="134"/>
      <c r="C119" s="134"/>
      <c r="D119" s="134"/>
      <c r="E119" s="134"/>
      <c r="F119" s="134"/>
      <c r="G119" s="134"/>
      <c r="H119" s="134"/>
      <c r="I119" s="134"/>
      <c r="J119" s="134"/>
      <c r="K119" s="134"/>
      <c r="L119" s="134"/>
    </row>
    <row r="120" spans="2:12">
      <c r="B120" s="134"/>
      <c r="C120" s="134"/>
      <c r="D120" s="134"/>
      <c r="E120" s="134"/>
      <c r="F120" s="134"/>
      <c r="G120" s="134"/>
      <c r="H120" s="134"/>
      <c r="I120" s="134"/>
      <c r="J120" s="134"/>
      <c r="K120" s="134"/>
      <c r="L120" s="134"/>
    </row>
    <row r="121" spans="2:12">
      <c r="B121" s="134"/>
      <c r="C121" s="134"/>
      <c r="D121" s="134"/>
      <c r="E121" s="134"/>
      <c r="F121" s="134"/>
      <c r="G121" s="134"/>
      <c r="H121" s="134"/>
      <c r="I121" s="134"/>
      <c r="J121" s="134"/>
      <c r="K121" s="134"/>
      <c r="L121" s="134"/>
    </row>
    <row r="122" spans="2:12">
      <c r="B122" s="134"/>
      <c r="C122" s="134"/>
      <c r="D122" s="134"/>
      <c r="E122" s="134"/>
      <c r="F122" s="134"/>
      <c r="G122" s="134"/>
      <c r="H122" s="134"/>
      <c r="I122" s="134"/>
      <c r="J122" s="134"/>
      <c r="K122" s="134"/>
      <c r="L122" s="134"/>
    </row>
    <row r="123" spans="2:12">
      <c r="B123" s="134"/>
      <c r="C123" s="134"/>
      <c r="D123" s="134"/>
      <c r="E123" s="134"/>
      <c r="F123" s="134"/>
      <c r="G123" s="134"/>
      <c r="H123" s="134"/>
      <c r="I123" s="134"/>
      <c r="J123" s="134"/>
      <c r="K123" s="134"/>
      <c r="L123" s="134"/>
    </row>
    <row r="124" spans="2:12">
      <c r="B124" s="134"/>
      <c r="C124" s="134"/>
      <c r="D124" s="134"/>
      <c r="E124" s="134"/>
      <c r="F124" s="134"/>
      <c r="G124" s="134"/>
      <c r="H124" s="134"/>
      <c r="I124" s="134"/>
      <c r="J124" s="134"/>
      <c r="K124" s="134"/>
      <c r="L124" s="134"/>
    </row>
    <row r="125" spans="2:12">
      <c r="B125" s="134"/>
      <c r="C125" s="134"/>
      <c r="D125" s="134"/>
      <c r="E125" s="134"/>
      <c r="F125" s="134"/>
      <c r="G125" s="134"/>
      <c r="H125" s="134"/>
      <c r="I125" s="134"/>
      <c r="J125" s="134"/>
      <c r="K125" s="134"/>
      <c r="L125" s="134"/>
    </row>
    <row r="126" spans="2:12">
      <c r="B126" s="134"/>
      <c r="C126" s="134"/>
      <c r="D126" s="134"/>
      <c r="E126" s="134"/>
      <c r="F126" s="134"/>
      <c r="G126" s="134"/>
      <c r="H126" s="134"/>
      <c r="I126" s="134"/>
      <c r="J126" s="134"/>
      <c r="K126" s="134"/>
      <c r="L126" s="134"/>
    </row>
    <row r="127" spans="2:12">
      <c r="B127" s="134"/>
      <c r="C127" s="134"/>
      <c r="D127" s="134"/>
      <c r="E127" s="134"/>
      <c r="F127" s="134"/>
      <c r="G127" s="134"/>
      <c r="H127" s="134"/>
      <c r="I127" s="134"/>
      <c r="J127" s="134"/>
      <c r="K127" s="134"/>
      <c r="L127" s="134"/>
    </row>
    <row r="128" spans="2:12">
      <c r="B128" s="134"/>
      <c r="C128" s="134"/>
      <c r="D128" s="134"/>
      <c r="E128" s="134"/>
      <c r="F128" s="134"/>
      <c r="G128" s="134"/>
      <c r="H128" s="134"/>
      <c r="I128" s="134"/>
      <c r="J128" s="134"/>
      <c r="K128" s="134"/>
      <c r="L128" s="134"/>
    </row>
    <row r="129" spans="2:12">
      <c r="B129" s="134"/>
      <c r="C129" s="134"/>
      <c r="D129" s="134"/>
      <c r="E129" s="134"/>
      <c r="F129" s="134"/>
      <c r="G129" s="134"/>
      <c r="H129" s="134"/>
      <c r="I129" s="134"/>
      <c r="J129" s="134"/>
      <c r="K129" s="134"/>
      <c r="L129" s="134"/>
    </row>
    <row r="130" spans="2:12">
      <c r="B130" s="134"/>
      <c r="C130" s="134"/>
      <c r="D130" s="134"/>
      <c r="E130" s="134"/>
      <c r="F130" s="134"/>
      <c r="G130" s="134"/>
      <c r="H130" s="134"/>
      <c r="I130" s="134"/>
      <c r="J130" s="134"/>
      <c r="K130" s="134"/>
      <c r="L130" s="134"/>
    </row>
    <row r="131" spans="2:12">
      <c r="B131" s="134"/>
      <c r="C131" s="134"/>
      <c r="D131" s="134"/>
      <c r="E131" s="134"/>
      <c r="F131" s="134"/>
      <c r="G131" s="134"/>
      <c r="H131" s="134"/>
      <c r="I131" s="134"/>
      <c r="J131" s="134"/>
      <c r="K131" s="134"/>
      <c r="L131" s="134"/>
    </row>
    <row r="132" spans="2:12">
      <c r="B132" s="134"/>
      <c r="C132" s="134"/>
      <c r="D132" s="134"/>
      <c r="E132" s="134"/>
      <c r="F132" s="134"/>
      <c r="G132" s="134"/>
      <c r="H132" s="134"/>
      <c r="I132" s="134"/>
      <c r="J132" s="134"/>
      <c r="K132" s="134"/>
      <c r="L132" s="134"/>
    </row>
    <row r="133" spans="2:12">
      <c r="B133" s="134"/>
      <c r="C133" s="134"/>
      <c r="D133" s="134"/>
      <c r="E133" s="134"/>
      <c r="F133" s="134"/>
      <c r="G133" s="134"/>
      <c r="H133" s="134"/>
      <c r="I133" s="134"/>
      <c r="J133" s="134"/>
      <c r="K133" s="134"/>
      <c r="L133" s="134"/>
    </row>
    <row r="134" spans="2:12">
      <c r="B134" s="134"/>
      <c r="C134" s="134"/>
      <c r="D134" s="134"/>
      <c r="E134" s="134"/>
      <c r="F134" s="134"/>
      <c r="G134" s="134"/>
      <c r="H134" s="134"/>
      <c r="I134" s="134"/>
      <c r="J134" s="134"/>
      <c r="K134" s="134"/>
      <c r="L134" s="134"/>
    </row>
    <row r="135" spans="2:12">
      <c r="B135" s="134"/>
      <c r="C135" s="134"/>
      <c r="D135" s="134"/>
      <c r="E135" s="134"/>
      <c r="F135" s="134"/>
      <c r="G135" s="134"/>
      <c r="H135" s="134"/>
      <c r="I135" s="134"/>
      <c r="J135" s="134"/>
      <c r="K135" s="134"/>
      <c r="L135" s="134"/>
    </row>
    <row r="136" spans="2:12">
      <c r="B136" s="134"/>
      <c r="C136" s="134"/>
      <c r="D136" s="134"/>
      <c r="E136" s="134"/>
      <c r="F136" s="134"/>
      <c r="G136" s="134"/>
      <c r="H136" s="134"/>
      <c r="I136" s="134"/>
      <c r="J136" s="134"/>
      <c r="K136" s="134"/>
      <c r="L136" s="134"/>
    </row>
    <row r="137" spans="2:12">
      <c r="B137" s="134"/>
      <c r="C137" s="134"/>
      <c r="D137" s="134"/>
      <c r="E137" s="134"/>
      <c r="F137" s="134"/>
      <c r="G137" s="134"/>
      <c r="H137" s="134"/>
      <c r="I137" s="134"/>
      <c r="J137" s="134"/>
      <c r="K137" s="134"/>
      <c r="L137" s="134"/>
    </row>
    <row r="138" spans="2:12">
      <c r="B138" s="134"/>
      <c r="C138" s="134"/>
      <c r="D138" s="134"/>
      <c r="E138" s="134"/>
      <c r="F138" s="134"/>
      <c r="G138" s="134"/>
      <c r="H138" s="134"/>
      <c r="I138" s="134"/>
      <c r="J138" s="134"/>
      <c r="K138" s="134"/>
      <c r="L138" s="134"/>
    </row>
    <row r="139" spans="2:12">
      <c r="B139" s="134"/>
      <c r="C139" s="134"/>
      <c r="D139" s="134"/>
      <c r="E139" s="134"/>
      <c r="F139" s="134"/>
      <c r="G139" s="134"/>
      <c r="H139" s="134"/>
      <c r="I139" s="134"/>
      <c r="J139" s="134"/>
      <c r="K139" s="134"/>
      <c r="L139" s="134"/>
    </row>
    <row r="140" spans="2:12">
      <c r="B140" s="134"/>
      <c r="C140" s="134"/>
      <c r="D140" s="134"/>
      <c r="E140" s="134"/>
      <c r="F140" s="134"/>
      <c r="G140" s="134"/>
      <c r="H140" s="134"/>
      <c r="I140" s="134"/>
      <c r="J140" s="134"/>
      <c r="K140" s="134"/>
      <c r="L140" s="134"/>
    </row>
    <row r="141" spans="2:12">
      <c r="B141" s="134"/>
      <c r="C141" s="134"/>
      <c r="D141" s="134"/>
      <c r="E141" s="134"/>
      <c r="F141" s="134"/>
      <c r="G141" s="134"/>
      <c r="H141" s="134"/>
      <c r="I141" s="134"/>
      <c r="J141" s="134"/>
      <c r="K141" s="134"/>
      <c r="L141" s="134"/>
    </row>
    <row r="142" spans="2:12">
      <c r="B142" s="134"/>
      <c r="C142" s="134"/>
      <c r="D142" s="134"/>
      <c r="E142" s="134"/>
      <c r="F142" s="134"/>
      <c r="G142" s="134"/>
      <c r="H142" s="134"/>
      <c r="I142" s="134"/>
      <c r="J142" s="134"/>
      <c r="K142" s="134"/>
      <c r="L142" s="134"/>
    </row>
    <row r="143" spans="2:12">
      <c r="B143" s="134"/>
      <c r="C143" s="134"/>
      <c r="D143" s="134"/>
      <c r="E143" s="134"/>
      <c r="F143" s="134"/>
      <c r="G143" s="134"/>
      <c r="H143" s="134"/>
      <c r="I143" s="134"/>
      <c r="J143" s="134"/>
      <c r="K143" s="134"/>
      <c r="L143" s="134"/>
    </row>
    <row r="144" spans="2:12">
      <c r="B144" s="134"/>
      <c r="C144" s="134"/>
      <c r="D144" s="134"/>
      <c r="E144" s="134"/>
      <c r="F144" s="134"/>
      <c r="G144" s="134"/>
      <c r="H144" s="134"/>
      <c r="I144" s="134"/>
      <c r="J144" s="134"/>
      <c r="K144" s="134"/>
      <c r="L144" s="134"/>
    </row>
    <row r="145" spans="2:12">
      <c r="B145" s="134"/>
      <c r="C145" s="134"/>
      <c r="D145" s="134"/>
      <c r="E145" s="134"/>
      <c r="F145" s="134"/>
      <c r="G145" s="134"/>
      <c r="H145" s="134"/>
      <c r="I145" s="134"/>
      <c r="J145" s="134"/>
      <c r="K145" s="134"/>
      <c r="L145" s="134"/>
    </row>
    <row r="146" spans="2:12">
      <c r="B146" s="134"/>
      <c r="C146" s="134"/>
      <c r="D146" s="134"/>
      <c r="E146" s="134"/>
      <c r="F146" s="134"/>
      <c r="G146" s="134"/>
      <c r="H146" s="134"/>
      <c r="I146" s="134"/>
      <c r="J146" s="134"/>
      <c r="K146" s="134"/>
      <c r="L146" s="134"/>
    </row>
    <row r="147" spans="2:12">
      <c r="B147" s="134"/>
      <c r="C147" s="134"/>
      <c r="D147" s="134"/>
      <c r="E147" s="134"/>
      <c r="F147" s="134"/>
      <c r="G147" s="134"/>
      <c r="H147" s="134"/>
      <c r="I147" s="134"/>
      <c r="J147" s="134"/>
      <c r="K147" s="134"/>
      <c r="L147" s="134"/>
    </row>
    <row r="148" spans="2:12">
      <c r="B148" s="134"/>
      <c r="C148" s="134"/>
      <c r="D148" s="134"/>
      <c r="E148" s="134"/>
      <c r="F148" s="134"/>
      <c r="G148" s="134"/>
      <c r="H148" s="134"/>
      <c r="I148" s="134"/>
      <c r="J148" s="134"/>
      <c r="K148" s="134"/>
      <c r="L148" s="134"/>
    </row>
    <row r="149" spans="2:12">
      <c r="B149" s="134"/>
      <c r="C149" s="134"/>
      <c r="D149" s="134"/>
      <c r="E149" s="134"/>
      <c r="F149" s="134"/>
      <c r="G149" s="134"/>
      <c r="H149" s="134"/>
      <c r="I149" s="134"/>
      <c r="J149" s="134"/>
      <c r="K149" s="134"/>
      <c r="L149" s="134"/>
    </row>
    <row r="150" spans="2:12">
      <c r="B150" s="134"/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</row>
    <row r="151" spans="2:12">
      <c r="B151" s="134"/>
      <c r="C151" s="134"/>
      <c r="D151" s="134"/>
      <c r="E151" s="134"/>
      <c r="F151" s="134"/>
      <c r="G151" s="134"/>
      <c r="H151" s="134"/>
      <c r="I151" s="134"/>
      <c r="J151" s="134"/>
      <c r="K151" s="134"/>
      <c r="L151" s="134"/>
    </row>
    <row r="152" spans="2:12">
      <c r="B152" s="134"/>
      <c r="C152" s="134"/>
      <c r="D152" s="134"/>
      <c r="E152" s="134"/>
      <c r="F152" s="134"/>
      <c r="G152" s="134"/>
      <c r="H152" s="134"/>
      <c r="I152" s="134"/>
      <c r="J152" s="134"/>
      <c r="K152" s="134"/>
      <c r="L152" s="134"/>
    </row>
    <row r="153" spans="2:12">
      <c r="B153" s="134"/>
      <c r="C153" s="134"/>
      <c r="D153" s="134"/>
      <c r="E153" s="134"/>
      <c r="F153" s="134"/>
      <c r="G153" s="134"/>
      <c r="H153" s="134"/>
      <c r="I153" s="134"/>
      <c r="J153" s="134"/>
      <c r="K153" s="134"/>
      <c r="L153" s="134"/>
    </row>
    <row r="154" spans="2:12">
      <c r="B154" s="134"/>
      <c r="C154" s="134"/>
      <c r="D154" s="134"/>
      <c r="E154" s="134"/>
      <c r="F154" s="134"/>
      <c r="G154" s="134"/>
      <c r="H154" s="134"/>
      <c r="I154" s="134"/>
      <c r="J154" s="134"/>
      <c r="K154" s="134"/>
      <c r="L154" s="134"/>
    </row>
    <row r="155" spans="2:12">
      <c r="B155" s="134"/>
      <c r="C155" s="134"/>
      <c r="D155" s="134"/>
      <c r="E155" s="134"/>
      <c r="F155" s="134"/>
      <c r="G155" s="134"/>
      <c r="H155" s="134"/>
      <c r="I155" s="134"/>
      <c r="J155" s="134"/>
      <c r="K155" s="134"/>
      <c r="L155" s="134"/>
    </row>
    <row r="156" spans="2:12">
      <c r="B156" s="134"/>
      <c r="C156" s="134"/>
      <c r="D156" s="134"/>
      <c r="E156" s="134"/>
      <c r="F156" s="134"/>
      <c r="G156" s="134"/>
      <c r="H156" s="134"/>
      <c r="I156" s="134"/>
      <c r="J156" s="134"/>
      <c r="K156" s="134"/>
      <c r="L156" s="134"/>
    </row>
    <row r="157" spans="2:12">
      <c r="B157" s="134"/>
      <c r="C157" s="134"/>
      <c r="D157" s="134"/>
      <c r="E157" s="134"/>
      <c r="F157" s="134"/>
      <c r="G157" s="134"/>
      <c r="H157" s="134"/>
      <c r="I157" s="134"/>
      <c r="J157" s="134"/>
      <c r="K157" s="134"/>
      <c r="L157" s="134"/>
    </row>
    <row r="158" spans="2:12">
      <c r="B158" s="134"/>
      <c r="C158" s="134"/>
      <c r="D158" s="134"/>
      <c r="E158" s="134"/>
      <c r="F158" s="134"/>
      <c r="G158" s="134"/>
      <c r="H158" s="134"/>
      <c r="I158" s="134"/>
      <c r="J158" s="134"/>
      <c r="K158" s="134"/>
      <c r="L158" s="134"/>
    </row>
    <row r="159" spans="2:12">
      <c r="B159" s="134"/>
      <c r="C159" s="134"/>
      <c r="D159" s="134"/>
      <c r="E159" s="134"/>
      <c r="F159" s="134"/>
      <c r="G159" s="134"/>
      <c r="H159" s="134"/>
      <c r="I159" s="134"/>
      <c r="J159" s="134"/>
      <c r="K159" s="134"/>
      <c r="L159" s="134"/>
    </row>
    <row r="160" spans="2:12">
      <c r="B160" s="134"/>
      <c r="C160" s="134"/>
      <c r="D160" s="134"/>
      <c r="E160" s="134"/>
      <c r="F160" s="134"/>
      <c r="G160" s="134"/>
      <c r="H160" s="134"/>
      <c r="I160" s="134"/>
      <c r="J160" s="134"/>
      <c r="K160" s="134"/>
      <c r="L160" s="134"/>
    </row>
    <row r="161" spans="2:12">
      <c r="B161" s="134"/>
      <c r="C161" s="134"/>
      <c r="D161" s="134"/>
      <c r="E161" s="134"/>
      <c r="F161" s="134"/>
      <c r="G161" s="134"/>
      <c r="H161" s="134"/>
      <c r="I161" s="134"/>
      <c r="J161" s="134"/>
      <c r="K161" s="134"/>
      <c r="L161" s="134"/>
    </row>
    <row r="162" spans="2:12">
      <c r="B162" s="134"/>
      <c r="C162" s="134"/>
      <c r="D162" s="134"/>
      <c r="E162" s="134"/>
      <c r="F162" s="134"/>
      <c r="G162" s="134"/>
      <c r="H162" s="134"/>
      <c r="I162" s="134"/>
      <c r="J162" s="134"/>
      <c r="K162" s="134"/>
      <c r="L162" s="134"/>
    </row>
    <row r="163" spans="2:12">
      <c r="B163" s="134"/>
      <c r="C163" s="134"/>
      <c r="D163" s="134"/>
      <c r="E163" s="134"/>
      <c r="F163" s="134"/>
      <c r="G163" s="134"/>
      <c r="H163" s="134"/>
      <c r="I163" s="134"/>
      <c r="J163" s="134"/>
      <c r="K163" s="134"/>
      <c r="L163" s="134"/>
    </row>
    <row r="164" spans="2:12">
      <c r="B164" s="135"/>
      <c r="C164" s="135"/>
      <c r="D164" s="135"/>
      <c r="E164" s="135"/>
      <c r="F164" s="135"/>
      <c r="G164" s="135"/>
      <c r="H164" s="135"/>
      <c r="I164" s="135"/>
      <c r="J164" s="135"/>
      <c r="K164" s="135"/>
      <c r="L164" s="135"/>
    </row>
  </sheetData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2F0D9"/>
  </sheetPr>
  <dimension ref="A1:L29"/>
  <sheetViews>
    <sheetView zoomScaleNormal="100" workbookViewId="0">
      <selection activeCell="B7" sqref="B7"/>
    </sheetView>
  </sheetViews>
  <sheetFormatPr defaultColWidth="8.7109375" defaultRowHeight="14.25"/>
  <cols>
    <col min="1" max="1" width="2.85546875" customWidth="1"/>
    <col min="2" max="11" width="20" customWidth="1"/>
  </cols>
  <sheetData>
    <row r="1" spans="1:12">
      <c r="A1" s="11"/>
    </row>
    <row r="2" spans="1:12" s="11" customFormat="1" ht="14.25" customHeight="1">
      <c r="A2" s="118">
        <v>1</v>
      </c>
      <c r="B2" s="118" t="s">
        <v>211</v>
      </c>
      <c r="C2" s="119"/>
      <c r="D2" s="118"/>
      <c r="E2" s="118"/>
      <c r="F2" s="118"/>
      <c r="G2" s="118"/>
      <c r="H2" s="118"/>
      <c r="I2" s="118"/>
      <c r="J2" s="118"/>
      <c r="K2" s="118"/>
      <c r="L2" s="118"/>
    </row>
    <row r="4" spans="1:12" s="133" customFormat="1" ht="43.5" customHeight="1">
      <c r="C4" s="133" t="s">
        <v>212</v>
      </c>
      <c r="F4" s="1" t="s">
        <v>213</v>
      </c>
      <c r="G4" s="1"/>
      <c r="H4" s="1" t="s">
        <v>213</v>
      </c>
      <c r="I4" s="1"/>
      <c r="J4" s="1"/>
    </row>
    <row r="5" spans="1:12" ht="25.5">
      <c r="B5" s="121" t="s">
        <v>185</v>
      </c>
      <c r="C5" s="122" t="s">
        <v>214</v>
      </c>
      <c r="D5" s="122" t="s">
        <v>215</v>
      </c>
      <c r="E5" s="122" t="s">
        <v>216</v>
      </c>
      <c r="F5" s="122" t="s">
        <v>217</v>
      </c>
      <c r="G5" s="122" t="s">
        <v>218</v>
      </c>
      <c r="H5" s="122" t="s">
        <v>219</v>
      </c>
      <c r="I5" s="122" t="s">
        <v>220</v>
      </c>
      <c r="J5" s="122" t="s">
        <v>221</v>
      </c>
      <c r="K5" s="123" t="s">
        <v>222</v>
      </c>
    </row>
    <row r="6" spans="1:12" ht="18">
      <c r="B6" s="136"/>
      <c r="C6" s="137"/>
      <c r="D6" s="137"/>
      <c r="E6" s="137"/>
      <c r="F6" s="137"/>
      <c r="G6" s="137"/>
      <c r="H6" s="137"/>
      <c r="I6" s="137"/>
      <c r="J6" s="137"/>
      <c r="K6" s="138"/>
    </row>
    <row r="7" spans="1:12">
      <c r="B7" s="139"/>
      <c r="C7" s="140"/>
      <c r="D7" s="140"/>
      <c r="E7" s="140"/>
      <c r="F7" s="140"/>
      <c r="G7" s="140"/>
      <c r="H7" s="140"/>
      <c r="I7" s="140"/>
      <c r="J7" s="140"/>
      <c r="K7" s="141"/>
    </row>
    <row r="8" spans="1:12">
      <c r="B8" s="139"/>
      <c r="C8" s="140"/>
      <c r="D8" s="140"/>
      <c r="E8" s="140"/>
      <c r="F8" s="140"/>
      <c r="G8" s="140"/>
      <c r="H8" s="140"/>
      <c r="I8" s="140"/>
      <c r="J8" s="140"/>
      <c r="K8" s="141"/>
    </row>
    <row r="9" spans="1:12">
      <c r="B9" s="139"/>
      <c r="C9" s="140"/>
      <c r="D9" s="140"/>
      <c r="E9" s="140"/>
      <c r="F9" s="140"/>
      <c r="G9" s="140"/>
      <c r="H9" s="140"/>
      <c r="I9" s="140"/>
      <c r="J9" s="140"/>
      <c r="K9" s="141"/>
    </row>
    <row r="10" spans="1:12">
      <c r="B10" s="139"/>
      <c r="C10" s="140"/>
      <c r="D10" s="140"/>
      <c r="E10" s="140"/>
      <c r="F10" s="140"/>
      <c r="G10" s="140"/>
      <c r="H10" s="140"/>
      <c r="I10" s="140"/>
      <c r="J10" s="140"/>
      <c r="K10" s="141"/>
    </row>
    <row r="11" spans="1:12">
      <c r="B11" s="139"/>
      <c r="C11" s="140"/>
      <c r="D11" s="140"/>
      <c r="E11" s="140"/>
      <c r="F11" s="140"/>
      <c r="G11" s="140"/>
      <c r="H11" s="140"/>
      <c r="I11" s="140"/>
      <c r="J11" s="140"/>
      <c r="K11" s="141"/>
    </row>
    <row r="12" spans="1:12">
      <c r="B12" s="139"/>
      <c r="C12" s="140"/>
      <c r="D12" s="140"/>
      <c r="E12" s="140"/>
      <c r="F12" s="140"/>
      <c r="G12" s="140"/>
      <c r="H12" s="140"/>
      <c r="I12" s="140"/>
      <c r="J12" s="140"/>
      <c r="K12" s="141"/>
    </row>
    <row r="13" spans="1:12">
      <c r="B13" s="139"/>
      <c r="C13" s="140"/>
      <c r="D13" s="140"/>
      <c r="E13" s="140"/>
      <c r="F13" s="140"/>
      <c r="G13" s="140"/>
      <c r="H13" s="140"/>
      <c r="I13" s="140"/>
      <c r="J13" s="140"/>
      <c r="K13" s="141"/>
    </row>
    <row r="14" spans="1:12">
      <c r="B14" s="139"/>
      <c r="C14" s="140"/>
      <c r="D14" s="140"/>
      <c r="E14" s="140"/>
      <c r="F14" s="140"/>
      <c r="G14" s="140"/>
      <c r="H14" s="140"/>
      <c r="I14" s="140"/>
      <c r="J14" s="140"/>
      <c r="K14" s="141"/>
    </row>
    <row r="15" spans="1:12">
      <c r="B15" s="139"/>
      <c r="C15" s="140"/>
      <c r="D15" s="140"/>
      <c r="E15" s="140"/>
      <c r="F15" s="140"/>
      <c r="G15" s="140"/>
      <c r="H15" s="140"/>
      <c r="I15" s="140"/>
      <c r="J15" s="140"/>
      <c r="K15" s="141"/>
    </row>
    <row r="16" spans="1:12">
      <c r="B16" s="139"/>
      <c r="C16" s="140"/>
      <c r="D16" s="140"/>
      <c r="E16" s="140"/>
      <c r="F16" s="140"/>
      <c r="G16" s="140"/>
      <c r="H16" s="140"/>
      <c r="I16" s="140"/>
      <c r="J16" s="140"/>
      <c r="K16" s="141"/>
    </row>
    <row r="17" spans="2:11">
      <c r="B17" s="139"/>
      <c r="C17" s="140"/>
      <c r="D17" s="140"/>
      <c r="E17" s="140"/>
      <c r="F17" s="140"/>
      <c r="G17" s="140"/>
      <c r="H17" s="140"/>
      <c r="I17" s="140"/>
      <c r="J17" s="140"/>
      <c r="K17" s="141"/>
    </row>
    <row r="18" spans="2:11">
      <c r="B18" s="139"/>
      <c r="C18" s="140"/>
      <c r="D18" s="140"/>
      <c r="E18" s="140"/>
      <c r="F18" s="140"/>
      <c r="G18" s="140"/>
      <c r="H18" s="140"/>
      <c r="I18" s="140"/>
      <c r="J18" s="140"/>
      <c r="K18" s="141"/>
    </row>
    <row r="19" spans="2:11">
      <c r="B19" s="139"/>
      <c r="C19" s="140"/>
      <c r="D19" s="140"/>
      <c r="E19" s="140"/>
      <c r="F19" s="140"/>
      <c r="G19" s="140"/>
      <c r="H19" s="140"/>
      <c r="I19" s="140"/>
      <c r="J19" s="140"/>
      <c r="K19" s="141"/>
    </row>
    <row r="20" spans="2:11">
      <c r="B20" s="139"/>
      <c r="C20" s="140"/>
      <c r="D20" s="140"/>
      <c r="E20" s="140"/>
      <c r="F20" s="140"/>
      <c r="G20" s="140"/>
      <c r="H20" s="140"/>
      <c r="I20" s="140"/>
      <c r="J20" s="140"/>
      <c r="K20" s="141"/>
    </row>
    <row r="21" spans="2:11">
      <c r="B21" s="139"/>
      <c r="C21" s="140"/>
      <c r="D21" s="140"/>
      <c r="E21" s="140"/>
      <c r="F21" s="140"/>
      <c r="G21" s="140"/>
      <c r="H21" s="140"/>
      <c r="I21" s="140"/>
      <c r="J21" s="140"/>
      <c r="K21" s="141"/>
    </row>
    <row r="22" spans="2:11">
      <c r="B22" s="139"/>
      <c r="C22" s="140"/>
      <c r="D22" s="140"/>
      <c r="E22" s="140"/>
      <c r="F22" s="140"/>
      <c r="G22" s="140"/>
      <c r="H22" s="140"/>
      <c r="I22" s="140"/>
      <c r="J22" s="140"/>
      <c r="K22" s="141"/>
    </row>
    <row r="23" spans="2:11">
      <c r="B23" s="139"/>
      <c r="C23" s="140"/>
      <c r="D23" s="140"/>
      <c r="E23" s="140"/>
      <c r="F23" s="140"/>
      <c r="G23" s="140"/>
      <c r="H23" s="140"/>
      <c r="I23" s="140"/>
      <c r="J23" s="140"/>
      <c r="K23" s="141"/>
    </row>
    <row r="24" spans="2:11">
      <c r="B24" s="139"/>
      <c r="C24" s="140"/>
      <c r="D24" s="140"/>
      <c r="E24" s="140"/>
      <c r="F24" s="140"/>
      <c r="G24" s="140"/>
      <c r="H24" s="140"/>
      <c r="I24" s="140"/>
      <c r="J24" s="140"/>
      <c r="K24" s="141"/>
    </row>
    <row r="25" spans="2:11">
      <c r="B25" s="139"/>
      <c r="C25" s="140"/>
      <c r="D25" s="140"/>
      <c r="E25" s="140"/>
      <c r="F25" s="140"/>
      <c r="G25" s="140"/>
      <c r="H25" s="140"/>
      <c r="I25" s="140"/>
      <c r="J25" s="140"/>
      <c r="K25" s="141"/>
    </row>
    <row r="26" spans="2:11">
      <c r="B26" s="139"/>
      <c r="C26" s="140"/>
      <c r="D26" s="140"/>
      <c r="E26" s="140"/>
      <c r="F26" s="140"/>
      <c r="G26" s="140"/>
      <c r="H26" s="140"/>
      <c r="I26" s="140"/>
      <c r="J26" s="140"/>
      <c r="K26" s="141"/>
    </row>
    <row r="27" spans="2:11">
      <c r="B27" s="139"/>
      <c r="C27" s="140"/>
      <c r="D27" s="140"/>
      <c r="E27" s="140"/>
      <c r="F27" s="140"/>
      <c r="G27" s="140"/>
      <c r="H27" s="140"/>
      <c r="I27" s="140"/>
      <c r="J27" s="140"/>
      <c r="K27" s="141"/>
    </row>
    <row r="28" spans="2:11">
      <c r="B28" s="139"/>
      <c r="C28" s="140"/>
      <c r="D28" s="140"/>
      <c r="E28" s="140"/>
      <c r="F28" s="140"/>
      <c r="G28" s="140"/>
      <c r="H28" s="140"/>
      <c r="I28" s="140"/>
      <c r="J28" s="140"/>
      <c r="K28" s="141"/>
    </row>
    <row r="29" spans="2:11">
      <c r="B29" s="142"/>
      <c r="C29" s="143"/>
      <c r="D29" s="143"/>
      <c r="E29" s="143"/>
      <c r="F29" s="143"/>
      <c r="G29" s="143"/>
      <c r="H29" s="143"/>
      <c r="I29" s="143"/>
      <c r="J29" s="143"/>
      <c r="K29" s="144"/>
    </row>
  </sheetData>
  <mergeCells count="2">
    <mergeCell ref="F4:G4"/>
    <mergeCell ref="H4:J4"/>
  </mergeCells>
  <pageMargins left="0.7" right="0.7" top="0.75" bottom="0.75" header="0.511811023622047" footer="0.511811023622047"/>
  <pageSetup paperSize="9" orientation="portrait" horizontalDpi="300" verticalDpi="300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MJ114"/>
  <sheetViews>
    <sheetView zoomScaleNormal="100" workbookViewId="0">
      <selection activeCell="A2" sqref="A2"/>
    </sheetView>
  </sheetViews>
  <sheetFormatPr defaultColWidth="9.140625" defaultRowHeight="12.75"/>
  <cols>
    <col min="1" max="1" width="4" style="11" customWidth="1"/>
    <col min="2" max="2" width="60.140625" style="11" customWidth="1"/>
    <col min="3" max="9" width="20.7109375" style="11" customWidth="1"/>
    <col min="10" max="16" width="17.7109375" style="11" customWidth="1"/>
    <col min="17" max="1024" width="9.140625" style="11"/>
  </cols>
  <sheetData>
    <row r="1" spans="1:8" ht="14.25" customHeight="1"/>
    <row r="2" spans="1:8" ht="14.25" customHeight="1">
      <c r="A2" s="118">
        <v>1</v>
      </c>
      <c r="B2" s="119" t="s">
        <v>223</v>
      </c>
      <c r="C2" s="118"/>
      <c r="D2" s="118"/>
      <c r="E2" s="118"/>
      <c r="F2" s="118"/>
      <c r="G2" s="118"/>
      <c r="H2" s="118"/>
    </row>
    <row r="3" spans="1:8" ht="14.25" customHeight="1"/>
    <row r="4" spans="1:8" ht="14.25" customHeight="1">
      <c r="B4" s="145" t="s">
        <v>224</v>
      </c>
    </row>
    <row r="5" spans="1:8" ht="29.25" customHeight="1">
      <c r="C5" s="120" t="s">
        <v>225</v>
      </c>
      <c r="D5" s="120" t="s">
        <v>226</v>
      </c>
      <c r="E5" s="120" t="s">
        <v>227</v>
      </c>
    </row>
    <row r="6" spans="1:8" ht="14.25" customHeight="1">
      <c r="B6" s="146" t="s">
        <v>228</v>
      </c>
      <c r="C6" s="147">
        <f>SUM(demands[Annual demand])</f>
        <v>500000</v>
      </c>
      <c r="D6" s="147" t="e">
        <f>SUMIFS('Heat connections'!#REF!,'Heat connections'!$K$5:$K$5,Lists!$B$4,'Heat connections'!$J$5:$J$5,2,'Heat connections'!$D$5:$D$5,Lists!$B$35)+C6</f>
        <v>#REF!</v>
      </c>
      <c r="E6" s="147" t="e">
        <f>SUMIFS('Heat connections'!#REF!,'Heat connections'!$K$5:$K$5,Lists!$B$4,'Heat connections'!$J$5:$J$5,3,'Heat connections'!$D$5:$D$5,Lists!$B$35)+D6</f>
        <v>#REF!</v>
      </c>
      <c r="G6" s="57"/>
    </row>
    <row r="7" spans="1:8" ht="14.25" customHeight="1">
      <c r="B7" s="146" t="s">
        <v>229</v>
      </c>
      <c r="C7" s="147" t="e">
        <f>SUMIFS('Heat connections'!#REF!,'Heat connections'!$K$5:$K$5,Lists!$B$4,'Heat connections'!$J$5:$J$5,1,'Heat connections'!$D$5:$D$5,Lists!$B$36)</f>
        <v>#REF!</v>
      </c>
      <c r="D7" s="147" t="e">
        <f>SUMIFS('Heat connections'!#REF!,'Heat connections'!$K$5:$K$5,Lists!$B$4,'Heat connections'!$J$5:$J$5,2,'Heat connections'!$D$5:$D$5,Lists!$B$36)+C7</f>
        <v>#REF!</v>
      </c>
      <c r="E7" s="147" t="e">
        <f>SUMIFS('Heat connections'!#REF!,'Heat connections'!$K$5:$K$5,Lists!$B$4,'Heat connections'!$J$5:$J$5,3,'Heat connections'!$D$5:$D$5,Lists!$B$36)+D7</f>
        <v>#REF!</v>
      </c>
      <c r="F7" s="148"/>
      <c r="G7" s="57"/>
    </row>
    <row r="8" spans="1:8" ht="14.25" customHeight="1">
      <c r="B8" s="149" t="s">
        <v>230</v>
      </c>
      <c r="C8" s="150">
        <v>0.1</v>
      </c>
      <c r="D8" s="150">
        <v>0.1</v>
      </c>
      <c r="E8" s="150">
        <v>0.1</v>
      </c>
    </row>
    <row r="9" spans="1:8" ht="14.25" customHeight="1">
      <c r="B9" s="149" t="s">
        <v>231</v>
      </c>
      <c r="C9" s="151">
        <v>5457.5617138552498</v>
      </c>
      <c r="D9" s="151">
        <v>6528.5601670876304</v>
      </c>
      <c r="E9" s="151">
        <v>6893.3107423266702</v>
      </c>
      <c r="F9" s="148"/>
    </row>
    <row r="10" spans="1:8" ht="3.75" customHeight="1">
      <c r="B10" s="146"/>
      <c r="C10" s="76"/>
    </row>
    <row r="11" spans="1:8" ht="14.25" customHeight="1">
      <c r="B11" s="146" t="s">
        <v>232</v>
      </c>
      <c r="C11" s="152">
        <v>0.5</v>
      </c>
      <c r="D11" s="152">
        <v>0.5</v>
      </c>
      <c r="E11" s="152">
        <v>0.5</v>
      </c>
      <c r="G11" s="148"/>
    </row>
    <row r="12" spans="1:8" ht="14.25" customHeight="1">
      <c r="B12" s="146" t="s">
        <v>233</v>
      </c>
      <c r="C12" s="37">
        <v>2.7</v>
      </c>
      <c r="D12" s="37">
        <v>2.7</v>
      </c>
      <c r="E12" s="37">
        <v>2.7</v>
      </c>
      <c r="F12" s="153"/>
    </row>
    <row r="13" spans="1:8" ht="14.25" customHeight="1">
      <c r="B13" s="146" t="s">
        <v>234</v>
      </c>
      <c r="C13" s="152">
        <v>0</v>
      </c>
      <c r="D13" s="152">
        <v>0</v>
      </c>
      <c r="E13" s="152">
        <v>0</v>
      </c>
    </row>
    <row r="14" spans="1:8" ht="14.25" customHeight="1">
      <c r="B14" s="146" t="s">
        <v>235</v>
      </c>
      <c r="C14" s="37">
        <v>3.5</v>
      </c>
      <c r="D14" s="37">
        <v>3.5</v>
      </c>
      <c r="E14" s="37">
        <v>3.5</v>
      </c>
    </row>
    <row r="15" spans="1:8" ht="14.25" customHeight="1">
      <c r="B15" s="146" t="s">
        <v>236</v>
      </c>
      <c r="C15" s="154">
        <v>15</v>
      </c>
      <c r="D15" s="154">
        <v>15</v>
      </c>
      <c r="E15" s="154">
        <v>15</v>
      </c>
    </row>
    <row r="16" spans="1:8" ht="3.75" customHeight="1">
      <c r="B16" s="146"/>
      <c r="D16" s="155"/>
    </row>
    <row r="17" spans="2:6" ht="14.25" customHeight="1">
      <c r="B17" s="146" t="s">
        <v>237</v>
      </c>
      <c r="C17" s="152">
        <v>0</v>
      </c>
      <c r="D17" s="152">
        <v>0</v>
      </c>
      <c r="E17" s="152">
        <v>0</v>
      </c>
    </row>
    <row r="18" spans="2:6" ht="14.25" customHeight="1">
      <c r="B18" s="146" t="s">
        <v>238</v>
      </c>
      <c r="C18" s="152">
        <v>0.9</v>
      </c>
      <c r="D18" s="152">
        <v>0.9</v>
      </c>
      <c r="E18" s="152">
        <v>0.9</v>
      </c>
    </row>
    <row r="19" spans="2:6" ht="14.25" customHeight="1">
      <c r="B19" s="146" t="s">
        <v>239</v>
      </c>
      <c r="C19" s="150"/>
      <c r="D19" s="150"/>
      <c r="E19" s="150"/>
    </row>
    <row r="20" spans="2:6">
      <c r="B20" s="146" t="s">
        <v>240</v>
      </c>
      <c r="C20" s="156">
        <v>3</v>
      </c>
      <c r="D20" s="156">
        <v>3</v>
      </c>
      <c r="E20" s="156">
        <v>3</v>
      </c>
    </row>
    <row r="21" spans="2:6" ht="4.5" customHeight="1"/>
    <row r="22" spans="2:6" ht="14.25" customHeight="1">
      <c r="B22" s="146" t="s">
        <v>241</v>
      </c>
      <c r="C22" s="152">
        <v>1</v>
      </c>
      <c r="D22" s="152">
        <v>1</v>
      </c>
      <c r="E22" s="152">
        <v>1</v>
      </c>
    </row>
    <row r="23" spans="2:6" ht="14.25" customHeight="1">
      <c r="B23" s="146" t="s">
        <v>242</v>
      </c>
      <c r="C23" s="157">
        <v>9.7000000000000003E-2</v>
      </c>
      <c r="D23" s="157">
        <v>7.0000000000000007E-2</v>
      </c>
      <c r="E23" s="157">
        <v>9.0999999999999998E-2</v>
      </c>
    </row>
    <row r="24" spans="2:6" ht="14.25" customHeight="1">
      <c r="B24" s="146" t="s">
        <v>243</v>
      </c>
      <c r="C24" s="150">
        <v>1</v>
      </c>
      <c r="D24" s="150">
        <v>1</v>
      </c>
      <c r="E24" s="150">
        <v>1</v>
      </c>
    </row>
    <row r="25" spans="2:6" ht="14.25" customHeight="1">
      <c r="B25" s="146" t="s">
        <v>244</v>
      </c>
      <c r="C25" s="158">
        <v>1.5</v>
      </c>
      <c r="D25" s="158">
        <v>1.5</v>
      </c>
      <c r="E25" s="158">
        <v>1.5</v>
      </c>
    </row>
    <row r="26" spans="2:6" ht="14.25" customHeight="1">
      <c r="B26" s="146" t="s">
        <v>245</v>
      </c>
      <c r="C26" s="159">
        <v>1000</v>
      </c>
      <c r="D26" s="159">
        <v>1000</v>
      </c>
      <c r="E26" s="159">
        <v>1000</v>
      </c>
      <c r="F26" s="148"/>
    </row>
    <row r="27" spans="2:6" ht="4.5" customHeight="1">
      <c r="B27" s="146"/>
      <c r="C27" s="104"/>
      <c r="D27" s="104"/>
      <c r="E27" s="104"/>
    </row>
    <row r="28" spans="2:6" ht="14.25" customHeight="1">
      <c r="B28" s="146" t="s">
        <v>246</v>
      </c>
      <c r="C28" s="152">
        <v>0.02</v>
      </c>
      <c r="D28" s="152">
        <v>0.02</v>
      </c>
      <c r="E28" s="152">
        <v>0.02</v>
      </c>
    </row>
    <row r="29" spans="2:6" ht="14.25" customHeight="1">
      <c r="B29" s="146" t="s">
        <v>247</v>
      </c>
      <c r="C29" s="160">
        <v>5</v>
      </c>
      <c r="D29" s="160">
        <v>5</v>
      </c>
      <c r="E29" s="160">
        <v>5</v>
      </c>
    </row>
    <row r="30" spans="2:6" ht="14.25" customHeight="1">
      <c r="B30" s="146" t="s">
        <v>248</v>
      </c>
      <c r="C30" s="160">
        <v>40</v>
      </c>
      <c r="D30" s="160">
        <v>40</v>
      </c>
      <c r="E30" s="160">
        <v>40</v>
      </c>
    </row>
    <row r="31" spans="2:6" ht="14.25" customHeight="1">
      <c r="B31" s="146" t="s">
        <v>249</v>
      </c>
      <c r="C31" s="160">
        <v>200</v>
      </c>
      <c r="D31" s="160">
        <v>200</v>
      </c>
      <c r="E31" s="160">
        <v>200</v>
      </c>
    </row>
    <row r="32" spans="2:6" ht="14.25" customHeight="1">
      <c r="B32" s="146" t="s">
        <v>250</v>
      </c>
      <c r="C32" s="160">
        <v>50</v>
      </c>
      <c r="D32" s="160">
        <v>50</v>
      </c>
      <c r="E32" s="160">
        <v>50</v>
      </c>
    </row>
    <row r="33" spans="2:5" ht="14.25" customHeight="1">
      <c r="B33" s="146" t="s">
        <v>251</v>
      </c>
      <c r="C33" s="160">
        <v>150</v>
      </c>
      <c r="D33" s="160">
        <v>150</v>
      </c>
      <c r="E33" s="160">
        <v>150</v>
      </c>
    </row>
    <row r="34" spans="2:5" ht="14.25" customHeight="1">
      <c r="B34" s="146"/>
      <c r="C34" s="104"/>
      <c r="D34" s="104"/>
      <c r="E34" s="104"/>
    </row>
    <row r="35" spans="2:5" ht="14.25" customHeight="1">
      <c r="B35" s="146"/>
      <c r="C35" s="104"/>
      <c r="D35" s="104"/>
      <c r="E35" s="104"/>
    </row>
    <row r="36" spans="2:5" ht="14.25" customHeight="1">
      <c r="B36" s="145" t="s">
        <v>252</v>
      </c>
      <c r="D36" s="104"/>
      <c r="E36" s="104"/>
    </row>
    <row r="37" spans="2:5" ht="14.25" customHeight="1">
      <c r="B37" s="146" t="s">
        <v>228</v>
      </c>
      <c r="C37" s="26"/>
      <c r="D37" s="104"/>
      <c r="E37" s="104"/>
    </row>
    <row r="38" spans="2:5" ht="14.25" customHeight="1">
      <c r="B38" s="146" t="s">
        <v>229</v>
      </c>
      <c r="C38" s="26"/>
      <c r="D38" s="104"/>
      <c r="E38" s="104"/>
    </row>
    <row r="39" spans="2:5" ht="14.25" customHeight="1">
      <c r="B39" s="146" t="s">
        <v>253</v>
      </c>
      <c r="C39" s="26"/>
      <c r="D39" s="104"/>
      <c r="E39" s="104"/>
    </row>
    <row r="40" spans="2:5" ht="14.25" customHeight="1">
      <c r="B40" s="146" t="s">
        <v>254</v>
      </c>
      <c r="C40" s="26"/>
      <c r="D40" s="104"/>
      <c r="E40" s="104"/>
    </row>
    <row r="41" spans="2:5" ht="14.25" customHeight="1">
      <c r="B41" s="146" t="s">
        <v>255</v>
      </c>
      <c r="C41" s="152">
        <v>0.05</v>
      </c>
      <c r="D41" s="104"/>
      <c r="E41" s="104"/>
    </row>
    <row r="42" spans="2:5" ht="14.25" customHeight="1">
      <c r="D42" s="104"/>
      <c r="E42" s="104"/>
    </row>
    <row r="43" spans="2:5" ht="14.25" customHeight="1">
      <c r="B43" s="145" t="s">
        <v>256</v>
      </c>
      <c r="D43" s="104"/>
      <c r="E43" s="104"/>
    </row>
    <row r="44" spans="2:5" ht="14.25" customHeight="1">
      <c r="B44" s="146" t="s">
        <v>257</v>
      </c>
      <c r="C44" s="161">
        <v>2.4</v>
      </c>
    </row>
    <row r="45" spans="2:5" ht="14.25" customHeight="1">
      <c r="B45" s="146" t="s">
        <v>258</v>
      </c>
      <c r="C45" s="161">
        <v>2</v>
      </c>
      <c r="D45" s="162"/>
    </row>
    <row r="46" spans="2:5" ht="14.25" customHeight="1">
      <c r="B46" s="146" t="s">
        <v>259</v>
      </c>
      <c r="C46" s="163">
        <v>1</v>
      </c>
    </row>
    <row r="47" spans="2:5" ht="14.25" customHeight="1">
      <c r="B47" s="146" t="s">
        <v>260</v>
      </c>
      <c r="C47" s="163">
        <v>0.85</v>
      </c>
    </row>
    <row r="48" spans="2:5" ht="14.25" customHeight="1">
      <c r="B48" s="146" t="s">
        <v>255</v>
      </c>
      <c r="C48" s="152">
        <v>0.05</v>
      </c>
    </row>
    <row r="49" spans="1:8" ht="14.25" customHeight="1">
      <c r="B49" s="146" t="s">
        <v>261</v>
      </c>
      <c r="C49" s="26">
        <v>3</v>
      </c>
    </row>
    <row r="50" spans="1:8" ht="14.25" customHeight="1">
      <c r="B50" s="146" t="s">
        <v>262</v>
      </c>
      <c r="C50" s="26">
        <v>0</v>
      </c>
    </row>
    <row r="51" spans="1:8" ht="14.25" customHeight="1">
      <c r="B51" s="146"/>
    </row>
    <row r="52" spans="1:8" ht="14.25" customHeight="1">
      <c r="A52" s="118">
        <v>2</v>
      </c>
      <c r="B52" s="119" t="s">
        <v>263</v>
      </c>
      <c r="C52" s="118"/>
      <c r="D52" s="118"/>
      <c r="E52" s="118"/>
      <c r="F52" s="118"/>
      <c r="G52" s="118"/>
      <c r="H52" s="118"/>
    </row>
    <row r="53" spans="1:8" ht="14.25" customHeight="1"/>
    <row r="54" spans="1:8" ht="14.25" customHeight="1">
      <c r="B54" s="145" t="s">
        <v>264</v>
      </c>
    </row>
    <row r="55" spans="1:8" ht="14.25" customHeight="1">
      <c r="B55" s="164" t="s">
        <v>265</v>
      </c>
    </row>
    <row r="56" spans="1:8" ht="14.25" customHeight="1">
      <c r="B56" s="146" t="s">
        <v>266</v>
      </c>
      <c r="C56" s="152">
        <v>0.05</v>
      </c>
    </row>
    <row r="57" spans="1:8" ht="14.25" customHeight="1">
      <c r="B57" s="165" t="s">
        <v>267</v>
      </c>
      <c r="C57" s="166">
        <v>0</v>
      </c>
    </row>
    <row r="58" spans="1:8" ht="14.25" customHeight="1">
      <c r="B58" s="146" t="s">
        <v>268</v>
      </c>
      <c r="C58" s="166">
        <v>0</v>
      </c>
    </row>
    <row r="59" spans="1:8" ht="14.25" customHeight="1">
      <c r="B59" s="146" t="s">
        <v>269</v>
      </c>
      <c r="C59" s="166">
        <v>0</v>
      </c>
    </row>
    <row r="60" spans="1:8" ht="14.25" customHeight="1">
      <c r="B60" s="146" t="s">
        <v>270</v>
      </c>
      <c r="C60" s="166">
        <v>20</v>
      </c>
      <c r="D60" s="148" t="s">
        <v>271</v>
      </c>
    </row>
    <row r="61" spans="1:8" ht="14.25" customHeight="1">
      <c r="B61" s="146" t="s">
        <v>272</v>
      </c>
      <c r="C61" s="100">
        <f>2*(C59)/(C60*C60)+2</f>
        <v>2</v>
      </c>
    </row>
    <row r="62" spans="1:8" ht="14.25" customHeight="1">
      <c r="B62" s="146" t="s">
        <v>273</v>
      </c>
      <c r="C62" s="100">
        <f>C61*C58*C57/1000</f>
        <v>0</v>
      </c>
    </row>
    <row r="63" spans="1:8" ht="14.25" customHeight="1">
      <c r="B63" s="146" t="s">
        <v>274</v>
      </c>
      <c r="C63" s="100">
        <f>'Technical inputs'!$C$62/(('Technical inputs'!C14-1)/'Technical inputs'!C14)*8760*'Technical inputs'!C13</f>
        <v>0</v>
      </c>
    </row>
    <row r="64" spans="1:8" ht="14.25" customHeight="1">
      <c r="B64" s="146"/>
      <c r="C64" s="100"/>
    </row>
    <row r="65" spans="2:5" ht="14.25" customHeight="1">
      <c r="B65" s="164" t="s">
        <v>275</v>
      </c>
      <c r="C65" s="100"/>
    </row>
    <row r="66" spans="2:5" ht="14.25" customHeight="1">
      <c r="B66" s="146" t="s">
        <v>276</v>
      </c>
      <c r="C66" s="166">
        <v>180</v>
      </c>
      <c r="D66" s="11" t="s">
        <v>277</v>
      </c>
    </row>
    <row r="67" spans="2:5" ht="14.25" customHeight="1">
      <c r="B67" s="146" t="s">
        <v>278</v>
      </c>
      <c r="C67" s="166">
        <v>81405</v>
      </c>
      <c r="D67" s="11" t="s">
        <v>279</v>
      </c>
    </row>
    <row r="68" spans="2:5" ht="14.25" customHeight="1">
      <c r="B68" s="146" t="s">
        <v>280</v>
      </c>
      <c r="C68" s="167">
        <f>C67/2.5</f>
        <v>32562</v>
      </c>
      <c r="D68" s="72"/>
    </row>
    <row r="69" spans="2:5" ht="14.25" customHeight="1">
      <c r="B69" s="146"/>
      <c r="C69" s="167"/>
      <c r="D69" s="72"/>
    </row>
    <row r="70" spans="2:5" ht="14.25" customHeight="1">
      <c r="B70" s="164" t="s">
        <v>281</v>
      </c>
      <c r="C70" s="167" t="s">
        <v>282</v>
      </c>
      <c r="D70" s="72" t="s">
        <v>283</v>
      </c>
      <c r="E70" s="11" t="s">
        <v>284</v>
      </c>
    </row>
    <row r="71" spans="2:5" ht="14.25" customHeight="1">
      <c r="B71" s="146" t="s">
        <v>285</v>
      </c>
      <c r="C71" s="168">
        <v>12</v>
      </c>
      <c r="D71" s="169">
        <v>14</v>
      </c>
      <c r="E71" s="26">
        <v>16</v>
      </c>
    </row>
    <row r="72" spans="2:5" ht="14.25" customHeight="1">
      <c r="B72" s="146"/>
      <c r="C72" s="167"/>
      <c r="D72" s="72"/>
    </row>
    <row r="73" spans="2:5" ht="14.25" customHeight="1"/>
    <row r="74" spans="2:5" ht="14.25" customHeight="1">
      <c r="B74" s="146" t="s">
        <v>286</v>
      </c>
      <c r="C74" s="170">
        <v>20</v>
      </c>
    </row>
    <row r="76" spans="2:5" ht="14.25" customHeight="1"/>
    <row r="77" spans="2:5" ht="14.25" customHeight="1">
      <c r="B77" s="145" t="s">
        <v>252</v>
      </c>
    </row>
    <row r="78" spans="2:5" ht="14.25" customHeight="1">
      <c r="B78" s="146" t="s">
        <v>286</v>
      </c>
      <c r="C78" s="26">
        <v>20</v>
      </c>
    </row>
    <row r="79" spans="2:5" ht="14.25" customHeight="1">
      <c r="B79" s="145"/>
    </row>
    <row r="80" spans="2:5" ht="14.25" customHeight="1">
      <c r="B80" s="145"/>
    </row>
    <row r="81" spans="1:8" ht="14.25" customHeight="1">
      <c r="B81" s="145" t="s">
        <v>287</v>
      </c>
    </row>
    <row r="82" spans="1:8" ht="14.25" customHeight="1">
      <c r="B82" s="146" t="s">
        <v>286</v>
      </c>
      <c r="C82" s="166">
        <v>15</v>
      </c>
    </row>
    <row r="83" spans="1:8" ht="14.25" customHeight="1">
      <c r="B83" s="146" t="s">
        <v>288</v>
      </c>
      <c r="C83" s="171">
        <v>800</v>
      </c>
    </row>
    <row r="84" spans="1:8" ht="14.25" customHeight="1">
      <c r="B84" s="146" t="s">
        <v>289</v>
      </c>
      <c r="C84" s="171">
        <v>8320</v>
      </c>
    </row>
    <row r="85" spans="1:8" ht="14.25" customHeight="1">
      <c r="B85" s="146" t="s">
        <v>290</v>
      </c>
      <c r="C85" s="171">
        <v>2000</v>
      </c>
    </row>
    <row r="86" spans="1:8" ht="14.25" customHeight="1">
      <c r="B86" s="146" t="s">
        <v>291</v>
      </c>
      <c r="C86" s="171">
        <v>80</v>
      </c>
    </row>
    <row r="87" spans="1:8" ht="14.25" customHeight="1">
      <c r="B87" s="146" t="s">
        <v>292</v>
      </c>
      <c r="C87" s="171">
        <v>750</v>
      </c>
    </row>
    <row r="88" spans="1:8" ht="14.25" customHeight="1">
      <c r="B88" s="146" t="s">
        <v>293</v>
      </c>
      <c r="C88" s="171">
        <v>245</v>
      </c>
    </row>
    <row r="89" spans="1:8" ht="14.25" customHeight="1">
      <c r="B89" s="146"/>
      <c r="C89" s="172"/>
    </row>
    <row r="90" spans="1:8" ht="14.25" customHeight="1">
      <c r="B90" s="146"/>
      <c r="C90" s="172"/>
    </row>
    <row r="91" spans="1:8">
      <c r="A91" s="118">
        <v>3</v>
      </c>
      <c r="B91" s="119" t="s">
        <v>294</v>
      </c>
      <c r="C91" s="118"/>
      <c r="D91" s="118"/>
      <c r="E91" s="118"/>
      <c r="F91" s="118"/>
      <c r="G91" s="118"/>
      <c r="H91" s="118"/>
    </row>
    <row r="93" spans="1:8">
      <c r="C93" s="20" t="s">
        <v>225</v>
      </c>
      <c r="D93" s="20" t="s">
        <v>226</v>
      </c>
      <c r="E93" s="20" t="s">
        <v>227</v>
      </c>
    </row>
    <row r="94" spans="1:8">
      <c r="B94" s="11" t="s">
        <v>295</v>
      </c>
      <c r="C94" s="166">
        <v>1408</v>
      </c>
      <c r="D94" s="166">
        <v>2249</v>
      </c>
      <c r="E94" s="166">
        <v>3121</v>
      </c>
    </row>
    <row r="95" spans="1:8">
      <c r="B95" s="11" t="s">
        <v>296</v>
      </c>
      <c r="C95" s="166"/>
      <c r="D95" s="166"/>
      <c r="E95" s="166"/>
    </row>
    <row r="96" spans="1:8">
      <c r="B96" s="173" t="s">
        <v>297</v>
      </c>
      <c r="C96" s="174">
        <f>SUM(C94:C95)</f>
        <v>1408</v>
      </c>
      <c r="D96" s="174">
        <f>SUM(D94:D95)</f>
        <v>2249</v>
      </c>
      <c r="E96" s="174">
        <f>SUM(E94:E95)</f>
        <v>3121</v>
      </c>
    </row>
    <row r="98" spans="1:8">
      <c r="A98" s="118">
        <v>4</v>
      </c>
      <c r="B98" s="119" t="s">
        <v>298</v>
      </c>
      <c r="C98" s="118"/>
      <c r="D98" s="118"/>
      <c r="E98" s="118"/>
      <c r="F98" s="118"/>
      <c r="G98" s="118"/>
      <c r="H98" s="118"/>
    </row>
    <row r="100" spans="1:8">
      <c r="C100" s="20" t="s">
        <v>225</v>
      </c>
      <c r="D100" s="20" t="s">
        <v>226</v>
      </c>
      <c r="E100" s="20" t="s">
        <v>227</v>
      </c>
    </row>
    <row r="101" spans="1:8">
      <c r="B101" s="11" t="s">
        <v>299</v>
      </c>
      <c r="C101" s="76">
        <f>SUMIFS('Heat connections'!$G$5:$G$5,'Heat connections'!$K$5:$K$5,Lists!$B$4,'Heat connections'!$J$5:$J$5,1,'Heat connections'!$D$5:$D$5,Lists!$B$36)</f>
        <v>0</v>
      </c>
      <c r="D101" s="76">
        <f>SUMIFS('Heat connections'!$G$5:$G$5,'Heat connections'!$K$5:$K$5,Lists!$B$4,'Heat connections'!$J$5:$J$5,2,'Heat connections'!$D$5:$D$5,Lists!$B$36)+C101</f>
        <v>0</v>
      </c>
      <c r="E101" s="76">
        <f>SUMIFS('Heat connections'!$G$5:$G$5,'Heat connections'!$K$5:$K$5,Lists!$B$4,'Heat connections'!$J$5:$J$5,3,'Heat connections'!$D$5:$D$5,Lists!$B$36)+D101</f>
        <v>0</v>
      </c>
    </row>
    <row r="102" spans="1:8">
      <c r="B102" s="11" t="s">
        <v>300</v>
      </c>
      <c r="C102" s="76">
        <f>SUMIFS('Heat connections'!$H$5:$H$5,'Heat connections'!$K$5:$K$5,Lists!$B$4,'Heat connections'!$J$5:$J$5,1,'Heat connections'!$D$5:$D$5,Lists!$B$35)</f>
        <v>0</v>
      </c>
      <c r="D102" s="76">
        <f>SUMIFS('Heat connections'!$H$5:$H$5,'Heat connections'!$K$5:$K$5,Lists!$B$4,'Heat connections'!$J$5:$J$5,2,'Heat connections'!$D$5:$D$5,Lists!$B$35)+C102</f>
        <v>0</v>
      </c>
      <c r="E102" s="76">
        <f>SUMIFS('Heat connections'!$H$5:$H$5,'Heat connections'!$K$5:$K$5,Lists!$B$4,'Heat connections'!$J$5:$J$5,3,'Heat connections'!$D$5:$D$5,Lists!$B$35)+D102</f>
        <v>0</v>
      </c>
    </row>
    <row r="103" spans="1:8">
      <c r="B103" s="11" t="s">
        <v>301</v>
      </c>
      <c r="C103" s="76" t="e">
        <f>SUMIFS('Heat connections'!#REF!,'Heat connections'!$K$5:$K$5,Lists!$B$4,'Heat connections'!$J$5:$J$5,1,'Heat connections'!$D$5:$D$5,Lists!$B$36)</f>
        <v>#REF!</v>
      </c>
      <c r="D103" s="76" t="e">
        <f>SUMIFS('Heat connections'!#REF!,'Heat connections'!$K$5:$K$5,Lists!$B$4,'Heat connections'!$J$5:$J$5,2,'Heat connections'!$D$5:$D$5,Lists!$B$36)+C103</f>
        <v>#REF!</v>
      </c>
      <c r="E103" s="76" t="e">
        <f>SUMIFS('Heat connections'!#REF!,'Heat connections'!$K$5:$K$5,Lists!$B$4,'Heat connections'!$J$5:$J$5,3,'Heat connections'!$D$5:$D$5,Lists!$B$36)+D103</f>
        <v>#REF!</v>
      </c>
      <c r="F103" s="148"/>
    </row>
    <row r="104" spans="1:8">
      <c r="B104" s="11" t="s">
        <v>302</v>
      </c>
      <c r="C104" s="76" t="e">
        <f>SUMIFS('Heat connections'!#REF!,'Heat connections'!$K$5:$K$5,Lists!$B$4,'Heat connections'!$J$5:$J$5,1,'Heat connections'!$D$5:$D$5,Lists!$B$35)</f>
        <v>#REF!</v>
      </c>
      <c r="D104" s="76" t="e">
        <f>SUMIFS('Heat connections'!#REF!,'Heat connections'!$K$5:$K$5,Lists!$B$4,'Heat connections'!$J$5:$J$5,2,'Heat connections'!$D$5:$D$5,Lists!$B$35)+C104</f>
        <v>#REF!</v>
      </c>
      <c r="E104" s="76" t="e">
        <f>SUMIFS('Heat connections'!#REF!,'Heat connections'!$K$5:$K$5,Lists!$B$4,'Heat connections'!$J$5:$J$5,3,'Heat connections'!$D$5:$D$5,Lists!$B$35)+D104</f>
        <v>#REF!</v>
      </c>
    </row>
    <row r="105" spans="1:8">
      <c r="C105" s="147"/>
    </row>
    <row r="106" spans="1:8">
      <c r="B106" s="145" t="s">
        <v>252</v>
      </c>
      <c r="C106" s="147"/>
    </row>
    <row r="107" spans="1:8">
      <c r="B107" s="11" t="s">
        <v>303</v>
      </c>
      <c r="C107" s="76">
        <f>SUMIFS('Heat connections'!$G$5:$G$5,'Heat connections'!$K$5:$K$5,Lists!$B$5,'Heat connections'!$D$5:$D$5,Lists!$B$36)</f>
        <v>0</v>
      </c>
    </row>
    <row r="108" spans="1:8">
      <c r="B108" s="11" t="s">
        <v>304</v>
      </c>
      <c r="C108" s="76">
        <f>SUMIFS('Heat connections'!$H$5:$H$5,'Heat connections'!$K$5:$K$5,Lists!$B$5,'Heat connections'!$D$5:$D$5,Lists!$B$35)</f>
        <v>0</v>
      </c>
    </row>
    <row r="109" spans="1:8">
      <c r="B109" s="175" t="s">
        <v>305</v>
      </c>
      <c r="C109" s="76" t="e">
        <f>SUMIFS('Heat connections'!#REF!,'Heat connections'!$K$5:$K$5,Lists!$B$5,'Heat connections'!$D$5:$D$5,Lists!$B$36)</f>
        <v>#REF!</v>
      </c>
      <c r="D109" s="148"/>
    </row>
    <row r="110" spans="1:8">
      <c r="B110" s="175" t="s">
        <v>306</v>
      </c>
      <c r="C110" s="76" t="e">
        <f>SUMIFS('Heat connections'!#REF!,'Heat connections'!$K$5:$K$5,Lists!$B$5,'Heat connections'!$D$5:$D$5,Lists!$B$35)</f>
        <v>#REF!</v>
      </c>
    </row>
    <row r="111" spans="1:8">
      <c r="B111" s="175"/>
      <c r="C111" s="76"/>
    </row>
    <row r="112" spans="1:8">
      <c r="B112" s="175"/>
      <c r="C112" s="76"/>
    </row>
    <row r="114" spans="1:8">
      <c r="A114" s="116"/>
      <c r="B114" s="117" t="s">
        <v>75</v>
      </c>
      <c r="C114" s="117"/>
      <c r="D114" s="116"/>
      <c r="E114" s="116"/>
      <c r="F114" s="116"/>
      <c r="G114" s="116"/>
      <c r="H114" s="11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AMJ39"/>
  <sheetViews>
    <sheetView zoomScale="85" zoomScaleNormal="85" workbookViewId="0">
      <selection activeCell="C29" sqref="C29"/>
    </sheetView>
  </sheetViews>
  <sheetFormatPr defaultColWidth="9.140625" defaultRowHeight="12.75"/>
  <cols>
    <col min="1" max="1" width="5.28515625" style="11" customWidth="1"/>
    <col min="2" max="2" width="71.5703125" style="11" customWidth="1"/>
    <col min="3" max="10" width="19" style="11" customWidth="1"/>
    <col min="11" max="1024" width="9.140625" style="11"/>
  </cols>
  <sheetData>
    <row r="2" spans="1:7">
      <c r="A2" s="118">
        <v>1</v>
      </c>
      <c r="B2" s="118" t="s">
        <v>307</v>
      </c>
      <c r="C2" s="118"/>
      <c r="D2" s="118"/>
      <c r="E2" s="118"/>
      <c r="F2" s="118"/>
      <c r="G2" s="118"/>
    </row>
    <row r="4" spans="1:7">
      <c r="B4" s="145" t="s">
        <v>224</v>
      </c>
    </row>
    <row r="5" spans="1:7" ht="21.75" customHeight="1">
      <c r="C5" s="20" t="s">
        <v>225</v>
      </c>
      <c r="D5" s="20" t="s">
        <v>226</v>
      </c>
      <c r="E5" s="20" t="s">
        <v>227</v>
      </c>
    </row>
    <row r="6" spans="1:7">
      <c r="C6" s="11">
        <f>Dashboard!F31</f>
        <v>0</v>
      </c>
      <c r="D6" s="11">
        <f>Dashboard!G31</f>
        <v>0</v>
      </c>
      <c r="E6" s="11">
        <f>Dashboard!H31</f>
        <v>1</v>
      </c>
    </row>
    <row r="7" spans="1:7">
      <c r="B7" s="146" t="s">
        <v>146</v>
      </c>
      <c r="C7" s="76" t="e">
        <f>'Technical inputs'!C6+'Technical inputs'!C7</f>
        <v>#REF!</v>
      </c>
      <c r="D7" s="76" t="e">
        <f>IF(SUM(D6:E6)&gt;0,'Technical inputs'!D6+'Technical inputs'!D7,C7)</f>
        <v>#REF!</v>
      </c>
      <c r="E7" s="76" t="e">
        <f>IF(SUM(E6)&gt;0,'Technical inputs'!E6+'Technical inputs'!E7,D7)</f>
        <v>#REF!</v>
      </c>
    </row>
    <row r="8" spans="1:7">
      <c r="B8" s="146" t="s">
        <v>148</v>
      </c>
      <c r="C8" s="176" t="e">
        <f>C7*'Technical inputs'!C8</f>
        <v>#REF!</v>
      </c>
      <c r="D8" s="176" t="e">
        <f>IF(SUM(D6:E6)&gt;0,D7*'Technical inputs'!D8,C8)</f>
        <v>#REF!</v>
      </c>
      <c r="E8" s="176" t="e">
        <f>IF(SUM(E6)&gt;0,E7*'Technical inputs'!E8,D8)</f>
        <v>#REF!</v>
      </c>
      <c r="F8" s="162"/>
    </row>
    <row r="9" spans="1:7">
      <c r="B9" s="146" t="s">
        <v>308</v>
      </c>
      <c r="C9" s="76" t="e">
        <f>C7+C8</f>
        <v>#REF!</v>
      </c>
      <c r="D9" s="76" t="e">
        <f>D7+D8</f>
        <v>#REF!</v>
      </c>
      <c r="E9" s="76" t="e">
        <f>E7+E8</f>
        <v>#REF!</v>
      </c>
    </row>
    <row r="10" spans="1:7">
      <c r="B10" s="146"/>
      <c r="C10" s="76"/>
      <c r="D10" s="76"/>
      <c r="E10" s="76"/>
    </row>
    <row r="11" spans="1:7">
      <c r="B11" s="146" t="s">
        <v>309</v>
      </c>
      <c r="C11" s="76">
        <f>'Technical inputs'!C9*'Technical inputs'!C11</f>
        <v>2728.7808569276249</v>
      </c>
      <c r="D11" s="76">
        <f>'Technical inputs'!D9*'Technical inputs'!D11</f>
        <v>3264.2800835438152</v>
      </c>
      <c r="E11" s="76">
        <f>'Technical inputs'!E9*'Technical inputs'!E11</f>
        <v>3446.6553711633351</v>
      </c>
    </row>
    <row r="12" spans="1:7">
      <c r="B12" s="146" t="s">
        <v>310</v>
      </c>
      <c r="C12" s="76">
        <f>'Technical inputs'!$C$62/(('Technical inputs'!C14-1)/'Technical inputs'!C14)</f>
        <v>0</v>
      </c>
      <c r="D12" s="76">
        <f>'Technical inputs'!$C$62/(('Technical inputs'!D14-1)/'Technical inputs'!D14)</f>
        <v>0</v>
      </c>
      <c r="E12" s="76">
        <f>'Technical inputs'!$C$62/(('Technical inputs'!E14-1)/'Technical inputs'!E14)</f>
        <v>0</v>
      </c>
    </row>
    <row r="13" spans="1:7">
      <c r="B13" s="146" t="s">
        <v>311</v>
      </c>
      <c r="C13" s="100">
        <f>C11+C12</f>
        <v>2728.7808569276249</v>
      </c>
      <c r="D13" s="100">
        <f>D11+D12</f>
        <v>3264.2800835438152</v>
      </c>
      <c r="E13" s="100">
        <f>E11+E12</f>
        <v>3446.6553711633351</v>
      </c>
    </row>
    <row r="15" spans="1:7">
      <c r="B15" s="146" t="s">
        <v>312</v>
      </c>
      <c r="C15" s="100">
        <f>IF(Dashboard!$C$20=Lists!$B$23,0,'Technical inputs'!C17*'Technical inputs'!C9)</f>
        <v>0</v>
      </c>
      <c r="D15" s="100">
        <f>IF(Dashboard!$C$20=Lists!$B$23,0,'Technical inputs'!D17*'Technical inputs'!D9)</f>
        <v>0</v>
      </c>
      <c r="E15" s="100">
        <f>IF(Dashboard!$C$20=Lists!$B$23,0,'Technical inputs'!E17*'Technical inputs'!E9)</f>
        <v>0</v>
      </c>
      <c r="F15" s="148"/>
    </row>
    <row r="16" spans="1:7">
      <c r="B16" s="146" t="s">
        <v>313</v>
      </c>
      <c r="C16" s="76">
        <f>IF(Dashboard!$C$20=Lists!$B$22,0,'Technical inputs'!C22*'Technical inputs'!C9)</f>
        <v>5457.5617138552498</v>
      </c>
      <c r="D16" s="76">
        <f>IF(Dashboard!$C$20=Lists!$B$22,0,'Technical inputs'!D22*'Technical inputs'!D9)</f>
        <v>6528.5601670876304</v>
      </c>
      <c r="E16" s="76">
        <f>IF(Dashboard!$C$20=Lists!$B$22,0,'Technical inputs'!E22*'Technical inputs'!E9)</f>
        <v>6893.3107423266702</v>
      </c>
    </row>
    <row r="17" spans="2:6">
      <c r="B17" s="146"/>
      <c r="C17" s="76"/>
      <c r="D17" s="76"/>
      <c r="E17" s="76"/>
    </row>
    <row r="18" spans="2:6">
      <c r="B18" s="146" t="s">
        <v>314</v>
      </c>
      <c r="C18" s="100" t="e">
        <f>IF((C9-C19-C21-C22-C23)&lt;0,0,IF(SUM(C6:E6)&gt;0,(C9-C19-C21-C22-C23),0))</f>
        <v>#REF!</v>
      </c>
      <c r="D18" s="100" t="e">
        <f>IF((D9-D19-D21-D22-D23)&lt;0,0,IF(SUM(D6:E6)&gt;0,(D9-D19-D21-D22-D23),C18))</f>
        <v>#REF!</v>
      </c>
      <c r="E18" s="100" t="e">
        <f>IF((E9-E19-E21-E22-E23)&lt;0,0,IF(SUM(E6)&gt;0,(E9-E19-E21-E22-E23),D18))</f>
        <v>#REF!</v>
      </c>
    </row>
    <row r="19" spans="2:6">
      <c r="B19" s="146" t="s">
        <v>315</v>
      </c>
      <c r="C19" s="76" t="e">
        <f>IF((SUM(C6:E6)&gt;0),IF('Technical inputs'!C63&gt;('Operating model'!C9-'Operating model'!C23-'Operating model'!C22),('Operating model'!C9-'Operating model'!C23-'Operating model'!C22),'Technical inputs'!C63),0)</f>
        <v>#REF!</v>
      </c>
      <c r="D19" s="76" t="e">
        <f>IF((SUM(D6:E6)&gt;0),IF('Technical inputs'!C63&gt;('Operating model'!D9-'Operating model'!D23-'Operating model'!D22),('Operating model'!D9-'Operating model'!D23-'Operating model'!D22),'Technical inputs'!C63),D19)</f>
        <v>#REF!</v>
      </c>
      <c r="E19" s="76" t="e">
        <f>IF((SUM(E6)&gt;0),IF('Technical inputs'!C63&gt;('Operating model'!E9-'Operating model'!E23-'Operating model'!E22),('Operating model'!E9-'Operating model'!E23-'Operating model'!E22),'Technical inputs'!C63),E19)</f>
        <v>#REF!</v>
      </c>
    </row>
    <row r="20" spans="2:6">
      <c r="B20" s="146" t="s">
        <v>155</v>
      </c>
      <c r="C20" s="100" t="e">
        <f>C18+C19</f>
        <v>#REF!</v>
      </c>
      <c r="D20" s="100" t="e">
        <f>D18+D19</f>
        <v>#REF!</v>
      </c>
      <c r="E20" s="100" t="e">
        <f>E18+E19</f>
        <v>#REF!</v>
      </c>
    </row>
    <row r="21" spans="2:6">
      <c r="B21" s="146" t="s">
        <v>157</v>
      </c>
      <c r="C21" s="100">
        <f>IF(Dashboard!$C$20=Lists!$B$23,0,C7*'Technical inputs'!C19)</f>
        <v>0</v>
      </c>
      <c r="D21" s="100">
        <f>IF(Dashboard!$C$20=Lists!$B$23,0,D7*'Technical inputs'!D19)</f>
        <v>0</v>
      </c>
      <c r="E21" s="100">
        <f>IF(Dashboard!$C$20=Lists!$B$23,0,E7*'Technical inputs'!E19)</f>
        <v>0</v>
      </c>
      <c r="F21" s="148"/>
    </row>
    <row r="22" spans="2:6">
      <c r="B22" s="146" t="s">
        <v>158</v>
      </c>
      <c r="C22" s="76" t="e">
        <f>IF(Dashboard!$C$20=Lists!$B$22,0,C9*'Technical inputs'!C23*'Technical inputs'!C24)</f>
        <v>#REF!</v>
      </c>
      <c r="D22" s="76" t="e">
        <f>IF(Dashboard!$C$20=Lists!$B$22,0,D9*'Technical inputs'!D23*'Technical inputs'!D24)</f>
        <v>#REF!</v>
      </c>
      <c r="E22" s="76" t="e">
        <f>IF(Dashboard!$C$20=Lists!$B$22,0,E9*'Technical inputs'!E23*'Technical inputs'!E24)</f>
        <v>#REF!</v>
      </c>
    </row>
    <row r="23" spans="2:6">
      <c r="B23" s="146" t="s">
        <v>316</v>
      </c>
      <c r="C23" s="76">
        <f>IF(Dashboard!$C$34=Lists!$B$4,IF(SUM(C6:E6)&gt;0,'Technical inputs'!$C$67*'Technical inputs'!$C$66,0),0)</f>
        <v>0</v>
      </c>
      <c r="D23" s="76">
        <f>IF(Dashboard!$C$34=Lists!$B$4,IF(SUM(D6:E6)&gt;0,'Technical inputs'!$C$67*'Technical inputs'!$C$66,C23),)</f>
        <v>0</v>
      </c>
      <c r="E23" s="76">
        <f>IF(Dashboard!$C$34=Lists!$B$4,IF(SUM(E6)&gt;0,'Technical inputs'!$C$67*'Technical inputs'!$C$66,D23),0)</f>
        <v>0</v>
      </c>
    </row>
    <row r="25" spans="2:6">
      <c r="B25" s="146" t="s">
        <v>317</v>
      </c>
      <c r="C25" s="100" t="e">
        <f>IF(SUM(C6:E6)&gt;0,C18/'Technical inputs'!C12,0)</f>
        <v>#REF!</v>
      </c>
      <c r="D25" s="100" t="e">
        <f>IF(SUM(D6:E6)&gt;0,D18/'Technical inputs'!D12,C25)</f>
        <v>#REF!</v>
      </c>
      <c r="E25" s="100" t="e">
        <f>IF(SUM(E6)&gt;0,E18/'Technical inputs'!E12,D25)</f>
        <v>#REF!</v>
      </c>
    </row>
    <row r="26" spans="2:6">
      <c r="B26" s="146" t="s">
        <v>318</v>
      </c>
      <c r="C26" s="100" t="e">
        <f>IF(SUM(C6:E6)&gt;0,C19/'Technical inputs'!C14,0)</f>
        <v>#REF!</v>
      </c>
      <c r="D26" s="100" t="e">
        <f>IF(SUM(D6:E6)&gt;0,D19/'Technical inputs'!D14,C26)</f>
        <v>#REF!</v>
      </c>
      <c r="E26" s="100" t="e">
        <f>IF(SUM(E6)&gt;0,E19/'Technical inputs'!E14,D26)</f>
        <v>#REF!</v>
      </c>
    </row>
    <row r="27" spans="2:6">
      <c r="B27" s="146" t="s">
        <v>319</v>
      </c>
      <c r="C27" s="100">
        <f>C21/'Technical inputs'!C18</f>
        <v>0</v>
      </c>
      <c r="D27" s="100">
        <f>D21/'Technical inputs'!D18</f>
        <v>0</v>
      </c>
      <c r="E27" s="100">
        <f>E21/'Technical inputs'!E18</f>
        <v>0</v>
      </c>
    </row>
    <row r="28" spans="2:6">
      <c r="B28" s="146" t="s">
        <v>320</v>
      </c>
      <c r="C28" s="100" t="e">
        <f>'Operating model'!C22/'Technical inputs'!C24</f>
        <v>#REF!</v>
      </c>
      <c r="D28" s="100" t="e">
        <f>'Operating model'!D22/'Technical inputs'!D24</f>
        <v>#REF!</v>
      </c>
      <c r="E28" s="100" t="e">
        <f>'Operating model'!E22/'Technical inputs'!E24</f>
        <v>#REF!</v>
      </c>
    </row>
    <row r="29" spans="2:6">
      <c r="B29" s="146" t="s">
        <v>321</v>
      </c>
      <c r="C29" s="100" t="e">
        <f>C7*'Technical inputs'!C28</f>
        <v>#REF!</v>
      </c>
      <c r="D29" s="100" t="e">
        <f>D7*'Technical inputs'!D28</f>
        <v>#REF!</v>
      </c>
      <c r="E29" s="100" t="e">
        <f>E7*'Technical inputs'!E28</f>
        <v>#REF!</v>
      </c>
    </row>
    <row r="30" spans="2:6">
      <c r="B30" s="146"/>
      <c r="C30" s="100"/>
    </row>
    <row r="31" spans="2:6">
      <c r="B31" s="146" t="s">
        <v>322</v>
      </c>
      <c r="C31" s="100" t="e">
        <f>C25+C26+C28+C29</f>
        <v>#REF!</v>
      </c>
      <c r="D31" s="100" t="e">
        <f>D25+D26+D28+D29</f>
        <v>#REF!</v>
      </c>
      <c r="E31" s="100" t="e">
        <f>E25+E26+E28+E29</f>
        <v>#REF!</v>
      </c>
    </row>
    <row r="33" spans="1:9">
      <c r="B33" s="145" t="s">
        <v>323</v>
      </c>
    </row>
    <row r="34" spans="1:9">
      <c r="B34" s="146" t="s">
        <v>324</v>
      </c>
      <c r="C34" s="76">
        <f>IF(Dashboard!$C$36=Lists!$B$4,('Technical inputs'!C37/'Technical inputs'!C39)+('Technical inputs'!C38/'Technical inputs'!C40),0)</f>
        <v>0</v>
      </c>
    </row>
    <row r="35" spans="1:9">
      <c r="B35" s="146" t="s">
        <v>325</v>
      </c>
      <c r="C35" s="76">
        <f>IF(Dashboard!$C$36=Lists!$B$4,('Technical inputs'!C37/'Technical inputs'!C39),0)</f>
        <v>0</v>
      </c>
    </row>
    <row r="36" spans="1:9">
      <c r="B36" s="146" t="s">
        <v>326</v>
      </c>
      <c r="C36" s="76">
        <f>IF(Dashboard!$C$36=Lists!$B$4,('Technical inputs'!C38/'Technical inputs'!C40),0)</f>
        <v>0</v>
      </c>
    </row>
    <row r="39" spans="1:9">
      <c r="A39" s="116"/>
      <c r="B39" s="117" t="s">
        <v>75</v>
      </c>
      <c r="C39" s="117"/>
      <c r="D39" s="116"/>
      <c r="E39" s="116"/>
      <c r="F39" s="116"/>
      <c r="G39" s="116"/>
      <c r="H39" s="116"/>
      <c r="I39" s="116"/>
    </row>
  </sheetData>
  <pageMargins left="0.7" right="0.7" top="0.75" bottom="0.75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2:AMJ32"/>
  <sheetViews>
    <sheetView zoomScaleNormal="100" workbookViewId="0">
      <selection activeCell="C11" sqref="C11"/>
    </sheetView>
  </sheetViews>
  <sheetFormatPr defaultColWidth="9.140625" defaultRowHeight="12.75"/>
  <cols>
    <col min="1" max="1" width="2.5703125" style="11" customWidth="1"/>
    <col min="2" max="2" width="75.5703125" style="11" customWidth="1"/>
    <col min="3" max="10" width="19" style="11" customWidth="1"/>
    <col min="11" max="20" width="14" style="11" customWidth="1"/>
    <col min="21" max="1024" width="9.140625" style="11"/>
  </cols>
  <sheetData>
    <row r="2" spans="1:6">
      <c r="A2" s="118">
        <v>1</v>
      </c>
      <c r="B2" s="118" t="s">
        <v>327</v>
      </c>
      <c r="C2" s="118"/>
      <c r="D2" s="118"/>
      <c r="E2" s="118"/>
      <c r="F2" s="118"/>
    </row>
    <row r="4" spans="1:6" ht="32.25" customHeight="1">
      <c r="C4" s="20" t="s">
        <v>225</v>
      </c>
      <c r="D4" s="20" t="s">
        <v>226</v>
      </c>
      <c r="E4" s="20" t="s">
        <v>227</v>
      </c>
    </row>
    <row r="5" spans="1:6">
      <c r="B5" s="11" t="s">
        <v>135</v>
      </c>
      <c r="C5" s="11">
        <f>Dashboard!F31</f>
        <v>0</v>
      </c>
      <c r="D5" s="11">
        <f>Dashboard!G31</f>
        <v>0</v>
      </c>
      <c r="E5" s="11">
        <f>Dashboard!H31</f>
        <v>1</v>
      </c>
    </row>
    <row r="7" spans="1:6">
      <c r="B7" s="145" t="s">
        <v>224</v>
      </c>
    </row>
    <row r="8" spans="1:6">
      <c r="B8" s="146" t="s">
        <v>328</v>
      </c>
      <c r="C8" s="69">
        <f>'Operating model'!C21*Dashboard!$C$10/100</f>
        <v>0</v>
      </c>
      <c r="D8" s="69">
        <f>'Operating model'!D21*Dashboard!$C$10/100</f>
        <v>0</v>
      </c>
      <c r="E8" s="69">
        <f>'Operating model'!E21*Dashboard!$C$10/100</f>
        <v>0</v>
      </c>
      <c r="F8" s="148"/>
    </row>
    <row r="9" spans="1:6">
      <c r="B9" s="146" t="s">
        <v>329</v>
      </c>
      <c r="C9" s="172">
        <f>IF(C8&gt;0,'Technical inputs'!C6*Dashboard!$C$12/100,0)</f>
        <v>0</v>
      </c>
      <c r="D9" s="172">
        <f>IF(D8&gt;0,'Technical inputs'!D6*Dashboard!$C$12/100,0)</f>
        <v>0</v>
      </c>
      <c r="E9" s="172">
        <f>IF(E8&gt;0,'Technical inputs'!E6*Dashboard!$C$12/100,0)</f>
        <v>0</v>
      </c>
    </row>
    <row r="10" spans="1:6">
      <c r="B10" s="146" t="s">
        <v>330</v>
      </c>
      <c r="C10" s="177">
        <f>IF(C8&gt;0,Dashboard!$C$11*365,0)</f>
        <v>0</v>
      </c>
      <c r="D10" s="177">
        <f>IF(D8&gt;0,Dashboard!$C$11*365,0)</f>
        <v>0</v>
      </c>
      <c r="E10" s="177">
        <f>IF(E8&gt;0,Dashboard!$C$11*365,0)</f>
        <v>0</v>
      </c>
    </row>
    <row r="11" spans="1:6">
      <c r="B11" s="146" t="s">
        <v>331</v>
      </c>
      <c r="C11" s="53" t="e">
        <f>'Operating model'!C31*Dashboard!$C$14/100</f>
        <v>#REF!</v>
      </c>
      <c r="D11" s="53" t="e">
        <f>'Operating model'!D31*Dashboard!$C$14/100</f>
        <v>#REF!</v>
      </c>
      <c r="E11" s="53" t="e">
        <f>'Operating model'!E31*Dashboard!$C$14/100</f>
        <v>#REF!</v>
      </c>
    </row>
    <row r="12" spans="1:6">
      <c r="B12" s="146" t="s">
        <v>332</v>
      </c>
      <c r="C12" s="53" t="e">
        <f>'Operating model'!C31*Dashboard!$C$13/100</f>
        <v>#REF!</v>
      </c>
      <c r="D12" s="53" t="e">
        <f>'Operating model'!D31*Dashboard!$C$13/100</f>
        <v>#REF!</v>
      </c>
      <c r="E12" s="53" t="e">
        <f>'Operating model'!E31*Dashboard!$C$13/100</f>
        <v>#REF!</v>
      </c>
    </row>
    <row r="13" spans="1:6">
      <c r="B13" s="146" t="s">
        <v>333</v>
      </c>
      <c r="C13" s="53">
        <f>IF(SUM(C5:E5)&gt;0,(Dashboard!$C$15*Dashboard!$C$19*365)+(Dashboard!$C$18*365),0)</f>
        <v>232378.60080178021</v>
      </c>
      <c r="D13" s="53">
        <f>IF(SUM(D5:E5)&gt;0,(Dashboard!$C$16*Dashboard!$C$19*365)+(Dashboard!$C$18*365),C13)</f>
        <v>259938.06849958247</v>
      </c>
      <c r="E13" s="53">
        <f>IF(E5&gt;0,(Dashboard!$C$17*Dashboard!$C$19*365)+(Dashboard!$C$18*365),D13)</f>
        <v>269324.01267692103</v>
      </c>
    </row>
    <row r="14" spans="1:6" ht="6.75" customHeight="1">
      <c r="B14" s="146"/>
    </row>
    <row r="15" spans="1:6">
      <c r="B15" s="146" t="s">
        <v>334</v>
      </c>
      <c r="C15" s="69" t="e">
        <f>'Operating model'!C20/1000*'Technical inputs'!C15</f>
        <v>#REF!</v>
      </c>
      <c r="D15" s="69" t="e">
        <f>'Operating model'!D20/1000*'Technical inputs'!D15</f>
        <v>#REF!</v>
      </c>
      <c r="E15" s="69" t="e">
        <f>'Operating model'!E20/1000*'Technical inputs'!E15</f>
        <v>#REF!</v>
      </c>
      <c r="F15" s="162"/>
    </row>
    <row r="16" spans="1:6">
      <c r="B16" s="146" t="s">
        <v>335</v>
      </c>
      <c r="F16" s="148"/>
    </row>
    <row r="17" spans="1:6">
      <c r="B17" s="146" t="s">
        <v>336</v>
      </c>
      <c r="C17" s="69">
        <f>'Operating model'!C15/1000*'Technical inputs'!C29</f>
        <v>0</v>
      </c>
      <c r="D17" s="69">
        <f>'Operating model'!D15/1000*'Technical inputs'!D29</f>
        <v>0</v>
      </c>
      <c r="E17" s="69">
        <f>'Operating model'!E15/1000*'Technical inputs'!E29</f>
        <v>0</v>
      </c>
    </row>
    <row r="18" spans="1:6">
      <c r="B18" s="146" t="s">
        <v>337</v>
      </c>
      <c r="C18" s="69">
        <f>IF('Operating model'!C16&gt;0,('Operating model'!C16/1000*'Technical inputs'!C25)+'Technical inputs'!C26,0)</f>
        <v>1008.1863425707829</v>
      </c>
      <c r="D18" s="69">
        <f>IF('Operating model'!D16&gt;0,('Operating model'!D16/1000*'Technical inputs'!D25)+'Technical inputs'!D26,C18)</f>
        <v>1009.7928402506315</v>
      </c>
      <c r="E18" s="69">
        <f>IF('Operating model'!E16&gt;0,('Operating model'!E16/1000*'Technical inputs'!E25)+'Technical inputs'!E26,D18)</f>
        <v>1010.33996611349</v>
      </c>
    </row>
    <row r="19" spans="1:6">
      <c r="B19" s="146" t="s">
        <v>338</v>
      </c>
      <c r="C19" s="69">
        <f>IF(SUM(C5:$E$5)&gt;0,('Technical inputs'!$C$29*'Technical inputs'!C96)+('Technical inputs'!C101*('Technical inputs'!C30+'Technical inputs'!C32))+('Technical inputs'!C102*('Technical inputs'!C31+'Technical inputs'!C33)),0)</f>
        <v>7040</v>
      </c>
      <c r="D19" s="69">
        <f>IF(SUM(D5:$E$5)&gt;0,('Technical inputs'!D29*'Technical inputs'!D96)+('Technical inputs'!D101*('Technical inputs'!D30+'Technical inputs'!D32))+('Technical inputs'!D102*('Technical inputs'!D31+'Technical inputs'!D33)),0)</f>
        <v>11245</v>
      </c>
      <c r="E19" s="69">
        <f>IF(SUM(E5:$E$5)&gt;0,('Technical inputs'!E29*'Technical inputs'!E96)+('Technical inputs'!E101*('Technical inputs'!E30+'Technical inputs'!E32))+('Technical inputs'!E102*('Technical inputs'!E31+'Technical inputs'!E33)),0)</f>
        <v>15605</v>
      </c>
    </row>
    <row r="21" spans="1:6">
      <c r="B21" s="145" t="s">
        <v>323</v>
      </c>
    </row>
    <row r="22" spans="1:6">
      <c r="B22" s="146" t="s">
        <v>339</v>
      </c>
      <c r="C22" s="69">
        <f>'Operating model'!$C$35*Dashboard!$C$37/100</f>
        <v>0</v>
      </c>
    </row>
    <row r="23" spans="1:6">
      <c r="B23" s="146" t="s">
        <v>340</v>
      </c>
      <c r="C23" s="69">
        <f>'Operating model'!$C$36*Dashboard!$C$38/100</f>
        <v>0</v>
      </c>
    </row>
    <row r="24" spans="1:6">
      <c r="B24" s="146" t="s">
        <v>341</v>
      </c>
      <c r="C24" s="177">
        <f>'Operating model'!$C$35*Dashboard!$C$13/100</f>
        <v>0</v>
      </c>
    </row>
    <row r="25" spans="1:6">
      <c r="B25" s="146" t="s">
        <v>334</v>
      </c>
      <c r="C25" s="69" t="e">
        <f>CAPEX!G63*'Technical inputs'!C41</f>
        <v>#REF!</v>
      </c>
      <c r="D25" s="162"/>
    </row>
    <row r="27" spans="1:6">
      <c r="B27" s="145" t="s">
        <v>256</v>
      </c>
    </row>
    <row r="28" spans="1:6">
      <c r="B28" s="146" t="s">
        <v>334</v>
      </c>
      <c r="C28" s="53" t="e">
        <f>IF(Dashboard!$C$39=Lists!$B$18,SUM(CAPEX!E69:E70)*'Technical inputs'!$C$48,0)</f>
        <v>#REF!</v>
      </c>
      <c r="D28" s="53" t="e">
        <f>IF(Dashboard!$C$39=Lists!$B$18,SUM(CAPEX!F69:F70)*'Technical inputs'!$C$48,0)</f>
        <v>#REF!</v>
      </c>
      <c r="E28" s="53" t="e">
        <f>IF(Dashboard!$C$39=Lists!$B$18,SUM(CAPEX!G69:G70)*'Technical inputs'!$C$48,0)</f>
        <v>#REF!</v>
      </c>
    </row>
    <row r="29" spans="1:6">
      <c r="B29" s="146" t="s">
        <v>342</v>
      </c>
      <c r="C29" s="53">
        <f>IF(Dashboard!$C$39=Lists!$B$17,'Technical inputs'!$C$49*SUM('Technical inputs'!C103:C104),0)</f>
        <v>0</v>
      </c>
      <c r="D29" s="53">
        <f>IF(Dashboard!$C$39=Lists!$B$17,'Technical inputs'!$C$49*SUM('Technical inputs'!C103:D104),0)</f>
        <v>0</v>
      </c>
      <c r="E29" s="53">
        <f>IF(Dashboard!$C$39=Lists!$B$17,'Technical inputs'!$C$49*SUM('Technical inputs'!C103:E104),0)</f>
        <v>0</v>
      </c>
      <c r="F29" s="148"/>
    </row>
    <row r="30" spans="1:6">
      <c r="B30" s="146" t="s">
        <v>343</v>
      </c>
      <c r="C30" s="53">
        <f>IF(Dashboard!$C$39=Lists!$B$19,'Technical inputs'!$C$50*SUM('Technical inputs'!C103:C104),0)</f>
        <v>0</v>
      </c>
      <c r="D30" s="53">
        <f>IF(Dashboard!$C$39=Lists!$B$19,'Technical inputs'!$C$50*SUM('Technical inputs'!C103:D104),0)</f>
        <v>0</v>
      </c>
      <c r="E30" s="53">
        <f>IF(Dashboard!$C$39=Lists!$B$19,'Technical inputs'!$C$50*SUM('Technical inputs'!C103:E104),0)</f>
        <v>0</v>
      </c>
    </row>
    <row r="32" spans="1:6">
      <c r="A32" s="116"/>
      <c r="B32" s="117" t="s">
        <v>75</v>
      </c>
      <c r="C32" s="117"/>
      <c r="D32" s="116"/>
      <c r="E32" s="116"/>
      <c r="F32" s="116"/>
    </row>
  </sheetData>
  <pageMargins left="0.7" right="0.7" top="0.75" bottom="0.75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Alexis Ciunek</dc:creator>
  <cp:keywords/>
  <dc:description/>
  <cp:lastModifiedBy/>
  <cp:revision>0</cp:revision>
  <dcterms:created xsi:type="dcterms:W3CDTF">2022-11-14T13:11:09Z</dcterms:created>
  <dcterms:modified xsi:type="dcterms:W3CDTF">2023-05-25T12:20:12Z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0x010100239FAEFEE351864B9C55185F174C5D3C</vt:lpwstr>
  </property>
</Properties>
</file>