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rporate\CSBG &amp; Program\Program(KPIs)\FY24\Sept 24\"/>
    </mc:Choice>
  </mc:AlternateContent>
  <xr:revisionPtr revIDLastSave="0" documentId="13_ncr:1_{2D066475-C18D-45C7-827B-A923862AF7C3}" xr6:coauthVersionLast="47" xr6:coauthVersionMax="47" xr10:uidLastSave="{00000000-0000-0000-0000-000000000000}"/>
  <bookViews>
    <workbookView xWindow="28680" yWindow="-120" windowWidth="29040" windowHeight="15840" firstSheet="5" activeTab="13" xr2:uid="{311B863C-EB16-4500-AF1B-2CE4FF66666D}"/>
  </bookViews>
  <sheets>
    <sheet name="FY24 KPIs" sheetId="1" r:id="rId1"/>
    <sheet name="Children's " sheetId="2" r:id="rId2"/>
    <sheet name="Energy" sheetId="3" r:id="rId3"/>
    <sheet name="Housing" sheetId="4" r:id="rId4"/>
    <sheet name="Family" sheetId="5" r:id="rId5"/>
    <sheet name="Customer" sheetId="6" r:id="rId6"/>
    <sheet name="Development" sheetId="7" r:id="rId7"/>
    <sheet name="CCFC" sheetId="8" r:id="rId8"/>
    <sheet name="Property" sheetId="9" r:id="rId9"/>
    <sheet name="Finance" sheetId="10" r:id="rId10"/>
    <sheet name="IT" sheetId="11" r:id="rId11"/>
    <sheet name="Human Resources" sheetId="13" r:id="rId12"/>
    <sheet name="CSBG Funded" sheetId="12" r:id="rId13"/>
    <sheet name="Waiting Lists" sheetId="1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13" l="1"/>
  <c r="N63" i="13"/>
  <c r="O62" i="13"/>
  <c r="N62" i="13"/>
  <c r="O61" i="13"/>
  <c r="N61" i="13"/>
  <c r="O60" i="13"/>
  <c r="N60" i="13"/>
  <c r="O59" i="13"/>
  <c r="N59" i="13"/>
  <c r="O58" i="13"/>
  <c r="N58" i="13"/>
  <c r="O57" i="13"/>
  <c r="N57" i="13"/>
  <c r="O56" i="13"/>
  <c r="N56" i="13"/>
  <c r="O55" i="13"/>
  <c r="N55" i="13"/>
  <c r="O54" i="13"/>
  <c r="N54" i="13"/>
  <c r="O53" i="13"/>
  <c r="N53" i="13"/>
  <c r="O52" i="13"/>
  <c r="N52" i="13"/>
  <c r="O51" i="13"/>
  <c r="N51" i="13"/>
  <c r="O50" i="13"/>
  <c r="N50" i="13"/>
  <c r="O49" i="13"/>
  <c r="N49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P30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M5" i="9"/>
  <c r="M6" i="9" s="1"/>
  <c r="M4" i="9"/>
  <c r="M3" i="9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S25" i="5"/>
  <c r="R25" i="5"/>
  <c r="Q25" i="5"/>
  <c r="S23" i="5"/>
  <c r="P9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Z3" i="2" s="1"/>
  <c r="Z26" i="2"/>
  <c r="Z25" i="2"/>
  <c r="Z16" i="2"/>
  <c r="Z8" i="2"/>
  <c r="Q90" i="1"/>
  <c r="O100" i="1" l="1"/>
  <c r="O99" i="1"/>
  <c r="O98" i="1"/>
  <c r="O94" i="1"/>
  <c r="O82" i="1" l="1"/>
  <c r="O51" i="1"/>
  <c r="Q7" i="1" l="1"/>
  <c r="Q2" i="1"/>
  <c r="Q14" i="1"/>
  <c r="Q13" i="1"/>
  <c r="P13" i="1"/>
  <c r="N48" i="13" l="1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5" i="9"/>
  <c r="L6" i="9" s="1"/>
  <c r="L4" i="9"/>
  <c r="L3" i="9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H9" i="7"/>
  <c r="G9" i="7"/>
  <c r="F9" i="7"/>
  <c r="E9" i="7"/>
  <c r="D9" i="7"/>
  <c r="C9" i="7"/>
  <c r="M8" i="7"/>
  <c r="L8" i="7"/>
  <c r="K8" i="7"/>
  <c r="J8" i="7"/>
  <c r="I8" i="7"/>
  <c r="H8" i="7"/>
  <c r="G8" i="7"/>
  <c r="F8" i="7"/>
  <c r="E8" i="7"/>
  <c r="D8" i="7"/>
  <c r="C8" i="7"/>
  <c r="M7" i="7"/>
  <c r="L7" i="7"/>
  <c r="K7" i="7"/>
  <c r="J7" i="7"/>
  <c r="I7" i="7"/>
  <c r="H7" i="7"/>
  <c r="G7" i="7"/>
  <c r="F7" i="7"/>
  <c r="E7" i="7"/>
  <c r="D7" i="7"/>
  <c r="C7" i="7"/>
  <c r="M6" i="7"/>
  <c r="L6" i="7"/>
  <c r="K6" i="7"/>
  <c r="J6" i="7"/>
  <c r="I6" i="7"/>
  <c r="H6" i="7"/>
  <c r="G6" i="7"/>
  <c r="F6" i="7"/>
  <c r="E6" i="7"/>
  <c r="D6" i="7"/>
  <c r="C6" i="7"/>
  <c r="M5" i="7"/>
  <c r="L5" i="7"/>
  <c r="K5" i="7"/>
  <c r="J5" i="7"/>
  <c r="I5" i="7"/>
  <c r="H5" i="7"/>
  <c r="G5" i="7"/>
  <c r="F5" i="7"/>
  <c r="E5" i="7"/>
  <c r="D5" i="7"/>
  <c r="C5" i="7"/>
  <c r="M4" i="7"/>
  <c r="L4" i="7"/>
  <c r="K4" i="7"/>
  <c r="J4" i="7"/>
  <c r="I4" i="7"/>
  <c r="H4" i="7"/>
  <c r="G4" i="7"/>
  <c r="F4" i="7"/>
  <c r="E4" i="7"/>
  <c r="D4" i="7"/>
  <c r="C4" i="7"/>
  <c r="M3" i="7"/>
  <c r="L3" i="7"/>
  <c r="K3" i="7"/>
  <c r="J3" i="7"/>
  <c r="I3" i="7"/>
  <c r="H3" i="7"/>
  <c r="G3" i="7"/>
  <c r="F3" i="7"/>
  <c r="E3" i="7"/>
  <c r="D3" i="7"/>
  <c r="C3" i="7"/>
  <c r="B10" i="7"/>
  <c r="B9" i="7"/>
  <c r="B8" i="7"/>
  <c r="B7" i="7"/>
  <c r="B6" i="7"/>
  <c r="B5" i="7"/>
  <c r="B4" i="7"/>
  <c r="B3" i="7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3" i="6"/>
  <c r="J86" i="1"/>
  <c r="P95" i="1" l="1"/>
  <c r="Q95" i="1" s="1"/>
  <c r="P92" i="1"/>
  <c r="P91" i="1"/>
  <c r="R23" i="5"/>
  <c r="P25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L9" i="3"/>
  <c r="L8" i="3"/>
  <c r="L7" i="3"/>
  <c r="L6" i="3"/>
  <c r="L5" i="3"/>
  <c r="L4" i="3"/>
  <c r="L3" i="3"/>
  <c r="Y26" i="2"/>
  <c r="Y25" i="2"/>
  <c r="L26" i="2"/>
  <c r="L25" i="2"/>
  <c r="L24" i="2"/>
  <c r="L23" i="2"/>
  <c r="L22" i="2"/>
  <c r="L21" i="2"/>
  <c r="L20" i="2"/>
  <c r="L19" i="2"/>
  <c r="L18" i="2"/>
  <c r="L17" i="2"/>
  <c r="L16" i="2"/>
  <c r="Y16" i="2" s="1"/>
  <c r="L15" i="2"/>
  <c r="L14" i="2"/>
  <c r="L13" i="2"/>
  <c r="L12" i="2"/>
  <c r="L11" i="2"/>
  <c r="L10" i="2"/>
  <c r="L9" i="2"/>
  <c r="L8" i="2"/>
  <c r="Y8" i="2" s="1"/>
  <c r="L7" i="2"/>
  <c r="L6" i="2"/>
  <c r="L5" i="2"/>
  <c r="L4" i="2"/>
  <c r="L3" i="2"/>
  <c r="Y3" i="2" s="1"/>
  <c r="P54" i="1" l="1"/>
  <c r="P90" i="1" l="1"/>
  <c r="P19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K5" i="9"/>
  <c r="K6" i="9" s="1"/>
  <c r="K4" i="9"/>
  <c r="K3" i="9"/>
  <c r="K12" i="8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Q23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K9" i="3"/>
  <c r="K8" i="3"/>
  <c r="K7" i="3"/>
  <c r="K6" i="3"/>
  <c r="K5" i="3"/>
  <c r="K4" i="3"/>
  <c r="K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Q24" i="11" l="1"/>
  <c r="J6" i="9"/>
  <c r="J12" i="8"/>
  <c r="O25" i="5"/>
  <c r="P23" i="5"/>
  <c r="X25" i="2"/>
  <c r="W26" i="2"/>
  <c r="W25" i="2"/>
  <c r="X16" i="2"/>
  <c r="W16" i="2"/>
  <c r="V16" i="2"/>
  <c r="X8" i="2"/>
  <c r="W8" i="2"/>
  <c r="X3" i="2"/>
  <c r="W3" i="2"/>
  <c r="X26" i="2"/>
  <c r="J26" i="2"/>
  <c r="I26" i="2"/>
  <c r="H26" i="2"/>
  <c r="G26" i="2"/>
  <c r="F26" i="2"/>
  <c r="E26" i="2"/>
  <c r="D26" i="2"/>
  <c r="C26" i="2"/>
  <c r="B26" i="2"/>
  <c r="M26" i="17"/>
  <c r="L26" i="17"/>
  <c r="K26" i="17"/>
  <c r="J26" i="17"/>
  <c r="I26" i="17"/>
  <c r="H26" i="17"/>
  <c r="G26" i="17"/>
  <c r="F26" i="17"/>
  <c r="E26" i="17"/>
  <c r="D26" i="17"/>
  <c r="C26" i="17"/>
  <c r="M25" i="17"/>
  <c r="L25" i="17"/>
  <c r="K25" i="17"/>
  <c r="J25" i="17"/>
  <c r="I25" i="17"/>
  <c r="H25" i="17"/>
  <c r="G25" i="17"/>
  <c r="F25" i="17"/>
  <c r="E25" i="17"/>
  <c r="D25" i="17"/>
  <c r="C25" i="17"/>
  <c r="M23" i="17"/>
  <c r="L23" i="17"/>
  <c r="K23" i="17"/>
  <c r="J23" i="17"/>
  <c r="I23" i="17"/>
  <c r="H23" i="17"/>
  <c r="G23" i="17"/>
  <c r="F23" i="17"/>
  <c r="E23" i="17"/>
  <c r="D23" i="17"/>
  <c r="C23" i="17"/>
  <c r="M22" i="17"/>
  <c r="L22" i="17"/>
  <c r="K22" i="17"/>
  <c r="J22" i="17"/>
  <c r="I22" i="17"/>
  <c r="H22" i="17"/>
  <c r="G22" i="17"/>
  <c r="F22" i="17"/>
  <c r="E22" i="17"/>
  <c r="D22" i="17"/>
  <c r="C22" i="17"/>
  <c r="M20" i="17"/>
  <c r="L20" i="17"/>
  <c r="K20" i="17"/>
  <c r="J20" i="17"/>
  <c r="I20" i="17"/>
  <c r="H20" i="17"/>
  <c r="G20" i="17"/>
  <c r="F20" i="17"/>
  <c r="E20" i="17"/>
  <c r="D20" i="17"/>
  <c r="C20" i="17"/>
  <c r="M18" i="17"/>
  <c r="L18" i="17"/>
  <c r="K18" i="17"/>
  <c r="J18" i="17"/>
  <c r="I18" i="17"/>
  <c r="H18" i="17"/>
  <c r="G18" i="17"/>
  <c r="F18" i="17"/>
  <c r="E18" i="17"/>
  <c r="D18" i="17"/>
  <c r="C18" i="17"/>
  <c r="M17" i="17"/>
  <c r="L17" i="17"/>
  <c r="K17" i="17"/>
  <c r="J17" i="17"/>
  <c r="I17" i="17"/>
  <c r="H17" i="17"/>
  <c r="G17" i="17"/>
  <c r="F17" i="17"/>
  <c r="E17" i="17"/>
  <c r="D17" i="17"/>
  <c r="C17" i="17"/>
  <c r="M15" i="17"/>
  <c r="L15" i="17"/>
  <c r="K15" i="17"/>
  <c r="J15" i="17"/>
  <c r="I15" i="17"/>
  <c r="H15" i="17"/>
  <c r="G15" i="17"/>
  <c r="F15" i="17"/>
  <c r="E15" i="17"/>
  <c r="D15" i="17"/>
  <c r="C15" i="17"/>
  <c r="M13" i="17"/>
  <c r="L13" i="17"/>
  <c r="K13" i="17"/>
  <c r="J13" i="17"/>
  <c r="I13" i="17"/>
  <c r="H13" i="17"/>
  <c r="G13" i="17"/>
  <c r="F13" i="17"/>
  <c r="E13" i="17"/>
  <c r="D13" i="17"/>
  <c r="C13" i="17"/>
  <c r="M12" i="17"/>
  <c r="L12" i="17"/>
  <c r="K12" i="17"/>
  <c r="J12" i="17"/>
  <c r="I12" i="17"/>
  <c r="H12" i="17"/>
  <c r="G12" i="17"/>
  <c r="F12" i="17"/>
  <c r="E12" i="17"/>
  <c r="D12" i="17"/>
  <c r="C12" i="17"/>
  <c r="M11" i="17"/>
  <c r="L11" i="17"/>
  <c r="K11" i="17"/>
  <c r="J11" i="17"/>
  <c r="I11" i="17"/>
  <c r="H11" i="17"/>
  <c r="G11" i="17"/>
  <c r="F11" i="17"/>
  <c r="E11" i="17"/>
  <c r="D11" i="17"/>
  <c r="C11" i="17"/>
  <c r="B26" i="17"/>
  <c r="B25" i="17"/>
  <c r="B23" i="17"/>
  <c r="B22" i="17"/>
  <c r="B20" i="17"/>
  <c r="B18" i="17"/>
  <c r="B17" i="17"/>
  <c r="B15" i="17"/>
  <c r="B13" i="17"/>
  <c r="B12" i="17"/>
  <c r="B11" i="17"/>
  <c r="M9" i="17"/>
  <c r="L9" i="17"/>
  <c r="K9" i="17"/>
  <c r="I9" i="17"/>
  <c r="H9" i="17"/>
  <c r="G9" i="17"/>
  <c r="F9" i="17"/>
  <c r="E9" i="17"/>
  <c r="D9" i="17"/>
  <c r="C9" i="17"/>
  <c r="M8" i="17"/>
  <c r="L8" i="17"/>
  <c r="K8" i="17"/>
  <c r="I8" i="17"/>
  <c r="H8" i="17"/>
  <c r="G8" i="17"/>
  <c r="F8" i="17"/>
  <c r="E8" i="17"/>
  <c r="D8" i="17"/>
  <c r="C8" i="17"/>
  <c r="M6" i="17"/>
  <c r="L6" i="17"/>
  <c r="K6" i="17"/>
  <c r="I6" i="17"/>
  <c r="H6" i="17"/>
  <c r="G6" i="17"/>
  <c r="F6" i="17"/>
  <c r="E6" i="17"/>
  <c r="D6" i="17"/>
  <c r="C6" i="17"/>
  <c r="M5" i="17"/>
  <c r="L5" i="17"/>
  <c r="K5" i="17"/>
  <c r="I5" i="17"/>
  <c r="H5" i="17"/>
  <c r="G5" i="17"/>
  <c r="F5" i="17"/>
  <c r="E5" i="17"/>
  <c r="D5" i="17"/>
  <c r="C5" i="17"/>
  <c r="B9" i="17"/>
  <c r="B8" i="17"/>
  <c r="B6" i="17"/>
  <c r="B5" i="17"/>
  <c r="F23" i="4"/>
  <c r="G23" i="4" s="1"/>
  <c r="H23" i="4" s="1"/>
  <c r="I23" i="4" s="1"/>
  <c r="J23" i="4" s="1"/>
  <c r="K23" i="4" s="1"/>
  <c r="F22" i="4"/>
  <c r="G22" i="4" s="1"/>
  <c r="H22" i="4" s="1"/>
  <c r="I22" i="4" s="1"/>
  <c r="J22" i="4" s="1"/>
  <c r="K22" i="4" s="1"/>
  <c r="E23" i="4"/>
  <c r="E22" i="4"/>
  <c r="N3" i="9"/>
  <c r="N4" i="9"/>
  <c r="N5" i="9"/>
  <c r="J13" i="6"/>
  <c r="J4" i="6"/>
  <c r="P10" i="5"/>
  <c r="K5" i="5"/>
  <c r="O19" i="4"/>
  <c r="N19" i="4"/>
  <c r="M19" i="4"/>
  <c r="L19" i="4"/>
  <c r="K19" i="4"/>
  <c r="J19" i="4"/>
  <c r="I19" i="4"/>
  <c r="H19" i="4"/>
  <c r="G19" i="4"/>
  <c r="F19" i="4"/>
  <c r="E19" i="4"/>
  <c r="O18" i="4"/>
  <c r="N18" i="4"/>
  <c r="M18" i="4"/>
  <c r="L18" i="4"/>
  <c r="K18" i="4"/>
  <c r="J18" i="4"/>
  <c r="I18" i="4"/>
  <c r="H18" i="4"/>
  <c r="G18" i="4"/>
  <c r="F18" i="4"/>
  <c r="E18" i="4"/>
  <c r="O17" i="4"/>
  <c r="N17" i="4"/>
  <c r="M17" i="4"/>
  <c r="L17" i="4"/>
  <c r="K17" i="4"/>
  <c r="J17" i="4"/>
  <c r="I17" i="4"/>
  <c r="H17" i="4"/>
  <c r="G17" i="4"/>
  <c r="F17" i="4"/>
  <c r="E17" i="4"/>
  <c r="O16" i="4"/>
  <c r="N16" i="4"/>
  <c r="M16" i="4"/>
  <c r="L16" i="4"/>
  <c r="K16" i="4"/>
  <c r="J16" i="4"/>
  <c r="I16" i="4"/>
  <c r="H16" i="4"/>
  <c r="G16" i="4"/>
  <c r="F16" i="4"/>
  <c r="E16" i="4"/>
  <c r="O15" i="4"/>
  <c r="N15" i="4"/>
  <c r="M15" i="4"/>
  <c r="L15" i="4"/>
  <c r="K15" i="4"/>
  <c r="J15" i="4"/>
  <c r="I15" i="4"/>
  <c r="H15" i="4"/>
  <c r="G15" i="4"/>
  <c r="F15" i="4"/>
  <c r="E15" i="4"/>
  <c r="O14" i="4"/>
  <c r="N14" i="4"/>
  <c r="M14" i="4"/>
  <c r="L14" i="4"/>
  <c r="K14" i="4"/>
  <c r="J14" i="4"/>
  <c r="I14" i="4"/>
  <c r="H14" i="4"/>
  <c r="G14" i="4"/>
  <c r="F14" i="4"/>
  <c r="E14" i="4"/>
  <c r="O13" i="4"/>
  <c r="N13" i="4"/>
  <c r="M13" i="4"/>
  <c r="L13" i="4"/>
  <c r="K13" i="4"/>
  <c r="J13" i="4"/>
  <c r="I13" i="4"/>
  <c r="H13" i="4"/>
  <c r="G13" i="4"/>
  <c r="F13" i="4"/>
  <c r="E13" i="4"/>
  <c r="O12" i="4"/>
  <c r="N12" i="4"/>
  <c r="M12" i="4"/>
  <c r="L12" i="4"/>
  <c r="K12" i="4"/>
  <c r="J12" i="4"/>
  <c r="I12" i="4"/>
  <c r="H12" i="4"/>
  <c r="G12" i="4"/>
  <c r="F12" i="4"/>
  <c r="E12" i="4"/>
  <c r="O11" i="4"/>
  <c r="N11" i="4"/>
  <c r="M11" i="4"/>
  <c r="L11" i="4"/>
  <c r="K11" i="4"/>
  <c r="J11" i="4"/>
  <c r="I11" i="4"/>
  <c r="H11" i="4"/>
  <c r="G11" i="4"/>
  <c r="F11" i="4"/>
  <c r="E11" i="4"/>
  <c r="O10" i="4"/>
  <c r="N10" i="4"/>
  <c r="M10" i="4"/>
  <c r="L10" i="4"/>
  <c r="K10" i="4"/>
  <c r="J10" i="4"/>
  <c r="I10" i="4"/>
  <c r="H10" i="4"/>
  <c r="G10" i="4"/>
  <c r="F10" i="4"/>
  <c r="E10" i="4"/>
  <c r="O9" i="4"/>
  <c r="N9" i="4"/>
  <c r="M9" i="4"/>
  <c r="L9" i="4"/>
  <c r="K9" i="4"/>
  <c r="J9" i="4"/>
  <c r="I9" i="4"/>
  <c r="H9" i="4"/>
  <c r="G9" i="4"/>
  <c r="F9" i="4"/>
  <c r="E9" i="4"/>
  <c r="O8" i="4"/>
  <c r="N8" i="4"/>
  <c r="M8" i="4"/>
  <c r="L8" i="4"/>
  <c r="K8" i="4"/>
  <c r="J8" i="4"/>
  <c r="I8" i="4"/>
  <c r="H8" i="4"/>
  <c r="G8" i="4"/>
  <c r="F8" i="4"/>
  <c r="E8" i="4"/>
  <c r="O7" i="4"/>
  <c r="N7" i="4"/>
  <c r="M7" i="4"/>
  <c r="L7" i="4"/>
  <c r="K7" i="4"/>
  <c r="J7" i="4"/>
  <c r="I7" i="4"/>
  <c r="H7" i="4"/>
  <c r="G7" i="4"/>
  <c r="F7" i="4"/>
  <c r="E7" i="4"/>
  <c r="O6" i="4"/>
  <c r="N6" i="4"/>
  <c r="M6" i="4"/>
  <c r="L6" i="4"/>
  <c r="K6" i="4"/>
  <c r="J6" i="4"/>
  <c r="I6" i="4"/>
  <c r="H6" i="4"/>
  <c r="G6" i="4"/>
  <c r="F6" i="4"/>
  <c r="E6" i="4"/>
  <c r="O5" i="4"/>
  <c r="N5" i="4"/>
  <c r="M5" i="4"/>
  <c r="L5" i="4"/>
  <c r="K5" i="4"/>
  <c r="J5" i="4"/>
  <c r="I5" i="4"/>
  <c r="H5" i="4"/>
  <c r="G5" i="4"/>
  <c r="F5" i="4"/>
  <c r="E5" i="4"/>
  <c r="O4" i="4"/>
  <c r="N4" i="4"/>
  <c r="M4" i="4"/>
  <c r="L4" i="4"/>
  <c r="K4" i="4"/>
  <c r="J4" i="4"/>
  <c r="I4" i="4"/>
  <c r="H4" i="4"/>
  <c r="G4" i="4"/>
  <c r="F4" i="4"/>
  <c r="E4" i="4"/>
  <c r="O3" i="4"/>
  <c r="N3" i="4"/>
  <c r="M3" i="4"/>
  <c r="L3" i="4"/>
  <c r="K3" i="4"/>
  <c r="J3" i="4"/>
  <c r="I3" i="4"/>
  <c r="H3" i="4"/>
  <c r="G3" i="4"/>
  <c r="F3" i="4"/>
  <c r="E3" i="4"/>
  <c r="D19" i="4"/>
  <c r="E21" i="4" s="1"/>
  <c r="F21" i="4" s="1"/>
  <c r="G21" i="4" s="1"/>
  <c r="H21" i="4" s="1"/>
  <c r="I21" i="4" s="1"/>
  <c r="J21" i="4" s="1"/>
  <c r="K21" i="4" s="1"/>
  <c r="L21" i="4" s="1"/>
  <c r="M21" i="4" s="1"/>
  <c r="D18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M19" i="12"/>
  <c r="N19" i="12" s="1"/>
  <c r="L19" i="12"/>
  <c r="K19" i="12"/>
  <c r="J19" i="12"/>
  <c r="I19" i="12"/>
  <c r="H19" i="12"/>
  <c r="G19" i="12"/>
  <c r="F19" i="12"/>
  <c r="E19" i="12"/>
  <c r="D19" i="12"/>
  <c r="C19" i="12"/>
  <c r="B19" i="12"/>
  <c r="N21" i="4" l="1"/>
  <c r="O21" i="4" s="1"/>
  <c r="P15" i="4"/>
  <c r="Q15" i="4" s="1"/>
  <c r="N9" i="7"/>
  <c r="N8" i="7"/>
  <c r="N10" i="7"/>
  <c r="N3" i="7"/>
  <c r="N4" i="7"/>
  <c r="N7" i="7"/>
  <c r="N6" i="7"/>
  <c r="N5" i="7"/>
  <c r="L22" i="4"/>
  <c r="M22" i="4" s="1"/>
  <c r="N22" i="4" s="1"/>
  <c r="O22" i="4" s="1"/>
  <c r="L23" i="4"/>
  <c r="M23" i="4" s="1"/>
  <c r="N23" i="4" s="1"/>
  <c r="O23" i="4" s="1"/>
  <c r="P14" i="4"/>
  <c r="Q14" i="4" s="1"/>
  <c r="P18" i="4"/>
  <c r="Q18" i="4" s="1"/>
  <c r="P17" i="4"/>
  <c r="Q17" i="4" s="1"/>
  <c r="P16" i="4"/>
  <c r="Q16" i="4" s="1"/>
  <c r="P13" i="4"/>
  <c r="Q13" i="4" s="1"/>
  <c r="P19" i="4"/>
  <c r="Q19" i="4" s="1"/>
  <c r="I12" i="8"/>
  <c r="O23" i="5"/>
  <c r="P110" i="1"/>
  <c r="P109" i="1"/>
  <c r="P108" i="1"/>
  <c r="P76" i="1" l="1"/>
  <c r="P77" i="1"/>
  <c r="P68" i="1"/>
  <c r="P63" i="1"/>
  <c r="P62" i="1"/>
  <c r="P61" i="1"/>
  <c r="P60" i="1"/>
  <c r="P59" i="1"/>
  <c r="P75" i="1" l="1"/>
  <c r="K74" i="1"/>
  <c r="P74" i="1" s="1"/>
  <c r="K65" i="1"/>
  <c r="K51" i="1"/>
  <c r="Q25" i="11" l="1"/>
  <c r="O6" i="11"/>
  <c r="N6" i="11"/>
  <c r="O5" i="11"/>
  <c r="N5" i="11"/>
  <c r="O4" i="11"/>
  <c r="N4" i="11"/>
  <c r="O3" i="11"/>
  <c r="N3" i="11"/>
  <c r="D3" i="10"/>
  <c r="P24" i="11" l="1"/>
  <c r="P22" i="11"/>
  <c r="Q23" i="11"/>
  <c r="Q22" i="11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M13" i="8"/>
  <c r="L13" i="8"/>
  <c r="K13" i="8"/>
  <c r="J13" i="8"/>
  <c r="I13" i="8"/>
  <c r="H13" i="8"/>
  <c r="G13" i="8"/>
  <c r="F13" i="8"/>
  <c r="E13" i="8"/>
  <c r="D13" i="8"/>
  <c r="C13" i="8"/>
  <c r="M11" i="8"/>
  <c r="L11" i="8"/>
  <c r="L12" i="8" s="1"/>
  <c r="M12" i="8" s="1"/>
  <c r="K11" i="8"/>
  <c r="J11" i="8"/>
  <c r="I11" i="8"/>
  <c r="H11" i="8"/>
  <c r="G11" i="8"/>
  <c r="G12" i="8" s="1"/>
  <c r="F11" i="8"/>
  <c r="E11" i="8"/>
  <c r="D11" i="8"/>
  <c r="C11" i="8"/>
  <c r="M10" i="8"/>
  <c r="L10" i="8"/>
  <c r="K10" i="8"/>
  <c r="J10" i="8"/>
  <c r="I10" i="8"/>
  <c r="H10" i="8"/>
  <c r="G10" i="8"/>
  <c r="F10" i="8"/>
  <c r="E10" i="8"/>
  <c r="D10" i="8"/>
  <c r="C10" i="8"/>
  <c r="M9" i="8"/>
  <c r="L9" i="8"/>
  <c r="K9" i="8"/>
  <c r="J9" i="8"/>
  <c r="I9" i="8"/>
  <c r="H9" i="8"/>
  <c r="G9" i="8"/>
  <c r="F9" i="8"/>
  <c r="E9" i="8"/>
  <c r="D9" i="8"/>
  <c r="C9" i="8"/>
  <c r="M8" i="8"/>
  <c r="L8" i="8"/>
  <c r="K8" i="8"/>
  <c r="J8" i="8"/>
  <c r="I8" i="8"/>
  <c r="H8" i="8"/>
  <c r="G8" i="8"/>
  <c r="F8" i="8"/>
  <c r="E8" i="8"/>
  <c r="D8" i="8"/>
  <c r="C8" i="8"/>
  <c r="M7" i="8"/>
  <c r="L7" i="8"/>
  <c r="K7" i="8"/>
  <c r="J7" i="8"/>
  <c r="I7" i="8"/>
  <c r="H7" i="8"/>
  <c r="G7" i="8"/>
  <c r="F7" i="8"/>
  <c r="E7" i="8"/>
  <c r="D7" i="8"/>
  <c r="C7" i="8"/>
  <c r="M6" i="8"/>
  <c r="L6" i="8"/>
  <c r="K6" i="8"/>
  <c r="J6" i="8"/>
  <c r="I6" i="8"/>
  <c r="H6" i="8"/>
  <c r="G6" i="8"/>
  <c r="F6" i="8"/>
  <c r="E6" i="8"/>
  <c r="D6" i="8"/>
  <c r="C6" i="8"/>
  <c r="M5" i="8"/>
  <c r="L5" i="8"/>
  <c r="K5" i="8"/>
  <c r="J5" i="8"/>
  <c r="I5" i="8"/>
  <c r="H5" i="8"/>
  <c r="G5" i="8"/>
  <c r="F5" i="8"/>
  <c r="E5" i="8"/>
  <c r="D5" i="8"/>
  <c r="C5" i="8"/>
  <c r="M4" i="8"/>
  <c r="L4" i="8"/>
  <c r="K4" i="8"/>
  <c r="J4" i="8"/>
  <c r="I4" i="8"/>
  <c r="H4" i="8"/>
  <c r="G4" i="8"/>
  <c r="F4" i="8"/>
  <c r="E4" i="8"/>
  <c r="D4" i="8"/>
  <c r="C4" i="8"/>
  <c r="M3" i="8"/>
  <c r="L3" i="8"/>
  <c r="K3" i="8"/>
  <c r="J3" i="8"/>
  <c r="I3" i="8"/>
  <c r="H3" i="8"/>
  <c r="G3" i="8"/>
  <c r="F3" i="8"/>
  <c r="E3" i="8"/>
  <c r="D3" i="8"/>
  <c r="C3" i="8"/>
  <c r="B16" i="8"/>
  <c r="B15" i="8"/>
  <c r="B14" i="8"/>
  <c r="B13" i="8"/>
  <c r="B11" i="8"/>
  <c r="B10" i="8"/>
  <c r="B9" i="8"/>
  <c r="B8" i="8"/>
  <c r="B7" i="8"/>
  <c r="B6" i="8"/>
  <c r="B5" i="8"/>
  <c r="B4" i="8"/>
  <c r="B3" i="8"/>
  <c r="H12" i="8" l="1"/>
  <c r="N11" i="8"/>
  <c r="I24" i="5"/>
  <c r="J24" i="5"/>
  <c r="K24" i="5" s="1"/>
  <c r="L24" i="5" s="1"/>
  <c r="M24" i="5" s="1"/>
  <c r="N24" i="5" s="1"/>
  <c r="O24" i="5" s="1"/>
  <c r="P24" i="5" s="1"/>
  <c r="Q24" i="5" s="1"/>
  <c r="R24" i="5" s="1"/>
  <c r="S24" i="5" s="1"/>
  <c r="D3" i="4"/>
  <c r="O8" i="3"/>
  <c r="O7" i="3"/>
  <c r="O6" i="3"/>
  <c r="O5" i="3"/>
  <c r="O4" i="3"/>
  <c r="P103" i="1" l="1"/>
  <c r="P99" i="1"/>
  <c r="Q99" i="1" s="1"/>
  <c r="P98" i="1"/>
  <c r="Q98" i="1" s="1"/>
  <c r="P97" i="1"/>
  <c r="P7" i="1" l="1"/>
  <c r="P2" i="1"/>
  <c r="P88" i="1" l="1"/>
  <c r="P87" i="1"/>
  <c r="P86" i="1"/>
  <c r="P46" i="1" l="1"/>
  <c r="N8" i="3" s="1"/>
  <c r="P45" i="1"/>
  <c r="N7" i="3" s="1"/>
  <c r="P44" i="1"/>
  <c r="N6" i="3" s="1"/>
  <c r="P43" i="1"/>
  <c r="N5" i="3" s="1"/>
  <c r="P42" i="1"/>
  <c r="N4" i="3" s="1"/>
  <c r="P41" i="1"/>
  <c r="N3" i="3" l="1"/>
  <c r="Q41" i="1"/>
  <c r="O3" i="3" s="1"/>
  <c r="P14" i="1"/>
  <c r="Q4" i="13" l="1"/>
  <c r="Q47" i="13"/>
  <c r="P47" i="13"/>
  <c r="Q46" i="13"/>
  <c r="P46" i="13"/>
  <c r="Q45" i="13"/>
  <c r="P45" i="13"/>
  <c r="Q44" i="13"/>
  <c r="P44" i="13"/>
  <c r="Q43" i="13"/>
  <c r="P43" i="13"/>
  <c r="Q42" i="13"/>
  <c r="P42" i="13"/>
  <c r="Q41" i="13"/>
  <c r="P41" i="13"/>
  <c r="Q40" i="13"/>
  <c r="P40" i="13"/>
  <c r="Q39" i="13"/>
  <c r="P39" i="13"/>
  <c r="Q38" i="13"/>
  <c r="P38" i="13"/>
  <c r="Q37" i="13"/>
  <c r="P37" i="13"/>
  <c r="Q36" i="13"/>
  <c r="P36" i="13"/>
  <c r="Q35" i="13"/>
  <c r="P35" i="13"/>
  <c r="Q34" i="13"/>
  <c r="P34" i="13"/>
  <c r="Q33" i="13"/>
  <c r="P33" i="13"/>
  <c r="Q32" i="13"/>
  <c r="P32" i="13"/>
  <c r="Q31" i="13"/>
  <c r="P31" i="13"/>
  <c r="Q30" i="13"/>
  <c r="P30" i="13"/>
  <c r="Q29" i="13"/>
  <c r="P29" i="13"/>
  <c r="Q28" i="13"/>
  <c r="P28" i="13"/>
  <c r="Q27" i="13"/>
  <c r="P27" i="13"/>
  <c r="Q25" i="13"/>
  <c r="P25" i="13"/>
  <c r="Q24" i="13"/>
  <c r="P24" i="13"/>
  <c r="Q23" i="13"/>
  <c r="P23" i="13"/>
  <c r="Q22" i="13"/>
  <c r="P22" i="13"/>
  <c r="Q21" i="13"/>
  <c r="P21" i="13"/>
  <c r="Q20" i="13"/>
  <c r="P20" i="13"/>
  <c r="Q19" i="13"/>
  <c r="P19" i="13"/>
  <c r="Q18" i="13"/>
  <c r="P18" i="13"/>
  <c r="Q17" i="13"/>
  <c r="P17" i="13"/>
  <c r="Q16" i="13"/>
  <c r="P16" i="13"/>
  <c r="Q26" i="13" l="1"/>
  <c r="P15" i="13"/>
  <c r="Z19" i="13"/>
  <c r="Q15" i="13"/>
  <c r="P26" i="13"/>
  <c r="T19" i="13"/>
  <c r="X19" i="13"/>
  <c r="U19" i="13"/>
  <c r="Y19" i="13"/>
  <c r="AA19" i="13"/>
  <c r="W19" i="13"/>
  <c r="V19" i="13"/>
  <c r="P14" i="13"/>
  <c r="P13" i="13"/>
  <c r="P12" i="13"/>
  <c r="P11" i="13"/>
  <c r="P10" i="13"/>
  <c r="P9" i="13"/>
  <c r="P8" i="13"/>
  <c r="P7" i="13"/>
  <c r="P6" i="13"/>
  <c r="P5" i="13"/>
  <c r="P3" i="13"/>
  <c r="P2" i="13"/>
  <c r="V18" i="13" l="1"/>
  <c r="V20" i="13" s="1"/>
  <c r="T18" i="13"/>
  <c r="T20" i="13" s="1"/>
  <c r="X18" i="13"/>
  <c r="X20" i="13" s="1"/>
  <c r="P4" i="13"/>
  <c r="W18" i="13"/>
  <c r="W20" i="13" s="1"/>
  <c r="AA18" i="13"/>
  <c r="AA20" i="13" s="1"/>
  <c r="U18" i="13"/>
  <c r="U20" i="13" s="1"/>
  <c r="Y18" i="13"/>
  <c r="Y20" i="13" s="1"/>
  <c r="Z18" i="13"/>
  <c r="Z20" i="13" s="1"/>
  <c r="Q3" i="13" l="1"/>
  <c r="Q2" i="13"/>
  <c r="P111" i="1" l="1"/>
  <c r="Q111" i="1" s="1"/>
  <c r="P8" i="1" l="1"/>
  <c r="P11" i="1"/>
  <c r="P10" i="1"/>
  <c r="P9" i="1"/>
  <c r="P5" i="1"/>
  <c r="P4" i="1"/>
  <c r="P3" i="1"/>
  <c r="P102" i="1" l="1"/>
  <c r="Q102" i="1" s="1"/>
  <c r="P85" i="1"/>
  <c r="P12" i="1" l="1"/>
  <c r="P6" i="1"/>
  <c r="P80" i="1" l="1"/>
  <c r="P79" i="1"/>
  <c r="P78" i="1"/>
  <c r="P73" i="1"/>
  <c r="P81" i="1"/>
  <c r="P16" i="1" l="1"/>
  <c r="P15" i="1"/>
  <c r="P20" i="1"/>
  <c r="J9" i="17"/>
  <c r="J8" i="17"/>
  <c r="J6" i="17"/>
  <c r="J5" i="17"/>
  <c r="N13" i="2"/>
  <c r="N7" i="2"/>
  <c r="R16" i="2" l="1"/>
  <c r="P16" i="2"/>
  <c r="U16" i="2"/>
  <c r="Q16" i="2"/>
  <c r="T16" i="2"/>
  <c r="S16" i="2"/>
  <c r="U26" i="2"/>
  <c r="Q26" i="2"/>
  <c r="T26" i="2"/>
  <c r="S26" i="2"/>
  <c r="R26" i="2"/>
  <c r="P26" i="2"/>
  <c r="V26" i="2"/>
  <c r="T3" i="2"/>
  <c r="P3" i="2"/>
  <c r="R3" i="2"/>
  <c r="U3" i="2"/>
  <c r="S3" i="2"/>
  <c r="V3" i="2"/>
  <c r="Q3" i="2"/>
  <c r="U8" i="2"/>
  <c r="Q8" i="2"/>
  <c r="V8" i="2"/>
  <c r="T8" i="2"/>
  <c r="P8" i="2"/>
  <c r="S8" i="2"/>
  <c r="R8" i="2"/>
  <c r="T25" i="2"/>
  <c r="P25" i="2"/>
  <c r="S25" i="2"/>
  <c r="V25" i="2"/>
  <c r="R25" i="2"/>
  <c r="U25" i="2"/>
  <c r="Q25" i="2"/>
  <c r="N26" i="2"/>
  <c r="N25" i="2"/>
  <c r="N24" i="2"/>
  <c r="N22" i="2"/>
  <c r="N21" i="2"/>
  <c r="N20" i="2"/>
  <c r="N19" i="2"/>
  <c r="N18" i="2"/>
  <c r="N17" i="2"/>
  <c r="N16" i="2"/>
  <c r="N15" i="2"/>
  <c r="N14" i="2"/>
  <c r="N12" i="2"/>
  <c r="N11" i="2"/>
  <c r="N10" i="2"/>
  <c r="N9" i="2"/>
  <c r="N8" i="2"/>
  <c r="N6" i="2"/>
  <c r="N5" i="2"/>
  <c r="N4" i="2"/>
  <c r="N3" i="2"/>
  <c r="N24" i="12" l="1"/>
  <c r="O24" i="12" s="1"/>
  <c r="M15" i="12"/>
  <c r="L15" i="12"/>
  <c r="K15" i="12"/>
  <c r="J15" i="12"/>
  <c r="I15" i="12"/>
  <c r="H15" i="12"/>
  <c r="G15" i="12"/>
  <c r="F15" i="12"/>
  <c r="E15" i="12"/>
  <c r="D15" i="12"/>
  <c r="C15" i="12"/>
  <c r="B15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N9" i="12"/>
  <c r="M9" i="12"/>
  <c r="L9" i="12"/>
  <c r="K9" i="12"/>
  <c r="J9" i="12"/>
  <c r="I9" i="12"/>
  <c r="H9" i="12"/>
  <c r="G9" i="12"/>
  <c r="F9" i="12"/>
  <c r="E9" i="12"/>
  <c r="D9" i="12"/>
  <c r="C9" i="12"/>
  <c r="N8" i="12"/>
  <c r="M8" i="12"/>
  <c r="L8" i="12"/>
  <c r="K8" i="12"/>
  <c r="J8" i="12"/>
  <c r="I8" i="12"/>
  <c r="H8" i="12"/>
  <c r="G8" i="12"/>
  <c r="F8" i="12"/>
  <c r="E8" i="12"/>
  <c r="D8" i="12"/>
  <c r="C8" i="12"/>
  <c r="N7" i="12"/>
  <c r="M7" i="12"/>
  <c r="L7" i="12"/>
  <c r="K7" i="12"/>
  <c r="J7" i="12"/>
  <c r="I7" i="12"/>
  <c r="H7" i="12"/>
  <c r="G7" i="12"/>
  <c r="F7" i="12"/>
  <c r="E7" i="12"/>
  <c r="D7" i="12"/>
  <c r="C7" i="12"/>
  <c r="N6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H5" i="12"/>
  <c r="G5" i="12"/>
  <c r="F5" i="12"/>
  <c r="E5" i="12"/>
  <c r="C5" i="12"/>
  <c r="M4" i="12"/>
  <c r="L4" i="12"/>
  <c r="K4" i="12"/>
  <c r="J4" i="12"/>
  <c r="H4" i="12"/>
  <c r="G4" i="12"/>
  <c r="F4" i="12"/>
  <c r="E4" i="12"/>
  <c r="D4" i="12"/>
  <c r="C4" i="12"/>
  <c r="B12" i="12"/>
  <c r="B11" i="12"/>
  <c r="B10" i="12"/>
  <c r="B9" i="12"/>
  <c r="B8" i="12"/>
  <c r="B7" i="12"/>
  <c r="B6" i="12"/>
  <c r="B5" i="12"/>
  <c r="B4" i="12"/>
  <c r="M20" i="12"/>
  <c r="N20" i="12" s="1"/>
  <c r="L20" i="12"/>
  <c r="K20" i="12"/>
  <c r="K21" i="12" s="1"/>
  <c r="J20" i="12"/>
  <c r="I20" i="12"/>
  <c r="H20" i="12"/>
  <c r="G20" i="12"/>
  <c r="F20" i="12"/>
  <c r="E20" i="12"/>
  <c r="D20" i="12"/>
  <c r="C20" i="12"/>
  <c r="B20" i="12"/>
  <c r="L21" i="12"/>
  <c r="J21" i="12"/>
  <c r="I21" i="12"/>
  <c r="H21" i="12"/>
  <c r="G21" i="12"/>
  <c r="E21" i="12"/>
  <c r="D21" i="12"/>
  <c r="C21" i="12"/>
  <c r="M18" i="12"/>
  <c r="N18" i="12" s="1"/>
  <c r="L18" i="12"/>
  <c r="K18" i="12"/>
  <c r="J18" i="12"/>
  <c r="I18" i="12"/>
  <c r="H18" i="12"/>
  <c r="G18" i="12"/>
  <c r="F18" i="12"/>
  <c r="E18" i="12"/>
  <c r="D18" i="12"/>
  <c r="C18" i="12"/>
  <c r="B18" i="12"/>
  <c r="A20" i="12"/>
  <c r="A19" i="12"/>
  <c r="A18" i="12"/>
  <c r="P26" i="11"/>
  <c r="P25" i="11"/>
  <c r="P23" i="11"/>
  <c r="P21" i="11"/>
  <c r="Q21" i="11" s="1"/>
  <c r="P20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Q4" i="11"/>
  <c r="Q3" i="11"/>
  <c r="P3" i="11"/>
  <c r="O4" i="10"/>
  <c r="N4" i="10"/>
  <c r="M4" i="10"/>
  <c r="L4" i="10"/>
  <c r="K4" i="10"/>
  <c r="J4" i="10"/>
  <c r="I4" i="10"/>
  <c r="H4" i="10"/>
  <c r="G4" i="10"/>
  <c r="F4" i="10"/>
  <c r="E4" i="10"/>
  <c r="O3" i="10"/>
  <c r="N3" i="10"/>
  <c r="M3" i="10"/>
  <c r="L3" i="10"/>
  <c r="P3" i="10" s="1"/>
  <c r="K3" i="10"/>
  <c r="J3" i="10"/>
  <c r="I3" i="10"/>
  <c r="H3" i="10"/>
  <c r="G3" i="10"/>
  <c r="F3" i="10"/>
  <c r="E3" i="10"/>
  <c r="D4" i="10"/>
  <c r="B6" i="9"/>
  <c r="N14" i="8"/>
  <c r="N13" i="8"/>
  <c r="N9" i="8"/>
  <c r="N8" i="8"/>
  <c r="N7" i="8"/>
  <c r="N6" i="8"/>
  <c r="N10" i="8" s="1"/>
  <c r="N5" i="8"/>
  <c r="N4" i="8"/>
  <c r="N3" i="8"/>
  <c r="O12" i="6"/>
  <c r="O9" i="6"/>
  <c r="O5" i="6"/>
  <c r="O3" i="6"/>
  <c r="P6" i="5"/>
  <c r="Q132" i="1"/>
  <c r="Q131" i="1"/>
  <c r="Q113" i="1"/>
  <c r="Q136" i="1"/>
  <c r="P135" i="1"/>
  <c r="P134" i="1"/>
  <c r="P133" i="1"/>
  <c r="P132" i="1"/>
  <c r="P131" i="1"/>
  <c r="P130" i="1"/>
  <c r="P129" i="1"/>
  <c r="P127" i="1"/>
  <c r="P126" i="1"/>
  <c r="P125" i="1"/>
  <c r="P123" i="1"/>
  <c r="P122" i="1"/>
  <c r="P121" i="1"/>
  <c r="P120" i="1"/>
  <c r="P119" i="1"/>
  <c r="P118" i="1"/>
  <c r="P117" i="1"/>
  <c r="P113" i="1"/>
  <c r="O6" i="6" l="1"/>
  <c r="O11" i="6"/>
  <c r="O7" i="6"/>
  <c r="O10" i="6"/>
  <c r="B21" i="12"/>
  <c r="O13" i="6"/>
  <c r="M21" i="12"/>
  <c r="N21" i="12" s="1"/>
  <c r="C6" i="9"/>
  <c r="D6" i="9" s="1"/>
  <c r="E6" i="9" s="1"/>
  <c r="F6" i="9" s="1"/>
  <c r="G6" i="9" s="1"/>
  <c r="H6" i="9" s="1"/>
  <c r="I6" i="9" s="1"/>
  <c r="F21" i="12"/>
  <c r="Q3" i="10"/>
  <c r="O15" i="6"/>
  <c r="N5" i="12"/>
  <c r="P9" i="4"/>
  <c r="P3" i="4"/>
  <c r="Q3" i="4" s="1"/>
  <c r="P5" i="4"/>
  <c r="Q5" i="4" s="1"/>
  <c r="P6" i="4"/>
  <c r="P10" i="4"/>
  <c r="Q10" i="4" s="1"/>
  <c r="P7" i="5"/>
  <c r="Q7" i="5" s="1"/>
  <c r="P4" i="5"/>
  <c r="Q4" i="5" s="1"/>
  <c r="P5" i="5"/>
  <c r="P8" i="5"/>
  <c r="Q8" i="5" s="1"/>
  <c r="Q9" i="5"/>
  <c r="Q10" i="5"/>
  <c r="P12" i="5"/>
  <c r="Q12" i="5" s="1"/>
  <c r="P13" i="5"/>
  <c r="Q13" i="5" s="1"/>
  <c r="O14" i="6"/>
  <c r="P11" i="4"/>
  <c r="P11" i="5"/>
  <c r="Q11" i="5" s="1"/>
  <c r="O4" i="6"/>
  <c r="P7" i="4"/>
  <c r="Q7" i="4" s="1"/>
  <c r="Q115" i="1"/>
  <c r="O5" i="7"/>
  <c r="P4" i="10"/>
  <c r="Q4" i="10" s="1"/>
  <c r="P4" i="11"/>
  <c r="Q5" i="11" s="1"/>
  <c r="O4" i="7"/>
  <c r="O8" i="6"/>
  <c r="P3" i="5"/>
  <c r="Q3" i="5" s="1"/>
  <c r="P8" i="4"/>
  <c r="Q8" i="4" s="1"/>
  <c r="P4" i="4"/>
  <c r="Q4" i="4" s="1"/>
  <c r="P12" i="4"/>
  <c r="Q12" i="4" s="1"/>
  <c r="P115" i="1"/>
  <c r="Q129" i="1" s="1"/>
  <c r="Q135" i="1"/>
  <c r="Q134" i="1"/>
  <c r="Q133" i="1"/>
  <c r="P35" i="1"/>
  <c r="N4" i="12" s="1"/>
  <c r="P101" i="1"/>
  <c r="Q101" i="1" s="1"/>
  <c r="P100" i="1"/>
  <c r="Q100" i="1" s="1"/>
  <c r="P112" i="1"/>
  <c r="Q112" i="1" s="1"/>
  <c r="P96" i="1"/>
  <c r="Q96" i="1" s="1"/>
  <c r="P94" i="1"/>
  <c r="Q94" i="1" s="1"/>
  <c r="P93" i="1"/>
  <c r="Q93" i="1" s="1"/>
  <c r="Q92" i="1"/>
  <c r="Q91" i="1"/>
  <c r="P89" i="1"/>
  <c r="P84" i="1"/>
  <c r="Q84" i="1" s="1"/>
  <c r="P83" i="1"/>
  <c r="Q83" i="1" s="1"/>
  <c r="P82" i="1"/>
  <c r="Q82" i="1" s="1"/>
  <c r="P72" i="1"/>
  <c r="P71" i="1"/>
  <c r="P70" i="1"/>
  <c r="P69" i="1"/>
  <c r="P65" i="1"/>
  <c r="P64" i="1"/>
  <c r="Q63" i="1"/>
  <c r="Q62" i="1"/>
  <c r="Q60" i="1"/>
  <c r="Q59" i="1"/>
  <c r="P58" i="1"/>
  <c r="Q58" i="1" s="1"/>
  <c r="P57" i="1"/>
  <c r="Q57" i="1" s="1"/>
  <c r="P56" i="1"/>
  <c r="Q56" i="1" s="1"/>
  <c r="P50" i="1"/>
  <c r="Q50" i="1" s="1"/>
  <c r="P49" i="1"/>
  <c r="Q49" i="1" s="1"/>
  <c r="P47" i="1"/>
  <c r="Q47" i="1" s="1"/>
  <c r="P40" i="1"/>
  <c r="Q40" i="1" s="1"/>
  <c r="P39" i="1"/>
  <c r="Q39" i="1" s="1"/>
  <c r="P38" i="1"/>
  <c r="Q38" i="1" s="1"/>
  <c r="P37" i="1"/>
  <c r="Q37" i="1" s="1"/>
  <c r="P36" i="1"/>
  <c r="Q36" i="1" s="1"/>
  <c r="P34" i="1"/>
  <c r="Q34" i="1" s="1"/>
  <c r="P32" i="1"/>
  <c r="Q32" i="1" s="1"/>
  <c r="P30" i="1"/>
  <c r="Q30" i="1" s="1"/>
  <c r="P29" i="1"/>
  <c r="Q29" i="1" s="1"/>
  <c r="P27" i="1"/>
  <c r="Q27" i="1" s="1"/>
  <c r="P26" i="1"/>
  <c r="Q26" i="1" s="1"/>
  <c r="P25" i="1"/>
  <c r="Q25" i="1" s="1"/>
  <c r="N15" i="12"/>
  <c r="P24" i="1"/>
  <c r="P23" i="1"/>
  <c r="P22" i="1"/>
  <c r="P21" i="1"/>
  <c r="P19" i="1"/>
  <c r="P17" i="1"/>
  <c r="Q16" i="1"/>
  <c r="Q15" i="1"/>
  <c r="Q11" i="1"/>
  <c r="Q6" i="1"/>
  <c r="N6" i="9" l="1"/>
  <c r="R109" i="1"/>
  <c r="Q122" i="1"/>
  <c r="Q123" i="1"/>
  <c r="Q127" i="1"/>
  <c r="Q118" i="1"/>
  <c r="Q12" i="1"/>
  <c r="Q119" i="1"/>
  <c r="Q6" i="11"/>
  <c r="Q120" i="1"/>
  <c r="Q125" i="1"/>
  <c r="Q130" i="1"/>
  <c r="Q117" i="1"/>
  <c r="Q121" i="1"/>
  <c r="Q126" i="1"/>
  <c r="P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tc={73ECE8C1-0613-41CF-B3EA-A4E50396AB03}</author>
    <author>tc={04FCEE98-3D7B-473D-85FC-BCA7D631F1A3}</author>
    <author>tc={9AB9FE5F-2A3D-4C5E-B240-A0D7A68BB116}</author>
    <author>Emily Smart</author>
    <author>tc={60298FD9-5EFE-4743-861E-C554B72F19ED}</author>
    <author>tc={8B7B893D-9071-4A93-A898-EE968412C880}</author>
    <author>tc={21B17415-CCC7-4318-A8E5-EE6B96B19DF6}</author>
    <author>Katherine Dumais</author>
    <author>tc={7A5D3E44-88B4-450B-ABA3-5E01DF85CCE3}</author>
    <author>tc={E8A0959F-02C1-43D2-9733-810C3CE1AAD4}</author>
    <author>tc={C0DA1A83-85F4-4A40-836D-8E31C2EFB9D5}</author>
    <author>tc={594846D8-27BE-4707-83F8-39B6F46E3C61}</author>
    <author>tc={903ED18C-0A41-4583-90C3-BF42E8FBB593}</author>
    <author>tc={DBC45EF5-6EE7-402E-B4A9-88F4186783AB}</author>
    <author>tc={13D7BECC-17E8-42DA-AE6C-FD5EFF919C9C}</author>
    <author>tc={5D09F05C-A390-4A33-8DF8-65BC7751C3FD}</author>
    <author>tc={C78DC162-0F9E-4FF0-862E-4653C246CCC6}</author>
    <author>tc={6F56C36E-FB03-4BF4-9BE3-D79F5A8454F3}</author>
    <author>tc={FD54078A-F866-4FC2-A11B-7CAE28DA5661}</author>
    <author>tc={BCCE7F04-7B70-4324-89BF-24AD9ADBF185}</author>
    <author>tc={7EC26AC1-53E6-45FB-BC8F-E2C6F33EA397}</author>
    <author>tc={D54977C1-442C-4F7E-822C-0F2684A0C5ED}</author>
    <author>tc={4C7AB1D4-92AD-4ECA-9BCB-1F4D9507950F}</author>
    <author>tc={6DAC8885-25E7-4918-911E-00CB9558CE54}</author>
    <author>tc={19AD44A5-6B2E-4901-8509-A11290C5F8C4}</author>
    <author>tc={58C7AB61-66D7-40B5-B63B-1E1AEB2EB48B}</author>
    <author>tc={3B66231C-1081-452D-8AFB-4F85182532E9}</author>
    <author>tc={57A2428F-5178-4E1F-8EAD-814F99F38D2B}</author>
    <author>tc={A65734BB-6EDE-4BD6-A8F5-CB6698CE6B03}</author>
  </authors>
  <commentList>
    <comment ref="C2" authorId="0" shapeId="0" xr:uid="{73ECE8C1-0613-41CF-B3EA-A4E50396AB0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for Oct, just new children in all subsequent months.</t>
      </text>
    </comment>
    <comment ref="C7" authorId="1" shapeId="0" xr:uid="{04FCEE98-3D7B-473D-85FC-BCA7D631F1A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in Oct, just new children in all  subsequent months</t>
      </text>
    </comment>
    <comment ref="G7" authorId="2" shapeId="0" xr:uid="{9AB9FE5F-2A3D-4C5E-B240-A0D7A68BB11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note from N Hawkins 2/21/24</t>
      </text>
    </comment>
    <comment ref="N16" authorId="3" shapeId="0" xr:uid="{2C05D704-5605-4ECB-8220-15BED27C3BC1}">
      <text>
        <r>
          <rPr>
            <b/>
            <sz val="9"/>
            <color indexed="81"/>
            <rFont val="Tahoma"/>
            <family val="2"/>
          </rPr>
          <t>Emily Smart:</t>
        </r>
        <r>
          <rPr>
            <sz val="9"/>
            <color indexed="81"/>
            <rFont val="Tahoma"/>
            <family val="2"/>
          </rPr>
          <t xml:space="preserve">
Total Preschool childcare slots is now 45</t>
        </r>
      </text>
    </comment>
    <comment ref="C19" authorId="4" shapeId="0" xr:uid="{60298FD9-5EFE-4743-861E-C554B72F19ED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unduplicated children who received any service in October and then just new children in all subsequent months</t>
      </text>
    </comment>
    <comment ref="E23" authorId="5" shapeId="0" xr:uid="{8B7B893D-9071-4A93-A898-EE968412C8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Total for claim 500
</t>
      </text>
    </comment>
    <comment ref="M48" authorId="6" shapeId="0" xr:uid="{21B17415-CCC7-4318-A8E5-EE6B96B19DF6}">
      <text>
        <t>[Threaded comment]
Your version of Excel allows you to read this threaded comment; however, any edits to it will get removed if the file is opened in a newer version of Excel. Learn more: https://go.microsoft.com/fwlink/?linkid=870924
Comment:
    MaineHousing shared they are paying out PY24 waitlist</t>
      </text>
    </comment>
    <comment ref="D64" authorId="7" shapeId="0" xr:uid="{07EA3CA2-0420-4023-B0D4-D15060A61CA6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DHHS: 10
A16: 10
</t>
        </r>
      </text>
    </comment>
    <comment ref="E64" authorId="7" shapeId="0" xr:uid="{0D49BC0F-FA4E-425A-897E-2E40D55C8E35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DHHS: 4
A16: 12
CSBG: 1</t>
        </r>
      </text>
    </comment>
    <comment ref="C70" authorId="8" shapeId="0" xr:uid="{7A5D3E44-88B4-450B-ABA3-5E01DF85CCE3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an assessment during the reporting month</t>
      </text>
    </comment>
    <comment ref="C71" authorId="9" shapeId="0" xr:uid="{E8A0959F-02C1-43D2-9733-810C3CE1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self-sufficiency matrix during the reporting month</t>
      </text>
    </comment>
    <comment ref="C72" authorId="10" shapeId="0" xr:uid="{C0DA1A83-85F4-4A40-836D-8E31C2EFB9D5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family plan during the reporting month</t>
      </text>
    </comment>
    <comment ref="C77" authorId="11" shapeId="0" xr:uid="{594846D8-27BE-4707-83F8-39B6F46E3C61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ref="C78" authorId="12" shapeId="0" xr:uid="{903ED18C-0A41-4583-90C3-BF42E8FBB593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ref="C80" authorId="13" shapeId="0" xr:uid="{DBC45EF5-6EE7-402E-B4A9-88F4186783AB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made measurable progress during the reporting month</t>
      </text>
    </comment>
    <comment ref="L80" authorId="14" shapeId="0" xr:uid="{13D7BECC-17E8-42DA-AE6C-FD5EFF919C9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if they gained at least one point between last assessment and the one completed in June</t>
      </text>
    </comment>
    <comment ref="N81" authorId="7" shapeId="0" xr:uid="{5CF8E915-EE89-46C7-B894-6A352DFA7E52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CCI: 71
CCFC: 16</t>
        </r>
      </text>
    </comment>
    <comment ref="D82" authorId="7" shapeId="0" xr:uid="{F36F559C-9147-4575-8772-75CAC0E31607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CCImaine = 58
CCFCmaine = 11</t>
        </r>
      </text>
    </comment>
    <comment ref="E82" authorId="7" shapeId="0" xr:uid="{343998C2-613F-4FE0-BCCE-9A02894DEAE7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CCImaine = 59
CCFCmaine = 10</t>
        </r>
      </text>
    </comment>
    <comment ref="G82" authorId="7" shapeId="0" xr:uid="{A7C467C4-0B3C-43F8-ADEA-983CB37DF70A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CCImaine: 69
CCFCmaine: 21</t>
        </r>
      </text>
    </comment>
    <comment ref="H82" authorId="7" shapeId="0" xr:uid="{5961FE07-4665-4868-9070-BC9B7BCCFC3B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CCI- 61
CCFC- 22</t>
        </r>
      </text>
    </comment>
    <comment ref="I82" authorId="7" shapeId="0" xr:uid="{1CB5688E-A9F4-4810-9057-5B7ACF0149F0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 info@ 71
CCFC 28</t>
        </r>
      </text>
    </comment>
    <comment ref="J82" authorId="7" shapeId="0" xr:uid="{40D01E98-CCB9-459C-B92E-9C13D19BCB79}">
      <text>
        <r>
          <rPr>
            <b/>
            <sz val="9"/>
            <color indexed="81"/>
            <rFont val="Tahoma"/>
            <family val="2"/>
          </rPr>
          <t>Katherine Dumais:</t>
        </r>
        <r>
          <rPr>
            <sz val="9"/>
            <color indexed="81"/>
            <rFont val="Tahoma"/>
            <family val="2"/>
          </rPr>
          <t xml:space="preserve">
CCI: 63
CCFC: 15</t>
        </r>
      </text>
    </comment>
    <comment ref="K82" authorId="7" shapeId="0" xr:uid="{EAF20CE4-A798-4B65-9539-7537E0D433F0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CCI: 49
CCFC: 19</t>
        </r>
      </text>
    </comment>
    <comment ref="M82" authorId="7" shapeId="0" xr:uid="{339F4FA0-6BFD-4B1A-98A5-0FAA58D9C432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CCI: 43
CCFC: 15</t>
        </r>
      </text>
    </comment>
    <comment ref="O82" authorId="7" shapeId="0" xr:uid="{C2BBF865-BD8B-4F0E-A6CB-721AC3A7DBF9}">
      <text>
        <r>
          <rPr>
            <b/>
            <sz val="9"/>
            <color indexed="81"/>
            <rFont val="Tahoma"/>
            <family val="2"/>
          </rPr>
          <t>Katherine Dumais:</t>
        </r>
        <r>
          <rPr>
            <sz val="9"/>
            <color indexed="81"/>
            <rFont val="Tahoma"/>
            <family val="2"/>
          </rPr>
          <t xml:space="preserve">
ccimaine: 46
ccfcmaine: 12</t>
        </r>
      </text>
    </comment>
    <comment ref="E84" authorId="15" shapeId="0" xr:uid="{5D09F05C-A390-4A33-8DF8-65BC7751C3FD}">
      <text>
        <t>[Threaded comment]
Your version of Excel allows you to read this threaded comment; however, any edits to it will get removed if the file is opened in a newer version of Excel. Learn more: https://go.microsoft.com/fwlink/?linkid=870924
Comment:
    RIF Community Team Books- Childrens Services, MeHAF- MRC</t>
      </text>
    </comment>
    <comment ref="F84" authorId="16" shapeId="0" xr:uid="{C78DC162-0F9E-4FF0-862E-4653C246CC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Stephen &amp; Tabitha King- Books for Childrens Services &amp; Maine Families </t>
      </text>
    </comment>
    <comment ref="L84" authorId="17" shapeId="0" xr:uid="{6F56C36E-FB03-4BF4-9BE3-D79F5A8454F3}">
      <text>
        <t>[Threaded comment]
Your version of Excel allows you to read this threaded comment; however, any edits to it will get removed if the file is opened in a newer version of Excel. Learn more: https://go.microsoft.com/fwlink/?linkid=870924
Comment:
    $3,721,000- CDS Funds- Housing Portfolio, $25k- TD Bank- Financial Literacy, $9k- Reisert Foudation- Customer Service for customer housing needs</t>
      </text>
    </comment>
    <comment ref="M84" authorId="18" shapeId="0" xr:uid="{FD54078A-F866-4FC2-A11B-7CAE28DA56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Ripley Foundation, $10,812: NW SBI, $6k
</t>
      </text>
    </comment>
    <comment ref="N84" authorId="19" shapeId="0" xr:uid="{BCCE7F04-7B70-4324-89BF-24AD9ADBF1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WORC Grant- Childrens Services </t>
      </text>
    </comment>
    <comment ref="O84" authorId="20" shapeId="0" xr:uid="{7EC26AC1-53E6-45FB-BC8F-E2C6F33EA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NW- Portfolio Strengthening </t>
      </text>
    </comment>
    <comment ref="E85" authorId="21" shapeId="0" xr:uid="{D54977C1-442C-4F7E-822C-0F2684A0C5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C88" authorId="22" shapeId="0" xr:uid="{4C7AB1D4-92AD-4ECA-9BCB-1F4D950795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number is based on the last 12 months- a rolling period. </t>
      </text>
    </comment>
    <comment ref="C89" authorId="23" shapeId="0" xr:uid="{6DAC8885-25E7-4918-911E-00CB9558C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FB &amp; Instagram and ONLY CCI </t>
      </text>
    </comment>
    <comment ref="D90" authorId="24" shapeId="0" xr:uid="{19AD44A5-6B2E-4901-8509-A11290C5F8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Steve Wallace, Deb McPhail  </t>
      </text>
    </comment>
    <comment ref="E90" authorId="25" shapeId="0" xr:uid="{58C7AB61-66D7-40B5-B63B-1E1AEB2EB4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Ricker Hamilton </t>
      </text>
    </comment>
    <comment ref="J90" authorId="26" shapeId="0" xr:uid="{3B66231C-1081-452D-8AFB-4F851825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Kristen Cloutier</t>
      </text>
    </comment>
    <comment ref="L90" authorId="27" shapeId="0" xr:uid="{57A2428F-5178-4E1F-8EAD-814F99F38D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Peter Garcia </t>
      </text>
    </comment>
    <comment ref="O90" authorId="28" shapeId="0" xr:uid="{A65734BB-6EDE-4BD6-A8F5-CB6698CE6B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David Smirles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tc={08475671-C2C3-4FF4-831E-95615DD892EF}</author>
    <author>tc={4F7450E0-2FFA-4BED-909E-2B5CBB666300}</author>
    <author>tc={720C508B-FD21-4051-BAEB-095DCF7714CC}</author>
    <author>tc={D9E9B18F-212B-49D3-AB56-0E91C2DB825C}</author>
    <author>tc={0A882EDB-32EE-4855-9CC2-61D51DC39480}</author>
  </authors>
  <commentList>
    <comment ref="A3" authorId="0" shapeId="0" xr:uid="{08475671-C2C3-4FF4-831E-95615DD892EF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for Oct, just new children in all subsequent months.</t>
      </text>
    </comment>
    <comment ref="A8" authorId="1" shapeId="0" xr:uid="{4F7450E0-2FFA-4BED-909E-2B5CBB6663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in Oct, just new children in all  subsequent months</t>
      </text>
    </comment>
    <comment ref="E8" authorId="2" shapeId="0" xr:uid="{720C508B-FD21-4051-BAEB-095DCF7714C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note from N Hawkins 2/21/24</t>
      </text>
    </comment>
    <comment ref="A20" authorId="3" shapeId="0" xr:uid="{D9E9B18F-212B-49D3-AB56-0E91C2DB825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unduplicated children who received any service in October and then just new children in all subsequent quarters</t>
      </text>
    </comment>
    <comment ref="C24" authorId="4" shapeId="0" xr:uid="{0A882EDB-32EE-4855-9CC2-61D51DC394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Total for claim 500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Katherine Dumais</author>
    <author>tc={E400A347-2671-4812-ADAE-25190EC9434A}</author>
    <author>tc={927BDF0A-4D3D-4BD9-8133-ECA2C000C8EA}</author>
    <author>tc={5204DF88-08B7-4A28-B113-65EA389943C4}</author>
    <author>tc={D153D90F-E97D-4CE0-8314-480439758376}</author>
    <author>tc={93CB63E8-EB29-4E5F-A38C-89D0CEDA44F7}</author>
    <author>tc={36018DE8-C3EE-4420-B5D1-CE117C68A428}</author>
    <author>tc={6A194FBC-25F5-4438-A303-1304337492A8}</author>
  </authors>
  <commentList>
    <comment ref="C3" authorId="0" shapeId="0" xr:uid="{442D020F-1A2A-4504-8FD8-634B017FBA02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DHHS: 10
A16: 10
</t>
        </r>
      </text>
    </comment>
    <comment ref="D3" authorId="0" shapeId="0" xr:uid="{45B375E8-B87C-4296-9AC8-1F0D2DE08250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DHHS: 4
A16: 12
CSBG: 1</t>
        </r>
      </text>
    </comment>
    <comment ref="B9" authorId="1" shapeId="0" xr:uid="{E400A347-2671-4812-ADAE-25190EC9434A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an assessment during the reporting month</t>
      </text>
    </comment>
    <comment ref="B10" authorId="2" shapeId="0" xr:uid="{927BDF0A-4D3D-4BD9-8133-ECA2C000C8EA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self-sufficiency matrix during the reporting month</t>
      </text>
    </comment>
    <comment ref="B11" authorId="3" shapeId="0" xr:uid="{5204DF88-08B7-4A28-B113-65EA389943C4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family plan during the reporting month</t>
      </text>
    </comment>
    <comment ref="B16" authorId="4" shapeId="0" xr:uid="{D153D90F-E97D-4CE0-8314-480439758376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ref="B17" authorId="5" shapeId="0" xr:uid="{93CB63E8-EB29-4E5F-A38C-89D0CEDA44F7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ref="B19" authorId="6" shapeId="0" xr:uid="{36018DE8-C3EE-4420-B5D1-CE117C68A428}">
      <text>
        <t>[Threaded comment]
Your version of Excel allows you to read this threaded comment; however, any edits to it will get removed if the file is opened in a newer version of Excel. Learn more: https://go.microsoft.com/fwlink/?linkid=870924
Comment:
    of all families how many made measurable progress during the reporting month</t>
      </text>
    </comment>
    <comment ref="K19" authorId="7" shapeId="0" xr:uid="{6A194FBC-25F5-4438-A303-1304337492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if they gained at least one point between last assessment and the one completed in June</t>
      </text>
    </comment>
    <comment ref="C21" authorId="0" shapeId="0" xr:uid="{01090A16-4C58-470A-9158-7DAA8659C440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CCImaine = 58
CCFCmaine = 11</t>
        </r>
      </text>
    </comment>
    <comment ref="D21" authorId="0" shapeId="0" xr:uid="{F5C307D7-812F-434A-A7FE-18B5D0612F08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CCImaine = 59
CCFCmaine = 10</t>
        </r>
      </text>
    </comment>
    <comment ref="F21" authorId="0" shapeId="0" xr:uid="{8708BE01-74B1-4F36-97B8-A9751A266279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CCImaine: 69
CCFCmaine: 21</t>
        </r>
      </text>
    </comment>
    <comment ref="G21" authorId="0" shapeId="0" xr:uid="{33B3B0DB-0BBC-45EF-B7DE-5646BEF154C8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CCI- 61
CCFC- 22</t>
        </r>
      </text>
    </comment>
    <comment ref="H21" authorId="0" shapeId="0" xr:uid="{C7C8ED07-AF6B-469F-BE44-22737A4B0DFB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 info@ 71
CCFC 28</t>
        </r>
      </text>
    </comment>
    <comment ref="I21" authorId="0" shapeId="0" xr:uid="{5334D20E-73DA-4C6B-A374-47C2428D35EB}">
      <text>
        <r>
          <rPr>
            <b/>
            <sz val="9"/>
            <color indexed="81"/>
            <rFont val="Tahoma"/>
            <family val="2"/>
          </rPr>
          <t>Katherine Dumais:</t>
        </r>
        <r>
          <rPr>
            <sz val="9"/>
            <color indexed="81"/>
            <rFont val="Tahoma"/>
            <family val="2"/>
          </rPr>
          <t xml:space="preserve">
CCI: 63
CCFC: 15</t>
        </r>
      </text>
    </comment>
    <comment ref="J21" authorId="0" shapeId="0" xr:uid="{DC5ABB54-5E96-449C-8E6D-E55C1DC86240}">
      <text>
        <r>
          <rPr>
            <b/>
            <sz val="9"/>
            <color indexed="81"/>
            <rFont val="Tahoma"/>
            <charset val="1"/>
          </rPr>
          <t>Katherine Dumais:</t>
        </r>
        <r>
          <rPr>
            <sz val="9"/>
            <color indexed="81"/>
            <rFont val="Tahoma"/>
            <charset val="1"/>
          </rPr>
          <t xml:space="preserve">
CCI: 49
CCFC: 19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tc={7118AEDC-4AF9-4240-9B2F-F788F8151E2E}</author>
    <author>tc={479CD1D7-7A06-4ECE-9C9C-A0795170088A}</author>
  </authors>
  <commentList>
    <comment ref="A8" authorId="0" shapeId="0" xr:uid="{7118AEDC-4AF9-4240-9B2F-F788F8151E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number is based on the last 12 months- a rolling period. </t>
      </text>
    </comment>
    <comment ref="A9" authorId="1" shapeId="0" xr:uid="{479CD1D7-7A06-4ECE-9C9C-A079517008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FB &amp; Instagram and ONLY CCI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Paula Ross</author>
  </authors>
  <commentList>
    <comment ref="N10" authorId="0" shapeId="0" xr:uid="{F28A6C4C-3697-43DB-A897-E3F4CA97A38B}">
      <text>
        <r>
          <rPr>
            <b/>
            <sz val="9"/>
            <color indexed="81"/>
            <rFont val="Tahoma"/>
            <family val="2"/>
          </rPr>
          <t>Paula Ross:</t>
        </r>
        <r>
          <rPr>
            <sz val="9"/>
            <color indexed="81"/>
            <rFont val="Tahoma"/>
            <family val="2"/>
          </rPr>
          <t xml:space="preserve">
calculate by taking the  total of business lending and divide by 75K</t>
        </r>
      </text>
    </comment>
    <comment ref="N11" authorId="0" shapeId="0" xr:uid="{99E53F0F-8553-4AC9-8BD2-DAF751D8016F}">
      <text>
        <r>
          <rPr>
            <b/>
            <sz val="9"/>
            <color indexed="81"/>
            <rFont val="Tahoma"/>
            <family val="2"/>
          </rPr>
          <t>Paula Ross:</t>
        </r>
        <r>
          <rPr>
            <sz val="9"/>
            <color indexed="81"/>
            <rFont val="Tahoma"/>
            <family val="2"/>
          </rPr>
          <t xml:space="preserve">
calculate by taking the  total of business lending and divide by 75K</t>
        </r>
      </text>
    </comment>
  </commentList>
</comments>
</file>

<file path=xl/sharedStrings.xml><?xml version="1.0" encoding="utf-8"?>
<sst xmlns="http://schemas.openxmlformats.org/spreadsheetml/2006/main" count="796" uniqueCount="240">
  <si>
    <t>Children's Services</t>
  </si>
  <si>
    <t xml:space="preserve">Assumptions 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</si>
  <si>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</si>
  <si>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</si>
  <si>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</si>
  <si>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</si>
  <si>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</si>
  <si>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</si>
  <si>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</si>
  <si>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</si>
  <si>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</si>
  <si>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</si>
  <si>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</si>
  <si>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</si>
  <si>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YTD</t>
  </si>
  <si>
    <t>% of Goal</t>
  </si>
  <si>
    <t xml:space="preserve"> Head Start Children Enrolled (Goal 266)</t>
  </si>
  <si>
    <t xml:space="preserve">Total on HS Wait List for Income Eligible </t>
  </si>
  <si>
    <t>Total on HS Wait List for Over Income</t>
  </si>
  <si>
    <t>97% enrollment</t>
  </si>
  <si>
    <t xml:space="preserve"> Early Head Start Children Enrolled (Goal 148)</t>
  </si>
  <si>
    <t>Total on EHS Wait List for Income Eligible</t>
  </si>
  <si>
    <t>Total on EHS Wait List for Over Income</t>
  </si>
  <si>
    <t>40 Early Head Start child care slots</t>
  </si>
  <si>
    <t>USDA - 7 Centers</t>
  </si>
  <si>
    <t xml:space="preserve">17 Pre school child care slots </t>
  </si>
  <si>
    <t>Total applications received</t>
  </si>
  <si>
    <t>% of applications processed within 10 days</t>
  </si>
  <si>
    <t>Average number of days from App to Enrolled</t>
  </si>
  <si>
    <t>Total # children currently served In all of Children's Services</t>
  </si>
  <si>
    <t>Unduplicated number of children who rode the Chisholm bus</t>
  </si>
  <si>
    <t>Children/pregnant mothers enrolled in home visiting services</t>
  </si>
  <si>
    <t>CACFP meals provided</t>
  </si>
  <si>
    <t>Number of GSFB Meals Distributed</t>
  </si>
  <si>
    <t>USDA - 17 Homes (CACFP)</t>
  </si>
  <si>
    <t># Families enrolled and completed a family  partnership agreement (Whole Family)</t>
  </si>
  <si>
    <t>% of all children and pregnant parents enrolled in Dental Homes</t>
  </si>
  <si>
    <t>Private Donations - 100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</si>
  <si>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ECIP - 1400</t>
    </r>
  </si>
  <si>
    <t xml:space="preserve">Upfronts </t>
  </si>
  <si>
    <t>Housing rehab and construction management to 20 housing units CDBG Rockland</t>
  </si>
  <si>
    <t>6 new self-help homes USDA</t>
  </si>
  <si>
    <t>Foundations</t>
  </si>
  <si>
    <t>Framing</t>
  </si>
  <si>
    <t>Plumbing, Mechanical, Electrical</t>
  </si>
  <si>
    <t>Insulation and Drywall</t>
  </si>
  <si>
    <t>Interior Finish</t>
  </si>
  <si>
    <t>Exterior Finish</t>
  </si>
  <si>
    <t>Final Inspection</t>
  </si>
  <si>
    <t>Lead inspections/designs and construction management to 75 homes LA funds</t>
  </si>
  <si>
    <t>150 Lead Inspections Fee for service</t>
  </si>
  <si>
    <t>Energy Services</t>
  </si>
  <si>
    <t xml:space="preserve">Emergency Heat provided to 1,600 households </t>
  </si>
  <si>
    <t xml:space="preserve">8000 Applications eligible LIHEAP    </t>
  </si>
  <si>
    <t xml:space="preserve">9500 Applications processed LIHEAP   </t>
  </si>
  <si>
    <t>Rehab to 9 Existing homes USDA</t>
  </si>
  <si>
    <t>300 Lead inspections for DHHS</t>
  </si>
  <si>
    <t>4 new Built by ME homes (Following categories needed to report on CSBG funds usage)</t>
  </si>
  <si>
    <t>Number of people (not families) to be housed</t>
  </si>
  <si>
    <t>Family Services</t>
  </si>
  <si>
    <t>Number of PreNatal Families</t>
  </si>
  <si>
    <t>50% prenatal enrollment</t>
  </si>
  <si>
    <t xml:space="preserve">230 families enrolled </t>
  </si>
  <si>
    <t>CAN Council (CB&amp;E)   -                                                                                               4 community events</t>
  </si>
  <si>
    <t xml:space="preserve">9 parent education trainings </t>
  </si>
  <si>
    <t>Parent Education Trainings 45 participants</t>
  </si>
  <si>
    <t xml:space="preserve">20 community provider trainings </t>
  </si>
  <si>
    <t xml:space="preserve">Community Provider Trainings 160 participants </t>
  </si>
  <si>
    <t xml:space="preserve">30 playgroups </t>
  </si>
  <si>
    <t>Playgroup 20 participants</t>
  </si>
  <si>
    <t xml:space="preserve"> Housing Services</t>
  </si>
  <si>
    <t>Customer Services</t>
  </si>
  <si>
    <t>Whole Family</t>
  </si>
  <si>
    <t># Families Newly Enrolled in Whole Family Program (month)</t>
  </si>
  <si>
    <t># Adult Caregivers Newly Enrolled (month)</t>
  </si>
  <si>
    <t># Minor Dependent Children Newly Enrolled (month)</t>
  </si>
  <si>
    <t># Families Currently Enrolled with a Completed Assessment (month)</t>
  </si>
  <si>
    <t># Families Currently Enrolled with a Completed Self Sufficiency Matrix (month)</t>
  </si>
  <si>
    <t># Families Currently Enrolled with a Completed Family Plan</t>
  </si>
  <si>
    <t># Families Who Have Made Progress on the Self Sufficiency Matrix (continuum)"Gains"</t>
  </si>
  <si>
    <t># Community Based Meetings Conducted with Participants</t>
  </si>
  <si>
    <t>$$ Financial assistance paid out (Assurance 16)</t>
  </si>
  <si>
    <t># Households completing Financial &amp; Education Reduction Literacy</t>
  </si>
  <si>
    <t>Call Ctr</t>
  </si>
  <si>
    <t># Incoming website inquiries to reception</t>
  </si>
  <si>
    <t># Incoming calls to reception</t>
  </si>
  <si>
    <t>Have 100% of the Board of Directors contribute to CCI</t>
  </si>
  <si>
    <t>Raise $150,000 in grant funding</t>
  </si>
  <si>
    <t>Raise $125,000 in unrestricted funds</t>
  </si>
  <si>
    <t>Recruit 5 people in the Impact Circle</t>
  </si>
  <si>
    <t>CCFC</t>
  </si>
  <si>
    <t>Provide Homebuyer Education to 600 clients</t>
  </si>
  <si>
    <t>Provide 100 hours of economic development facilitation and coordination in Oxford County</t>
  </si>
  <si>
    <t>Delinquency Rate – reduce rate by1/3 (33.33%)</t>
  </si>
  <si>
    <t>Provide 600 hours of Financial Coaching</t>
  </si>
  <si>
    <t>Property Mangment</t>
  </si>
  <si>
    <t># Work Orders in month being reported</t>
  </si>
  <si>
    <t># Fee for Service Projects in month being reported</t>
  </si>
  <si>
    <t>$$ Fee for Servcie Revenue received in the month being reported</t>
  </si>
  <si>
    <t xml:space="preserve">Finance </t>
  </si>
  <si>
    <t>Average days to close books - goal is 10 days by Sept 2023</t>
  </si>
  <si>
    <t># of Policies updated in month being reported (25 expected to be updated in FY23)</t>
  </si>
  <si>
    <t>Create or Retain at least 1 FTE (Full Time Equivalent) per $75,000 lent (20 FTEs)</t>
  </si>
  <si>
    <t>IT</t>
  </si>
  <si>
    <t>Admin</t>
  </si>
  <si>
    <t>Board of Directors</t>
  </si>
  <si>
    <t>Finance</t>
  </si>
  <si>
    <t>Housing Services</t>
  </si>
  <si>
    <t>Human Resources</t>
  </si>
  <si>
    <t>Property Management</t>
  </si>
  <si>
    <t>Resource Development</t>
  </si>
  <si>
    <t xml:space="preserve">% Tickets concluded/resolved                                            95% of new tickets per month                       </t>
  </si>
  <si>
    <t>Average Tickets concluded                                                                        20 or more per day</t>
  </si>
  <si>
    <t>Average time to respond (minutes)</t>
  </si>
  <si>
    <t>Average time to resolution (minutes)</t>
  </si>
  <si>
    <t>SLA Percentage MET (Goal = 95%) Meet or Exceed</t>
  </si>
  <si>
    <t>Average  time to accept chat</t>
  </si>
  <si>
    <t>Average chat duration</t>
  </si>
  <si>
    <t>Number of chats per month</t>
  </si>
  <si>
    <t>Number of chats escalated per month</t>
  </si>
  <si>
    <t>Average time to resolution - urgent issues  (minutes)</t>
  </si>
  <si>
    <t>*We only produce September prelims (in Oct) and we don't produce October financials (in November). November financials (in December) will be our first "real" month in FY23.</t>
  </si>
  <si>
    <t>Built By ME</t>
  </si>
  <si>
    <t>Chisholm Bus for Children's Services</t>
  </si>
  <si>
    <t xml:space="preserve">Maine Families - MEICHV  &amp; Families First                              2800 home visits completed per year   </t>
  </si>
  <si>
    <t xml:space="preserve">Whole Family - </t>
  </si>
  <si>
    <t>Total people enrolled</t>
  </si>
  <si>
    <t xml:space="preserve"> HS Goal ≥ 90%   Attendance %</t>
  </si>
  <si>
    <t>EHS Goal ≥ 90% Attendance %</t>
  </si>
  <si>
    <t>EHS Wait List for Income Eligible</t>
  </si>
  <si>
    <t xml:space="preserve"> EHS Wait List for Over Income</t>
  </si>
  <si>
    <t xml:space="preserve"> HS Wait List for Income Eligible </t>
  </si>
  <si>
    <t xml:space="preserve"> HS Wait List for Over Income</t>
  </si>
  <si>
    <t xml:space="preserve">Overall Agency Donations </t>
  </si>
  <si>
    <t>average revenue per project</t>
  </si>
  <si>
    <t>Home Visits</t>
  </si>
  <si>
    <t>Open Positions</t>
  </si>
  <si>
    <t>Development</t>
  </si>
  <si>
    <t>Agency Wide</t>
  </si>
  <si>
    <t>Corporate/Corporate Support</t>
  </si>
  <si>
    <t>Head Count</t>
  </si>
  <si>
    <r>
      <rPr>
        <b/>
        <sz val="11"/>
        <color theme="1"/>
        <rFont val="Calibri"/>
        <family val="2"/>
        <scheme val="minor"/>
      </rPr>
      <t>Employee Retention Rate</t>
    </r>
    <r>
      <rPr>
        <sz val="11"/>
        <color theme="1"/>
        <rFont val="Calibri"/>
        <family val="2"/>
        <scheme val="minor"/>
      </rPr>
      <t xml:space="preserve"> (# of employees who stayed employed with CCI that month)/(Headcount of employees at beginning of month)*100</t>
    </r>
  </si>
  <si>
    <r>
      <rPr>
        <b/>
        <sz val="11"/>
        <color theme="1"/>
        <rFont val="Calibri"/>
        <family val="2"/>
        <scheme val="minor"/>
      </rPr>
      <t>Vacancy rate</t>
    </r>
    <r>
      <rPr>
        <sz val="11"/>
        <color theme="1"/>
        <rFont val="Calibri"/>
        <family val="2"/>
        <scheme val="minor"/>
      </rPr>
      <t xml:space="preserve"> (# of Open Positions)/(# of budgeted positions)*100</t>
    </r>
  </si>
  <si>
    <t>Customer and Prevention Services (Whole Family/Energy/Reception)</t>
  </si>
  <si>
    <t>Jul</t>
  </si>
  <si>
    <t>Total</t>
  </si>
  <si>
    <r>
      <t xml:space="preserve">Open Positions                    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(number of positions that we have open)</t>
    </r>
  </si>
  <si>
    <t>Current</t>
  </si>
  <si>
    <t>New</t>
  </si>
  <si>
    <t>USDA - 25 Homes (CACFP)</t>
  </si>
  <si>
    <t>Children and parents enrolled in home visiting services</t>
  </si>
  <si>
    <t>Goal ≥ 85% Attendance                                                           Attendance %</t>
  </si>
  <si>
    <t xml:space="preserve"># People who received CACFP meals </t>
  </si>
  <si>
    <t># community slots filled (88)</t>
  </si>
  <si>
    <t xml:space="preserve"># People who received GSFB Meals </t>
  </si>
  <si>
    <t># of new donors acquired</t>
  </si>
  <si>
    <t># of donors giving more ("upgraded")</t>
  </si>
  <si>
    <t># of "reaches"</t>
  </si>
  <si>
    <t># Service requestsCarry-over from Previous month                                                                                    &lt;15</t>
  </si>
  <si>
    <t># Helpdesk incidents carried over from previous month                                                                          &lt;15</t>
  </si>
  <si>
    <t># new Service Requests                                                                                                      200 or less per month</t>
  </si>
  <si>
    <t># new Incidents                                                                                                                      200 or less per month</t>
  </si>
  <si>
    <t>Incidents and Service requests</t>
  </si>
  <si>
    <t>New and Aging</t>
  </si>
  <si>
    <t>Create 150 new homeowners</t>
  </si>
  <si>
    <t>$2,100,000 in Residential Lending</t>
  </si>
  <si>
    <t>$1,600,000 in Business Lending</t>
  </si>
  <si>
    <t>Provide 6,000 hours of business advising</t>
  </si>
  <si>
    <t>Complete 550 tax returns</t>
  </si>
  <si>
    <t>Package 4 USDA 502 Direct Loans</t>
  </si>
  <si>
    <t>Weatherize 65 households DOE</t>
  </si>
  <si>
    <t>Weatherization to 65 households HEAP</t>
  </si>
  <si>
    <t>Heating system repair or replacement to 200 households CHIP</t>
  </si>
  <si>
    <t>Oil Tank Replacement to 20 households AST</t>
  </si>
  <si>
    <t xml:space="preserve">Heat Pump Program - 100 Households </t>
  </si>
  <si>
    <t>Home Repair MSHA 80 Households (Oxford &amp; Andro &amp; Cumberland)</t>
  </si>
  <si>
    <t>4 new Built by ME homes</t>
  </si>
  <si>
    <t>Lead inspections/designs and construction management to 75 homes MH</t>
  </si>
  <si>
    <t>Customer &amp; Prevention Services</t>
  </si>
  <si>
    <t>N/A</t>
  </si>
  <si>
    <t>Production</t>
  </si>
  <si>
    <t xml:space="preserve">$- </t>
  </si>
  <si>
    <t>MRC</t>
  </si>
  <si>
    <t>Homeless Crisis</t>
  </si>
  <si>
    <t>OCMHS</t>
  </si>
  <si>
    <r>
      <t xml:space="preserve">Time to Hire                       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(posted to offer accepted)</t>
    </r>
  </si>
  <si>
    <r>
      <t xml:space="preserve">Head Count                                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(total number of distinct staff - all employees, full-time, part-time, and per diem/Substitutes. Point in time - last day of the month being reported)</t>
    </r>
  </si>
  <si>
    <r>
      <t xml:space="preserve">Turnover Rate                            </t>
    </r>
    <r>
      <rPr>
        <sz val="12"/>
        <color theme="1"/>
        <rFont val="Calibri"/>
        <family val="2"/>
        <scheme val="minor"/>
      </rPr>
      <t xml:space="preserve"> (# of employees who left employment from CCI that month)/(Headcount at beginning of month)*100</t>
    </r>
  </si>
  <si>
    <t># Oxford County residents enrolled in digital navigation (Goal: 120 per year)</t>
  </si>
  <si>
    <t># of contacts in the month being reported. "Contacts" are the incidents of assistance given to clients either on the phone or in person</t>
  </si>
  <si>
    <t>RD</t>
  </si>
  <si>
    <t>Asset Management</t>
  </si>
  <si>
    <t>Occupancy (quarterly goal of 95%)</t>
  </si>
  <si>
    <t>Average collection rate (90% or higher)</t>
  </si>
  <si>
    <t>Net cash flow (0 or greater)</t>
  </si>
  <si>
    <t>Average unit turnover days (less than or equal to 35 days - quarterly average)</t>
  </si>
  <si>
    <t>Average days to close books - goal is 10 days by Sept 2024</t>
  </si>
  <si>
    <t># of Policies updated in month being reported (25 expected to be updated in FY24)</t>
  </si>
  <si>
    <t>hour</t>
  </si>
  <si>
    <t>cumulative</t>
  </si>
  <si>
    <t>Cumulative</t>
  </si>
  <si>
    <t>CHIP wait List</t>
  </si>
  <si>
    <t>Heat Pump Wait List</t>
  </si>
  <si>
    <t>Home Repair Wait List</t>
  </si>
  <si>
    <t># Families on the Whole Family Wait List</t>
  </si>
  <si>
    <t># Families on the Whole Family Wait List - Andro</t>
  </si>
  <si>
    <t>Assurance 16 Wait List</t>
  </si>
  <si>
    <t>Assurance 16 Wait List - Andro</t>
  </si>
  <si>
    <t>Assurance 16 Wait List - Oxford</t>
  </si>
  <si>
    <t>Maine Families - Wait List</t>
  </si>
  <si>
    <t>Maine Families Wait List - Active</t>
  </si>
  <si>
    <t>Maine Families Wait List - Outreach</t>
  </si>
  <si>
    <t>HEAP Wait List</t>
  </si>
  <si>
    <t>Prevention  Council  Work Shops Wait List</t>
  </si>
  <si>
    <r>
      <t xml:space="preserve">Open Positions                                             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(number of positions that we have open)</t>
    </r>
  </si>
  <si>
    <r>
      <t xml:space="preserve">Time to Hire                                                 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(posted to offer accepted)</t>
    </r>
  </si>
  <si>
    <r>
      <t xml:space="preserve">Head Count                                                                            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(total number of distinct staff - all employees, full-time, part-time, and per diem/Substitutes. Point in time - last day of the month being reported)</t>
    </r>
  </si>
  <si>
    <r>
      <t xml:space="preserve">Turnover Rate                                 </t>
    </r>
    <r>
      <rPr>
        <sz val="12"/>
        <color theme="1"/>
        <rFont val="Calibri"/>
        <family val="2"/>
        <scheme val="minor"/>
      </rPr>
      <t xml:space="preserve"> (# of employees who left employment from CCI that month)/(Headcount at beginning of month)*100</t>
    </r>
  </si>
  <si>
    <t># Families on the Whole Family Wait List - Oxford</t>
  </si>
  <si>
    <t>Reception</t>
  </si>
  <si>
    <t>NA</t>
  </si>
  <si>
    <t xml:space="preserve">Maine Families - MEICHV  &amp; Families First                 </t>
  </si>
  <si>
    <t>CAN Council (CB&amp;E) community events</t>
  </si>
  <si>
    <t>Oil Tank Replacement (20)</t>
  </si>
  <si>
    <t>300 Lead inspections for DHHS - cumulative</t>
  </si>
  <si>
    <t>150 Lead Inspections Fee for service - cumulative</t>
  </si>
  <si>
    <t>Waiting Lists</t>
  </si>
  <si>
    <t xml:space="preserve">Oct </t>
  </si>
  <si>
    <t xml:space="preserve"> Whole Family Wait List - Oxford</t>
  </si>
  <si>
    <t>Whole Family Wait List - Andro</t>
  </si>
  <si>
    <t>June</t>
  </si>
  <si>
    <t>Board of Directors contribute to CCI</t>
  </si>
  <si>
    <t xml:space="preserve"> $-   </t>
  </si>
  <si>
    <t xml:space="preserve"> HS  for Income Eligible </t>
  </si>
  <si>
    <t>HS for Over Income</t>
  </si>
  <si>
    <t>EHS for Income Eligible</t>
  </si>
  <si>
    <t xml:space="preserve"> EHS for Over Income</t>
  </si>
  <si>
    <t>Prevent  Council  Work Shops</t>
  </si>
  <si>
    <t>ME Families - Outreach</t>
  </si>
  <si>
    <t>ME Families  -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</si>
</sst>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0"/>
    <numFmt numFmtId="167" formatCode="&quot;$&quot;#,##0"/>
    <numFmt numFmtId="168" formatCode="&quot;$&quot;#,##0.00;[Red]&quot;$&quot;#,##0.00"/>
    <numFmt numFmtId="169" formatCode="_(&quot;$&quot;* #,##0_);_(&quot;$&quot;* \(#,##0\);_(&quot;$&quot;* &quot;-&quot;??_);_(@_)"/>
    <numFmt numFmtId="170" formatCode="0.0"/>
    <numFmt numFmtId="171" formatCode="_([$$-409]* #,##0.00_);_([$$-409]* \(#,##0.00\);_([$$-409]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sz val="7"/>
      <color rgb="FF000000"/>
      <name val="Times New Roman"/>
      <family val="1"/>
    </font>
    <font>
      <sz val="11"/>
      <name val="Times New Roman"/>
      <family val="1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548235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33CCCC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2" fillId="15" borderId="0" applyNumberFormat="0" applyBorder="0" applyAlignment="0" applyProtection="0"/>
  </cellStyleXfs>
  <cellXfs count="877">
    <xf numFmtId="0" fontId="0" fillId="0" borderId="0" xfId="0"/>
    <xf numFmtId="0" fontId="3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90"/>
    </xf>
    <xf numFmtId="0" fontId="0" fillId="3" borderId="11" xfId="0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/>
    </xf>
    <xf numFmtId="0" fontId="2" fillId="3" borderId="14" xfId="0" applyFont="1" applyFill="1" applyBorder="1" applyAlignment="1">
      <alignment horizontal="right"/>
    </xf>
    <xf numFmtId="0" fontId="0" fillId="3" borderId="11" xfId="0" applyFill="1" applyBorder="1"/>
    <xf numFmtId="0" fontId="0" fillId="0" borderId="4" xfId="0" applyBorder="1"/>
    <xf numFmtId="0" fontId="5" fillId="3" borderId="11" xfId="0" applyFont="1" applyFill="1" applyBorder="1"/>
    <xf numFmtId="0" fontId="0" fillId="3" borderId="13" xfId="0" applyFill="1" applyBorder="1"/>
    <xf numFmtId="0" fontId="0" fillId="3" borderId="2" xfId="0" applyFill="1" applyBorder="1" applyAlignment="1">
      <alignment horizontal="center" wrapText="1"/>
    </xf>
    <xf numFmtId="0" fontId="4" fillId="3" borderId="13" xfId="0" applyFont="1" applyFill="1" applyBorder="1"/>
    <xf numFmtId="0" fontId="3" fillId="0" borderId="17" xfId="0" applyFont="1" applyBorder="1" applyAlignment="1">
      <alignment horizontal="center" vertical="center" textRotation="90"/>
    </xf>
    <xf numFmtId="0" fontId="2" fillId="3" borderId="13" xfId="0" applyFont="1" applyFill="1" applyBorder="1"/>
    <xf numFmtId="0" fontId="2" fillId="5" borderId="13" xfId="0" applyFont="1" applyFill="1" applyBorder="1"/>
    <xf numFmtId="0" fontId="0" fillId="5" borderId="15" xfId="0" applyFill="1" applyBorder="1"/>
    <xf numFmtId="0" fontId="5" fillId="0" borderId="20" xfId="0" applyFont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0" fillId="0" borderId="8" xfId="0" applyBorder="1" applyAlignment="1">
      <alignment horizontal="center" wrapText="1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9" fillId="6" borderId="8" xfId="3" applyNumberFormat="1" applyFont="1" applyFill="1" applyBorder="1" applyAlignment="1">
      <alignment horizontal="center" wrapText="1"/>
    </xf>
    <xf numFmtId="0" fontId="8" fillId="4" borderId="18" xfId="0" applyFont="1" applyFill="1" applyBorder="1" applyAlignment="1">
      <alignment vertical="center"/>
    </xf>
    <xf numFmtId="0" fontId="8" fillId="4" borderId="18" xfId="0" applyFont="1" applyFill="1" applyBorder="1" applyAlignment="1">
      <alignment horizontal="right" vertical="center"/>
    </xf>
    <xf numFmtId="0" fontId="11" fillId="4" borderId="18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right" vertical="center"/>
    </xf>
    <xf numFmtId="0" fontId="12" fillId="3" borderId="11" xfId="0" applyFont="1" applyFill="1" applyBorder="1" applyAlignment="1">
      <alignment horizontal="right" vertical="center"/>
    </xf>
    <xf numFmtId="9" fontId="5" fillId="3" borderId="20" xfId="0" applyNumberFormat="1" applyFont="1" applyFill="1" applyBorder="1" applyAlignment="1">
      <alignment horizontal="center" wrapText="1"/>
    </xf>
    <xf numFmtId="9" fontId="5" fillId="3" borderId="20" xfId="0" applyNumberFormat="1" applyFont="1" applyFill="1" applyBorder="1" applyAlignment="1">
      <alignment horizontal="center"/>
    </xf>
    <xf numFmtId="9" fontId="0" fillId="3" borderId="12" xfId="3" applyFont="1" applyFill="1" applyBorder="1"/>
    <xf numFmtId="0" fontId="0" fillId="3" borderId="4" xfId="0" applyFill="1" applyBorder="1"/>
    <xf numFmtId="0" fontId="0" fillId="3" borderId="20" xfId="0" applyFill="1" applyBorder="1"/>
    <xf numFmtId="0" fontId="5" fillId="10" borderId="4" xfId="0" applyFont="1" applyFill="1" applyBorder="1" applyAlignment="1">
      <alignment horizontal="center"/>
    </xf>
    <xf numFmtId="0" fontId="8" fillId="12" borderId="9" xfId="0" applyFont="1" applyFill="1" applyBorder="1" applyAlignment="1">
      <alignment vertical="center"/>
    </xf>
    <xf numFmtId="0" fontId="5" fillId="10" borderId="8" xfId="0" applyFont="1" applyFill="1" applyBorder="1" applyAlignment="1">
      <alignment horizontal="center"/>
    </xf>
    <xf numFmtId="168" fontId="5" fillId="0" borderId="4" xfId="0" applyNumberFormat="1" applyFont="1" applyBorder="1" applyAlignment="1">
      <alignment horizontal="center"/>
    </xf>
    <xf numFmtId="169" fontId="5" fillId="0" borderId="4" xfId="2" applyNumberFormat="1" applyFont="1" applyFill="1" applyBorder="1" applyAlignment="1">
      <alignment horizontal="center"/>
    </xf>
    <xf numFmtId="8" fontId="5" fillId="0" borderId="4" xfId="0" applyNumberFormat="1" applyFont="1" applyBorder="1"/>
    <xf numFmtId="44" fontId="5" fillId="0" borderId="4" xfId="2" applyFont="1" applyFill="1" applyBorder="1" applyAlignment="1">
      <alignment horizontal="center" vertical="center"/>
    </xf>
    <xf numFmtId="9" fontId="5" fillId="0" borderId="12" xfId="3" applyFont="1" applyFill="1" applyBorder="1"/>
    <xf numFmtId="0" fontId="0" fillId="3" borderId="29" xfId="0" applyFill="1" applyBorder="1"/>
    <xf numFmtId="0" fontId="0" fillId="3" borderId="8" xfId="0" applyFill="1" applyBorder="1"/>
    <xf numFmtId="0" fontId="0" fillId="3" borderId="18" xfId="0" applyFill="1" applyBorder="1"/>
    <xf numFmtId="9" fontId="5" fillId="3" borderId="12" xfId="3" applyFont="1" applyFill="1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9" borderId="33" xfId="0" applyFill="1" applyBorder="1"/>
    <xf numFmtId="169" fontId="0" fillId="3" borderId="33" xfId="2" applyNumberFormat="1" applyFont="1" applyFill="1" applyBorder="1"/>
    <xf numFmtId="10" fontId="0" fillId="3" borderId="33" xfId="0" applyNumberFormat="1" applyFill="1" applyBorder="1"/>
    <xf numFmtId="169" fontId="0" fillId="3" borderId="33" xfId="0" applyNumberFormat="1" applyFill="1" applyBorder="1"/>
    <xf numFmtId="0" fontId="0" fillId="0" borderId="32" xfId="0" applyBorder="1"/>
    <xf numFmtId="0" fontId="0" fillId="0" borderId="33" xfId="0" applyBorder="1"/>
    <xf numFmtId="0" fontId="16" fillId="3" borderId="6" xfId="0" applyFont="1" applyFill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0" fillId="3" borderId="14" xfId="0" applyFill="1" applyBorder="1"/>
    <xf numFmtId="0" fontId="16" fillId="3" borderId="38" xfId="0" applyFont="1" applyFill="1" applyBorder="1"/>
    <xf numFmtId="0" fontId="0" fillId="3" borderId="37" xfId="0" applyFill="1" applyBorder="1" applyAlignment="1">
      <alignment horizontal="right"/>
    </xf>
    <xf numFmtId="0" fontId="2" fillId="3" borderId="37" xfId="0" applyFont="1" applyFill="1" applyBorder="1" applyAlignment="1">
      <alignment horizontal="right"/>
    </xf>
    <xf numFmtId="0" fontId="2" fillId="3" borderId="39" xfId="0" applyFont="1" applyFill="1" applyBorder="1" applyAlignment="1">
      <alignment horizontal="right"/>
    </xf>
    <xf numFmtId="0" fontId="5" fillId="7" borderId="37" xfId="0" applyFont="1" applyFill="1" applyBorder="1"/>
    <xf numFmtId="9" fontId="5" fillId="7" borderId="12" xfId="3" applyFont="1" applyFill="1" applyBorder="1"/>
    <xf numFmtId="0" fontId="0" fillId="0" borderId="26" xfId="0" applyBorder="1"/>
    <xf numFmtId="1" fontId="0" fillId="3" borderId="7" xfId="0" applyNumberFormat="1" applyFill="1" applyBorder="1"/>
    <xf numFmtId="9" fontId="2" fillId="3" borderId="9" xfId="3" applyFont="1" applyFill="1" applyBorder="1"/>
    <xf numFmtId="9" fontId="0" fillId="3" borderId="10" xfId="0" applyNumberFormat="1" applyFill="1" applyBorder="1"/>
    <xf numFmtId="0" fontId="2" fillId="3" borderId="10" xfId="0" applyFont="1" applyFill="1" applyBorder="1"/>
    <xf numFmtId="9" fontId="2" fillId="3" borderId="12" xfId="3" applyFont="1" applyFill="1" applyBorder="1"/>
    <xf numFmtId="9" fontId="2" fillId="3" borderId="22" xfId="3" applyFont="1" applyFill="1" applyBorder="1"/>
    <xf numFmtId="9" fontId="2" fillId="3" borderId="31" xfId="3" applyFont="1" applyFill="1" applyBorder="1"/>
    <xf numFmtId="0" fontId="2" fillId="3" borderId="43" xfId="0" applyFont="1" applyFill="1" applyBorder="1"/>
    <xf numFmtId="9" fontId="2" fillId="3" borderId="41" xfId="0" applyNumberFormat="1" applyFont="1" applyFill="1" applyBorder="1"/>
    <xf numFmtId="0" fontId="2" fillId="3" borderId="41" xfId="0" applyFont="1" applyFill="1" applyBorder="1"/>
    <xf numFmtId="9" fontId="2" fillId="3" borderId="44" xfId="3" applyFont="1" applyFill="1" applyBorder="1"/>
    <xf numFmtId="0" fontId="2" fillId="3" borderId="45" xfId="0" applyFont="1" applyFill="1" applyBorder="1"/>
    <xf numFmtId="0" fontId="0" fillId="3" borderId="41" xfId="0" applyFill="1" applyBorder="1"/>
    <xf numFmtId="9" fontId="0" fillId="3" borderId="41" xfId="3" applyFont="1" applyFill="1" applyBorder="1"/>
    <xf numFmtId="1" fontId="0" fillId="3" borderId="41" xfId="0" applyNumberFormat="1" applyFill="1" applyBorder="1"/>
    <xf numFmtId="0" fontId="0" fillId="3" borderId="42" xfId="0" applyFill="1" applyBorder="1"/>
    <xf numFmtId="164" fontId="0" fillId="3" borderId="41" xfId="1" applyNumberFormat="1" applyFont="1" applyFill="1" applyBorder="1"/>
    <xf numFmtId="164" fontId="0" fillId="3" borderId="44" xfId="1" applyNumberFormat="1" applyFont="1" applyFill="1" applyBorder="1"/>
    <xf numFmtId="0" fontId="5" fillId="6" borderId="38" xfId="0" applyFont="1" applyFill="1" applyBorder="1"/>
    <xf numFmtId="165" fontId="5" fillId="3" borderId="9" xfId="3" applyNumberFormat="1" applyFont="1" applyFill="1" applyBorder="1"/>
    <xf numFmtId="165" fontId="5" fillId="3" borderId="31" xfId="3" applyNumberFormat="1" applyFont="1" applyFill="1" applyBorder="1"/>
    <xf numFmtId="165" fontId="5" fillId="3" borderId="12" xfId="3" applyNumberFormat="1" applyFont="1" applyFill="1" applyBorder="1"/>
    <xf numFmtId="0" fontId="8" fillId="12" borderId="38" xfId="0" applyFont="1" applyFill="1" applyBorder="1" applyAlignment="1">
      <alignment vertical="center"/>
    </xf>
    <xf numFmtId="0" fontId="8" fillId="12" borderId="39" xfId="0" applyFont="1" applyFill="1" applyBorder="1" applyAlignment="1">
      <alignment vertical="center"/>
    </xf>
    <xf numFmtId="9" fontId="5" fillId="0" borderId="4" xfId="3" applyFont="1" applyFill="1" applyBorder="1" applyAlignment="1">
      <alignment horizontal="center"/>
    </xf>
    <xf numFmtId="0" fontId="0" fillId="8" borderId="12" xfId="0" applyFill="1" applyBorder="1"/>
    <xf numFmtId="0" fontId="0" fillId="8" borderId="31" xfId="0" applyFill="1" applyBorder="1"/>
    <xf numFmtId="0" fontId="0" fillId="3" borderId="3" xfId="0" applyFill="1" applyBorder="1"/>
    <xf numFmtId="0" fontId="0" fillId="0" borderId="46" xfId="0" applyBorder="1"/>
    <xf numFmtId="0" fontId="0" fillId="3" borderId="7" xfId="0" applyFill="1" applyBorder="1"/>
    <xf numFmtId="0" fontId="0" fillId="3" borderId="10" xfId="0" applyFill="1" applyBorder="1"/>
    <xf numFmtId="9" fontId="0" fillId="3" borderId="9" xfId="3" applyFont="1" applyFill="1" applyBorder="1"/>
    <xf numFmtId="0" fontId="4" fillId="0" borderId="25" xfId="0" applyFont="1" applyBorder="1" applyAlignment="1">
      <alignment vertical="center" textRotation="90"/>
    </xf>
    <xf numFmtId="0" fontId="4" fillId="0" borderId="23" xfId="0" applyFont="1" applyBorder="1" applyAlignment="1">
      <alignment vertical="center" textRotation="90"/>
    </xf>
    <xf numFmtId="9" fontId="0" fillId="3" borderId="16" xfId="3" applyFont="1" applyFill="1" applyBorder="1"/>
    <xf numFmtId="2" fontId="0" fillId="8" borderId="4" xfId="0" applyNumberFormat="1" applyFill="1" applyBorder="1"/>
    <xf numFmtId="9" fontId="0" fillId="0" borderId="4" xfId="3" applyFont="1" applyFill="1" applyBorder="1" applyAlignment="1">
      <alignment horizontal="center"/>
    </xf>
    <xf numFmtId="9" fontId="5" fillId="8" borderId="12" xfId="3" applyFont="1" applyFill="1" applyBorder="1"/>
    <xf numFmtId="9" fontId="5" fillId="8" borderId="12" xfId="0" applyNumberFormat="1" applyFont="1" applyFill="1" applyBorder="1"/>
    <xf numFmtId="170" fontId="5" fillId="8" borderId="12" xfId="0" applyNumberFormat="1" applyFont="1" applyFill="1" applyBorder="1"/>
    <xf numFmtId="2" fontId="0" fillId="8" borderId="20" xfId="0" applyNumberFormat="1" applyFill="1" applyBorder="1"/>
    <xf numFmtId="0" fontId="0" fillId="3" borderId="8" xfId="0" applyFill="1" applyBorder="1" applyAlignment="1">
      <alignment wrapText="1"/>
    </xf>
    <xf numFmtId="0" fontId="0" fillId="0" borderId="0" xfId="0" applyAlignment="1">
      <alignment wrapText="1"/>
    </xf>
    <xf numFmtId="0" fontId="0" fillId="8" borderId="47" xfId="0" applyFill="1" applyBorder="1"/>
    <xf numFmtId="0" fontId="5" fillId="8" borderId="49" xfId="3" applyNumberFormat="1" applyFont="1" applyFill="1" applyBorder="1"/>
    <xf numFmtId="0" fontId="0" fillId="8" borderId="4" xfId="0" applyFill="1" applyBorder="1"/>
    <xf numFmtId="9" fontId="5" fillId="8" borderId="4" xfId="0" applyNumberFormat="1" applyFont="1" applyFill="1" applyBorder="1"/>
    <xf numFmtId="0" fontId="5" fillId="8" borderId="12" xfId="3" applyNumberFormat="1" applyFont="1" applyFill="1" applyBorder="1"/>
    <xf numFmtId="1" fontId="0" fillId="3" borderId="29" xfId="0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18" fillId="11" borderId="32" xfId="0" applyNumberFormat="1" applyFont="1" applyFill="1" applyBorder="1"/>
    <xf numFmtId="1" fontId="18" fillId="11" borderId="33" xfId="0" applyNumberFormat="1" applyFont="1" applyFill="1" applyBorder="1"/>
    <xf numFmtId="0" fontId="5" fillId="9" borderId="8" xfId="0" applyFont="1" applyFill="1" applyBorder="1" applyAlignment="1">
      <alignment horizontal="center" wrapText="1"/>
    </xf>
    <xf numFmtId="44" fontId="0" fillId="0" borderId="8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50" xfId="0" applyFont="1" applyBorder="1"/>
    <xf numFmtId="0" fontId="0" fillId="3" borderId="5" xfId="0" applyFill="1" applyBorder="1" applyAlignment="1">
      <alignment horizontal="left"/>
    </xf>
    <xf numFmtId="0" fontId="19" fillId="0" borderId="50" xfId="0" applyFont="1" applyBorder="1" applyAlignment="1">
      <alignment horizontal="left" vertical="center"/>
    </xf>
    <xf numFmtId="1" fontId="2" fillId="3" borderId="45" xfId="0" applyNumberFormat="1" applyFont="1" applyFill="1" applyBorder="1"/>
    <xf numFmtId="0" fontId="5" fillId="0" borderId="8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9" fontId="0" fillId="3" borderId="8" xfId="3" applyFont="1" applyFill="1" applyBorder="1"/>
    <xf numFmtId="44" fontId="0" fillId="3" borderId="8" xfId="2" applyFont="1" applyFill="1" applyBorder="1"/>
    <xf numFmtId="0" fontId="0" fillId="3" borderId="8" xfId="0" applyFill="1" applyBorder="1" applyAlignment="1">
      <alignment horizontal="center"/>
    </xf>
    <xf numFmtId="0" fontId="0" fillId="3" borderId="12" xfId="0" applyFill="1" applyBorder="1"/>
    <xf numFmtId="0" fontId="0" fillId="3" borderId="33" xfId="0" applyFill="1" applyBorder="1" applyAlignment="1">
      <alignment horizontal="center"/>
    </xf>
    <xf numFmtId="0" fontId="0" fillId="10" borderId="9" xfId="0" applyFill="1" applyBorder="1"/>
    <xf numFmtId="0" fontId="0" fillId="10" borderId="12" xfId="0" applyFill="1" applyBorder="1"/>
    <xf numFmtId="0" fontId="0" fillId="0" borderId="8" xfId="0" applyBorder="1"/>
    <xf numFmtId="0" fontId="0" fillId="0" borderId="20" xfId="0" applyBorder="1"/>
    <xf numFmtId="10" fontId="0" fillId="3" borderId="4" xfId="0" applyNumberFormat="1" applyFill="1" applyBorder="1"/>
    <xf numFmtId="0" fontId="0" fillId="0" borderId="12" xfId="0" applyBorder="1"/>
    <xf numFmtId="0" fontId="0" fillId="0" borderId="31" xfId="0" applyBorder="1"/>
    <xf numFmtId="0" fontId="0" fillId="7" borderId="4" xfId="0" applyFill="1" applyBorder="1" applyAlignment="1">
      <alignment horizontal="center" wrapText="1"/>
    </xf>
    <xf numFmtId="0" fontId="5" fillId="12" borderId="8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169" fontId="5" fillId="0" borderId="3" xfId="2" applyNumberFormat="1" applyFont="1" applyFill="1" applyBorder="1" applyAlignment="1">
      <alignment horizontal="center"/>
    </xf>
    <xf numFmtId="44" fontId="0" fillId="0" borderId="4" xfId="2" applyFont="1" applyBorder="1"/>
    <xf numFmtId="8" fontId="5" fillId="0" borderId="3" xfId="0" applyNumberFormat="1" applyFont="1" applyBorder="1"/>
    <xf numFmtId="44" fontId="5" fillId="0" borderId="3" xfId="2" applyFont="1" applyFill="1" applyBorder="1" applyAlignment="1">
      <alignment horizontal="center" vertical="center"/>
    </xf>
    <xf numFmtId="0" fontId="0" fillId="0" borderId="3" xfId="0" applyBorder="1"/>
    <xf numFmtId="9" fontId="5" fillId="0" borderId="16" xfId="3" applyFont="1" applyFill="1" applyBorder="1"/>
    <xf numFmtId="167" fontId="0" fillId="0" borderId="4" xfId="0" applyNumberFormat="1" applyBorder="1" applyAlignment="1">
      <alignment horizontal="center"/>
    </xf>
    <xf numFmtId="9" fontId="0" fillId="0" borderId="0" xfId="3" applyFont="1"/>
    <xf numFmtId="44" fontId="5" fillId="3" borderId="4" xfId="2" applyFont="1" applyFill="1" applyBorder="1" applyAlignment="1">
      <alignment horizontal="center"/>
    </xf>
    <xf numFmtId="44" fontId="0" fillId="3" borderId="33" xfId="2" applyFont="1" applyFill="1" applyBorder="1"/>
    <xf numFmtId="0" fontId="22" fillId="15" borderId="0" xfId="5"/>
    <xf numFmtId="0" fontId="0" fillId="13" borderId="52" xfId="0" applyFill="1" applyBorder="1"/>
    <xf numFmtId="9" fontId="5" fillId="13" borderId="49" xfId="3" applyFont="1" applyFill="1" applyBorder="1"/>
    <xf numFmtId="9" fontId="5" fillId="3" borderId="54" xfId="3" applyFont="1" applyFill="1" applyBorder="1"/>
    <xf numFmtId="0" fontId="0" fillId="13" borderId="4" xfId="0" applyFill="1" applyBorder="1"/>
    <xf numFmtId="9" fontId="5" fillId="13" borderId="4" xfId="3" applyFont="1" applyFill="1" applyBorder="1"/>
    <xf numFmtId="9" fontId="5" fillId="3" borderId="4" xfId="3" applyFont="1" applyFill="1" applyBorder="1"/>
    <xf numFmtId="44" fontId="0" fillId="0" borderId="0" xfId="0" applyNumberFormat="1"/>
    <xf numFmtId="0" fontId="17" fillId="0" borderId="0" xfId="0" applyFont="1"/>
    <xf numFmtId="44" fontId="0" fillId="0" borderId="35" xfId="2" applyFont="1" applyBorder="1"/>
    <xf numFmtId="9" fontId="2" fillId="3" borderId="45" xfId="3" applyFont="1" applyFill="1" applyBorder="1"/>
    <xf numFmtId="1" fontId="5" fillId="8" borderId="12" xfId="3" applyNumberFormat="1" applyFont="1" applyFill="1" applyBorder="1"/>
    <xf numFmtId="0" fontId="0" fillId="0" borderId="37" xfId="0" applyBorder="1"/>
    <xf numFmtId="0" fontId="0" fillId="0" borderId="39" xfId="0" applyBorder="1"/>
    <xf numFmtId="0" fontId="0" fillId="0" borderId="56" xfId="0" applyBorder="1"/>
    <xf numFmtId="0" fontId="2" fillId="0" borderId="0" xfId="0" applyFont="1"/>
    <xf numFmtId="0" fontId="0" fillId="0" borderId="55" xfId="0" applyBorder="1"/>
    <xf numFmtId="0" fontId="0" fillId="0" borderId="19" xfId="0" applyBorder="1"/>
    <xf numFmtId="0" fontId="0" fillId="0" borderId="9" xfId="0" applyBorder="1"/>
    <xf numFmtId="0" fontId="3" fillId="0" borderId="0" xfId="0" applyFont="1"/>
    <xf numFmtId="0" fontId="2" fillId="16" borderId="17" xfId="0" applyFont="1" applyFill="1" applyBorder="1"/>
    <xf numFmtId="0" fontId="2" fillId="0" borderId="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8" xfId="0" applyBorder="1"/>
    <xf numFmtId="0" fontId="0" fillId="17" borderId="4" xfId="0" applyFill="1" applyBorder="1"/>
    <xf numFmtId="0" fontId="0" fillId="17" borderId="3" xfId="0" applyFill="1" applyBorder="1" applyAlignment="1">
      <alignment horizontal="center"/>
    </xf>
    <xf numFmtId="0" fontId="0" fillId="17" borderId="8" xfId="0" applyFill="1" applyBorder="1"/>
    <xf numFmtId="0" fontId="0" fillId="17" borderId="20" xfId="0" applyFill="1" applyBorder="1"/>
    <xf numFmtId="0" fontId="0" fillId="8" borderId="0" xfId="0" applyFill="1"/>
    <xf numFmtId="0" fontId="0" fillId="0" borderId="38" xfId="0" applyBorder="1" applyAlignment="1">
      <alignment wrapText="1"/>
    </xf>
    <xf numFmtId="0" fontId="0" fillId="6" borderId="4" xfId="0" applyFill="1" applyBorder="1"/>
    <xf numFmtId="0" fontId="0" fillId="6" borderId="3" xfId="0" applyFill="1" applyBorder="1"/>
    <xf numFmtId="0" fontId="0" fillId="6" borderId="20" xfId="0" applyFill="1" applyBorder="1"/>
    <xf numFmtId="0" fontId="0" fillId="17" borderId="3" xfId="0" applyFill="1" applyBorder="1" applyAlignment="1">
      <alignment horizontal="center" wrapText="1"/>
    </xf>
    <xf numFmtId="0" fontId="5" fillId="17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1" fillId="17" borderId="8" xfId="3" applyNumberFormat="1" applyFont="1" applyFill="1" applyBorder="1" applyAlignment="1">
      <alignment horizontal="center" wrapText="1"/>
    </xf>
    <xf numFmtId="10" fontId="1" fillId="17" borderId="8" xfId="3" applyNumberFormat="1" applyFont="1" applyFill="1" applyBorder="1" applyAlignment="1">
      <alignment horizontal="center" wrapText="1"/>
    </xf>
    <xf numFmtId="0" fontId="2" fillId="17" borderId="8" xfId="3" applyNumberFormat="1" applyFont="1" applyFill="1" applyBorder="1" applyAlignment="1">
      <alignment horizontal="center" wrapText="1"/>
    </xf>
    <xf numFmtId="9" fontId="2" fillId="17" borderId="8" xfId="3" applyFont="1" applyFill="1" applyBorder="1" applyAlignment="1">
      <alignment horizontal="center" wrapText="1"/>
    </xf>
    <xf numFmtId="44" fontId="0" fillId="0" borderId="3" xfId="2" applyFont="1" applyBorder="1"/>
    <xf numFmtId="1" fontId="0" fillId="0" borderId="0" xfId="0" applyNumberFormat="1"/>
    <xf numFmtId="9" fontId="5" fillId="8" borderId="4" xfId="0" applyNumberFormat="1" applyFont="1" applyFill="1" applyBorder="1" applyAlignment="1">
      <alignment horizontal="center"/>
    </xf>
    <xf numFmtId="9" fontId="4" fillId="8" borderId="19" xfId="3" applyFont="1" applyFill="1" applyBorder="1" applyAlignment="1">
      <alignment horizontal="center"/>
    </xf>
    <xf numFmtId="9" fontId="0" fillId="8" borderId="4" xfId="3" applyFont="1" applyFill="1" applyBorder="1" applyAlignment="1">
      <alignment horizontal="center"/>
    </xf>
    <xf numFmtId="9" fontId="5" fillId="8" borderId="4" xfId="0" applyNumberFormat="1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5" fillId="8" borderId="4" xfId="0" applyFont="1" applyFill="1" applyBorder="1" applyAlignment="1">
      <alignment horizontal="center" vertical="center"/>
    </xf>
    <xf numFmtId="9" fontId="2" fillId="8" borderId="20" xfId="3" applyFont="1" applyFill="1" applyBorder="1" applyAlignment="1">
      <alignment horizontal="center" wrapText="1"/>
    </xf>
    <xf numFmtId="9" fontId="5" fillId="8" borderId="4" xfId="3" applyFont="1" applyFill="1" applyBorder="1" applyAlignment="1">
      <alignment horizontal="center"/>
    </xf>
    <xf numFmtId="9" fontId="5" fillId="8" borderId="4" xfId="3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/>
    </xf>
    <xf numFmtId="0" fontId="5" fillId="8" borderId="3" xfId="1" applyNumberFormat="1" applyFont="1" applyFill="1" applyBorder="1" applyAlignment="1">
      <alignment horizontal="center" vertical="center"/>
    </xf>
    <xf numFmtId="3" fontId="5" fillId="8" borderId="3" xfId="0" applyNumberFormat="1" applyFont="1" applyFill="1" applyBorder="1" applyAlignment="1">
      <alignment horizontal="center"/>
    </xf>
    <xf numFmtId="3" fontId="0" fillId="8" borderId="3" xfId="0" applyNumberFormat="1" applyFill="1" applyBorder="1" applyAlignment="1">
      <alignment horizontal="center"/>
    </xf>
    <xf numFmtId="3" fontId="5" fillId="8" borderId="3" xfId="0" applyNumberFormat="1" applyFon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/>
    </xf>
    <xf numFmtId="9" fontId="2" fillId="3" borderId="0" xfId="3" applyFont="1" applyFill="1" applyBorder="1"/>
    <xf numFmtId="0" fontId="0" fillId="0" borderId="6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9" fontId="5" fillId="0" borderId="9" xfId="3" applyFont="1" applyFill="1" applyBorder="1"/>
    <xf numFmtId="0" fontId="25" fillId="18" borderId="8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25" fillId="19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 vertical="center"/>
    </xf>
    <xf numFmtId="1" fontId="0" fillId="10" borderId="32" xfId="0" applyNumberFormat="1" applyFill="1" applyBorder="1"/>
    <xf numFmtId="0" fontId="0" fillId="10" borderId="4" xfId="0" applyFill="1" applyBorder="1" applyAlignment="1">
      <alignment horizontal="center"/>
    </xf>
    <xf numFmtId="0" fontId="25" fillId="19" borderId="19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1" fontId="0" fillId="10" borderId="33" xfId="0" applyNumberFormat="1" applyFill="1" applyBorder="1"/>
    <xf numFmtId="1" fontId="0" fillId="10" borderId="4" xfId="0" applyNumberFormat="1" applyFill="1" applyBorder="1"/>
    <xf numFmtId="42" fontId="5" fillId="10" borderId="4" xfId="0" applyNumberFormat="1" applyFon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166" fontId="0" fillId="10" borderId="4" xfId="0" applyNumberFormat="1" applyFill="1" applyBorder="1" applyAlignment="1">
      <alignment horizontal="center"/>
    </xf>
    <xf numFmtId="44" fontId="0" fillId="10" borderId="33" xfId="2" applyFont="1" applyFill="1" applyBorder="1"/>
    <xf numFmtId="165" fontId="5" fillId="9" borderId="21" xfId="3" applyNumberFormat="1" applyFont="1" applyFill="1" applyBorder="1"/>
    <xf numFmtId="0" fontId="12" fillId="9" borderId="11" xfId="0" applyFont="1" applyFill="1" applyBorder="1" applyAlignment="1">
      <alignment horizontal="right" vertical="center"/>
    </xf>
    <xf numFmtId="0" fontId="5" fillId="9" borderId="4" xfId="0" applyFont="1" applyFill="1" applyBorder="1" applyAlignment="1">
      <alignment horizontal="center" wrapText="1"/>
    </xf>
    <xf numFmtId="0" fontId="5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5" fillId="9" borderId="4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center"/>
    </xf>
    <xf numFmtId="165" fontId="5" fillId="9" borderId="12" xfId="3" applyNumberFormat="1" applyFont="1" applyFill="1" applyBorder="1"/>
    <xf numFmtId="0" fontId="12" fillId="9" borderId="14" xfId="0" applyFont="1" applyFill="1" applyBorder="1" applyAlignment="1">
      <alignment horizontal="right" vertical="center"/>
    </xf>
    <xf numFmtId="0" fontId="5" fillId="9" borderId="20" xfId="0" applyFont="1" applyFill="1" applyBorder="1" applyAlignment="1">
      <alignment horizontal="center" wrapText="1"/>
    </xf>
    <xf numFmtId="0" fontId="5" fillId="9" borderId="20" xfId="0" applyFon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5" fillId="9" borderId="20" xfId="0" applyFont="1" applyFill="1" applyBorder="1" applyAlignment="1">
      <alignment horizontal="center" vertical="center"/>
    </xf>
    <xf numFmtId="0" fontId="0" fillId="9" borderId="34" xfId="0" applyFill="1" applyBorder="1" applyAlignment="1">
      <alignment horizontal="center"/>
    </xf>
    <xf numFmtId="165" fontId="5" fillId="9" borderId="31" xfId="3" applyNumberFormat="1" applyFont="1" applyFill="1" applyBorder="1"/>
    <xf numFmtId="9" fontId="5" fillId="8" borderId="12" xfId="3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9" fontId="2" fillId="8" borderId="31" xfId="3" applyFont="1" applyFill="1" applyBorder="1" applyAlignment="1">
      <alignment horizontal="center" wrapText="1"/>
    </xf>
    <xf numFmtId="1" fontId="2" fillId="3" borderId="10" xfId="0" applyNumberFormat="1" applyFont="1" applyFill="1" applyBorder="1"/>
    <xf numFmtId="9" fontId="2" fillId="8" borderId="8" xfId="3" applyFont="1" applyFill="1" applyBorder="1" applyAlignment="1">
      <alignment horizontal="center" wrapText="1"/>
    </xf>
    <xf numFmtId="0" fontId="5" fillId="8" borderId="16" xfId="0" applyFont="1" applyFill="1" applyBorder="1" applyAlignment="1">
      <alignment horizontal="center" vertical="center"/>
    </xf>
    <xf numFmtId="0" fontId="5" fillId="0" borderId="3" xfId="0" applyFont="1" applyBorder="1"/>
    <xf numFmtId="0" fontId="0" fillId="8" borderId="20" xfId="0" applyFill="1" applyBorder="1"/>
    <xf numFmtId="0" fontId="28" fillId="0" borderId="37" xfId="0" applyFont="1" applyBorder="1" applyAlignment="1">
      <alignment wrapText="1"/>
    </xf>
    <xf numFmtId="0" fontId="0" fillId="8" borderId="8" xfId="0" applyFill="1" applyBorder="1"/>
    <xf numFmtId="0" fontId="5" fillId="7" borderId="4" xfId="0" applyFont="1" applyFill="1" applyBorder="1" applyAlignment="1">
      <alignment horizontal="center" wrapText="1"/>
    </xf>
    <xf numFmtId="167" fontId="0" fillId="0" borderId="3" xfId="0" applyNumberFormat="1" applyBorder="1" applyAlignment="1">
      <alignment horizontal="center"/>
    </xf>
    <xf numFmtId="9" fontId="29" fillId="21" borderId="4" xfId="0" applyNumberFormat="1" applyFont="1" applyFill="1" applyBorder="1" applyAlignment="1">
      <alignment horizontal="center" wrapText="1"/>
    </xf>
    <xf numFmtId="0" fontId="29" fillId="22" borderId="4" xfId="0" applyFont="1" applyFill="1" applyBorder="1" applyAlignment="1">
      <alignment horizontal="center" wrapText="1"/>
    </xf>
    <xf numFmtId="9" fontId="30" fillId="21" borderId="20" xfId="0" applyNumberFormat="1" applyFont="1" applyFill="1" applyBorder="1" applyAlignment="1">
      <alignment horizontal="center" wrapText="1"/>
    </xf>
    <xf numFmtId="0" fontId="30" fillId="22" borderId="4" xfId="0" applyFont="1" applyFill="1" applyBorder="1" applyAlignment="1">
      <alignment horizontal="center" wrapText="1"/>
    </xf>
    <xf numFmtId="0" fontId="29" fillId="21" borderId="4" xfId="0" applyFont="1" applyFill="1" applyBorder="1" applyAlignment="1">
      <alignment horizontal="center" wrapText="1"/>
    </xf>
    <xf numFmtId="9" fontId="30" fillId="21" borderId="30" xfId="0" applyNumberFormat="1" applyFont="1" applyFill="1" applyBorder="1" applyAlignment="1">
      <alignment horizontal="center" wrapText="1"/>
    </xf>
    <xf numFmtId="0" fontId="30" fillId="21" borderId="7" xfId="0" applyFont="1" applyFill="1" applyBorder="1" applyAlignment="1">
      <alignment horizontal="center" wrapText="1"/>
    </xf>
    <xf numFmtId="0" fontId="30" fillId="21" borderId="8" xfId="0" applyFont="1" applyFill="1" applyBorder="1" applyAlignment="1">
      <alignment horizontal="center" wrapText="1"/>
    </xf>
    <xf numFmtId="0" fontId="29" fillId="21" borderId="10" xfId="0" applyFont="1" applyFill="1" applyBorder="1" applyAlignment="1">
      <alignment horizontal="center" wrapText="1"/>
    </xf>
    <xf numFmtId="0" fontId="29" fillId="22" borderId="10" xfId="0" applyFont="1" applyFill="1" applyBorder="1" applyAlignment="1">
      <alignment horizontal="center" wrapText="1"/>
    </xf>
    <xf numFmtId="9" fontId="29" fillId="22" borderId="10" xfId="0" applyNumberFormat="1" applyFont="1" applyFill="1" applyBorder="1" applyAlignment="1">
      <alignment horizontal="center" wrapText="1"/>
    </xf>
    <xf numFmtId="9" fontId="29" fillId="22" borderId="4" xfId="0" applyNumberFormat="1" applyFont="1" applyFill="1" applyBorder="1" applyAlignment="1">
      <alignment horizontal="center" wrapText="1"/>
    </xf>
    <xf numFmtId="0" fontId="29" fillId="22" borderId="2" xfId="0" applyFont="1" applyFill="1" applyBorder="1" applyAlignment="1">
      <alignment horizontal="center" wrapText="1"/>
    </xf>
    <xf numFmtId="0" fontId="29" fillId="22" borderId="3" xfId="0" applyFont="1" applyFill="1" applyBorder="1" applyAlignment="1">
      <alignment horizontal="center" wrapText="1"/>
    </xf>
    <xf numFmtId="0" fontId="29" fillId="21" borderId="2" xfId="0" applyFont="1" applyFill="1" applyBorder="1" applyAlignment="1">
      <alignment horizontal="center" wrapText="1"/>
    </xf>
    <xf numFmtId="0" fontId="29" fillId="21" borderId="3" xfId="0" applyFont="1" applyFill="1" applyBorder="1" applyAlignment="1">
      <alignment horizontal="center" wrapText="1"/>
    </xf>
    <xf numFmtId="0" fontId="29" fillId="0" borderId="8" xfId="0" applyFont="1" applyBorder="1" applyAlignment="1">
      <alignment horizontal="center" wrapText="1"/>
    </xf>
    <xf numFmtId="0" fontId="29" fillId="20" borderId="10" xfId="0" applyFont="1" applyFill="1" applyBorder="1" applyAlignment="1">
      <alignment horizontal="center" wrapText="1"/>
    </xf>
    <xf numFmtId="0" fontId="29" fillId="20" borderId="4" xfId="0" applyFont="1" applyFill="1" applyBorder="1" applyAlignment="1">
      <alignment horizontal="center" wrapText="1"/>
    </xf>
    <xf numFmtId="9" fontId="29" fillId="20" borderId="30" xfId="0" applyNumberFormat="1" applyFont="1" applyFill="1" applyBorder="1" applyAlignment="1">
      <alignment horizontal="center" wrapText="1"/>
    </xf>
    <xf numFmtId="9" fontId="29" fillId="20" borderId="20" xfId="0" applyNumberFormat="1" applyFont="1" applyFill="1" applyBorder="1" applyAlignment="1">
      <alignment horizontal="center" wrapText="1"/>
    </xf>
    <xf numFmtId="0" fontId="29" fillId="23" borderId="7" xfId="0" applyFont="1" applyFill="1" applyBorder="1" applyAlignment="1">
      <alignment horizontal="center" wrapText="1"/>
    </xf>
    <xf numFmtId="0" fontId="29" fillId="23" borderId="8" xfId="0" applyFont="1" applyFill="1" applyBorder="1" applyAlignment="1">
      <alignment horizontal="center" wrapText="1"/>
    </xf>
    <xf numFmtId="0" fontId="29" fillId="23" borderId="10" xfId="0" applyFont="1" applyFill="1" applyBorder="1" applyAlignment="1">
      <alignment horizontal="center" wrapText="1"/>
    </xf>
    <xf numFmtId="0" fontId="29" fillId="23" borderId="4" xfId="0" applyFont="1" applyFill="1" applyBorder="1" applyAlignment="1">
      <alignment horizontal="center" wrapText="1"/>
    </xf>
    <xf numFmtId="0" fontId="29" fillId="23" borderId="22" xfId="0" applyFont="1" applyFill="1" applyBorder="1" applyAlignment="1">
      <alignment horizontal="center" wrapText="1"/>
    </xf>
    <xf numFmtId="0" fontId="29" fillId="23" borderId="20" xfId="0" applyFont="1" applyFill="1" applyBorder="1" applyAlignment="1">
      <alignment horizontal="center" wrapText="1"/>
    </xf>
    <xf numFmtId="0" fontId="5" fillId="24" borderId="8" xfId="0" applyFont="1" applyFill="1" applyBorder="1" applyAlignment="1">
      <alignment horizontal="center" wrapText="1"/>
    </xf>
    <xf numFmtId="0" fontId="5" fillId="24" borderId="4" xfId="0" applyFont="1" applyFill="1" applyBorder="1" applyAlignment="1">
      <alignment horizontal="center" wrapText="1"/>
    </xf>
    <xf numFmtId="0" fontId="29" fillId="24" borderId="4" xfId="0" applyFont="1" applyFill="1" applyBorder="1" applyAlignment="1">
      <alignment horizontal="center" wrapText="1"/>
    </xf>
    <xf numFmtId="6" fontId="29" fillId="24" borderId="4" xfId="0" applyNumberFormat="1" applyFont="1" applyFill="1" applyBorder="1" applyAlignment="1">
      <alignment horizontal="center" wrapText="1"/>
    </xf>
    <xf numFmtId="0" fontId="29" fillId="18" borderId="8" xfId="0" applyFont="1" applyFill="1" applyBorder="1" applyAlignment="1">
      <alignment horizontal="center" wrapText="1"/>
    </xf>
    <xf numFmtId="0" fontId="29" fillId="20" borderId="8" xfId="0" applyFont="1" applyFill="1" applyBorder="1" applyAlignment="1">
      <alignment horizontal="center"/>
    </xf>
    <xf numFmtId="0" fontId="29" fillId="20" borderId="4" xfId="0" applyFont="1" applyFill="1" applyBorder="1" applyAlignment="1">
      <alignment horizontal="center"/>
    </xf>
    <xf numFmtId="0" fontId="31" fillId="25" borderId="4" xfId="0" applyFont="1" applyFill="1" applyBorder="1" applyAlignment="1">
      <alignment horizontal="center" wrapText="1"/>
    </xf>
    <xf numFmtId="0" fontId="29" fillId="25" borderId="4" xfId="0" applyFont="1" applyFill="1" applyBorder="1" applyAlignment="1">
      <alignment horizontal="center" wrapText="1"/>
    </xf>
    <xf numFmtId="9" fontId="30" fillId="26" borderId="8" xfId="0" applyNumberFormat="1" applyFont="1" applyFill="1" applyBorder="1" applyAlignment="1">
      <alignment horizontal="center" wrapText="1"/>
    </xf>
    <xf numFmtId="9" fontId="30" fillId="26" borderId="20" xfId="0" applyNumberFormat="1" applyFont="1" applyFill="1" applyBorder="1" applyAlignment="1">
      <alignment horizontal="center" wrapText="1"/>
    </xf>
    <xf numFmtId="0" fontId="29" fillId="26" borderId="4" xfId="0" applyFont="1" applyFill="1" applyBorder="1" applyAlignment="1">
      <alignment wrapText="1"/>
    </xf>
    <xf numFmtId="0" fontId="29" fillId="26" borderId="4" xfId="0" applyFont="1" applyFill="1" applyBorder="1"/>
    <xf numFmtId="9" fontId="29" fillId="26" borderId="4" xfId="0" applyNumberFormat="1" applyFont="1" applyFill="1" applyBorder="1" applyAlignment="1">
      <alignment wrapText="1"/>
    </xf>
    <xf numFmtId="9" fontId="29" fillId="26" borderId="4" xfId="0" applyNumberFormat="1" applyFont="1" applyFill="1" applyBorder="1"/>
    <xf numFmtId="0" fontId="29" fillId="0" borderId="4" xfId="0" applyFont="1" applyBorder="1"/>
    <xf numFmtId="9" fontId="4" fillId="17" borderId="8" xfId="0" applyNumberFormat="1" applyFont="1" applyFill="1" applyBorder="1" applyAlignment="1">
      <alignment horizontal="center"/>
    </xf>
    <xf numFmtId="9" fontId="4" fillId="17" borderId="20" xfId="0" applyNumberFormat="1" applyFont="1" applyFill="1" applyBorder="1" applyAlignment="1">
      <alignment horizontal="center"/>
    </xf>
    <xf numFmtId="9" fontId="0" fillId="17" borderId="4" xfId="0" applyNumberFormat="1" applyFill="1" applyBorder="1"/>
    <xf numFmtId="0" fontId="29" fillId="27" borderId="8" xfId="0" applyFont="1" applyFill="1" applyBorder="1" applyAlignment="1">
      <alignment horizontal="center" wrapText="1"/>
    </xf>
    <xf numFmtId="0" fontId="5" fillId="14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/>
    </xf>
    <xf numFmtId="0" fontId="5" fillId="14" borderId="8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29" fillId="27" borderId="2" xfId="0" applyFont="1" applyFill="1" applyBorder="1" applyAlignment="1">
      <alignment horizontal="center" wrapText="1"/>
    </xf>
    <xf numFmtId="0" fontId="29" fillId="27" borderId="3" xfId="0" applyFont="1" applyFill="1" applyBorder="1" applyAlignment="1">
      <alignment horizontal="center" wrapText="1"/>
    </xf>
    <xf numFmtId="0" fontId="5" fillId="14" borderId="3" xfId="0" applyFon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5" fillId="14" borderId="3" xfId="0" applyFont="1" applyFill="1" applyBorder="1" applyAlignment="1">
      <alignment horizontal="center" vertical="center"/>
    </xf>
    <xf numFmtId="0" fontId="5" fillId="14" borderId="16" xfId="0" applyFont="1" applyFill="1" applyBorder="1" applyAlignment="1">
      <alignment horizontal="center" vertical="center"/>
    </xf>
    <xf numFmtId="0" fontId="30" fillId="21" borderId="8" xfId="0" applyNumberFormat="1" applyFont="1" applyFill="1" applyBorder="1" applyAlignment="1">
      <alignment horizontal="center" wrapText="1"/>
    </xf>
    <xf numFmtId="0" fontId="2" fillId="8" borderId="8" xfId="3" applyNumberFormat="1" applyFont="1" applyFill="1" applyBorder="1" applyAlignment="1">
      <alignment horizontal="center" wrapText="1"/>
    </xf>
    <xf numFmtId="0" fontId="5" fillId="0" borderId="3" xfId="2" applyNumberFormat="1" applyFont="1" applyFill="1" applyBorder="1" applyAlignment="1">
      <alignment horizontal="center"/>
    </xf>
    <xf numFmtId="0" fontId="0" fillId="0" borderId="35" xfId="2" applyNumberFormat="1" applyFont="1" applyBorder="1"/>
    <xf numFmtId="0" fontId="2" fillId="16" borderId="55" xfId="0" applyFont="1" applyFill="1" applyBorder="1"/>
    <xf numFmtId="0" fontId="0" fillId="6" borderId="4" xfId="0" applyFill="1" applyBorder="1" applyAlignment="1">
      <alignment wrapText="1"/>
    </xf>
    <xf numFmtId="0" fontId="2" fillId="16" borderId="25" xfId="0" applyFont="1" applyFill="1" applyBorder="1"/>
    <xf numFmtId="0" fontId="29" fillId="26" borderId="10" xfId="0" applyFont="1" applyFill="1" applyBorder="1" applyAlignment="1">
      <alignment wrapText="1"/>
    </xf>
    <xf numFmtId="0" fontId="0" fillId="0" borderId="6" xfId="0" applyBorder="1"/>
    <xf numFmtId="0" fontId="0" fillId="0" borderId="11" xfId="0" applyBorder="1"/>
    <xf numFmtId="0" fontId="29" fillId="26" borderId="29" xfId="0" applyFont="1" applyFill="1" applyBorder="1" applyAlignment="1">
      <alignment wrapText="1"/>
    </xf>
    <xf numFmtId="0" fontId="29" fillId="26" borderId="8" xfId="0" applyFont="1" applyFill="1" applyBorder="1" applyAlignment="1">
      <alignment wrapText="1"/>
    </xf>
    <xf numFmtId="0" fontId="29" fillId="26" borderId="8" xfId="0" applyFont="1" applyFill="1" applyBorder="1"/>
    <xf numFmtId="0" fontId="29" fillId="26" borderId="18" xfId="0" applyFont="1" applyFill="1" applyBorder="1" applyAlignment="1">
      <alignment wrapText="1"/>
    </xf>
    <xf numFmtId="0" fontId="29" fillId="26" borderId="30" xfId="0" applyFont="1" applyFill="1" applyBorder="1" applyAlignment="1">
      <alignment wrapText="1"/>
    </xf>
    <xf numFmtId="0" fontId="29" fillId="26" borderId="20" xfId="0" applyFont="1" applyFill="1" applyBorder="1" applyAlignment="1">
      <alignment wrapText="1"/>
    </xf>
    <xf numFmtId="0" fontId="29" fillId="26" borderId="20" xfId="0" applyFont="1" applyFill="1" applyBorder="1"/>
    <xf numFmtId="0" fontId="0" fillId="6" borderId="20" xfId="0" applyFill="1" applyBorder="1" applyAlignment="1">
      <alignment wrapText="1"/>
    </xf>
    <xf numFmtId="0" fontId="5" fillId="29" borderId="4" xfId="0" applyFont="1" applyFill="1" applyBorder="1" applyAlignment="1">
      <alignment horizontal="center"/>
    </xf>
    <xf numFmtId="1" fontId="2" fillId="8" borderId="8" xfId="3" applyNumberFormat="1" applyFont="1" applyFill="1" applyBorder="1" applyAlignment="1">
      <alignment horizontal="center" wrapText="1"/>
    </xf>
    <xf numFmtId="9" fontId="5" fillId="29" borderId="4" xfId="3" applyFont="1" applyFill="1" applyBorder="1" applyAlignment="1">
      <alignment horizontal="center"/>
    </xf>
    <xf numFmtId="0" fontId="5" fillId="29" borderId="3" xfId="0" applyFont="1" applyFill="1" applyBorder="1" applyAlignment="1">
      <alignment horizontal="center"/>
    </xf>
    <xf numFmtId="8" fontId="29" fillId="20" borderId="4" xfId="0" applyNumberFormat="1" applyFont="1" applyFill="1" applyBorder="1" applyAlignment="1">
      <alignment horizontal="center"/>
    </xf>
    <xf numFmtId="0" fontId="5" fillId="20" borderId="4" xfId="0" applyFont="1" applyFill="1" applyBorder="1" applyAlignment="1">
      <alignment horizontal="center"/>
    </xf>
    <xf numFmtId="10" fontId="29" fillId="20" borderId="4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3" borderId="46" xfId="0" applyFont="1" applyFill="1" applyBorder="1"/>
    <xf numFmtId="0" fontId="29" fillId="20" borderId="3" xfId="0" applyFont="1" applyFill="1" applyBorder="1" applyAlignment="1">
      <alignment horizontal="center"/>
    </xf>
    <xf numFmtId="0" fontId="0" fillId="3" borderId="33" xfId="0" applyNumberFormat="1" applyFill="1" applyBorder="1"/>
    <xf numFmtId="0" fontId="5" fillId="3" borderId="30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6" borderId="3" xfId="0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9" fontId="5" fillId="3" borderId="16" xfId="3" applyFont="1" applyFill="1" applyBorder="1"/>
    <xf numFmtId="6" fontId="5" fillId="10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5" fillId="3" borderId="4" xfId="3" applyNumberFormat="1" applyFont="1" applyFill="1" applyBorder="1" applyAlignment="1">
      <alignment horizontal="center"/>
    </xf>
    <xf numFmtId="10" fontId="5" fillId="3" borderId="4" xfId="0" applyNumberFormat="1" applyFont="1" applyFill="1" applyBorder="1" applyAlignment="1">
      <alignment horizontal="center"/>
    </xf>
    <xf numFmtId="169" fontId="5" fillId="3" borderId="4" xfId="2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9" fontId="5" fillId="0" borderId="48" xfId="3" applyFont="1" applyBorder="1" applyAlignment="1">
      <alignment horizontal="center" wrapText="1"/>
    </xf>
    <xf numFmtId="0" fontId="0" fillId="0" borderId="18" xfId="0" applyBorder="1"/>
    <xf numFmtId="169" fontId="0" fillId="3" borderId="33" xfId="0" applyNumberFormat="1" applyFill="1" applyBorder="1"/>
    <xf numFmtId="0" fontId="5" fillId="0" borderId="48" xfId="0" applyFont="1" applyBorder="1" applyAlignment="1">
      <alignment horizontal="center" wrapText="1"/>
    </xf>
    <xf numFmtId="44" fontId="0" fillId="3" borderId="8" xfId="2" applyFont="1" applyFill="1" applyBorder="1"/>
    <xf numFmtId="0" fontId="0" fillId="0" borderId="4" xfId="2" applyNumberFormat="1" applyFont="1" applyBorder="1" applyAlignment="1">
      <alignment horizontal="center"/>
    </xf>
    <xf numFmtId="0" fontId="0" fillId="8" borderId="4" xfId="3" applyNumberFormat="1" applyFont="1" applyFill="1" applyBorder="1"/>
    <xf numFmtId="2" fontId="5" fillId="8" borderId="12" xfId="0" applyNumberFormat="1" applyFont="1" applyFill="1" applyBorder="1"/>
    <xf numFmtId="9" fontId="0" fillId="13" borderId="4" xfId="3" applyFont="1" applyFill="1" applyBorder="1"/>
    <xf numFmtId="0" fontId="0" fillId="3" borderId="18" xfId="0" applyFill="1" applyBorder="1" applyAlignment="1">
      <alignment horizontal="right"/>
    </xf>
    <xf numFmtId="0" fontId="5" fillId="30" borderId="4" xfId="0" applyFont="1" applyFill="1" applyBorder="1" applyAlignment="1">
      <alignment horizontal="center"/>
    </xf>
    <xf numFmtId="9" fontId="5" fillId="30" borderId="4" xfId="3" applyFont="1" applyFill="1" applyBorder="1" applyAlignment="1">
      <alignment horizontal="center"/>
    </xf>
    <xf numFmtId="0" fontId="5" fillId="30" borderId="3" xfId="0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/>
    </xf>
    <xf numFmtId="0" fontId="0" fillId="0" borderId="0" xfId="0"/>
    <xf numFmtId="9" fontId="5" fillId="8" borderId="12" xfId="3" applyFont="1" applyFill="1" applyBorder="1"/>
    <xf numFmtId="0" fontId="0" fillId="8" borderId="4" xfId="0" applyFill="1" applyBorder="1"/>
    <xf numFmtId="0" fontId="29" fillId="0" borderId="4" xfId="0" applyFont="1" applyBorder="1" applyAlignment="1">
      <alignment horizontal="center" wrapText="1"/>
    </xf>
    <xf numFmtId="0" fontId="29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0" fillId="3" borderId="8" xfId="0" applyFill="1" applyBorder="1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9" fontId="0" fillId="3" borderId="8" xfId="3" applyFont="1" applyFill="1" applyBorder="1"/>
    <xf numFmtId="44" fontId="0" fillId="3" borderId="8" xfId="2" applyFont="1" applyFill="1" applyBorder="1"/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20" xfId="0" applyFill="1" applyBorder="1" applyAlignment="1">
      <alignment horizontal="center"/>
    </xf>
    <xf numFmtId="10" fontId="4" fillId="17" borderId="8" xfId="0" applyNumberFormat="1" applyFont="1" applyFill="1" applyBorder="1" applyAlignment="1">
      <alignment horizontal="center"/>
    </xf>
    <xf numFmtId="10" fontId="4" fillId="17" borderId="20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9" fontId="0" fillId="17" borderId="4" xfId="3" applyFont="1" applyFill="1" applyBorder="1" applyAlignment="1">
      <alignment horizontal="center"/>
    </xf>
    <xf numFmtId="9" fontId="0" fillId="6" borderId="4" xfId="3" applyFont="1" applyFill="1" applyBorder="1" applyAlignment="1">
      <alignment horizontal="center"/>
    </xf>
    <xf numFmtId="9" fontId="0" fillId="6" borderId="20" xfId="3" applyFont="1" applyFill="1" applyBorder="1" applyAlignment="1">
      <alignment horizontal="center"/>
    </xf>
    <xf numFmtId="6" fontId="5" fillId="0" borderId="4" xfId="0" applyNumberFormat="1" applyFont="1" applyBorder="1" applyAlignment="1">
      <alignment horizontal="center"/>
    </xf>
    <xf numFmtId="6" fontId="5" fillId="0" borderId="3" xfId="0" applyNumberFormat="1" applyFont="1" applyBorder="1" applyAlignment="1">
      <alignment horizontal="center"/>
    </xf>
    <xf numFmtId="8" fontId="5" fillId="3" borderId="4" xfId="2" applyNumberFormat="1" applyFont="1" applyFill="1" applyBorder="1" applyAlignment="1">
      <alignment horizontal="center"/>
    </xf>
    <xf numFmtId="44" fontId="0" fillId="0" borderId="8" xfId="0" applyNumberFormat="1" applyBorder="1" applyAlignment="1">
      <alignment horizontal="center" wrapText="1"/>
    </xf>
    <xf numFmtId="0" fontId="3" fillId="0" borderId="24" xfId="0" applyFont="1" applyBorder="1" applyAlignment="1">
      <alignment horizontal="center" vertical="center" textRotation="90"/>
    </xf>
    <xf numFmtId="8" fontId="5" fillId="0" borderId="4" xfId="2" applyNumberFormat="1" applyFont="1" applyBorder="1" applyAlignment="1">
      <alignment horizontal="center"/>
    </xf>
    <xf numFmtId="8" fontId="0" fillId="0" borderId="4" xfId="2" applyNumberFormat="1" applyFont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5" fillId="7" borderId="4" xfId="0" applyFont="1" applyFill="1" applyBorder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0" fillId="0" borderId="0" xfId="0" applyBorder="1"/>
    <xf numFmtId="0" fontId="22" fillId="0" borderId="0" xfId="5" applyFill="1"/>
    <xf numFmtId="0" fontId="29" fillId="24" borderId="3" xfId="0" applyFont="1" applyFill="1" applyBorder="1" applyAlignment="1">
      <alignment horizontal="center" wrapText="1"/>
    </xf>
    <xf numFmtId="0" fontId="5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5" fillId="19" borderId="57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 vertical="center"/>
    </xf>
    <xf numFmtId="1" fontId="0" fillId="10" borderId="40" xfId="0" applyNumberFormat="1" applyFill="1" applyBorder="1"/>
    <xf numFmtId="0" fontId="0" fillId="10" borderId="16" xfId="0" applyFill="1" applyBorder="1"/>
    <xf numFmtId="0" fontId="5" fillId="0" borderId="19" xfId="0" applyFont="1" applyBorder="1"/>
    <xf numFmtId="9" fontId="5" fillId="0" borderId="21" xfId="3" applyFont="1" applyBorder="1"/>
    <xf numFmtId="0" fontId="8" fillId="12" borderId="8" xfId="0" applyFont="1" applyFill="1" applyBorder="1" applyAlignment="1">
      <alignment horizontal="right" vertical="center"/>
    </xf>
    <xf numFmtId="0" fontId="0" fillId="12" borderId="20" xfId="0" applyFill="1" applyBorder="1"/>
    <xf numFmtId="9" fontId="5" fillId="12" borderId="31" xfId="3" applyFont="1" applyFill="1" applyBorder="1"/>
    <xf numFmtId="0" fontId="29" fillId="27" borderId="7" xfId="0" applyFont="1" applyFill="1" applyBorder="1" applyAlignment="1">
      <alignment horizontal="center" wrapText="1"/>
    </xf>
    <xf numFmtId="9" fontId="29" fillId="21" borderId="10" xfId="0" applyNumberFormat="1" applyFont="1" applyFill="1" applyBorder="1" applyAlignment="1">
      <alignment horizontal="center" wrapText="1"/>
    </xf>
    <xf numFmtId="9" fontId="30" fillId="21" borderId="22" xfId="0" applyNumberFormat="1" applyFont="1" applyFill="1" applyBorder="1" applyAlignment="1">
      <alignment horizontal="center" wrapText="1"/>
    </xf>
    <xf numFmtId="0" fontId="5" fillId="24" borderId="10" xfId="0" applyFont="1" applyFill="1" applyBorder="1" applyAlignment="1">
      <alignment horizontal="center" wrapText="1"/>
    </xf>
    <xf numFmtId="0" fontId="29" fillId="24" borderId="10" xfId="0" applyFont="1" applyFill="1" applyBorder="1" applyAlignment="1">
      <alignment horizontal="center" wrapText="1"/>
    </xf>
    <xf numFmtId="0" fontId="29" fillId="24" borderId="2" xfId="0" applyFont="1" applyFill="1" applyBorder="1" applyAlignment="1">
      <alignment horizontal="center" wrapText="1"/>
    </xf>
    <xf numFmtId="0" fontId="29" fillId="20" borderId="10" xfId="0" applyFont="1" applyFill="1" applyBorder="1" applyAlignment="1">
      <alignment horizontal="center"/>
    </xf>
    <xf numFmtId="0" fontId="29" fillId="20" borderId="2" xfId="0" applyFont="1" applyFill="1" applyBorder="1" applyAlignment="1">
      <alignment horizontal="center"/>
    </xf>
    <xf numFmtId="0" fontId="8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10" borderId="6" xfId="0" applyFont="1" applyFill="1" applyBorder="1" applyAlignment="1">
      <alignment vertical="center"/>
    </xf>
    <xf numFmtId="0" fontId="8" fillId="10" borderId="11" xfId="0" applyFont="1" applyFill="1" applyBorder="1" applyAlignment="1">
      <alignment vertical="center"/>
    </xf>
    <xf numFmtId="0" fontId="8" fillId="10" borderId="14" xfId="0" applyFont="1" applyFill="1" applyBorder="1" applyAlignment="1">
      <alignment vertical="center"/>
    </xf>
    <xf numFmtId="0" fontId="0" fillId="3" borderId="6" xfId="0" applyFill="1" applyBorder="1"/>
    <xf numFmtId="0" fontId="11" fillId="10" borderId="11" xfId="0" applyFont="1" applyFill="1" applyBorder="1" applyAlignment="1">
      <alignment vertical="center"/>
    </xf>
    <xf numFmtId="0" fontId="11" fillId="10" borderId="11" xfId="0" applyFont="1" applyFill="1" applyBorder="1" applyAlignment="1">
      <alignment horizontal="right" vertical="center"/>
    </xf>
    <xf numFmtId="0" fontId="33" fillId="3" borderId="11" xfId="0" applyFont="1" applyFill="1" applyBorder="1" applyAlignment="1">
      <alignment horizontal="left" vertical="center"/>
    </xf>
    <xf numFmtId="0" fontId="33" fillId="3" borderId="11" xfId="0" applyFont="1" applyFill="1" applyBorder="1" applyAlignment="1">
      <alignment horizontal="right" vertical="center"/>
    </xf>
    <xf numFmtId="0" fontId="0" fillId="3" borderId="35" xfId="0" applyFill="1" applyBorder="1"/>
    <xf numFmtId="165" fontId="5" fillId="3" borderId="21" xfId="3" applyNumberFormat="1" applyFont="1" applyFill="1" applyBorder="1"/>
    <xf numFmtId="0" fontId="29" fillId="0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1" fontId="5" fillId="0" borderId="4" xfId="0" applyNumberFormat="1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/>
    <xf numFmtId="0" fontId="0" fillId="16" borderId="3" xfId="0" applyFill="1" applyBorder="1"/>
    <xf numFmtId="0" fontId="5" fillId="16" borderId="3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7" borderId="8" xfId="0" applyFill="1" applyBorder="1"/>
    <xf numFmtId="165" fontId="5" fillId="0" borderId="12" xfId="3" applyNumberFormat="1" applyFont="1" applyFill="1" applyBorder="1"/>
    <xf numFmtId="0" fontId="17" fillId="7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 vertical="center"/>
    </xf>
    <xf numFmtId="0" fontId="17" fillId="7" borderId="4" xfId="0" applyFont="1" applyFill="1" applyBorder="1"/>
    <xf numFmtId="9" fontId="17" fillId="7" borderId="12" xfId="3" applyFont="1" applyFill="1" applyBorder="1"/>
    <xf numFmtId="0" fontId="17" fillId="15" borderId="0" xfId="5" applyFont="1"/>
    <xf numFmtId="0" fontId="17" fillId="20" borderId="2" xfId="0" applyFont="1" applyFill="1" applyBorder="1" applyAlignment="1">
      <alignment horizontal="center" wrapText="1"/>
    </xf>
    <xf numFmtId="0" fontId="17" fillId="20" borderId="3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vertical="center"/>
    </xf>
    <xf numFmtId="0" fontId="17" fillId="3" borderId="40" xfId="0" applyFont="1" applyFill="1" applyBorder="1"/>
    <xf numFmtId="165" fontId="17" fillId="3" borderId="12" xfId="3" applyNumberFormat="1" applyFont="1" applyFill="1" applyBorder="1"/>
    <xf numFmtId="0" fontId="17" fillId="0" borderId="20" xfId="0" applyFont="1" applyFill="1" applyBorder="1" applyAlignment="1">
      <alignment wrapText="1"/>
    </xf>
    <xf numFmtId="0" fontId="17" fillId="0" borderId="20" xfId="0" applyFont="1" applyFill="1" applyBorder="1"/>
    <xf numFmtId="0" fontId="17" fillId="0" borderId="20" xfId="0" applyFont="1" applyFill="1" applyBorder="1" applyAlignment="1">
      <alignment horizontal="center"/>
    </xf>
    <xf numFmtId="0" fontId="17" fillId="0" borderId="31" xfId="0" applyFont="1" applyFill="1" applyBorder="1"/>
    <xf numFmtId="0" fontId="17" fillId="9" borderId="3" xfId="0" applyFont="1" applyFill="1" applyBorder="1" applyAlignment="1">
      <alignment horizontal="center" vertical="center"/>
    </xf>
    <xf numFmtId="0" fontId="17" fillId="24" borderId="10" xfId="0" applyFont="1" applyFill="1" applyBorder="1" applyAlignment="1">
      <alignment horizontal="center" wrapText="1"/>
    </xf>
    <xf numFmtId="0" fontId="17" fillId="24" borderId="4" xfId="0" applyFont="1" applyFill="1" applyBorder="1" applyAlignment="1">
      <alignment horizontal="center" wrapText="1"/>
    </xf>
    <xf numFmtId="0" fontId="17" fillId="10" borderId="4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vertical="center"/>
    </xf>
    <xf numFmtId="1" fontId="17" fillId="10" borderId="33" xfId="0" applyNumberFormat="1" applyFont="1" applyFill="1" applyBorder="1"/>
    <xf numFmtId="0" fontId="17" fillId="10" borderId="12" xfId="0" applyFont="1" applyFill="1" applyBorder="1"/>
    <xf numFmtId="9" fontId="29" fillId="0" borderId="4" xfId="0" applyNumberFormat="1" applyFont="1" applyBorder="1" applyAlignment="1">
      <alignment horizontal="center" wrapText="1"/>
    </xf>
    <xf numFmtId="0" fontId="30" fillId="26" borderId="8" xfId="0" applyFont="1" applyFill="1" applyBorder="1" applyAlignment="1">
      <alignment wrapText="1"/>
    </xf>
    <xf numFmtId="0" fontId="30" fillId="26" borderId="8" xfId="0" applyFont="1" applyFill="1" applyBorder="1"/>
    <xf numFmtId="0" fontId="2" fillId="17" borderId="8" xfId="0" applyFont="1" applyFill="1" applyBorder="1"/>
    <xf numFmtId="0" fontId="2" fillId="17" borderId="8" xfId="0" applyFont="1" applyFill="1" applyBorder="1" applyAlignment="1">
      <alignment horizontal="center"/>
    </xf>
    <xf numFmtId="0" fontId="2" fillId="16" borderId="8" xfId="0" applyFont="1" applyFill="1" applyBorder="1"/>
    <xf numFmtId="0" fontId="2" fillId="16" borderId="9" xfId="0" applyFont="1" applyFill="1" applyBorder="1"/>
    <xf numFmtId="9" fontId="30" fillId="26" borderId="8" xfId="0" applyNumberFormat="1" applyFont="1" applyFill="1" applyBorder="1" applyAlignment="1">
      <alignment wrapText="1"/>
    </xf>
    <xf numFmtId="9" fontId="30" fillId="26" borderId="8" xfId="0" applyNumberFormat="1" applyFont="1" applyFill="1" applyBorder="1"/>
    <xf numFmtId="9" fontId="2" fillId="17" borderId="8" xfId="0" applyNumberFormat="1" applyFont="1" applyFill="1" applyBorder="1"/>
    <xf numFmtId="9" fontId="2" fillId="17" borderId="8" xfId="3" applyFont="1" applyFill="1" applyBorder="1" applyAlignment="1">
      <alignment horizontal="center"/>
    </xf>
    <xf numFmtId="0" fontId="29" fillId="0" borderId="7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29" fillId="0" borderId="10" xfId="0" applyFont="1" applyFill="1" applyBorder="1" applyAlignment="1">
      <alignment horizontal="center" wrapText="1"/>
    </xf>
    <xf numFmtId="0" fontId="17" fillId="0" borderId="22" xfId="0" applyFont="1" applyFill="1" applyBorder="1" applyAlignment="1">
      <alignment wrapText="1"/>
    </xf>
    <xf numFmtId="0" fontId="29" fillId="26" borderId="22" xfId="0" applyFont="1" applyFill="1" applyBorder="1" applyAlignment="1">
      <alignment wrapText="1"/>
    </xf>
    <xf numFmtId="9" fontId="30" fillId="26" borderId="7" xfId="0" applyNumberFormat="1" applyFont="1" applyFill="1" applyBorder="1" applyAlignment="1">
      <alignment wrapText="1"/>
    </xf>
    <xf numFmtId="9" fontId="29" fillId="26" borderId="10" xfId="0" applyNumberFormat="1" applyFont="1" applyFill="1" applyBorder="1" applyAlignment="1">
      <alignment wrapText="1"/>
    </xf>
    <xf numFmtId="9" fontId="29" fillId="28" borderId="10" xfId="0" applyNumberFormat="1" applyFont="1" applyFill="1" applyBorder="1" applyAlignment="1">
      <alignment wrapText="1"/>
    </xf>
    <xf numFmtId="9" fontId="29" fillId="28" borderId="22" xfId="0" applyNumberFormat="1" applyFont="1" applyFill="1" applyBorder="1" applyAlignment="1">
      <alignment wrapText="1"/>
    </xf>
    <xf numFmtId="0" fontId="8" fillId="7" borderId="14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0" fontId="17" fillId="0" borderId="14" xfId="0" applyFont="1" applyBorder="1"/>
    <xf numFmtId="0" fontId="12" fillId="9" borderId="11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5" fillId="3" borderId="14" xfId="0" applyFont="1" applyFill="1" applyBorder="1" applyAlignment="1">
      <alignment wrapText="1"/>
    </xf>
    <xf numFmtId="0" fontId="2" fillId="16" borderId="6" xfId="0" applyFont="1" applyFill="1" applyBorder="1"/>
    <xf numFmtId="0" fontId="29" fillId="20" borderId="18" xfId="0" applyFont="1" applyFill="1" applyBorder="1" applyAlignment="1">
      <alignment horizontal="center" wrapText="1"/>
    </xf>
    <xf numFmtId="0" fontId="29" fillId="18" borderId="20" xfId="0" applyFont="1" applyFill="1" applyBorder="1" applyAlignment="1">
      <alignment horizontal="center" wrapText="1"/>
    </xf>
    <xf numFmtId="0" fontId="29" fillId="20" borderId="29" xfId="0" applyFont="1" applyFill="1" applyBorder="1" applyAlignment="1">
      <alignment horizontal="center" wrapText="1"/>
    </xf>
    <xf numFmtId="0" fontId="29" fillId="20" borderId="7" xfId="0" applyFont="1" applyFill="1" applyBorder="1" applyAlignment="1">
      <alignment horizontal="center" wrapText="1"/>
    </xf>
    <xf numFmtId="0" fontId="29" fillId="20" borderId="8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1" fontId="5" fillId="3" borderId="8" xfId="0" applyNumberFormat="1" applyFont="1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19" xfId="0" applyFont="1" applyFill="1" applyBorder="1" applyAlignment="1">
      <alignment horizontal="center"/>
    </xf>
    <xf numFmtId="0" fontId="5" fillId="9" borderId="19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/>
    </xf>
    <xf numFmtId="0" fontId="0" fillId="9" borderId="35" xfId="0" applyFill="1" applyBorder="1"/>
    <xf numFmtId="0" fontId="33" fillId="9" borderId="37" xfId="0" applyFont="1" applyFill="1" applyBorder="1" applyAlignment="1">
      <alignment horizontal="left" vertical="center"/>
    </xf>
    <xf numFmtId="0" fontId="17" fillId="9" borderId="4" xfId="0" applyFont="1" applyFill="1" applyBorder="1"/>
    <xf numFmtId="0" fontId="11" fillId="10" borderId="37" xfId="0" applyFont="1" applyFill="1" applyBorder="1" applyAlignment="1">
      <alignment vertical="center"/>
    </xf>
    <xf numFmtId="0" fontId="17" fillId="10" borderId="4" xfId="0" applyFont="1" applyFill="1" applyBorder="1"/>
    <xf numFmtId="0" fontId="17" fillId="31" borderId="10" xfId="0" applyFont="1" applyFill="1" applyBorder="1" applyAlignment="1">
      <alignment horizontal="center" wrapText="1"/>
    </xf>
    <xf numFmtId="44" fontId="5" fillId="0" borderId="19" xfId="2" applyFont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5" fontId="5" fillId="0" borderId="4" xfId="2" applyNumberFormat="1" applyFont="1" applyBorder="1" applyAlignment="1">
      <alignment horizontal="center"/>
    </xf>
    <xf numFmtId="0" fontId="8" fillId="12" borderId="60" xfId="0" applyFont="1" applyFill="1" applyBorder="1" applyAlignment="1">
      <alignment vertical="center"/>
    </xf>
    <xf numFmtId="0" fontId="8" fillId="12" borderId="62" xfId="0" applyFont="1" applyFill="1" applyBorder="1" applyAlignment="1">
      <alignment vertical="center"/>
    </xf>
    <xf numFmtId="0" fontId="29" fillId="20" borderId="29" xfId="0" applyFont="1" applyFill="1" applyBorder="1" applyAlignment="1">
      <alignment horizontal="center"/>
    </xf>
    <xf numFmtId="0" fontId="29" fillId="20" borderId="18" xfId="0" applyFont="1" applyFill="1" applyBorder="1" applyAlignment="1">
      <alignment horizontal="center"/>
    </xf>
    <xf numFmtId="8" fontId="29" fillId="20" borderId="18" xfId="0" applyNumberFormat="1" applyFont="1" applyFill="1" applyBorder="1" applyAlignment="1">
      <alignment horizontal="center"/>
    </xf>
    <xf numFmtId="10" fontId="29" fillId="20" borderId="18" xfId="0" applyNumberFormat="1" applyFont="1" applyFill="1" applyBorder="1" applyAlignment="1">
      <alignment horizontal="center"/>
    </xf>
    <xf numFmtId="0" fontId="29" fillId="20" borderId="25" xfId="0" applyFont="1" applyFill="1" applyBorder="1" applyAlignment="1">
      <alignment horizontal="center" wrapText="1"/>
    </xf>
    <xf numFmtId="0" fontId="0" fillId="3" borderId="53" xfId="0" applyFill="1" applyBorder="1"/>
    <xf numFmtId="0" fontId="29" fillId="20" borderId="53" xfId="0" applyFont="1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5" fillId="0" borderId="29" xfId="0" applyFont="1" applyBorder="1" applyAlignment="1">
      <alignment horizontal="center" wrapText="1"/>
    </xf>
    <xf numFmtId="0" fontId="5" fillId="0" borderId="8" xfId="0" applyFont="1" applyBorder="1" applyAlignment="1">
      <alignment horizontal="right"/>
    </xf>
    <xf numFmtId="0" fontId="5" fillId="0" borderId="18" xfId="0" applyFont="1" applyBorder="1" applyAlignment="1">
      <alignment horizontal="center" wrapText="1"/>
    </xf>
    <xf numFmtId="0" fontId="5" fillId="0" borderId="4" xfId="0" applyFont="1" applyBorder="1" applyAlignment="1">
      <alignment horizontal="right"/>
    </xf>
    <xf numFmtId="0" fontId="5" fillId="0" borderId="30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29" fillId="0" borderId="58" xfId="0" applyFont="1" applyBorder="1" applyAlignment="1">
      <alignment horizontal="center" wrapText="1"/>
    </xf>
    <xf numFmtId="0" fontId="29" fillId="0" borderId="19" xfId="0" applyFont="1" applyBorder="1" applyAlignment="1">
      <alignment horizontal="center" wrapText="1"/>
    </xf>
    <xf numFmtId="0" fontId="29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29" fillId="0" borderId="18" xfId="0" applyFont="1" applyBorder="1" applyAlignment="1">
      <alignment horizontal="center" wrapText="1"/>
    </xf>
    <xf numFmtId="0" fontId="29" fillId="0" borderId="46" xfId="0" applyFont="1" applyBorder="1" applyAlignment="1">
      <alignment horizontal="center" wrapText="1"/>
    </xf>
    <xf numFmtId="0" fontId="29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right"/>
    </xf>
    <xf numFmtId="9" fontId="4" fillId="0" borderId="4" xfId="3" applyFont="1" applyFill="1" applyBorder="1" applyAlignment="1">
      <alignment horizontal="right"/>
    </xf>
    <xf numFmtId="0" fontId="29" fillId="0" borderId="18" xfId="0" applyFont="1" applyBorder="1"/>
    <xf numFmtId="0" fontId="29" fillId="0" borderId="30" xfId="0" applyFont="1" applyBorder="1"/>
    <xf numFmtId="0" fontId="29" fillId="0" borderId="20" xfId="0" applyFont="1" applyBorder="1"/>
    <xf numFmtId="0" fontId="0" fillId="0" borderId="13" xfId="0" applyBorder="1" applyAlignment="1">
      <alignment horizontal="right" wrapText="1"/>
    </xf>
    <xf numFmtId="0" fontId="29" fillId="0" borderId="3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0" fillId="8" borderId="3" xfId="0" applyFill="1" applyBorder="1"/>
    <xf numFmtId="9" fontId="5" fillId="8" borderId="16" xfId="3" applyFont="1" applyFill="1" applyBorder="1"/>
    <xf numFmtId="9" fontId="5" fillId="0" borderId="29" xfId="0" applyNumberFormat="1" applyFont="1" applyBorder="1" applyAlignment="1">
      <alignment horizontal="center" wrapText="1"/>
    </xf>
    <xf numFmtId="9" fontId="5" fillId="0" borderId="8" xfId="0" applyNumberFormat="1" applyFont="1" applyBorder="1" applyAlignment="1">
      <alignment horizontal="center" wrapText="1"/>
    </xf>
    <xf numFmtId="9" fontId="5" fillId="0" borderId="8" xfId="0" applyNumberFormat="1" applyFont="1" applyBorder="1" applyAlignment="1">
      <alignment horizontal="center"/>
    </xf>
    <xf numFmtId="9" fontId="5" fillId="0" borderId="8" xfId="3" applyFont="1" applyFill="1" applyBorder="1" applyAlignment="1">
      <alignment horizontal="center"/>
    </xf>
    <xf numFmtId="9" fontId="5" fillId="0" borderId="8" xfId="0" applyNumberFormat="1" applyFont="1" applyBorder="1" applyAlignment="1">
      <alignment horizontal="right"/>
    </xf>
    <xf numFmtId="0" fontId="29" fillId="0" borderId="29" xfId="0" applyFont="1" applyBorder="1" applyAlignment="1">
      <alignment horizontal="center" wrapText="1"/>
    </xf>
    <xf numFmtId="0" fontId="5" fillId="8" borderId="38" xfId="0" applyFont="1" applyFill="1" applyBorder="1" applyAlignment="1">
      <alignment wrapText="1"/>
    </xf>
    <xf numFmtId="0" fontId="28" fillId="0" borderId="37" xfId="0" applyFont="1" applyBorder="1"/>
    <xf numFmtId="9" fontId="5" fillId="8" borderId="9" xfId="0" applyNumberFormat="1" applyFont="1" applyFill="1" applyBorder="1"/>
    <xf numFmtId="2" fontId="5" fillId="8" borderId="12" xfId="3" applyNumberFormat="1" applyFont="1" applyFill="1" applyBorder="1"/>
    <xf numFmtId="9" fontId="29" fillId="0" borderId="18" xfId="0" applyNumberFormat="1" applyFont="1" applyBorder="1" applyAlignment="1">
      <alignment horizontal="center" wrapText="1"/>
    </xf>
    <xf numFmtId="0" fontId="2" fillId="16" borderId="38" xfId="0" applyFont="1" applyFill="1" applyBorder="1"/>
    <xf numFmtId="0" fontId="2" fillId="16" borderId="4" xfId="0" applyFont="1" applyFill="1" applyBorder="1"/>
    <xf numFmtId="0" fontId="2" fillId="0" borderId="0" xfId="0" applyFont="1" applyBorder="1"/>
    <xf numFmtId="0" fontId="0" fillId="0" borderId="39" xfId="0" applyBorder="1" applyAlignment="1">
      <alignment wrapText="1"/>
    </xf>
    <xf numFmtId="0" fontId="2" fillId="16" borderId="36" xfId="0" applyFont="1" applyFill="1" applyBorder="1"/>
    <xf numFmtId="0" fontId="30" fillId="26" borderId="19" xfId="0" applyFont="1" applyFill="1" applyBorder="1" applyAlignment="1">
      <alignment wrapText="1"/>
    </xf>
    <xf numFmtId="0" fontId="30" fillId="26" borderId="19" xfId="0" applyFont="1" applyFill="1" applyBorder="1"/>
    <xf numFmtId="0" fontId="2" fillId="17" borderId="19" xfId="0" applyFont="1" applyFill="1" applyBorder="1"/>
    <xf numFmtId="0" fontId="2" fillId="17" borderId="19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9" fontId="4" fillId="0" borderId="20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30" fillId="26" borderId="29" xfId="0" applyFont="1" applyFill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16" borderId="12" xfId="0" applyFont="1" applyFill="1" applyBorder="1"/>
    <xf numFmtId="0" fontId="0" fillId="6" borderId="46" xfId="0" applyFill="1" applyBorder="1" applyAlignment="1">
      <alignment wrapText="1"/>
    </xf>
    <xf numFmtId="0" fontId="0" fillId="0" borderId="16" xfId="0" applyBorder="1"/>
    <xf numFmtId="0" fontId="30" fillId="26" borderId="59" xfId="0" applyFont="1" applyFill="1" applyBorder="1" applyAlignment="1">
      <alignment wrapText="1"/>
    </xf>
    <xf numFmtId="0" fontId="5" fillId="7" borderId="3" xfId="0" applyFont="1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29" fillId="25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/>
    </xf>
    <xf numFmtId="0" fontId="0" fillId="0" borderId="45" xfId="0" applyBorder="1"/>
    <xf numFmtId="0" fontId="0" fillId="0" borderId="41" xfId="0" applyBorder="1"/>
    <xf numFmtId="0" fontId="0" fillId="8" borderId="44" xfId="0" applyFill="1" applyBorder="1"/>
    <xf numFmtId="0" fontId="5" fillId="0" borderId="4" xfId="0" applyFont="1" applyBorder="1" applyAlignment="1">
      <alignment horizontal="center" vertical="center"/>
    </xf>
    <xf numFmtId="0" fontId="0" fillId="0" borderId="8" xfId="0" applyFill="1" applyBorder="1"/>
    <xf numFmtId="44" fontId="0" fillId="0" borderId="20" xfId="2" applyFont="1" applyBorder="1" applyAlignment="1">
      <alignment horizontal="center"/>
    </xf>
    <xf numFmtId="8" fontId="0" fillId="0" borderId="20" xfId="2" applyNumberFormat="1" applyFont="1" applyBorder="1" applyAlignment="1">
      <alignment horizontal="center"/>
    </xf>
    <xf numFmtId="2" fontId="0" fillId="3" borderId="8" xfId="0" applyNumberFormat="1" applyFill="1" applyBorder="1"/>
    <xf numFmtId="0" fontId="28" fillId="0" borderId="38" xfId="0" applyFont="1" applyBorder="1" applyAlignment="1">
      <alignment horizontal="right" wrapText="1"/>
    </xf>
    <xf numFmtId="0" fontId="28" fillId="0" borderId="37" xfId="0" applyFont="1" applyBorder="1" applyAlignment="1">
      <alignment horizontal="right" wrapText="1"/>
    </xf>
    <xf numFmtId="0" fontId="28" fillId="0" borderId="39" xfId="0" applyFont="1" applyBorder="1" applyAlignment="1">
      <alignment wrapText="1"/>
    </xf>
    <xf numFmtId="0" fontId="0" fillId="0" borderId="19" xfId="0" applyBorder="1" applyAlignment="1">
      <alignment horizontal="center"/>
    </xf>
    <xf numFmtId="0" fontId="0" fillId="8" borderId="19" xfId="0" applyFill="1" applyBorder="1"/>
    <xf numFmtId="9" fontId="5" fillId="8" borderId="21" xfId="3" applyFont="1" applyFill="1" applyBorder="1"/>
    <xf numFmtId="1" fontId="5" fillId="0" borderId="9" xfId="3" applyNumberFormat="1" applyFont="1" applyFill="1" applyBorder="1"/>
    <xf numFmtId="1" fontId="5" fillId="8" borderId="31" xfId="3" applyNumberFormat="1" applyFont="1" applyFill="1" applyBorder="1"/>
    <xf numFmtId="0" fontId="29" fillId="20" borderId="7" xfId="0" applyFont="1" applyFill="1" applyBorder="1" applyAlignment="1">
      <alignment horizontal="center" vertical="center"/>
    </xf>
    <xf numFmtId="0" fontId="29" fillId="20" borderId="8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5" fillId="0" borderId="12" xfId="0" applyFont="1" applyBorder="1" applyAlignment="1">
      <alignment horizontal="center"/>
    </xf>
    <xf numFmtId="8" fontId="29" fillId="0" borderId="30" xfId="0" applyNumberFormat="1" applyFont="1" applyBorder="1" applyAlignment="1">
      <alignment horizontal="center"/>
    </xf>
    <xf numFmtId="8" fontId="29" fillId="0" borderId="20" xfId="0" applyNumberFormat="1" applyFont="1" applyBorder="1" applyAlignment="1">
      <alignment horizontal="center"/>
    </xf>
    <xf numFmtId="44" fontId="0" fillId="0" borderId="34" xfId="2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8" fillId="7" borderId="15" xfId="0" applyFont="1" applyFill="1" applyBorder="1" applyAlignment="1">
      <alignment vertical="center"/>
    </xf>
    <xf numFmtId="0" fontId="5" fillId="7" borderId="19" xfId="0" applyFont="1" applyFill="1" applyBorder="1" applyAlignment="1">
      <alignment horizontal="center" wrapText="1"/>
    </xf>
    <xf numFmtId="0" fontId="31" fillId="25" borderId="19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/>
    </xf>
    <xf numFmtId="0" fontId="5" fillId="7" borderId="19" xfId="0" applyFont="1" applyFill="1" applyBorder="1"/>
    <xf numFmtId="9" fontId="5" fillId="7" borderId="21" xfId="3" applyFont="1" applyFill="1" applyBorder="1"/>
    <xf numFmtId="1" fontId="2" fillId="3" borderId="43" xfId="0" applyNumberFormat="1" applyFont="1" applyFill="1" applyBorder="1"/>
    <xf numFmtId="0" fontId="29" fillId="21" borderId="22" xfId="0" applyFont="1" applyFill="1" applyBorder="1" applyAlignment="1">
      <alignment horizontal="center" wrapText="1"/>
    </xf>
    <xf numFmtId="0" fontId="29" fillId="21" borderId="20" xfId="0" applyFont="1" applyFill="1" applyBorder="1" applyAlignment="1">
      <alignment horizontal="center" wrapText="1"/>
    </xf>
    <xf numFmtId="3" fontId="5" fillId="8" borderId="20" xfId="0" applyNumberFormat="1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3" fontId="0" fillId="8" borderId="20" xfId="0" applyNumberFormat="1" applyFill="1" applyBorder="1" applyAlignment="1">
      <alignment horizontal="center"/>
    </xf>
    <xf numFmtId="0" fontId="5" fillId="8" borderId="20" xfId="0" applyFont="1" applyFill="1" applyBorder="1" applyAlignment="1">
      <alignment horizontal="center" vertical="center"/>
    </xf>
    <xf numFmtId="0" fontId="0" fillId="8" borderId="31" xfId="0" applyFill="1" applyBorder="1" applyAlignment="1">
      <alignment horizontal="center"/>
    </xf>
    <xf numFmtId="0" fontId="0" fillId="3" borderId="31" xfId="0" applyFill="1" applyBorder="1"/>
    <xf numFmtId="0" fontId="5" fillId="30" borderId="4" xfId="0" applyFont="1" applyFill="1" applyBorder="1" applyAlignment="1">
      <alignment horizontal="center" vertical="center"/>
    </xf>
    <xf numFmtId="9" fontId="2" fillId="8" borderId="20" xfId="3" applyFont="1" applyFill="1" applyBorder="1" applyAlignment="1">
      <alignment horizontal="center" vertical="center" wrapText="1"/>
    </xf>
    <xf numFmtId="9" fontId="2" fillId="8" borderId="8" xfId="3" applyFont="1" applyFill="1" applyBorder="1" applyAlignment="1">
      <alignment horizontal="center" vertical="center" wrapText="1"/>
    </xf>
    <xf numFmtId="9" fontId="5" fillId="30" borderId="4" xfId="3" applyFont="1" applyFill="1" applyBorder="1" applyAlignment="1">
      <alignment horizontal="center" vertical="center"/>
    </xf>
    <xf numFmtId="0" fontId="5" fillId="30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32" borderId="20" xfId="0" applyFill="1" applyBorder="1" applyAlignment="1">
      <alignment horizontal="center" vertical="center"/>
    </xf>
    <xf numFmtId="1" fontId="5" fillId="3" borderId="8" xfId="0" applyNumberFormat="1" applyFont="1" applyFill="1" applyBorder="1" applyAlignment="1">
      <alignment horizontal="center" vertical="center"/>
    </xf>
    <xf numFmtId="0" fontId="0" fillId="32" borderId="4" xfId="0" applyFill="1" applyBorder="1" applyAlignment="1">
      <alignment horizontal="center" vertical="center"/>
    </xf>
    <xf numFmtId="9" fontId="5" fillId="3" borderId="20" xfId="0" applyNumberFormat="1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5" fillId="9" borderId="20" xfId="4" applyFont="1" applyFill="1" applyBorder="1" applyAlignment="1">
      <alignment horizontal="center" vertical="center"/>
    </xf>
    <xf numFmtId="0" fontId="17" fillId="24" borderId="10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42" fontId="5" fillId="10" borderId="4" xfId="0" applyNumberFormat="1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44" fontId="5" fillId="0" borderId="19" xfId="2" applyFont="1" applyBorder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6" fontId="5" fillId="20" borderId="4" xfId="0" applyNumberFormat="1" applyFont="1" applyFill="1" applyBorder="1" applyAlignment="1">
      <alignment horizontal="center" vertical="center"/>
    </xf>
    <xf numFmtId="8" fontId="5" fillId="20" borderId="4" xfId="0" applyNumberFormat="1" applyFont="1" applyFill="1" applyBorder="1" applyAlignment="1">
      <alignment horizontal="center" vertical="center"/>
    </xf>
    <xf numFmtId="10" fontId="5" fillId="20" borderId="4" xfId="0" applyNumberFormat="1" applyFont="1" applyFill="1" applyBorder="1" applyAlignment="1">
      <alignment horizontal="center" vertical="center"/>
    </xf>
    <xf numFmtId="0" fontId="29" fillId="20" borderId="4" xfId="0" applyFont="1" applyFill="1" applyBorder="1" applyAlignment="1">
      <alignment horizontal="center" vertical="center"/>
    </xf>
    <xf numFmtId="0" fontId="29" fillId="20" borderId="4" xfId="0" applyFont="1" applyFill="1" applyBorder="1" applyAlignment="1">
      <alignment horizontal="center" vertical="center" wrapText="1"/>
    </xf>
    <xf numFmtId="44" fontId="0" fillId="0" borderId="20" xfId="2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9" fontId="5" fillId="0" borderId="8" xfId="3" applyFont="1" applyFill="1" applyBorder="1" applyAlignment="1">
      <alignment horizontal="center" vertical="center"/>
    </xf>
    <xf numFmtId="9" fontId="5" fillId="0" borderId="4" xfId="3" applyFont="1" applyFill="1" applyBorder="1" applyAlignment="1">
      <alignment horizontal="center" vertical="center"/>
    </xf>
    <xf numFmtId="10" fontId="4" fillId="6" borderId="8" xfId="0" applyNumberFormat="1" applyFont="1" applyFill="1" applyBorder="1" applyAlignment="1">
      <alignment horizontal="center" vertical="center"/>
    </xf>
    <xf numFmtId="10" fontId="4" fillId="6" borderId="20" xfId="0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9" fontId="2" fillId="6" borderId="8" xfId="3" applyFont="1" applyFill="1" applyBorder="1" applyAlignment="1">
      <alignment horizontal="center" vertical="center"/>
    </xf>
    <xf numFmtId="9" fontId="0" fillId="6" borderId="4" xfId="3" applyFont="1" applyFill="1" applyBorder="1" applyAlignment="1">
      <alignment horizontal="center" vertical="center"/>
    </xf>
    <xf numFmtId="9" fontId="0" fillId="6" borderId="20" xfId="3" applyFont="1" applyFill="1" applyBorder="1" applyAlignment="1">
      <alignment horizontal="center" vertical="center"/>
    </xf>
    <xf numFmtId="0" fontId="0" fillId="0" borderId="0" xfId="0" applyFont="1"/>
    <xf numFmtId="0" fontId="8" fillId="7" borderId="0" xfId="0" applyFont="1" applyFill="1" applyBorder="1" applyAlignment="1">
      <alignment vertical="center"/>
    </xf>
    <xf numFmtId="0" fontId="0" fillId="0" borderId="0" xfId="0" applyFill="1" applyBorder="1"/>
    <xf numFmtId="0" fontId="2" fillId="3" borderId="11" xfId="0" applyFont="1" applyFill="1" applyBorder="1" applyAlignment="1">
      <alignment horizontal="left"/>
    </xf>
    <xf numFmtId="0" fontId="5" fillId="0" borderId="0" xfId="0" applyFont="1"/>
    <xf numFmtId="0" fontId="5" fillId="0" borderId="14" xfId="0" applyFont="1" applyBorder="1"/>
    <xf numFmtId="0" fontId="25" fillId="3" borderId="11" xfId="0" applyFont="1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 vertical="center"/>
    </xf>
    <xf numFmtId="0" fontId="25" fillId="9" borderId="37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30" borderId="4" xfId="0" applyFill="1" applyBorder="1" applyAlignment="1">
      <alignment horizontal="center"/>
    </xf>
    <xf numFmtId="9" fontId="0" fillId="30" borderId="4" xfId="3" applyFont="1" applyFill="1" applyBorder="1" applyAlignment="1">
      <alignment horizontal="center"/>
    </xf>
    <xf numFmtId="0" fontId="0" fillId="30" borderId="3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32" borderId="20" xfId="0" applyFill="1" applyBorder="1"/>
    <xf numFmtId="1" fontId="0" fillId="3" borderId="3" xfId="0" applyNumberFormat="1" applyFill="1" applyBorder="1" applyAlignment="1">
      <alignment horizontal="center"/>
    </xf>
    <xf numFmtId="9" fontId="0" fillId="3" borderId="20" xfId="3" applyFont="1" applyFill="1" applyBorder="1" applyAlignment="1">
      <alignment horizontal="center"/>
    </xf>
    <xf numFmtId="0" fontId="0" fillId="32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33" borderId="4" xfId="0" applyFill="1" applyBorder="1" applyAlignment="1">
      <alignment horizontal="center" wrapText="1"/>
    </xf>
    <xf numFmtId="0" fontId="0" fillId="33" borderId="10" xfId="0" applyFill="1" applyBorder="1" applyAlignment="1">
      <alignment horizontal="center" wrapText="1"/>
    </xf>
    <xf numFmtId="0" fontId="29" fillId="20" borderId="8" xfId="0" applyFont="1" applyFill="1" applyBorder="1"/>
    <xf numFmtId="10" fontId="2" fillId="17" borderId="8" xfId="0" applyNumberFormat="1" applyFont="1" applyFill="1" applyBorder="1" applyAlignment="1">
      <alignment horizontal="center"/>
    </xf>
    <xf numFmtId="10" fontId="2" fillId="17" borderId="20" xfId="0" applyNumberFormat="1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9" fontId="0" fillId="17" borderId="20" xfId="3" applyFont="1" applyFill="1" applyBorder="1" applyAlignment="1">
      <alignment horizontal="center"/>
    </xf>
    <xf numFmtId="0" fontId="0" fillId="3" borderId="29" xfId="3" applyNumberFormat="1" applyFont="1" applyFill="1" applyBorder="1" applyAlignment="1">
      <alignment horizontal="center" wrapText="1"/>
    </xf>
    <xf numFmtId="0" fontId="0" fillId="0" borderId="29" xfId="0" applyBorder="1"/>
    <xf numFmtId="44" fontId="0" fillId="0" borderId="34" xfId="2" applyFont="1" applyBorder="1"/>
    <xf numFmtId="9" fontId="0" fillId="8" borderId="20" xfId="3" applyFont="1" applyFill="1" applyBorder="1"/>
    <xf numFmtId="8" fontId="0" fillId="3" borderId="4" xfId="0" applyNumberFormat="1" applyFill="1" applyBorder="1"/>
    <xf numFmtId="0" fontId="29" fillId="20" borderId="19" xfId="0" applyFont="1" applyFill="1" applyBorder="1" applyAlignment="1">
      <alignment horizontal="center"/>
    </xf>
    <xf numFmtId="0" fontId="29" fillId="20" borderId="4" xfId="0" applyFont="1" applyFill="1" applyBorder="1"/>
    <xf numFmtId="9" fontId="29" fillId="20" borderId="4" xfId="0" applyNumberFormat="1" applyFont="1" applyFill="1" applyBorder="1"/>
    <xf numFmtId="0" fontId="29" fillId="20" borderId="53" xfId="0" applyFont="1" applyFill="1" applyBorder="1" applyAlignment="1">
      <alignment horizontal="center" wrapText="1"/>
    </xf>
    <xf numFmtId="0" fontId="0" fillId="3" borderId="38" xfId="0" applyFill="1" applyBorder="1"/>
    <xf numFmtId="0" fontId="0" fillId="3" borderId="37" xfId="0" applyFill="1" applyBorder="1"/>
    <xf numFmtId="0" fontId="5" fillId="3" borderId="33" xfId="0" applyFont="1" applyFill="1" applyBorder="1"/>
    <xf numFmtId="0" fontId="5" fillId="3" borderId="23" xfId="0" applyFont="1" applyFill="1" applyBorder="1" applyAlignment="1">
      <alignment wrapText="1"/>
    </xf>
    <xf numFmtId="0" fontId="29" fillId="20" borderId="59" xfId="0" applyFont="1" applyFill="1" applyBorder="1" applyAlignment="1">
      <alignment horizontal="center"/>
    </xf>
    <xf numFmtId="9" fontId="5" fillId="3" borderId="21" xfId="3" applyFont="1" applyFill="1" applyBorder="1"/>
    <xf numFmtId="0" fontId="29" fillId="20" borderId="63" xfId="0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 wrapText="1"/>
    </xf>
    <xf numFmtId="169" fontId="12" fillId="19" borderId="19" xfId="0" applyNumberFormat="1" applyFont="1" applyFill="1" applyBorder="1"/>
    <xf numFmtId="0" fontId="5" fillId="12" borderId="20" xfId="0" applyFont="1" applyFill="1" applyBorder="1" applyAlignment="1">
      <alignment horizontal="center"/>
    </xf>
    <xf numFmtId="9" fontId="2" fillId="0" borderId="8" xfId="0" applyNumberFormat="1" applyFont="1" applyBorder="1"/>
    <xf numFmtId="9" fontId="2" fillId="16" borderId="8" xfId="0" applyNumberFormat="1" applyFont="1" applyFill="1" applyBorder="1"/>
    <xf numFmtId="9" fontId="0" fillId="0" borderId="4" xfId="0" applyNumberFormat="1" applyBorder="1"/>
    <xf numFmtId="9" fontId="0" fillId="0" borderId="20" xfId="0" applyNumberFormat="1" applyBorder="1"/>
    <xf numFmtId="0" fontId="4" fillId="0" borderId="8" xfId="0" applyNumberFormat="1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6" fillId="8" borderId="6" xfId="0" applyFont="1" applyFill="1" applyBorder="1"/>
    <xf numFmtId="0" fontId="0" fillId="8" borderId="11" xfId="0" applyFill="1" applyBorder="1" applyAlignment="1">
      <alignment horizontal="right"/>
    </xf>
    <xf numFmtId="0" fontId="2" fillId="8" borderId="11" xfId="0" applyFont="1" applyFill="1" applyBorder="1" applyAlignment="1">
      <alignment horizontal="right"/>
    </xf>
    <xf numFmtId="0" fontId="26" fillId="8" borderId="11" xfId="0" applyFont="1" applyFill="1" applyBorder="1" applyAlignment="1">
      <alignment horizontal="right"/>
    </xf>
    <xf numFmtId="0" fontId="16" fillId="8" borderId="11" xfId="0" applyFont="1" applyFill="1" applyBorder="1" applyAlignment="1">
      <alignment horizontal="left"/>
    </xf>
    <xf numFmtId="0" fontId="0" fillId="8" borderId="11" xfId="0" applyFont="1" applyFill="1" applyBorder="1" applyAlignment="1">
      <alignment horizontal="left"/>
    </xf>
    <xf numFmtId="0" fontId="0" fillId="8" borderId="11" xfId="0" applyFill="1" applyBorder="1"/>
    <xf numFmtId="0" fontId="27" fillId="8" borderId="11" xfId="0" applyFont="1" applyFill="1" applyBorder="1"/>
    <xf numFmtId="0" fontId="10" fillId="8" borderId="11" xfId="0" applyFont="1" applyFill="1" applyBorder="1"/>
    <xf numFmtId="0" fontId="2" fillId="8" borderId="11" xfId="0" applyFont="1" applyFill="1" applyBorder="1"/>
    <xf numFmtId="0" fontId="4" fillId="8" borderId="11" xfId="0" applyFont="1" applyFill="1" applyBorder="1"/>
    <xf numFmtId="0" fontId="0" fillId="8" borderId="14" xfId="0" applyFill="1" applyBorder="1"/>
    <xf numFmtId="9" fontId="0" fillId="3" borderId="20" xfId="0" applyNumberFormat="1" applyFill="1" applyBorder="1"/>
    <xf numFmtId="6" fontId="5" fillId="10" borderId="4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1" fontId="0" fillId="3" borderId="40" xfId="3" applyNumberFormat="1" applyFont="1" applyFill="1" applyBorder="1"/>
    <xf numFmtId="9" fontId="0" fillId="3" borderId="4" xfId="0" applyNumberFormat="1" applyFill="1" applyBorder="1"/>
    <xf numFmtId="9" fontId="5" fillId="0" borderId="4" xfId="3" applyFont="1" applyBorder="1" applyAlignment="1">
      <alignment horizontal="center"/>
    </xf>
    <xf numFmtId="0" fontId="4" fillId="0" borderId="8" xfId="0" applyNumberFormat="1" applyFont="1" applyBorder="1" applyAlignment="1">
      <alignment horizontal="center" vertical="center"/>
    </xf>
    <xf numFmtId="44" fontId="29" fillId="20" borderId="4" xfId="2" applyFont="1" applyFill="1" applyBorder="1"/>
    <xf numFmtId="9" fontId="5" fillId="30" borderId="4" xfId="0" applyNumberFormat="1" applyFont="1" applyFill="1" applyBorder="1" applyAlignment="1">
      <alignment horizontal="center" vertical="center"/>
    </xf>
    <xf numFmtId="6" fontId="0" fillId="0" borderId="4" xfId="0" applyNumberFormat="1" applyBorder="1"/>
    <xf numFmtId="6" fontId="0" fillId="0" borderId="3" xfId="0" applyNumberFormat="1" applyBorder="1"/>
    <xf numFmtId="0" fontId="2" fillId="17" borderId="8" xfId="0" applyNumberFormat="1" applyFont="1" applyFill="1" applyBorder="1" applyAlignment="1">
      <alignment horizontal="center"/>
    </xf>
    <xf numFmtId="0" fontId="0" fillId="17" borderId="8" xfId="0" applyNumberFormat="1" applyFont="1" applyFill="1" applyBorder="1" applyAlignment="1">
      <alignment horizontal="center"/>
    </xf>
    <xf numFmtId="0" fontId="5" fillId="30" borderId="12" xfId="0" applyFont="1" applyFill="1" applyBorder="1" applyAlignment="1">
      <alignment horizontal="center" vertical="center"/>
    </xf>
    <xf numFmtId="9" fontId="5" fillId="30" borderId="12" xfId="0" applyNumberFormat="1" applyFont="1" applyFill="1" applyBorder="1" applyAlignment="1">
      <alignment horizontal="center" vertical="center"/>
    </xf>
    <xf numFmtId="0" fontId="0" fillId="30" borderId="16" xfId="0" applyFill="1" applyBorder="1" applyAlignment="1">
      <alignment horizontal="center"/>
    </xf>
    <xf numFmtId="0" fontId="2" fillId="8" borderId="8" xfId="3" applyNumberFormat="1" applyFont="1" applyFill="1" applyBorder="1" applyAlignment="1">
      <alignment horizontal="center" vertical="center" wrapText="1"/>
    </xf>
    <xf numFmtId="0" fontId="2" fillId="8" borderId="9" xfId="3" applyNumberFormat="1" applyFont="1" applyFill="1" applyBorder="1" applyAlignment="1">
      <alignment horizontal="center" wrapText="1"/>
    </xf>
    <xf numFmtId="0" fontId="2" fillId="3" borderId="10" xfId="3" applyNumberFormat="1" applyFont="1" applyFill="1" applyBorder="1"/>
    <xf numFmtId="0" fontId="5" fillId="3" borderId="40" xfId="0" applyFont="1" applyFill="1" applyBorder="1" applyAlignment="1">
      <alignment horizontal="center"/>
    </xf>
    <xf numFmtId="0" fontId="5" fillId="3" borderId="64" xfId="0" applyFont="1" applyFill="1" applyBorder="1" applyAlignment="1">
      <alignment horizontal="center"/>
    </xf>
    <xf numFmtId="0" fontId="5" fillId="9" borderId="40" xfId="0" applyFont="1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3" borderId="16" xfId="3" applyNumberFormat="1" applyFont="1" applyFill="1" applyBorder="1"/>
    <xf numFmtId="171" fontId="0" fillId="3" borderId="8" xfId="0" applyNumberFormat="1" applyFill="1" applyBorder="1"/>
    <xf numFmtId="165" fontId="0" fillId="3" borderId="8" xfId="0" applyNumberFormat="1" applyFill="1" applyBorder="1"/>
    <xf numFmtId="0" fontId="0" fillId="8" borderId="1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4" xfId="3" applyFont="1" applyFill="1" applyBorder="1" applyAlignment="1">
      <alignment horizontal="center" vertical="center"/>
    </xf>
    <xf numFmtId="164" fontId="0" fillId="0" borderId="3" xfId="1" applyNumberFormat="1" applyFont="1" applyBorder="1"/>
    <xf numFmtId="0" fontId="0" fillId="0" borderId="3" xfId="2" applyNumberFormat="1" applyFont="1" applyBorder="1"/>
    <xf numFmtId="9" fontId="0" fillId="0" borderId="4" xfId="3" applyFont="1" applyBorder="1"/>
    <xf numFmtId="9" fontId="2" fillId="0" borderId="8" xfId="3" applyFont="1" applyBorder="1"/>
    <xf numFmtId="9" fontId="2" fillId="0" borderId="20" xfId="3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0" xfId="0" applyBorder="1" applyAlignment="1">
      <alignment horizontal="right"/>
    </xf>
    <xf numFmtId="9" fontId="2" fillId="16" borderId="8" xfId="3" applyFont="1" applyFill="1" applyBorder="1"/>
    <xf numFmtId="9" fontId="0" fillId="0" borderId="20" xfId="3" applyFont="1" applyBorder="1"/>
    <xf numFmtId="9" fontId="5" fillId="3" borderId="19" xfId="3" applyFont="1" applyFill="1" applyBorder="1" applyAlignment="1">
      <alignment horizontal="center"/>
    </xf>
    <xf numFmtId="9" fontId="0" fillId="3" borderId="33" xfId="0" applyNumberFormat="1" applyFill="1" applyBorder="1"/>
    <xf numFmtId="0" fontId="3" fillId="0" borderId="1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25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 textRotation="90"/>
    </xf>
    <xf numFmtId="0" fontId="3" fillId="0" borderId="24" xfId="0" applyFont="1" applyBorder="1" applyAlignment="1">
      <alignment vertical="center" textRotation="90"/>
    </xf>
    <xf numFmtId="0" fontId="3" fillId="0" borderId="25" xfId="0" applyFont="1" applyBorder="1" applyAlignment="1">
      <alignment vertical="center" textRotation="90"/>
    </xf>
    <xf numFmtId="0" fontId="3" fillId="0" borderId="23" xfId="0" applyFont="1" applyBorder="1" applyAlignment="1">
      <alignment vertical="center" textRotation="90"/>
    </xf>
    <xf numFmtId="0" fontId="3" fillId="0" borderId="0" xfId="0" applyFont="1" applyBorder="1" applyAlignment="1">
      <alignment horizontal="center" vertical="center" textRotation="90"/>
    </xf>
    <xf numFmtId="0" fontId="3" fillId="0" borderId="55" xfId="0" applyFont="1" applyBorder="1" applyAlignment="1">
      <alignment horizontal="center" vertical="center" textRotation="90"/>
    </xf>
    <xf numFmtId="0" fontId="15" fillId="0" borderId="1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17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 textRotation="90" wrapText="1"/>
    </xf>
    <xf numFmtId="0" fontId="3" fillId="0" borderId="55" xfId="0" applyFont="1" applyBorder="1" applyAlignment="1">
      <alignment horizontal="center" vertical="center" textRotation="90" wrapText="1"/>
    </xf>
    <xf numFmtId="0" fontId="32" fillId="0" borderId="27" xfId="0" applyFont="1" applyBorder="1" applyAlignment="1">
      <alignment horizontal="center" vertical="center" textRotation="90" wrapText="1"/>
    </xf>
    <xf numFmtId="0" fontId="32" fillId="0" borderId="28" xfId="0" applyFont="1" applyBorder="1" applyAlignment="1">
      <alignment horizontal="center" vertical="center" textRotation="90" wrapText="1"/>
    </xf>
    <xf numFmtId="0" fontId="32" fillId="0" borderId="61" xfId="0" applyFont="1" applyBorder="1" applyAlignment="1">
      <alignment horizontal="center" vertical="center" textRotation="90" wrapText="1"/>
    </xf>
    <xf numFmtId="0" fontId="34" fillId="0" borderId="5" xfId="0" applyFont="1" applyBorder="1" applyAlignment="1">
      <alignment horizontal="center" vertical="center" textRotation="90" wrapText="1"/>
    </xf>
    <xf numFmtId="0" fontId="34" fillId="0" borderId="17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15" fillId="0" borderId="1" xfId="0" applyFont="1" applyBorder="1" applyAlignment="1">
      <alignment horizontal="center" vertical="center" textRotation="45"/>
    </xf>
    <xf numFmtId="0" fontId="15" fillId="0" borderId="17" xfId="0" applyFont="1" applyBorder="1" applyAlignment="1">
      <alignment horizontal="center" vertical="center" textRotation="45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7" xfId="0" applyFont="1" applyBorder="1" applyAlignment="1">
      <alignment horizontal="center" vertical="center" textRotation="90"/>
    </xf>
    <xf numFmtId="0" fontId="3" fillId="0" borderId="27" xfId="0" applyFont="1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14" borderId="1" xfId="0" applyFont="1" applyFill="1" applyBorder="1" applyAlignment="1">
      <alignment horizontal="center" vertical="center" textRotation="90" wrapText="1"/>
    </xf>
    <xf numFmtId="0" fontId="3" fillId="14" borderId="5" xfId="0" applyFont="1" applyFill="1" applyBorder="1" applyAlignment="1">
      <alignment horizontal="center" vertical="center" textRotation="90" wrapText="1"/>
    </xf>
    <xf numFmtId="0" fontId="3" fillId="14" borderId="17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 wrapText="1"/>
    </xf>
    <xf numFmtId="0" fontId="15" fillId="0" borderId="24" xfId="0" applyFont="1" applyBorder="1" applyAlignment="1">
      <alignment horizontal="center" vertical="center" textRotation="90"/>
    </xf>
    <xf numFmtId="0" fontId="15" fillId="0" borderId="25" xfId="0" applyFont="1" applyBorder="1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3" fillId="14" borderId="51" xfId="0" applyFont="1" applyFill="1" applyBorder="1" applyAlignment="1">
      <alignment horizontal="center" vertical="center" textRotation="90" wrapText="1"/>
    </xf>
    <xf numFmtId="0" fontId="3" fillId="14" borderId="0" xfId="0" applyFont="1" applyFill="1" applyAlignment="1">
      <alignment horizontal="center" vertical="center" textRotation="90" wrapText="1"/>
    </xf>
    <xf numFmtId="0" fontId="3" fillId="14" borderId="25" xfId="0" applyFont="1" applyFill="1" applyBorder="1" applyAlignment="1">
      <alignment horizontal="center" vertical="center" textRotation="90" wrapText="1"/>
    </xf>
    <xf numFmtId="0" fontId="3" fillId="14" borderId="23" xfId="0" applyFont="1" applyFill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 wrapText="1"/>
    </xf>
    <xf numFmtId="9" fontId="0" fillId="17" borderId="8" xfId="3" applyFont="1" applyFill="1" applyBorder="1" applyAlignment="1">
      <alignment horizontal="center"/>
    </xf>
  </cellXfs>
  <cellStyles count="6">
    <cellStyle name="20% - Accent5" xfId="4" builtinId="46"/>
    <cellStyle name="Comma" xfId="1" builtinId="3"/>
    <cellStyle name="Currency" xfId="2" builtinId="4"/>
    <cellStyle name="Good" xfId="5" builtinId="26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00"/>
      <color rgb="FFFFC611"/>
      <color rgb="FFFF6600"/>
      <color rgb="FF33CCCC"/>
      <color rgb="FFCFEF11"/>
      <color rgb="FFFFFFFF"/>
      <color rgb="FF2DA0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'Children''s '!$A$3</c:f>
              <c:strCache>
                <c:ptCount val="1"/>
                <c:pt idx="0">
                  <c:v> Head Start Children Enrolled (Goal 266)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'FY24 KPIs'!$D$1:$P$1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  <c:pt idx="12">
                  <c:v>YTD</c:v>
                </c:pt>
              </c:strCache>
            </c:strRef>
          </c:cat>
          <c:val>
            <c:numRef>
              <c:f>'Children''s '!$O$3:$Z$3</c:f>
              <c:numCache>
                <c:formatCode>General</c:formatCode>
                <c:ptCount val="12"/>
                <c:pt idx="0">
                  <c:v>197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226</c:v>
                </c:pt>
                <c:pt idx="5">
                  <c:v>245</c:v>
                </c:pt>
                <c:pt idx="6">
                  <c:v>251</c:v>
                </c:pt>
                <c:pt idx="7">
                  <c:v>251</c:v>
                </c:pt>
                <c:pt idx="8">
                  <c:v>251</c:v>
                </c:pt>
                <c:pt idx="9">
                  <c:v>251</c:v>
                </c:pt>
                <c:pt idx="10">
                  <c:v>251</c:v>
                </c:pt>
                <c:pt idx="1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6E1-978B-4AE6F5358024}"/>
            </c:ext>
          </c:extLst>
        </c:ser>
        <c:ser>
          <c:idx val="5"/>
          <c:order val="5"/>
          <c:tx>
            <c:strRef>
              <c:f>'Children''s '!$A$8</c:f>
              <c:strCache>
                <c:ptCount val="1"/>
                <c:pt idx="0">
                  <c:v> Early Head Start Children Enrolled (Goal 148)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'FY24 KPIs'!$D$1:$P$1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  <c:pt idx="12">
                  <c:v>YTD</c:v>
                </c:pt>
              </c:strCache>
            </c:strRef>
          </c:cat>
          <c:val>
            <c:numRef>
              <c:f>'Children''s '!$O$8:$Z$8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88</c:v>
                </c:pt>
                <c:pt idx="6">
                  <c:v>92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87-46E1-978B-4AE6F5358024}"/>
            </c:ext>
          </c:extLst>
        </c:ser>
        <c:ser>
          <c:idx val="13"/>
          <c:order val="13"/>
          <c:tx>
            <c:strRef>
              <c:f>'Children''s '!$A$16</c:f>
              <c:strCache>
                <c:ptCount val="1"/>
                <c:pt idx="0">
                  <c:v>17 Pre school child care slots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'FY24 KPIs'!$D$1:$P$1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  <c:pt idx="12">
                  <c:v>YTD</c:v>
                </c:pt>
              </c:strCache>
            </c:strRef>
          </c:cat>
          <c:val>
            <c:numRef>
              <c:f>'Children''s '!$O$16:$Z$16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87-46E1-978B-4AE6F535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2395904"/>
        <c:axId val="412385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'Children''s '!$A$4</c15:sqref>
                        </c15:formulaRef>
                      </c:ext>
                    </c:extLst>
                    <c:strCache>
                      <c:ptCount val="1"/>
                      <c:pt idx="0">
                        <c:v> HS Goal ≥ 90%   Attendance 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'Children''s '!$B$4:$N$4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0.89</c:v>
                      </c:pt>
                      <c:pt idx="1">
                        <c:v>0.87</c:v>
                      </c:pt>
                      <c:pt idx="2">
                        <c:v>0.84</c:v>
                      </c:pt>
                      <c:pt idx="3">
                        <c:v>0.82</c:v>
                      </c:pt>
                      <c:pt idx="4">
                        <c:v>0.85</c:v>
                      </c:pt>
                      <c:pt idx="5">
                        <c:v>0.83</c:v>
                      </c:pt>
                      <c:pt idx="6">
                        <c:v>0.84</c:v>
                      </c:pt>
                      <c:pt idx="7">
                        <c:v>0.84</c:v>
                      </c:pt>
                      <c:pt idx="8">
                        <c:v>0.89</c:v>
                      </c:pt>
                      <c:pt idx="9">
                        <c:v>0.81</c:v>
                      </c:pt>
                      <c:pt idx="10">
                        <c:v>0.77</c:v>
                      </c:pt>
                      <c:pt idx="11">
                        <c:v>0.89</c:v>
                      </c:pt>
                      <c:pt idx="12">
                        <c:v>0.89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087-46E1-978B-4AE6F535802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'!$A$5</c15:sqref>
                        </c15:formulaRef>
                      </c:ext>
                    </c:extLst>
                    <c:strCache>
                      <c:ptCount val="1"/>
                      <c:pt idx="0">
                        <c:v> HS Wait List for Income Eligible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'!$B$5:$N$5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39</c:v>
                      </c:pt>
                      <c:pt idx="4">
                        <c:v>38</c:v>
                      </c:pt>
                      <c:pt idx="5">
                        <c:v>26</c:v>
                      </c:pt>
                      <c:pt idx="6">
                        <c:v>30</c:v>
                      </c:pt>
                      <c:pt idx="7">
                        <c:v>39</c:v>
                      </c:pt>
                      <c:pt idx="8">
                        <c:v>11</c:v>
                      </c:pt>
                      <c:pt idx="9">
                        <c:v>5</c:v>
                      </c:pt>
                      <c:pt idx="10">
                        <c:v>24</c:v>
                      </c:pt>
                      <c:pt idx="11">
                        <c:v>30</c:v>
                      </c:pt>
                      <c:pt idx="12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87-46E1-978B-4AE6F535802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'!$A$6</c15:sqref>
                        </c15:formulaRef>
                      </c:ext>
                    </c:extLst>
                    <c:strCache>
                      <c:ptCount val="1"/>
                      <c:pt idx="0">
                        <c:v> HS Wait List for Over Income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42</c:v>
                      </c:pt>
                      <c:pt idx="1">
                        <c:v>42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43</c:v>
                      </c:pt>
                      <c:pt idx="5">
                        <c:v>36</c:v>
                      </c:pt>
                      <c:pt idx="6">
                        <c:v>35</c:v>
                      </c:pt>
                      <c:pt idx="7">
                        <c:v>26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43</c:v>
                      </c:pt>
                      <c:pt idx="11">
                        <c:v>36</c:v>
                      </c:pt>
                      <c:pt idx="12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87-46E1-978B-4AE6F535802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'!$A$7</c15:sqref>
                        </c15:formulaRef>
                      </c:ext>
                    </c:extLst>
                    <c:strCache>
                      <c:ptCount val="1"/>
                      <c:pt idx="0">
                        <c:v>97% enrollment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'!$B$7:$N$7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0.76</c:v>
                      </c:pt>
                      <c:pt idx="1">
                        <c:v>0.79</c:v>
                      </c:pt>
                      <c:pt idx="2">
                        <c:v>0.79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0.92</c:v>
                      </c:pt>
                      <c:pt idx="6">
                        <c:v>0.91</c:v>
                      </c:pt>
                      <c:pt idx="7">
                        <c:v>0.89</c:v>
                      </c:pt>
                      <c:pt idx="8">
                        <c:v>0.15</c:v>
                      </c:pt>
                      <c:pt idx="9">
                        <c:v>0.1</c:v>
                      </c:pt>
                      <c:pt idx="10">
                        <c:v>0.08</c:v>
                      </c:pt>
                      <c:pt idx="11">
                        <c:v>0.68</c:v>
                      </c:pt>
                      <c:pt idx="12">
                        <c:v>0.79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87-46E1-978B-4AE6F535802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'!$A$9</c15:sqref>
                        </c15:formulaRef>
                      </c:ext>
                    </c:extLst>
                    <c:strCache>
                      <c:ptCount val="1"/>
                      <c:pt idx="0">
                        <c:v>EHS Goal ≥ 90% Attendance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'!$B$9:$N$9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0.89</c:v>
                      </c:pt>
                      <c:pt idx="1">
                        <c:v>0.87</c:v>
                      </c:pt>
                      <c:pt idx="2">
                        <c:v>0.78</c:v>
                      </c:pt>
                      <c:pt idx="3">
                        <c:v>0.81</c:v>
                      </c:pt>
                      <c:pt idx="4">
                        <c:v>0.86</c:v>
                      </c:pt>
                      <c:pt idx="5">
                        <c:v>0.88</c:v>
                      </c:pt>
                      <c:pt idx="6">
                        <c:v>0.81</c:v>
                      </c:pt>
                      <c:pt idx="7">
                        <c:v>0.87</c:v>
                      </c:pt>
                      <c:pt idx="8">
                        <c:v>0.84</c:v>
                      </c:pt>
                      <c:pt idx="9">
                        <c:v>0.82</c:v>
                      </c:pt>
                      <c:pt idx="10">
                        <c:v>0.82</c:v>
                      </c:pt>
                      <c:pt idx="11">
                        <c:v>0.86</c:v>
                      </c:pt>
                      <c:pt idx="12">
                        <c:v>0.86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87-46E1-978B-4AE6F535802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'!$A$10</c15:sqref>
                        </c15:formulaRef>
                      </c:ext>
                    </c:extLst>
                    <c:strCache>
                      <c:ptCount val="1"/>
                      <c:pt idx="0">
                        <c:v>EHS Wait List for Income Eligible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49</c:v>
                      </c:pt>
                      <c:pt idx="1">
                        <c:v>51</c:v>
                      </c:pt>
                      <c:pt idx="2">
                        <c:v>53</c:v>
                      </c:pt>
                      <c:pt idx="3">
                        <c:v>52</c:v>
                      </c:pt>
                      <c:pt idx="4">
                        <c:v>51</c:v>
                      </c:pt>
                      <c:pt idx="5">
                        <c:v>31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37</c:v>
                      </c:pt>
                      <c:pt idx="9">
                        <c:v>39</c:v>
                      </c:pt>
                      <c:pt idx="10">
                        <c:v>52</c:v>
                      </c:pt>
                      <c:pt idx="11">
                        <c:v>41</c:v>
                      </c:pt>
                      <c:pt idx="12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87-46E1-978B-4AE6F535802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'!$A$11</c15:sqref>
                        </c15:formulaRef>
                      </c:ext>
                    </c:extLst>
                    <c:strCache>
                      <c:ptCount val="1"/>
                      <c:pt idx="0">
                        <c:v> EHS Wait List for Over Income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'!$B$11:$N$11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32</c:v>
                      </c:pt>
                      <c:pt idx="1">
                        <c:v>37</c:v>
                      </c:pt>
                      <c:pt idx="2">
                        <c:v>36</c:v>
                      </c:pt>
                      <c:pt idx="3">
                        <c:v>35</c:v>
                      </c:pt>
                      <c:pt idx="4">
                        <c:v>32</c:v>
                      </c:pt>
                      <c:pt idx="5">
                        <c:v>31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51</c:v>
                      </c:pt>
                      <c:pt idx="11">
                        <c:v>52</c:v>
                      </c:pt>
                      <c:pt idx="12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87-46E1-978B-4AE6F535802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'!$A$12</c15:sqref>
                        </c15:formulaRef>
                      </c:ext>
                    </c:extLst>
                    <c:strCache>
                      <c:ptCount val="1"/>
                      <c:pt idx="0">
                        <c:v>40 Early Head Start child care slots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'!$B$12:$N$12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38</c:v>
                      </c:pt>
                      <c:pt idx="4">
                        <c:v>39</c:v>
                      </c:pt>
                      <c:pt idx="5">
                        <c:v>40</c:v>
                      </c:pt>
                      <c:pt idx="6">
                        <c:v>39</c:v>
                      </c:pt>
                      <c:pt idx="7">
                        <c:v>48</c:v>
                      </c:pt>
                      <c:pt idx="8">
                        <c:v>45</c:v>
                      </c:pt>
                      <c:pt idx="9">
                        <c:v>46</c:v>
                      </c:pt>
                      <c:pt idx="10">
                        <c:v>45</c:v>
                      </c:pt>
                      <c:pt idx="11">
                        <c:v>40</c:v>
                      </c:pt>
                      <c:pt idx="12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87-46E1-978B-4AE6F535802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'!$A$13</c15:sqref>
                        </c15:formulaRef>
                      </c:ext>
                    </c:extLst>
                    <c:strCache>
                      <c:ptCount val="1"/>
                      <c:pt idx="0">
                        <c:v>97% enrollment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'!$B$13:$N$13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0.41</c:v>
                      </c:pt>
                      <c:pt idx="1">
                        <c:v>0.44</c:v>
                      </c:pt>
                      <c:pt idx="2">
                        <c:v>0.44</c:v>
                      </c:pt>
                      <c:pt idx="3">
                        <c:v>0.44</c:v>
                      </c:pt>
                      <c:pt idx="4">
                        <c:v>0.44</c:v>
                      </c:pt>
                      <c:pt idx="5">
                        <c:v>0.85</c:v>
                      </c:pt>
                      <c:pt idx="6">
                        <c:v>0.81</c:v>
                      </c:pt>
                      <c:pt idx="7">
                        <c:v>0.86</c:v>
                      </c:pt>
                      <c:pt idx="8">
                        <c:v>0.8</c:v>
                      </c:pt>
                      <c:pt idx="9">
                        <c:v>0.88</c:v>
                      </c:pt>
                      <c:pt idx="10">
                        <c:v>0.8</c:v>
                      </c:pt>
                      <c:pt idx="11">
                        <c:v>0.71</c:v>
                      </c:pt>
                      <c:pt idx="12">
                        <c:v>0.44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87-46E1-978B-4AE6F535802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'!$A$14</c15:sqref>
                        </c15:formulaRef>
                      </c:ext>
                    </c:extLst>
                    <c:strCache>
                      <c:ptCount val="1"/>
                      <c:pt idx="0">
                        <c:v>USDA - 17 Homes (CACFP)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'!$B$14:$N$14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">
                        <c:v>0</c:v>
                      </c:pt>
                      <c:pt idx="5" formatCode="0%">
                        <c:v>0</c:v>
                      </c:pt>
                      <c:pt idx="6" formatCode="0">
                        <c:v>0</c:v>
                      </c:pt>
                      <c:pt idx="7" formatCode="0%">
                        <c:v>0</c:v>
                      </c:pt>
                      <c:pt idx="8" formatCode="0">
                        <c:v>0</c:v>
                      </c:pt>
                      <c:pt idx="9" formatCode="0">
                        <c:v>0</c:v>
                      </c:pt>
                      <c:pt idx="10" formatCode="0">
                        <c:v>0</c:v>
                      </c:pt>
                      <c:pt idx="11" formatCode="0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087-46E1-978B-4AE6F535802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'!$A$15</c15:sqref>
                        </c15:formulaRef>
                      </c:ext>
                    </c:extLst>
                    <c:strCache>
                      <c:ptCount val="1"/>
                      <c:pt idx="0">
                        <c:v>USDA - 7 Centers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'!$B$15:$N$15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87-46E1-978B-4AE6F535802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'!$A$17</c15:sqref>
                        </c15:formulaRef>
                      </c:ext>
                    </c:extLst>
                    <c:strCache>
                      <c:ptCount val="1"/>
                      <c:pt idx="0">
                        <c:v>Total applications received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'!$B$17:$N$17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18</c:v>
                      </c:pt>
                      <c:pt idx="11">
                        <c:v>12</c:v>
                      </c:pt>
                      <c:pt idx="12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087-46E1-978B-4AE6F535802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'!$A$18</c15:sqref>
                        </c15:formulaRef>
                      </c:ext>
                    </c:extLst>
                    <c:strCache>
                      <c:ptCount val="1"/>
                      <c:pt idx="0">
                        <c:v>% of applications processed within 10 days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'!$B$18:$N$18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35</c:v>
                      </c:pt>
                      <c:pt idx="1">
                        <c:v>28</c:v>
                      </c:pt>
                      <c:pt idx="2">
                        <c:v>22</c:v>
                      </c:pt>
                      <c:pt idx="3">
                        <c:v>50</c:v>
                      </c:pt>
                      <c:pt idx="4">
                        <c:v>33</c:v>
                      </c:pt>
                      <c:pt idx="5">
                        <c:v>75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66</c:v>
                      </c:pt>
                      <c:pt idx="11">
                        <c:v>37</c:v>
                      </c:pt>
                      <c:pt idx="12" formatCode="0%">
                        <c:v>51.833333333333336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087-46E1-978B-4AE6F535802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'!$A$19</c15:sqref>
                        </c15:formulaRef>
                      </c:ext>
                    </c:extLst>
                    <c:strCache>
                      <c:ptCount val="1"/>
                      <c:pt idx="0">
                        <c:v>Average number of days from App to Enrolled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'!$B$19:$N$19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0.8</c:v>
                      </c:pt>
                      <c:pt idx="1">
                        <c:v>0.62</c:v>
                      </c:pt>
                      <c:pt idx="2">
                        <c:v>0.41</c:v>
                      </c:pt>
                      <c:pt idx="3">
                        <c:v>0.77</c:v>
                      </c:pt>
                      <c:pt idx="4">
                        <c:v>0.83</c:v>
                      </c:pt>
                      <c:pt idx="5">
                        <c:v>0.73</c:v>
                      </c:pt>
                      <c:pt idx="6">
                        <c:v>0.6</c:v>
                      </c:pt>
                      <c:pt idx="7">
                        <c:v>0.75</c:v>
                      </c:pt>
                      <c:pt idx="8">
                        <c:v>0.63</c:v>
                      </c:pt>
                      <c:pt idx="9">
                        <c:v>0.72</c:v>
                      </c:pt>
                      <c:pt idx="10">
                        <c:v>0.64</c:v>
                      </c:pt>
                      <c:pt idx="11">
                        <c:v>0.65</c:v>
                      </c:pt>
                      <c:pt idx="12" formatCode="0">
                        <c:v>0.67916666666666659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087-46E1-978B-4AE6F535802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'!$A$20</c15:sqref>
                        </c15:formulaRef>
                      </c:ext>
                    </c:extLst>
                    <c:strCache>
                      <c:ptCount val="1"/>
                      <c:pt idx="0">
                        <c:v>Total # children currently served In all of Children's Services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'!$B$20:$N$20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327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18</c:v>
                      </c:pt>
                      <c:pt idx="5">
                        <c:v>85</c:v>
                      </c:pt>
                      <c:pt idx="6">
                        <c:v>3</c:v>
                      </c:pt>
                      <c:pt idx="7">
                        <c:v>73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087-46E1-978B-4AE6F535802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'!$A$21</c15:sqref>
                        </c15:formulaRef>
                      </c:ext>
                    </c:extLst>
                    <c:strCache>
                      <c:ptCount val="1"/>
                      <c:pt idx="0">
                        <c:v>Unduplicated number of children who rode the Chisholm bus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'!$B$21:$N$21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087-46E1-978B-4AE6F535802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'!$A$22</c15:sqref>
                        </c15:formulaRef>
                      </c:ext>
                    </c:extLst>
                    <c:strCache>
                      <c:ptCount val="1"/>
                      <c:pt idx="0">
                        <c:v>Children/pregnant mothers enrolled in home visiting services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'!$B$22:$N$22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29</c:v>
                      </c:pt>
                      <c:pt idx="5">
                        <c:v>41</c:v>
                      </c:pt>
                      <c:pt idx="6">
                        <c:v>48</c:v>
                      </c:pt>
                      <c:pt idx="7">
                        <c:v>45</c:v>
                      </c:pt>
                      <c:pt idx="8">
                        <c:v>51</c:v>
                      </c:pt>
                      <c:pt idx="9">
                        <c:v>43</c:v>
                      </c:pt>
                      <c:pt idx="10">
                        <c:v>37</c:v>
                      </c:pt>
                      <c:pt idx="11">
                        <c:v>36</c:v>
                      </c:pt>
                      <c:pt idx="12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087-46E1-978B-4AE6F535802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'!$A$23</c15:sqref>
                        </c15:formulaRef>
                      </c:ext>
                    </c:extLst>
                    <c:strCache>
                      <c:ptCount val="1"/>
                      <c:pt idx="0">
                        <c:v>% of all children and pregnant parents enrolled in Dental Homes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'!$B$23:$N$23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317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30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087-46E1-978B-4AE6F535802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'!$A$24</c15:sqref>
                        </c15:formulaRef>
                      </c:ext>
                    </c:extLst>
                    <c:strCache>
                      <c:ptCount val="1"/>
                      <c:pt idx="0">
                        <c:v># Families enrolled and completed a family  partnership agreement (Whole Family)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'!$B$24:$N$24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487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36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31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>
                        <c:v>567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087-46E1-978B-4AE6F535802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'!$A$25</c15:sqref>
                        </c15:formulaRef>
                      </c:ext>
                    </c:extLst>
                    <c:strCache>
                      <c:ptCount val="1"/>
                      <c:pt idx="0">
                        <c:v>CACFP meals provided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'!$B$25:$N$25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1002</c:v>
                      </c:pt>
                      <c:pt idx="1">
                        <c:v>2500</c:v>
                      </c:pt>
                      <c:pt idx="2">
                        <c:v>2888</c:v>
                      </c:pt>
                      <c:pt idx="3" formatCode="#,##0">
                        <c:v>859</c:v>
                      </c:pt>
                      <c:pt idx="4">
                        <c:v>436</c:v>
                      </c:pt>
                      <c:pt idx="5">
                        <c:v>1522</c:v>
                      </c:pt>
                      <c:pt idx="6">
                        <c:v>2018</c:v>
                      </c:pt>
                      <c:pt idx="7">
                        <c:v>769</c:v>
                      </c:pt>
                      <c:pt idx="8" formatCode="#,##0">
                        <c:v>774</c:v>
                      </c:pt>
                      <c:pt idx="9" formatCode="#,##0">
                        <c:v>480</c:v>
                      </c:pt>
                      <c:pt idx="10" formatCode="#,##0">
                        <c:v>204</c:v>
                      </c:pt>
                      <c:pt idx="11" formatCode="#,##0">
                        <c:v>654</c:v>
                      </c:pt>
                      <c:pt idx="12" formatCode="_(* #,##0_);_(* \(#,##0\);_(* &quot;-&quot;??_);_(@_)">
                        <c:v>14106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087-46E1-978B-4AE6F5358024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'!$A$26</c15:sqref>
                        </c15:formulaRef>
                      </c:ext>
                    </c:extLst>
                    <c:strCache>
                      <c:ptCount val="1"/>
                      <c:pt idx="0">
                        <c:v>Number of GSFB Meals Distributed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'FY24 KPIs'!$D$1:$P$1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'!$B$26:$N$26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14</c:v>
                      </c:pt>
                      <c:pt idx="10">
                        <c:v>12</c:v>
                      </c:pt>
                      <c:pt idx="11">
                        <c:v>7</c:v>
                      </c:pt>
                      <c:pt idx="12" formatCode="_(* #,##0_);_(* \(#,##0\);_(* &quot;-&quot;??_);_(@_)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087-46E1-978B-4AE6F5358024}"/>
                  </c:ext>
                </c:extLst>
              </c15:ser>
            </c15:filteredBarSeries>
          </c:ext>
        </c:extLst>
      </c:barChart>
      <c:catAx>
        <c:axId val="4123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5088"/>
        <c:crosses val="autoZero"/>
        <c:auto val="1"/>
        <c:lblAlgn val="ctr"/>
        <c:lblOffset val="100"/>
        <c:noMultiLvlLbl val="0"/>
      </c:catAx>
      <c:valAx>
        <c:axId val="4123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Repair and Rehab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7"/>
          <c:tx>
            <c:strRef>
              <c:f>Housing!$C$10</c:f>
              <c:strCache>
                <c:ptCount val="1"/>
                <c:pt idx="0">
                  <c:v>Home Repair MSHA 80 Households (Oxford &amp; Andro &amp; Cumberland)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Housing!$D$10:$O$10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F-4F65-AF61-C066F61BD963}"/>
            </c:ext>
          </c:extLst>
        </c:ser>
        <c:ser>
          <c:idx val="9"/>
          <c:order val="9"/>
          <c:tx>
            <c:strRef>
              <c:f>Housing!$C$12</c:f>
              <c:strCache>
                <c:ptCount val="1"/>
                <c:pt idx="0">
                  <c:v>Housing rehab and construction management to 20 housing units CDBG Rockland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Housing!$D$12:$O$12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8F-4F65-AF61-C066F61BD963}"/>
            </c:ext>
          </c:extLst>
        </c:ser>
        <c:ser>
          <c:idx val="12"/>
          <c:order val="12"/>
          <c:tx>
            <c:strRef>
              <c:f>Housing!$C$15</c:f>
              <c:strCache>
                <c:ptCount val="1"/>
                <c:pt idx="0">
                  <c:v>Rehab to 9 Existing homes USDA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Housing!$D$15:$O$15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8F-4F65-AF61-C066F61BD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017455"/>
        <c:axId val="8000245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Housing!$C$3</c15:sqref>
                        </c15:formulaRef>
                      </c:ext>
                    </c:extLst>
                    <c:strCache>
                      <c:ptCount val="1"/>
                      <c:pt idx="0">
                        <c:v>Weatherize 65 households DOE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Housing!$D$3:$O$3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18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14</c:v>
                      </c:pt>
                      <c:pt idx="10">
                        <c:v>12</c:v>
                      </c:pt>
                      <c:pt idx="1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28-48F6-ADF4-E55B6F6CAE1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Housing!$C$4</c15:sqref>
                        </c15:formulaRef>
                      </c:ext>
                    </c:extLst>
                    <c:strCache>
                      <c:ptCount val="1"/>
                      <c:pt idx="0">
                        <c:v>Weatherization to 65 households HEAP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Housing!$D$4:$O$4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28-48F6-ADF4-E55B6F6CAE1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Housing!$C$5</c15:sqref>
                        </c15:formulaRef>
                      </c:ext>
                    </c:extLst>
                    <c:strCache>
                      <c:ptCount val="1"/>
                      <c:pt idx="0">
                        <c:v>Heating system repair or replacement to 200 households CHIP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Housing!$D$5:$O$5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32</c:v>
                      </c:pt>
                      <c:pt idx="3">
                        <c:v>26</c:v>
                      </c:pt>
                      <c:pt idx="4">
                        <c:v>34</c:v>
                      </c:pt>
                      <c:pt idx="5">
                        <c:v>24</c:v>
                      </c:pt>
                      <c:pt idx="6">
                        <c:v>21</c:v>
                      </c:pt>
                      <c:pt idx="7">
                        <c:v>15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28-48F6-ADF4-E55B6F6CAE1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Housing!$C$6</c15:sqref>
                        </c15:formulaRef>
                      </c:ext>
                    </c:extLst>
                    <c:strCache>
                      <c:ptCount val="1"/>
                      <c:pt idx="0">
                        <c:v>CHIP wait List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Housing!$D$6:$O$6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85</c:v>
                      </c:pt>
                      <c:pt idx="8">
                        <c:v>136</c:v>
                      </c:pt>
                      <c:pt idx="9">
                        <c:v>149</c:v>
                      </c:pt>
                      <c:pt idx="10">
                        <c:v>170</c:v>
                      </c:pt>
                      <c:pt idx="11">
                        <c:v>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828-48F6-ADF4-E55B6F6CAE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Housing!$C$7</c15:sqref>
                        </c15:formulaRef>
                      </c:ext>
                    </c:extLst>
                    <c:strCache>
                      <c:ptCount val="1"/>
                      <c:pt idx="0">
                        <c:v>Oil Tank Replacement (20)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Housing!$D$7:$O$7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10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78F-4F65-AF61-C066F61BD96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Housing!$C$8</c15:sqref>
                        </c15:formulaRef>
                      </c:ext>
                    </c:extLst>
                    <c:strCache>
                      <c:ptCount val="1"/>
                      <c:pt idx="0">
                        <c:v>Heat Pump Program - 100 Households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Housing!$D$8:$O$8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16</c:v>
                      </c:pt>
                      <c:pt idx="3">
                        <c:v>18</c:v>
                      </c:pt>
                      <c:pt idx="4">
                        <c:v>25</c:v>
                      </c:pt>
                      <c:pt idx="5">
                        <c:v>37</c:v>
                      </c:pt>
                      <c:pt idx="6">
                        <c:v>25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11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8F-4F65-AF61-C066F61BD96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Housing!$C$9</c15:sqref>
                        </c15:formulaRef>
                      </c:ext>
                    </c:extLst>
                    <c:strCache>
                      <c:ptCount val="1"/>
                      <c:pt idx="0">
                        <c:v>Heat Pump Wait List</c:v>
                      </c:pt>
                    </c:strCache>
                  </c:strRef>
                </c:tx>
                <c:spPr>
                  <a:solidFill>
                    <a:srgbClr val="2DA0B7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Housing!$D$9:$O$9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80</c:v>
                      </c:pt>
                      <c:pt idx="8">
                        <c:v>44</c:v>
                      </c:pt>
                      <c:pt idx="9">
                        <c:v>55</c:v>
                      </c:pt>
                      <c:pt idx="10">
                        <c:v>68</c:v>
                      </c:pt>
                      <c:pt idx="11">
                        <c:v>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8F-4F65-AF61-C066F61BD96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Housing!$C$11</c15:sqref>
                        </c15:formulaRef>
                      </c:ext>
                    </c:extLst>
                    <c:strCache>
                      <c:ptCount val="1"/>
                      <c:pt idx="0">
                        <c:v>Home Repair Wait List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Housing!$D$11:$O$11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448</c:v>
                      </c:pt>
                      <c:pt idx="8">
                        <c:v>490</c:v>
                      </c:pt>
                      <c:pt idx="9">
                        <c:v>497</c:v>
                      </c:pt>
                      <c:pt idx="10">
                        <c:v>523</c:v>
                      </c:pt>
                      <c:pt idx="11">
                        <c:v>554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8F-4F65-AF61-C066F61BD96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Housing!$C$13</c15:sqref>
                        </c15:formulaRef>
                      </c:ext>
                    </c:extLst>
                    <c:strCache>
                      <c:ptCount val="1"/>
                      <c:pt idx="0">
                        <c:v>6 new self-help homes USDA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Housing!$D$13:$O$13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8F-4F65-AF61-C066F61BD96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Housing!$C$14</c15:sqref>
                        </c15:formulaRef>
                      </c:ext>
                    </c:extLst>
                    <c:strCache>
                      <c:ptCount val="1"/>
                      <c:pt idx="0">
                        <c:v>4 new Built by ME homes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Housing!$D$14:$O$14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8F-4F65-AF61-C066F61BD96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Housing!$C$16</c15:sqref>
                        </c15:formulaRef>
                      </c:ext>
                    </c:extLst>
                    <c:strCache>
                      <c:ptCount val="1"/>
                      <c:pt idx="0">
                        <c:v>Lead inspections/designs and construction management to 75 homes MH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Housing!$D$16:$O$16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8F-4F65-AF61-C066F61BD963}"/>
                  </c:ext>
                </c:extLst>
              </c15:ser>
            </c15:filteredBarSeries>
          </c:ext>
        </c:extLst>
      </c:barChart>
      <c:catAx>
        <c:axId val="8000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24527"/>
        <c:crosses val="autoZero"/>
        <c:auto val="1"/>
        <c:lblAlgn val="ctr"/>
        <c:lblOffset val="100"/>
        <c:noMultiLvlLbl val="0"/>
      </c:catAx>
      <c:valAx>
        <c:axId val="800024527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1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 Council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4"/>
          <c:tx>
            <c:strRef>
              <c:f>Family!$C$11</c:f>
              <c:strCache>
                <c:ptCount val="1"/>
                <c:pt idx="0">
                  <c:v>30 playgroups 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Family!$D$2:$P$2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  <c:pt idx="12">
                  <c:v>YTD</c:v>
                </c:pt>
              </c:strCache>
            </c:strRef>
          </c:cat>
          <c:val>
            <c:numRef>
              <c:f>Family!$D$11:$O$11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5A-4613-85D4-3206E423596E}"/>
            </c:ext>
          </c:extLst>
        </c:ser>
        <c:ser>
          <c:idx val="6"/>
          <c:order val="6"/>
          <c:tx>
            <c:strRef>
              <c:f>Family!$C$13</c:f>
              <c:strCache>
                <c:ptCount val="1"/>
                <c:pt idx="0">
                  <c:v>9 parent education trainings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Family!$D$2:$P$2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  <c:pt idx="12">
                  <c:v>YTD</c:v>
                </c:pt>
              </c:strCache>
            </c:strRef>
          </c:cat>
          <c:val>
            <c:numRef>
              <c:f>Family!$D$13:$O$13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15A-4613-85D4-3206E423596E}"/>
            </c:ext>
          </c:extLst>
        </c:ser>
        <c:ser>
          <c:idx val="7"/>
          <c:order val="7"/>
          <c:tx>
            <c:strRef>
              <c:f>Family!$C$16</c:f>
              <c:strCache>
                <c:ptCount val="1"/>
                <c:pt idx="0">
                  <c:v>20 community provider trainings 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Family!$D$16:$O$16</c:f>
              <c:numCache>
                <c:formatCode>General</c:formatCode>
                <c:ptCount val="12"/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5-4E22-8B80-67E520A5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035759"/>
        <c:axId val="800032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Family!$C$7</c15:sqref>
                        </c15:formulaRef>
                      </c:ext>
                    </c:extLst>
                    <c:strCache>
                      <c:ptCount val="1"/>
                      <c:pt idx="0">
                        <c:v>Maine Families Wait List - Outreach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Family!$D$2:$P$2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Family!$D$7:$P$7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7">
                        <c:v>74</c:v>
                      </c:pt>
                      <c:pt idx="8">
                        <c:v>93</c:v>
                      </c:pt>
                      <c:pt idx="9">
                        <c:v>69</c:v>
                      </c:pt>
                      <c:pt idx="10">
                        <c:v>21</c:v>
                      </c:pt>
                      <c:pt idx="11">
                        <c:v>22</c:v>
                      </c:pt>
                      <c:pt idx="12">
                        <c:v>279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5A-4613-85D4-3206E42359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Family!$C$8</c15:sqref>
                        </c15:formulaRef>
                      </c:ext>
                    </c:extLst>
                    <c:strCache>
                      <c:ptCount val="1"/>
                      <c:pt idx="0">
                        <c:v>Number of PreNatal Families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8.3804718377213355E-3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A861-4503-9320-C987C967B81B}"/>
                      </c:ext>
                    </c:extLst>
                  </c:dLbl>
                  <c:dLbl>
                    <c:idx val="1"/>
                    <c:layout>
                      <c:manualLayout>
                        <c:x val="-1.0056566205265634E-2"/>
                        <c:y val="-1.388888888888888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A861-4503-9320-C987C967B81B}"/>
                      </c:ext>
                    </c:extLst>
                  </c:dLbl>
                  <c:dLbl>
                    <c:idx val="2"/>
                    <c:layout>
                      <c:manualLayout>
                        <c:x val="1.5084849307898341E-2"/>
                        <c:y val="-8.4875562720133283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A861-4503-9320-C987C967B81B}"/>
                      </c:ext>
                    </c:extLst>
                  </c:dLbl>
                  <c:dLbl>
                    <c:idx val="4"/>
                    <c:layout>
                      <c:manualLayout>
                        <c:x val="1.0056566205265603E-2"/>
                        <c:y val="-9.2592592592592587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A861-4503-9320-C987C967B81B}"/>
                      </c:ext>
                    </c:extLst>
                  </c:dLbl>
                  <c:dLbl>
                    <c:idx val="5"/>
                    <c:layout>
                      <c:manualLayout>
                        <c:x val="-8.3804718377213355E-3"/>
                        <c:y val="-8.4875562720133283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A861-4503-9320-C987C967B81B}"/>
                      </c:ext>
                    </c:extLst>
                  </c:dLbl>
                  <c:dLbl>
                    <c:idx val="6"/>
                    <c:layout>
                      <c:manualLayout>
                        <c:x val="1.3408754940354137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A861-4503-9320-C987C967B81B}"/>
                      </c:ext>
                    </c:extLst>
                  </c:dLbl>
                  <c:dLbl>
                    <c:idx val="7"/>
                    <c:layout>
                      <c:manualLayout>
                        <c:x val="1.6760943675442546E-2"/>
                        <c:y val="-8.4875562720133283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A861-4503-9320-C987C967B81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Family!$D$2:$P$2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Family!$D$8:$O$8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 formatCode="0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5A-4613-85D4-3206E423596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Family!$C$9</c15:sqref>
                        </c15:formulaRef>
                      </c:ext>
                    </c:extLst>
                    <c:strCache>
                      <c:ptCount val="1"/>
                      <c:pt idx="0">
                        <c:v>50% prenatal enrollment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Family!$D$2:$P$2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Family!$D$9:$P$9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0.28999999999999998</c:v>
                      </c:pt>
                      <c:pt idx="1">
                        <c:v>0.5</c:v>
                      </c:pt>
                      <c:pt idx="2">
                        <c:v>0.44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1</c:v>
                      </c:pt>
                      <c:pt idx="6">
                        <c:v>0.17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0.25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0.37916666666666665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5A-4613-85D4-3206E42359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Family!$C$10</c15:sqref>
                        </c15:formulaRef>
                      </c:ext>
                    </c:extLst>
                    <c:strCache>
                      <c:ptCount val="1"/>
                      <c:pt idx="0">
                        <c:v>CAN Council (CB&amp;E) community events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1.8437038042986922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A861-4503-9320-C987C967B81B}"/>
                      </c:ext>
                    </c:extLst>
                  </c:dLbl>
                  <c:dLbl>
                    <c:idx val="1"/>
                    <c:layout>
                      <c:manualLayout>
                        <c:x val="1.3408754940354106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A861-4503-9320-C987C967B81B}"/>
                      </c:ext>
                    </c:extLst>
                  </c:dLbl>
                  <c:dLbl>
                    <c:idx val="2"/>
                    <c:layout>
                      <c:manualLayout>
                        <c:x val="2.2627339949814768E-2"/>
                        <c:y val="6.944262175561388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1.9375650888811723E-2"/>
                            <c:h val="7.8634441528142307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3-A861-4503-9320-C987C967B81B}"/>
                      </c:ext>
                    </c:extLst>
                  </c:dLbl>
                  <c:dLbl>
                    <c:idx val="3"/>
                    <c:layout>
                      <c:manualLayout>
                        <c:x val="2.0113132410531143E-2"/>
                        <c:y val="9.2592592592593437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861-4503-9320-C987C967B81B}"/>
                      </c:ext>
                    </c:extLst>
                  </c:dLbl>
                  <c:dLbl>
                    <c:idx val="4"/>
                    <c:layout>
                      <c:manualLayout>
                        <c:x val="2.1789226778075411E-2"/>
                        <c:y val="4.629629629629544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A861-4503-9320-C987C967B81B}"/>
                      </c:ext>
                    </c:extLst>
                  </c:dLbl>
                  <c:dLbl>
                    <c:idx val="5"/>
                    <c:layout>
                      <c:manualLayout>
                        <c:x val="1.0056566205265479E-2"/>
                        <c:y val="-4.629629629629629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A861-4503-9320-C987C967B81B}"/>
                      </c:ext>
                    </c:extLst>
                  </c:dLbl>
                  <c:dLbl>
                    <c:idx val="6"/>
                    <c:layout>
                      <c:manualLayout>
                        <c:x val="-1.0056566205265603E-2"/>
                        <c:y val="-9.2592592592593437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A861-4503-9320-C987C967B81B}"/>
                      </c:ext>
                    </c:extLst>
                  </c:dLbl>
                  <c:dLbl>
                    <c:idx val="7"/>
                    <c:layout>
                      <c:manualLayout>
                        <c:x val="-1.0056566205265726E-2"/>
                        <c:y val="-8.4875562720133283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A861-4503-9320-C987C967B81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Family!$D$2:$P$2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Family!$D$10:$K$10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5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5A-4613-85D4-3206E42359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Family!$C$12</c15:sqref>
                        </c15:formulaRef>
                      </c:ext>
                    </c:extLst>
                    <c:strCache>
                      <c:ptCount val="1"/>
                      <c:pt idx="0">
                        <c:v>Playgroup 20 participants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Family!$D$2:$P$2</c15:sqref>
                        </c15:formulaRef>
                      </c:ext>
                    </c:extLst>
                    <c:strCache>
                      <c:ptCount val="13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Family!$D$12:$O$12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43</c:v>
                      </c:pt>
                      <c:pt idx="2">
                        <c:v>25</c:v>
                      </c:pt>
                      <c:pt idx="3">
                        <c:v>34</c:v>
                      </c:pt>
                      <c:pt idx="4">
                        <c:v>44</c:v>
                      </c:pt>
                      <c:pt idx="5">
                        <c:v>49</c:v>
                      </c:pt>
                      <c:pt idx="6">
                        <c:v>51</c:v>
                      </c:pt>
                      <c:pt idx="7">
                        <c:v>70</c:v>
                      </c:pt>
                      <c:pt idx="8">
                        <c:v>50</c:v>
                      </c:pt>
                      <c:pt idx="9">
                        <c:v>52</c:v>
                      </c:pt>
                      <c:pt idx="10">
                        <c:v>85</c:v>
                      </c:pt>
                      <c:pt idx="11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5A-4613-85D4-3206E423596E}"/>
                  </c:ext>
                </c:extLst>
              </c15:ser>
            </c15:filteredBarSeries>
          </c:ext>
        </c:extLst>
      </c:barChart>
      <c:catAx>
        <c:axId val="8000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32015"/>
        <c:crosses val="autoZero"/>
        <c:auto val="1"/>
        <c:lblAlgn val="ctr"/>
        <c:lblOffset val="100"/>
        <c:noMultiLvlLbl val="0"/>
      </c:catAx>
      <c:valAx>
        <c:axId val="8000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3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 Council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Family!$C$12</c:f>
              <c:strCache>
                <c:ptCount val="1"/>
                <c:pt idx="0">
                  <c:v>Playgroup 20 participants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Family!$D$12:$O$12</c:f>
              <c:numCache>
                <c:formatCode>General</c:formatCode>
                <c:ptCount val="12"/>
                <c:pt idx="0">
                  <c:v>20</c:v>
                </c:pt>
                <c:pt idx="1">
                  <c:v>43</c:v>
                </c:pt>
                <c:pt idx="2">
                  <c:v>25</c:v>
                </c:pt>
                <c:pt idx="3">
                  <c:v>34</c:v>
                </c:pt>
                <c:pt idx="4">
                  <c:v>44</c:v>
                </c:pt>
                <c:pt idx="5">
                  <c:v>49</c:v>
                </c:pt>
                <c:pt idx="6">
                  <c:v>51</c:v>
                </c:pt>
                <c:pt idx="7">
                  <c:v>70</c:v>
                </c:pt>
                <c:pt idx="8">
                  <c:v>50</c:v>
                </c:pt>
                <c:pt idx="9">
                  <c:v>52</c:v>
                </c:pt>
                <c:pt idx="10">
                  <c:v>85</c:v>
                </c:pt>
                <c:pt idx="11">
                  <c:v>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597-4BB0-B82D-96152E106F50}"/>
            </c:ext>
          </c:extLst>
        </c:ser>
        <c:ser>
          <c:idx val="8"/>
          <c:order val="8"/>
          <c:tx>
            <c:strRef>
              <c:f>Family!$C$14</c:f>
              <c:strCache>
                <c:ptCount val="1"/>
                <c:pt idx="0">
                  <c:v>Parent Education Trainings 45 participants</c:v>
                </c:pt>
              </c:strCache>
            </c:strRef>
          </c:tx>
          <c:spPr>
            <a:solidFill>
              <a:srgbClr val="FFC6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Family!$D$14:$O$14</c:f>
              <c:numCache>
                <c:formatCode>General</c:formatCode>
                <c:ptCount val="12"/>
                <c:pt idx="0">
                  <c:v>92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12</c:v>
                </c:pt>
                <c:pt idx="5">
                  <c:v>30</c:v>
                </c:pt>
                <c:pt idx="6">
                  <c:v>19</c:v>
                </c:pt>
                <c:pt idx="7">
                  <c:v>0</c:v>
                </c:pt>
                <c:pt idx="8">
                  <c:v>26</c:v>
                </c:pt>
                <c:pt idx="9">
                  <c:v>2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B-43B9-9737-B552B39D95CD}"/>
            </c:ext>
          </c:extLst>
        </c:ser>
        <c:ser>
          <c:idx val="9"/>
          <c:order val="9"/>
          <c:tx>
            <c:strRef>
              <c:f>Family!$C$17</c:f>
              <c:strCache>
                <c:ptCount val="1"/>
                <c:pt idx="0">
                  <c:v>Community Provider Trainings 160 participants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Family!$D$17:$O$17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32</c:v>
                </c:pt>
                <c:pt idx="4">
                  <c:v>20</c:v>
                </c:pt>
                <c:pt idx="5">
                  <c:v>24</c:v>
                </c:pt>
                <c:pt idx="6">
                  <c:v>53</c:v>
                </c:pt>
                <c:pt idx="7">
                  <c:v>47</c:v>
                </c:pt>
                <c:pt idx="8">
                  <c:v>201</c:v>
                </c:pt>
                <c:pt idx="9">
                  <c:v>6</c:v>
                </c:pt>
                <c:pt idx="10">
                  <c:v>0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B-43B9-9737-B552B39D9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035759"/>
        <c:axId val="800032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Family!$C$7</c15:sqref>
                        </c15:formulaRef>
                      </c:ext>
                    </c:extLst>
                    <c:strCache>
                      <c:ptCount val="1"/>
                      <c:pt idx="0">
                        <c:v>Maine Families Wait List - Outreach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Family!$D$2:$O$2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Family!$D$7:$P$7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7">
                        <c:v>74</c:v>
                      </c:pt>
                      <c:pt idx="8">
                        <c:v>93</c:v>
                      </c:pt>
                      <c:pt idx="9">
                        <c:v>69</c:v>
                      </c:pt>
                      <c:pt idx="10">
                        <c:v>21</c:v>
                      </c:pt>
                      <c:pt idx="11">
                        <c:v>22</c:v>
                      </c:pt>
                      <c:pt idx="12">
                        <c:v>279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597-4BB0-B82D-96152E106F5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Family!$C$8</c15:sqref>
                        </c15:formulaRef>
                      </c:ext>
                    </c:extLst>
                    <c:strCache>
                      <c:ptCount val="1"/>
                      <c:pt idx="0">
                        <c:v>Number of PreNatal Families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Family!$D$8:$O$8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 formatCode="0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597-4BB0-B82D-96152E106F5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Family!$C$9</c15:sqref>
                        </c15:formulaRef>
                      </c:ext>
                    </c:extLst>
                    <c:strCache>
                      <c:ptCount val="1"/>
                      <c:pt idx="0">
                        <c:v>50% prenatal enrollment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Family!$D$9:$P$9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0.28999999999999998</c:v>
                      </c:pt>
                      <c:pt idx="1">
                        <c:v>0.5</c:v>
                      </c:pt>
                      <c:pt idx="2">
                        <c:v>0.44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1</c:v>
                      </c:pt>
                      <c:pt idx="6">
                        <c:v>0.17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0.25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0.37916666666666665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97-4BB0-B82D-96152E106F5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Family!$C$10</c15:sqref>
                        </c15:formulaRef>
                      </c:ext>
                    </c:extLst>
                    <c:strCache>
                      <c:ptCount val="1"/>
                      <c:pt idx="0">
                        <c:v>CAN Council (CB&amp;E) community events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Family!$D$10:$P$10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5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97-4BB0-B82D-96152E106F5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Family!$C$11</c15:sqref>
                        </c15:formulaRef>
                      </c:ext>
                    </c:extLst>
                    <c:strCache>
                      <c:ptCount val="1"/>
                      <c:pt idx="0">
                        <c:v>30 playgroups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6"/>
                    <c:layout>
                      <c:manualLayout>
                        <c:x val="2.3480083857442224E-2"/>
                        <c:y val="-1.851851851851851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CA29-4260-80AE-58ADB78B7AB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Family!$D$11:$P$11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97-4BB0-B82D-96152E106F5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Family!$C$13</c15:sqref>
                        </c15:formulaRef>
                      </c:ext>
                    </c:extLst>
                    <c:strCache>
                      <c:ptCount val="1"/>
                      <c:pt idx="0">
                        <c:v>9 parent education trainings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Family!$D$13:$O$13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97-4BB0-B82D-96152E106F5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Family!$C$16</c15:sqref>
                        </c15:formulaRef>
                      </c:ext>
                    </c:extLst>
                    <c:strCache>
                      <c:ptCount val="1"/>
                      <c:pt idx="0">
                        <c:v>20 community provider trainings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Family!$D$16:$L$16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1">
                        <c:v>2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5</c:v>
                      </c:pt>
                      <c:pt idx="8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60E-449B-BB23-4DB7461E0ABF}"/>
                  </c:ext>
                </c:extLst>
              </c15:ser>
            </c15:filteredBarSeries>
          </c:ext>
        </c:extLst>
      </c:barChart>
      <c:catAx>
        <c:axId val="8000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32015"/>
        <c:crosses val="autoZero"/>
        <c:auto val="1"/>
        <c:lblAlgn val="ctr"/>
        <c:lblOffset val="100"/>
        <c:noMultiLvlLbl val="0"/>
      </c:catAx>
      <c:valAx>
        <c:axId val="8000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3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782360756897507E-2"/>
          <c:y val="0.15875528052726867"/>
          <c:w val="0.92198340051006755"/>
          <c:h val="0.686323909562209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Family!$C$24</c:f>
              <c:strCache>
                <c:ptCount val="1"/>
                <c:pt idx="0">
                  <c:v>Maine Families - MEICHV  &amp; Families First        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Family!$H$22:$S$22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Family!$D$3:$O$3</c:f>
              <c:numCache>
                <c:formatCode>General</c:formatCode>
                <c:ptCount val="12"/>
                <c:pt idx="0">
                  <c:v>230</c:v>
                </c:pt>
                <c:pt idx="1">
                  <c:v>268</c:v>
                </c:pt>
                <c:pt idx="2">
                  <c:v>234</c:v>
                </c:pt>
                <c:pt idx="3">
                  <c:v>287</c:v>
                </c:pt>
                <c:pt idx="4" formatCode="0">
                  <c:v>285</c:v>
                </c:pt>
                <c:pt idx="5">
                  <c:v>301</c:v>
                </c:pt>
                <c:pt idx="6" formatCode="0">
                  <c:v>286</c:v>
                </c:pt>
                <c:pt idx="7" formatCode="0">
                  <c:v>315</c:v>
                </c:pt>
                <c:pt idx="8">
                  <c:v>263</c:v>
                </c:pt>
                <c:pt idx="9">
                  <c:v>295</c:v>
                </c:pt>
                <c:pt idx="10">
                  <c:v>289</c:v>
                </c:pt>
                <c:pt idx="1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B-49F4-A0B2-C7B96236D231}"/>
            </c:ext>
          </c:extLst>
        </c:ser>
        <c:ser>
          <c:idx val="0"/>
          <c:order val="1"/>
          <c:tx>
            <c:strRef>
              <c:f>Family!$G$24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9.8631220805633826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D5B-49F4-A0B2-C7B96236D231}"/>
                </c:ext>
              </c:extLst>
            </c:dLbl>
            <c:dLbl>
              <c:idx val="2"/>
              <c:layout>
                <c:manualLayout>
                  <c:x val="3.5390397888391181E-3"/>
                  <c:y val="0.110662982375275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D5B-49F4-A0B2-C7B96236D231}"/>
                </c:ext>
              </c:extLst>
            </c:dLbl>
            <c:dLbl>
              <c:idx val="3"/>
              <c:layout>
                <c:manualLayout>
                  <c:x val="-6.4881646610399541E-17"/>
                  <c:y val="7.44367239585065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D5B-49F4-A0B2-C7B96236D231}"/>
                </c:ext>
              </c:extLst>
            </c:dLbl>
            <c:dLbl>
              <c:idx val="4"/>
              <c:layout>
                <c:manualLayout>
                  <c:x val="0"/>
                  <c:y val="0.112539975195183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D5B-49F4-A0B2-C7B96236D231}"/>
                </c:ext>
              </c:extLst>
            </c:dLbl>
            <c:dLbl>
              <c:idx val="5"/>
              <c:layout>
                <c:manualLayout>
                  <c:x val="0"/>
                  <c:y val="0.101971198851945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0F-4181-AEA5-5ADD0CFFA4BD}"/>
                </c:ext>
              </c:extLst>
            </c:dLbl>
            <c:dLbl>
              <c:idx val="6"/>
              <c:layout>
                <c:manualLayout>
                  <c:x val="0"/>
                  <c:y val="-0.120105636538507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9D-4C71-ACD9-52A0FF9BB53A}"/>
                </c:ext>
              </c:extLst>
            </c:dLbl>
            <c:dLbl>
              <c:idx val="7"/>
              <c:layout>
                <c:manualLayout>
                  <c:x val="-6.4881646610399541E-17"/>
                  <c:y val="-0.165820967098089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F6-482D-A725-2CFADF5300F9}"/>
                </c:ext>
              </c:extLst>
            </c:dLbl>
            <c:dLbl>
              <c:idx val="8"/>
              <c:layout>
                <c:manualLayout>
                  <c:x val="-5.3085596832587257E-3"/>
                  <c:y val="-0.182682158060981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8-4478-9BF1-900705802FB4}"/>
                </c:ext>
              </c:extLst>
            </c:dLbl>
            <c:dLbl>
              <c:idx val="9"/>
              <c:layout>
                <c:manualLayout>
                  <c:x val="-1.2976329322079908E-16"/>
                  <c:y val="-0.199543349023873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E1-4BA6-A3AE-BE679B9A5282}"/>
                </c:ext>
              </c:extLst>
            </c:dLbl>
            <c:dLbl>
              <c:idx val="10"/>
              <c:layout>
                <c:manualLayout>
                  <c:x val="0"/>
                  <c:y val="-0.2134153447587613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C0-48CC-88A4-401E3BE5FF31}"/>
                </c:ext>
              </c:extLst>
            </c:dLbl>
            <c:dLbl>
              <c:idx val="11"/>
              <c:layout>
                <c:manualLayout>
                  <c:x val="-7.0780795776783003E-3"/>
                  <c:y val="-0.268796498964531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B9-4DC3-8F36-19A035729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Family!$H$22:$S$22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Family!$H$24:$S$24</c:f>
              <c:numCache>
                <c:formatCode>0</c:formatCode>
                <c:ptCount val="12"/>
                <c:pt idx="0" formatCode="General">
                  <c:v>230</c:v>
                </c:pt>
                <c:pt idx="1">
                  <c:v>498</c:v>
                </c:pt>
                <c:pt idx="2">
                  <c:v>502</c:v>
                </c:pt>
                <c:pt idx="3">
                  <c:v>789</c:v>
                </c:pt>
                <c:pt idx="4">
                  <c:v>1074</c:v>
                </c:pt>
                <c:pt idx="5">
                  <c:v>1375</c:v>
                </c:pt>
                <c:pt idx="6">
                  <c:v>1661</c:v>
                </c:pt>
                <c:pt idx="7">
                  <c:v>1976</c:v>
                </c:pt>
                <c:pt idx="8">
                  <c:v>2239</c:v>
                </c:pt>
                <c:pt idx="9">
                  <c:v>2534</c:v>
                </c:pt>
                <c:pt idx="10">
                  <c:v>2823</c:v>
                </c:pt>
                <c:pt idx="11">
                  <c:v>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B-49F4-A0B2-C7B96236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063423"/>
        <c:axId val="1510753471"/>
      </c:barChart>
      <c:catAx>
        <c:axId val="610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53471"/>
        <c:crosses val="autoZero"/>
        <c:auto val="1"/>
        <c:lblAlgn val="ctr"/>
        <c:lblOffset val="100"/>
        <c:noMultiLvlLbl val="0"/>
      </c:catAx>
      <c:valAx>
        <c:axId val="15107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3423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 Family Enrollments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40206924683854E-2"/>
          <c:y val="0.13730994152046785"/>
          <c:w val="0.91725979307531613"/>
          <c:h val="0.70538551102164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Customer!$B$3</c:f>
              <c:strCache>
                <c:ptCount val="1"/>
                <c:pt idx="0">
                  <c:v># Families Newly Enrolled in Whole Family Program (month)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Customer!$C$3:$N$3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  <c:pt idx="5">
                  <c:v>22</c:v>
                </c:pt>
                <c:pt idx="6">
                  <c:v>14</c:v>
                </c:pt>
                <c:pt idx="7">
                  <c:v>21</c:v>
                </c:pt>
                <c:pt idx="8">
                  <c:v>5</c:v>
                </c:pt>
                <c:pt idx="9">
                  <c:v>7</c:v>
                </c:pt>
                <c:pt idx="10">
                  <c:v>19</c:v>
                </c:pt>
                <c:pt idx="11">
                  <c:v>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5C-4785-AE90-67DEDCB93402}"/>
            </c:ext>
          </c:extLst>
        </c:ser>
        <c:ser>
          <c:idx val="4"/>
          <c:order val="4"/>
          <c:tx>
            <c:strRef>
              <c:f>Customer!$B$7</c:f>
              <c:strCache>
                <c:ptCount val="1"/>
                <c:pt idx="0">
                  <c:v># Adult Caregivers Newly Enrolled (month)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Customer!$C$7:$N$7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15</c:v>
                </c:pt>
                <c:pt idx="5">
                  <c:v>30</c:v>
                </c:pt>
                <c:pt idx="6">
                  <c:v>16</c:v>
                </c:pt>
                <c:pt idx="7">
                  <c:v>33</c:v>
                </c:pt>
                <c:pt idx="8">
                  <c:v>6</c:v>
                </c:pt>
                <c:pt idx="9">
                  <c:v>12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5C-4785-AE90-67DEDCB93402}"/>
            </c:ext>
          </c:extLst>
        </c:ser>
        <c:ser>
          <c:idx val="5"/>
          <c:order val="5"/>
          <c:tx>
            <c:strRef>
              <c:f>Customer!$B$8</c:f>
              <c:strCache>
                <c:ptCount val="1"/>
                <c:pt idx="0">
                  <c:v># Minor Dependent Children Newly Enrolled (month)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Customer!$C$8:$N$8</c:f>
              <c:numCache>
                <c:formatCode>General</c:formatCode>
                <c:ptCount val="12"/>
                <c:pt idx="0">
                  <c:v>14</c:v>
                </c:pt>
                <c:pt idx="1">
                  <c:v>9</c:v>
                </c:pt>
                <c:pt idx="2">
                  <c:v>21</c:v>
                </c:pt>
                <c:pt idx="3">
                  <c:v>19</c:v>
                </c:pt>
                <c:pt idx="4">
                  <c:v>6</c:v>
                </c:pt>
                <c:pt idx="5">
                  <c:v>25</c:v>
                </c:pt>
                <c:pt idx="6">
                  <c:v>8</c:v>
                </c:pt>
                <c:pt idx="7">
                  <c:v>17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5C-4785-AE90-67DEDCB9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425087"/>
        <c:axId val="840421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Customer!$B$4</c15:sqref>
                        </c15:formulaRef>
                      </c:ext>
                    </c:extLst>
                    <c:strCache>
                      <c:ptCount val="1"/>
                      <c:pt idx="0">
                        <c:v># Families on the Whole Family Wait List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Customer!$C$4:$N$4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13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5C-4785-AE90-67DEDCB9340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Customer!$B$5</c15:sqref>
                        </c15:formulaRef>
                      </c:ext>
                    </c:extLst>
                    <c:strCache>
                      <c:ptCount val="1"/>
                      <c:pt idx="0">
                        <c:v># Families on the Whole Family Wait List - Oxford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8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5C-4785-AE90-67DEDCB9340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Customer!$B$6</c15:sqref>
                        </c15:formulaRef>
                      </c:ext>
                    </c:extLst>
                    <c:strCache>
                      <c:ptCount val="1"/>
                      <c:pt idx="0">
                        <c:v># Families on the Whole Family Wait List - Andro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Customer!$C$6:$N$6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5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5C-4785-AE90-67DEDCB9340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Customer!$B$9</c15:sqref>
                        </c15:formulaRef>
                      </c:ext>
                    </c:extLst>
                    <c:strCache>
                      <c:ptCount val="1"/>
                      <c:pt idx="0">
                        <c:v># Families Currently Enrolled with a Completed Assessment (month)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Customer!$C$9:$N$9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</c:v>
                      </c:pt>
                      <c:pt idx="1">
                        <c:v>23</c:v>
                      </c:pt>
                      <c:pt idx="2">
                        <c:v>22</c:v>
                      </c:pt>
                      <c:pt idx="3">
                        <c:v>26</c:v>
                      </c:pt>
                      <c:pt idx="4">
                        <c:v>15</c:v>
                      </c:pt>
                      <c:pt idx="5">
                        <c:v>41</c:v>
                      </c:pt>
                      <c:pt idx="6">
                        <c:v>35</c:v>
                      </c:pt>
                      <c:pt idx="7">
                        <c:v>42</c:v>
                      </c:pt>
                      <c:pt idx="8">
                        <c:v>32</c:v>
                      </c:pt>
                      <c:pt idx="9">
                        <c:v>21</c:v>
                      </c:pt>
                      <c:pt idx="10">
                        <c:v>38</c:v>
                      </c:pt>
                      <c:pt idx="1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5C-4785-AE90-67DEDCB9340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Customer!$B$10</c15:sqref>
                        </c15:formulaRef>
                      </c:ext>
                    </c:extLst>
                    <c:strCache>
                      <c:ptCount val="1"/>
                      <c:pt idx="0">
                        <c:v># Families Currently Enrolled with a Completed Self Sufficiency Matrix (month)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Customer!$C$10:$N$10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</c:v>
                      </c:pt>
                      <c:pt idx="1">
                        <c:v>23</c:v>
                      </c:pt>
                      <c:pt idx="2">
                        <c:v>22</c:v>
                      </c:pt>
                      <c:pt idx="3">
                        <c:v>26</c:v>
                      </c:pt>
                      <c:pt idx="4">
                        <c:v>15</c:v>
                      </c:pt>
                      <c:pt idx="5">
                        <c:v>41</c:v>
                      </c:pt>
                      <c:pt idx="6">
                        <c:v>35</c:v>
                      </c:pt>
                      <c:pt idx="7">
                        <c:v>42</c:v>
                      </c:pt>
                      <c:pt idx="8">
                        <c:v>32</c:v>
                      </c:pt>
                      <c:pt idx="9">
                        <c:v>21</c:v>
                      </c:pt>
                      <c:pt idx="10">
                        <c:v>38</c:v>
                      </c:pt>
                      <c:pt idx="1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5C-4785-AE90-67DEDCB9340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Customer!$B$11</c15:sqref>
                        </c15:formulaRef>
                      </c:ext>
                    </c:extLst>
                    <c:strCache>
                      <c:ptCount val="1"/>
                      <c:pt idx="0">
                        <c:v># Families Currently Enrolled with a Completed Family Plan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Customer!$C$11:$N$11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73</c:v>
                      </c:pt>
                      <c:pt idx="2">
                        <c:v>69</c:v>
                      </c:pt>
                      <c:pt idx="3">
                        <c:v>76</c:v>
                      </c:pt>
                      <c:pt idx="4">
                        <c:v>79</c:v>
                      </c:pt>
                      <c:pt idx="5">
                        <c:v>95</c:v>
                      </c:pt>
                      <c:pt idx="6">
                        <c:v>109</c:v>
                      </c:pt>
                      <c:pt idx="7">
                        <c:v>110</c:v>
                      </c:pt>
                      <c:pt idx="8">
                        <c:v>97</c:v>
                      </c:pt>
                      <c:pt idx="9">
                        <c:v>76</c:v>
                      </c:pt>
                      <c:pt idx="10">
                        <c:v>76</c:v>
                      </c:pt>
                      <c:pt idx="11">
                        <c:v>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5C-4785-AE90-67DEDCB9340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Customer!$B$12</c15:sqref>
                        </c15:formulaRef>
                      </c:ext>
                    </c:extLst>
                    <c:strCache>
                      <c:ptCount val="1"/>
                      <c:pt idx="0">
                        <c:v># Households completing Financial &amp; Education Reduction Literacy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Customer!$C$12:$N$12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19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5C-4785-AE90-67DEDCB9340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Customer!$B$13</c15:sqref>
                        </c15:formulaRef>
                      </c:ext>
                    </c:extLst>
                    <c:strCache>
                      <c:ptCount val="1"/>
                      <c:pt idx="0">
                        <c:v>Assurance 16 Wait List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Customer!$C$13:$N$13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49</c:v>
                      </c:pt>
                      <c:pt idx="8">
                        <c:v>48</c:v>
                      </c:pt>
                      <c:pt idx="9">
                        <c:v>39</c:v>
                      </c:pt>
                      <c:pt idx="10">
                        <c:v>20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5C-4785-AE90-67DEDCB9340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Customer!$B$14</c15:sqref>
                        </c15:formulaRef>
                      </c:ext>
                    </c:extLst>
                    <c:strCache>
                      <c:ptCount val="1"/>
                      <c:pt idx="0">
                        <c:v>Assurance 16 Wait List - Oxford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Customer!$C$14:$N$14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9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5C-4785-AE90-67DEDCB9340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Customer!$B$15</c15:sqref>
                        </c15:formulaRef>
                      </c:ext>
                    </c:extLst>
                    <c:strCache>
                      <c:ptCount val="1"/>
                      <c:pt idx="0">
                        <c:v>Assurance 16 Wait List - Andro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Customer!$C$15:$N$15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40</c:v>
                      </c:pt>
                      <c:pt idx="8">
                        <c:v>41</c:v>
                      </c:pt>
                      <c:pt idx="9">
                        <c:v>34</c:v>
                      </c:pt>
                      <c:pt idx="10">
                        <c:v>18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5C-4785-AE90-67DEDCB93402}"/>
                  </c:ext>
                </c:extLst>
              </c15:ser>
            </c15:filteredBarSeries>
          </c:ext>
        </c:extLst>
      </c:barChart>
      <c:catAx>
        <c:axId val="8404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1343"/>
        <c:crosses val="autoZero"/>
        <c:auto val="1"/>
        <c:lblAlgn val="ctr"/>
        <c:lblOffset val="100"/>
        <c:noMultiLvlLbl val="0"/>
      </c:catAx>
      <c:valAx>
        <c:axId val="8404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58796359247E-2"/>
          <c:y val="0.90798556430446198"/>
          <c:w val="0.76757993147110215"/>
          <c:h val="9.2014550812727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 Family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32038597216161E-2"/>
          <c:y val="3.2062101962940417E-2"/>
          <c:w val="0.95752980514824848"/>
          <c:h val="0.5713883270825560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Customer!$B$9</c:f>
              <c:strCache>
                <c:ptCount val="1"/>
                <c:pt idx="0">
                  <c:v># Families Currently Enrolled with a Completed Assessment (month)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Customer!$C$9:$N$9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  <c:pt idx="4">
                  <c:v>15</c:v>
                </c:pt>
                <c:pt idx="5">
                  <c:v>41</c:v>
                </c:pt>
                <c:pt idx="6">
                  <c:v>35</c:v>
                </c:pt>
                <c:pt idx="7">
                  <c:v>42</c:v>
                </c:pt>
                <c:pt idx="8">
                  <c:v>32</c:v>
                </c:pt>
                <c:pt idx="9">
                  <c:v>21</c:v>
                </c:pt>
                <c:pt idx="10">
                  <c:v>38</c:v>
                </c:pt>
                <c:pt idx="11">
                  <c:v>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63D-4EEA-9856-27F8E61247E2}"/>
            </c:ext>
          </c:extLst>
        </c:ser>
        <c:ser>
          <c:idx val="7"/>
          <c:order val="7"/>
          <c:tx>
            <c:strRef>
              <c:f>Customer!$B$10</c:f>
              <c:strCache>
                <c:ptCount val="1"/>
                <c:pt idx="0">
                  <c:v># Families Currently Enrolled with a Completed Self Sufficiency Matrix (month)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Customer!$C$10:$N$10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  <c:pt idx="4">
                  <c:v>15</c:v>
                </c:pt>
                <c:pt idx="5">
                  <c:v>41</c:v>
                </c:pt>
                <c:pt idx="6">
                  <c:v>35</c:v>
                </c:pt>
                <c:pt idx="7">
                  <c:v>42</c:v>
                </c:pt>
                <c:pt idx="8">
                  <c:v>32</c:v>
                </c:pt>
                <c:pt idx="9">
                  <c:v>21</c:v>
                </c:pt>
                <c:pt idx="10">
                  <c:v>38</c:v>
                </c:pt>
                <c:pt idx="11">
                  <c:v>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63D-4EEA-9856-27F8E61247E2}"/>
            </c:ext>
          </c:extLst>
        </c:ser>
        <c:ser>
          <c:idx val="8"/>
          <c:order val="8"/>
          <c:tx>
            <c:strRef>
              <c:f>Customer!$B$11</c:f>
              <c:strCache>
                <c:ptCount val="1"/>
                <c:pt idx="0">
                  <c:v># Families Currently Enrolled with a Completed Family Plan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Customer!$C$11:$N$11</c:f>
              <c:numCache>
                <c:formatCode>General</c:formatCode>
                <c:ptCount val="12"/>
                <c:pt idx="0">
                  <c:v>75</c:v>
                </c:pt>
                <c:pt idx="1">
                  <c:v>73</c:v>
                </c:pt>
                <c:pt idx="2">
                  <c:v>69</c:v>
                </c:pt>
                <c:pt idx="3">
                  <c:v>76</c:v>
                </c:pt>
                <c:pt idx="4">
                  <c:v>79</c:v>
                </c:pt>
                <c:pt idx="5">
                  <c:v>95</c:v>
                </c:pt>
                <c:pt idx="6">
                  <c:v>109</c:v>
                </c:pt>
                <c:pt idx="7">
                  <c:v>110</c:v>
                </c:pt>
                <c:pt idx="8">
                  <c:v>97</c:v>
                </c:pt>
                <c:pt idx="9">
                  <c:v>76</c:v>
                </c:pt>
                <c:pt idx="10">
                  <c:v>76</c:v>
                </c:pt>
                <c:pt idx="11">
                  <c:v>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63D-4EEA-9856-27F8E61247E2}"/>
            </c:ext>
          </c:extLst>
        </c:ser>
        <c:ser>
          <c:idx val="9"/>
          <c:order val="9"/>
          <c:tx>
            <c:strRef>
              <c:f>Customer!$B$12</c:f>
              <c:strCache>
                <c:ptCount val="1"/>
                <c:pt idx="0">
                  <c:v># Households completing Financial &amp; Education Reduction Literacy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Customer!$C$12:$N$12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263D-4EEA-9856-27F8E61247E2}"/>
            </c:ext>
          </c:extLst>
        </c:ser>
        <c:ser>
          <c:idx val="13"/>
          <c:order val="13"/>
          <c:tx>
            <c:strRef>
              <c:f>Customer!$B$19</c:f>
              <c:strCache>
                <c:ptCount val="1"/>
                <c:pt idx="0">
                  <c:v># Families Who Have Made Progress on the Self Sufficiency Matrix (continuum)"Gains"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Customer!$C$19:$N$19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27</c:v>
                </c:pt>
                <c:pt idx="5">
                  <c:v>23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D-4919-8E2E-224CAE599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425087"/>
        <c:axId val="8404213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Customer!$B$3</c15:sqref>
                        </c15:formulaRef>
                      </c:ext>
                    </c:extLst>
                    <c:strCache>
                      <c:ptCount val="1"/>
                      <c:pt idx="0">
                        <c:v># Families Newly Enrolled in Whole Family Program (month)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Customer!$C$3:$N$3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17</c:v>
                      </c:pt>
                      <c:pt idx="2">
                        <c:v>8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22</c:v>
                      </c:pt>
                      <c:pt idx="6">
                        <c:v>14</c:v>
                      </c:pt>
                      <c:pt idx="7">
                        <c:v>21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19</c:v>
                      </c:pt>
                      <c:pt idx="11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3D-4EEA-9856-27F8E61247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Customer!$B$4</c15:sqref>
                        </c15:formulaRef>
                      </c:ext>
                    </c:extLst>
                    <c:strCache>
                      <c:ptCount val="1"/>
                      <c:pt idx="0">
                        <c:v># Families on the Whole Family Wait List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13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3D-4EEA-9856-27F8E61247E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Customer!$B$5</c15:sqref>
                        </c15:formulaRef>
                      </c:ext>
                    </c:extLst>
                    <c:strCache>
                      <c:ptCount val="1"/>
                      <c:pt idx="0">
                        <c:v># Families on the Whole Family Wait List - Oxford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8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3D-4EEA-9856-27F8E61247E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Customer!$B$6</c15:sqref>
                        </c15:formulaRef>
                      </c:ext>
                    </c:extLst>
                    <c:strCache>
                      <c:ptCount val="1"/>
                      <c:pt idx="0">
                        <c:v># Families on the Whole Family Wait List - Andro</c:v>
                      </c:pt>
                    </c:strCache>
                  </c:strRef>
                </c:tx>
                <c:spPr>
                  <a:solidFill>
                    <a:schemeClr val="accent4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Customer!$C$6:$N$6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5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3D-4EEA-9856-27F8E61247E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Customer!$B$7</c15:sqref>
                        </c15:formulaRef>
                      </c:ext>
                    </c:extLst>
                    <c:strCache>
                      <c:ptCount val="1"/>
                      <c:pt idx="0">
                        <c:v># Adult Caregivers Newly Enrolled (month)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Customer!$C$7:$N$7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15</c:v>
                      </c:pt>
                      <c:pt idx="5">
                        <c:v>30</c:v>
                      </c:pt>
                      <c:pt idx="6">
                        <c:v>16</c:v>
                      </c:pt>
                      <c:pt idx="7">
                        <c:v>33</c:v>
                      </c:pt>
                      <c:pt idx="8">
                        <c:v>6</c:v>
                      </c:pt>
                      <c:pt idx="9">
                        <c:v>12</c:v>
                      </c:pt>
                      <c:pt idx="10">
                        <c:v>24</c:v>
                      </c:pt>
                      <c:pt idx="1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3D-4EEA-9856-27F8E61247E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Customer!$B$8</c15:sqref>
                        </c15:formulaRef>
                      </c:ext>
                    </c:extLst>
                    <c:strCache>
                      <c:ptCount val="1"/>
                      <c:pt idx="0">
                        <c:v># Minor Dependent Children Newly Enrolled (month)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Customer!$C$8:$N$8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</c:v>
                      </c:pt>
                      <c:pt idx="1">
                        <c:v>9</c:v>
                      </c:pt>
                      <c:pt idx="2">
                        <c:v>21</c:v>
                      </c:pt>
                      <c:pt idx="3">
                        <c:v>19</c:v>
                      </c:pt>
                      <c:pt idx="4">
                        <c:v>6</c:v>
                      </c:pt>
                      <c:pt idx="5">
                        <c:v>25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8</c:v>
                      </c:pt>
                      <c:pt idx="9">
                        <c:v>13</c:v>
                      </c:pt>
                      <c:pt idx="10">
                        <c:v>19</c:v>
                      </c:pt>
                      <c:pt idx="1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3D-4EEA-9856-27F8E61247E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Customer!$B$13</c15:sqref>
                        </c15:formulaRef>
                      </c:ext>
                    </c:extLst>
                    <c:strCache>
                      <c:ptCount val="1"/>
                      <c:pt idx="0">
                        <c:v>Assurance 16 Wait List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Customer!$C$13:$N$13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49</c:v>
                      </c:pt>
                      <c:pt idx="8">
                        <c:v>48</c:v>
                      </c:pt>
                      <c:pt idx="9">
                        <c:v>39</c:v>
                      </c:pt>
                      <c:pt idx="10">
                        <c:v>20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63D-4EEA-9856-27F8E61247E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Customer!$B$14</c15:sqref>
                        </c15:formulaRef>
                      </c:ext>
                    </c:extLst>
                    <c:strCache>
                      <c:ptCount val="1"/>
                      <c:pt idx="0">
                        <c:v>Assurance 16 Wait List - Oxford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Customer!$C$14:$N$14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9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63D-4EEA-9856-27F8E61247E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Customer!$B$15</c15:sqref>
                        </c15:formulaRef>
                      </c:ext>
                    </c:extLst>
                    <c:strCache>
                      <c:ptCount val="1"/>
                      <c:pt idx="0">
                        <c:v>Assurance 16 Wait List - Andro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Customer!$C$15:$N$15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40</c:v>
                      </c:pt>
                      <c:pt idx="8">
                        <c:v>41</c:v>
                      </c:pt>
                      <c:pt idx="9">
                        <c:v>34</c:v>
                      </c:pt>
                      <c:pt idx="10">
                        <c:v>18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63D-4EEA-9856-27F8E61247E2}"/>
                  </c:ext>
                </c:extLst>
              </c15:ser>
            </c15:filteredBarSeries>
          </c:ext>
        </c:extLst>
      </c:barChart>
      <c:catAx>
        <c:axId val="8404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1343"/>
        <c:crosses val="autoZero"/>
        <c:auto val="1"/>
        <c:lblAlgn val="ctr"/>
        <c:lblOffset val="100"/>
        <c:noMultiLvlLbl val="0"/>
      </c:catAx>
      <c:valAx>
        <c:axId val="840421343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Reception calls and Inquiries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9378305955105E-2"/>
          <c:y val="0.17171296296296298"/>
          <c:w val="0.95752980514824848"/>
          <c:h val="0.572159157188684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'FY24 KPIs'!$C$81</c:f>
              <c:strCache>
                <c:ptCount val="1"/>
                <c:pt idx="0">
                  <c:v># Incoming calls to reception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Customer!$C$20:$N$20</c:f>
              <c:numCache>
                <c:formatCode>General</c:formatCode>
                <c:ptCount val="12"/>
                <c:pt idx="0">
                  <c:v>5409</c:v>
                </c:pt>
                <c:pt idx="1">
                  <c:v>6085</c:v>
                </c:pt>
                <c:pt idx="2">
                  <c:v>4712</c:v>
                </c:pt>
                <c:pt idx="3">
                  <c:v>6274</c:v>
                </c:pt>
                <c:pt idx="4">
                  <c:v>4503</c:v>
                </c:pt>
                <c:pt idx="5">
                  <c:v>4464</c:v>
                </c:pt>
                <c:pt idx="6">
                  <c:v>2815</c:v>
                </c:pt>
                <c:pt idx="7">
                  <c:v>2439</c:v>
                </c:pt>
                <c:pt idx="8">
                  <c:v>2175</c:v>
                </c:pt>
                <c:pt idx="9">
                  <c:v>3580</c:v>
                </c:pt>
                <c:pt idx="10">
                  <c:v>3493</c:v>
                </c:pt>
                <c:pt idx="11">
                  <c:v>4194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CF8-47FA-821F-2BA0E1C0BFE6}"/>
            </c:ext>
          </c:extLst>
        </c:ser>
        <c:ser>
          <c:idx val="1"/>
          <c:order val="1"/>
          <c:tx>
            <c:strRef>
              <c:f>'FY24 KPIs'!$C$82</c:f>
              <c:strCache>
                <c:ptCount val="1"/>
                <c:pt idx="0">
                  <c:v># Incoming website inquiries to reception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Customer!$C$21:$N$21</c:f>
              <c:numCache>
                <c:formatCode>General</c:formatCode>
                <c:ptCount val="12"/>
                <c:pt idx="0">
                  <c:v>69</c:v>
                </c:pt>
                <c:pt idx="1">
                  <c:v>69</c:v>
                </c:pt>
                <c:pt idx="2">
                  <c:v>73</c:v>
                </c:pt>
                <c:pt idx="3">
                  <c:v>80</c:v>
                </c:pt>
                <c:pt idx="4">
                  <c:v>83</c:v>
                </c:pt>
                <c:pt idx="5">
                  <c:v>72</c:v>
                </c:pt>
                <c:pt idx="6">
                  <c:v>78</c:v>
                </c:pt>
                <c:pt idx="7">
                  <c:v>68</c:v>
                </c:pt>
                <c:pt idx="8">
                  <c:v>55</c:v>
                </c:pt>
                <c:pt idx="9">
                  <c:v>58</c:v>
                </c:pt>
                <c:pt idx="10">
                  <c:v>54</c:v>
                </c:pt>
                <c:pt idx="11">
                  <c:v>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CF8-47FA-821F-2BA0E1C0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425087"/>
        <c:axId val="840421343"/>
        <c:extLst/>
      </c:barChart>
      <c:catAx>
        <c:axId val="8404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1343"/>
        <c:crosses val="autoZero"/>
        <c:auto val="1"/>
        <c:lblAlgn val="ctr"/>
        <c:lblOffset val="100"/>
        <c:noMultiLvlLbl val="0"/>
      </c:catAx>
      <c:valAx>
        <c:axId val="840421343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5087"/>
        <c:crosses val="autoZero"/>
        <c:crossBetween val="between"/>
        <c:majorUnit val="2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Families enrolled and Home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9378305955105E-2"/>
          <c:y val="0.17171296296296298"/>
          <c:w val="0.93247385016470274"/>
          <c:h val="0.57215915718868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Customer!$B$3</c:f>
              <c:strCache>
                <c:ptCount val="1"/>
                <c:pt idx="0">
                  <c:v># Families Newly Enrolled in Whole Family Program (month)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Customer!$C$3:$N$3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  <c:pt idx="5">
                  <c:v>22</c:v>
                </c:pt>
                <c:pt idx="6">
                  <c:v>14</c:v>
                </c:pt>
                <c:pt idx="7">
                  <c:v>21</c:v>
                </c:pt>
                <c:pt idx="8">
                  <c:v>5</c:v>
                </c:pt>
                <c:pt idx="9">
                  <c:v>7</c:v>
                </c:pt>
                <c:pt idx="10">
                  <c:v>19</c:v>
                </c:pt>
                <c:pt idx="11">
                  <c:v>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1FC-46E8-BF99-BAC512FB61BF}"/>
            </c:ext>
          </c:extLst>
        </c:ser>
        <c:ser>
          <c:idx val="7"/>
          <c:order val="7"/>
          <c:tx>
            <c:strRef>
              <c:f>Customer!$B$16</c:f>
              <c:strCache>
                <c:ptCount val="1"/>
                <c:pt idx="0">
                  <c:v>Home Visits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Customer!$C$2:$N$2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Customer!$C$16:$N$16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15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30</c:v>
                </c:pt>
                <c:pt idx="8">
                  <c:v>23</c:v>
                </c:pt>
                <c:pt idx="9">
                  <c:v>10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1FC-46E8-BF99-BAC512FB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425087"/>
        <c:axId val="840421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Customer!$B$4</c15:sqref>
                        </c15:formulaRef>
                      </c:ext>
                    </c:extLst>
                    <c:strCache>
                      <c:ptCount val="1"/>
                      <c:pt idx="0">
                        <c:v># Families on the Whole Family Wait List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Customer!$C$4:$N$4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13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1FC-46E8-BF99-BAC512FB61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Customer!$B$5</c15:sqref>
                        </c15:formulaRef>
                      </c:ext>
                    </c:extLst>
                    <c:strCache>
                      <c:ptCount val="1"/>
                      <c:pt idx="0">
                        <c:v># Families on the Whole Family Wait List - Oxford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8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FC-46E8-BF99-BAC512FB61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Customer!$B$6</c15:sqref>
                        </c15:formulaRef>
                      </c:ext>
                    </c:extLst>
                    <c:strCache>
                      <c:ptCount val="1"/>
                      <c:pt idx="0">
                        <c:v># Families on the Whole Family Wait List - Andro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Customer!$C$6:$N$6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5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FC-46E8-BF99-BAC512FB61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Customer!$B$7</c15:sqref>
                        </c15:formulaRef>
                      </c:ext>
                    </c:extLst>
                    <c:strCache>
                      <c:ptCount val="1"/>
                      <c:pt idx="0">
                        <c:v># Adult Caregivers Newly Enrolled (month)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Customer!$C$7:$N$7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15</c:v>
                      </c:pt>
                      <c:pt idx="5">
                        <c:v>30</c:v>
                      </c:pt>
                      <c:pt idx="6">
                        <c:v>16</c:v>
                      </c:pt>
                      <c:pt idx="7">
                        <c:v>33</c:v>
                      </c:pt>
                      <c:pt idx="8">
                        <c:v>6</c:v>
                      </c:pt>
                      <c:pt idx="9">
                        <c:v>12</c:v>
                      </c:pt>
                      <c:pt idx="10">
                        <c:v>24</c:v>
                      </c:pt>
                      <c:pt idx="1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FC-46E8-BF99-BAC512FB61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Customer!$B$8</c15:sqref>
                        </c15:formulaRef>
                      </c:ext>
                    </c:extLst>
                    <c:strCache>
                      <c:ptCount val="1"/>
                      <c:pt idx="0">
                        <c:v># Minor Dependent Children Newly Enrolled (month)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Customer!$C$8:$N$8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</c:v>
                      </c:pt>
                      <c:pt idx="1">
                        <c:v>9</c:v>
                      </c:pt>
                      <c:pt idx="2">
                        <c:v>21</c:v>
                      </c:pt>
                      <c:pt idx="3">
                        <c:v>19</c:v>
                      </c:pt>
                      <c:pt idx="4">
                        <c:v>6</c:v>
                      </c:pt>
                      <c:pt idx="5">
                        <c:v>25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8</c:v>
                      </c:pt>
                      <c:pt idx="9">
                        <c:v>13</c:v>
                      </c:pt>
                      <c:pt idx="10">
                        <c:v>19</c:v>
                      </c:pt>
                      <c:pt idx="1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FC-46E8-BF99-BAC512FB61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Customer!$B$9</c15:sqref>
                        </c15:formulaRef>
                      </c:ext>
                    </c:extLst>
                    <c:strCache>
                      <c:ptCount val="1"/>
                      <c:pt idx="0">
                        <c:v># Families Currently Enrolled with a Completed Assessment (month)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Customer!$C$9:$N$9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</c:v>
                      </c:pt>
                      <c:pt idx="1">
                        <c:v>23</c:v>
                      </c:pt>
                      <c:pt idx="2">
                        <c:v>22</c:v>
                      </c:pt>
                      <c:pt idx="3">
                        <c:v>26</c:v>
                      </c:pt>
                      <c:pt idx="4">
                        <c:v>15</c:v>
                      </c:pt>
                      <c:pt idx="5">
                        <c:v>41</c:v>
                      </c:pt>
                      <c:pt idx="6">
                        <c:v>35</c:v>
                      </c:pt>
                      <c:pt idx="7">
                        <c:v>42</c:v>
                      </c:pt>
                      <c:pt idx="8">
                        <c:v>32</c:v>
                      </c:pt>
                      <c:pt idx="9">
                        <c:v>21</c:v>
                      </c:pt>
                      <c:pt idx="10">
                        <c:v>38</c:v>
                      </c:pt>
                      <c:pt idx="1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1FC-46E8-BF99-BAC512FB61B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Customer!$B$11</c15:sqref>
                        </c15:formulaRef>
                      </c:ext>
                    </c:extLst>
                    <c:strCache>
                      <c:ptCount val="1"/>
                      <c:pt idx="0">
                        <c:v># Families Currently Enrolled with a Completed Family Plan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Customer!$C$11:$N$11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73</c:v>
                      </c:pt>
                      <c:pt idx="2">
                        <c:v>69</c:v>
                      </c:pt>
                      <c:pt idx="3">
                        <c:v>76</c:v>
                      </c:pt>
                      <c:pt idx="4">
                        <c:v>79</c:v>
                      </c:pt>
                      <c:pt idx="5">
                        <c:v>95</c:v>
                      </c:pt>
                      <c:pt idx="6">
                        <c:v>109</c:v>
                      </c:pt>
                      <c:pt idx="7">
                        <c:v>110</c:v>
                      </c:pt>
                      <c:pt idx="8">
                        <c:v>97</c:v>
                      </c:pt>
                      <c:pt idx="9">
                        <c:v>76</c:v>
                      </c:pt>
                      <c:pt idx="10">
                        <c:v>76</c:v>
                      </c:pt>
                      <c:pt idx="11">
                        <c:v>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FC-46E8-BF99-BAC512FB61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Customer!$B$12</c15:sqref>
                        </c15:formulaRef>
                      </c:ext>
                    </c:extLst>
                    <c:strCache>
                      <c:ptCount val="1"/>
                      <c:pt idx="0">
                        <c:v># Households completing Financial &amp; Education Reduction Literacy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Customer!$C$12:$N$12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19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FC-46E8-BF99-BAC512FB61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Customer!$B$13</c15:sqref>
                        </c15:formulaRef>
                      </c:ext>
                    </c:extLst>
                    <c:strCache>
                      <c:ptCount val="1"/>
                      <c:pt idx="0">
                        <c:v>Assurance 16 Wait List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Customer!$C$13:$N$13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49</c:v>
                      </c:pt>
                      <c:pt idx="8">
                        <c:v>48</c:v>
                      </c:pt>
                      <c:pt idx="9">
                        <c:v>39</c:v>
                      </c:pt>
                      <c:pt idx="10">
                        <c:v>20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FC-46E8-BF99-BAC512FB61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Customer!$B$14</c15:sqref>
                        </c15:formulaRef>
                      </c:ext>
                    </c:extLst>
                    <c:strCache>
                      <c:ptCount val="1"/>
                      <c:pt idx="0">
                        <c:v>Assurance 16 Wait List - Oxford</c:v>
                      </c:pt>
                    </c:strCache>
                  </c:strRef>
                </c:tx>
                <c:spPr>
                  <a:solidFill>
                    <a:srgbClr val="CFEF1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Customer!$C$14:$N$14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9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FC-46E8-BF99-BAC512FB61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Customer!$B$15</c15:sqref>
                        </c15:formulaRef>
                      </c:ext>
                    </c:extLst>
                    <c:strCache>
                      <c:ptCount val="1"/>
                      <c:pt idx="0">
                        <c:v>Assurance 16 Wait List - Andro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Customer!$C$2:$N$2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Customer!$C$15:$N$15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7">
                        <c:v>40</c:v>
                      </c:pt>
                      <c:pt idx="8">
                        <c:v>41</c:v>
                      </c:pt>
                      <c:pt idx="9">
                        <c:v>34</c:v>
                      </c:pt>
                      <c:pt idx="10">
                        <c:v>18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FC-46E8-BF99-BAC512FB61BF}"/>
                  </c:ext>
                </c:extLst>
              </c15:ser>
            </c15:filteredBarSeries>
          </c:ext>
        </c:extLst>
      </c:barChart>
      <c:catAx>
        <c:axId val="8404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1343"/>
        <c:crosses val="autoZero"/>
        <c:auto val="1"/>
        <c:lblAlgn val="ctr"/>
        <c:lblOffset val="100"/>
        <c:noMultiLvlLbl val="0"/>
      </c:catAx>
      <c:valAx>
        <c:axId val="840421343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5087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Fund Raising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Development!$A$4</c:f>
              <c:strCache>
                <c:ptCount val="1"/>
                <c:pt idx="0">
                  <c:v>Raise $150,000 in grant funding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Development!$B$2:$M$2</c15:sqref>
                  </c15:fullRef>
                </c:ext>
              </c:extLst>
              <c:f>(Development!$B$2:$H$2,Development!$J$2:$M$2)</c:f>
              <c:strCache>
                <c:ptCount val="11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Jun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Development!$B$4:$M$4</c15:sqref>
                  </c15:fullRef>
                </c:ext>
              </c:extLst>
              <c:f>(Development!$B$4:$H$4,Development!$J$4:$M$4)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60729</c:v>
                </c:pt>
                <c:pt idx="2">
                  <c:v>20000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85521.59</c:v>
                </c:pt>
                <c:pt idx="7">
                  <c:v>3755000</c:v>
                </c:pt>
                <c:pt idx="8">
                  <c:v>16812</c:v>
                </c:pt>
                <c:pt idx="9">
                  <c:v>1182360</c:v>
                </c:pt>
                <c:pt idx="10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3-443C-9069-B40743052648}"/>
            </c:ext>
          </c:extLst>
        </c:ser>
        <c:ser>
          <c:idx val="2"/>
          <c:order val="2"/>
          <c:tx>
            <c:strRef>
              <c:f>Development!$A$5</c:f>
              <c:strCache>
                <c:ptCount val="1"/>
                <c:pt idx="0">
                  <c:v>Raise $125,000 in unrestricted funds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Development!$B$2:$M$2</c15:sqref>
                  </c15:fullRef>
                </c:ext>
              </c:extLst>
              <c:f>(Development!$B$2:$H$2,Development!$J$2:$M$2)</c:f>
              <c:strCache>
                <c:ptCount val="11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Jun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Development!$B$5:$M$5</c15:sqref>
                  </c15:fullRef>
                </c:ext>
              </c:extLst>
              <c:f>(Development!$B$5:$H$5,Development!$J$5:$M$5)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14145</c:v>
                </c:pt>
                <c:pt idx="2">
                  <c:v>3026.38</c:v>
                </c:pt>
                <c:pt idx="3">
                  <c:v>20164</c:v>
                </c:pt>
                <c:pt idx="4">
                  <c:v>7762</c:v>
                </c:pt>
                <c:pt idx="5">
                  <c:v>9473</c:v>
                </c:pt>
                <c:pt idx="6">
                  <c:v>7604.62</c:v>
                </c:pt>
                <c:pt idx="7">
                  <c:v>8219.2099999999991</c:v>
                </c:pt>
                <c:pt idx="8">
                  <c:v>47738.89</c:v>
                </c:pt>
                <c:pt idx="9">
                  <c:v>8968.5499999999993</c:v>
                </c:pt>
                <c:pt idx="10">
                  <c:v>6694.54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3-4942-8A6C-980A23336DBA}"/>
            </c:ext>
          </c:extLst>
        </c:ser>
        <c:ser>
          <c:idx val="3"/>
          <c:order val="3"/>
          <c:tx>
            <c:strRef>
              <c:f>Development!$A$6</c:f>
              <c:strCache>
                <c:ptCount val="1"/>
                <c:pt idx="0">
                  <c:v>Overall Agency Donations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Development!$B$2:$M$2</c15:sqref>
                  </c15:fullRef>
                </c:ext>
              </c:extLst>
              <c:f>(Development!$B$2:$H$2,Development!$J$2:$M$2)</c:f>
              <c:strCache>
                <c:ptCount val="11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Jun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Development!$B$6:$M$6</c15:sqref>
                  </c15:fullRef>
                </c:ext>
              </c:extLst>
              <c:f>(Development!$B$6:$H$6,Development!$J$6:$M$6)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28780</c:v>
                </c:pt>
                <c:pt idx="2">
                  <c:v>60302.37</c:v>
                </c:pt>
                <c:pt idx="3">
                  <c:v>70578</c:v>
                </c:pt>
                <c:pt idx="4">
                  <c:v>79598</c:v>
                </c:pt>
                <c:pt idx="5">
                  <c:v>59723</c:v>
                </c:pt>
                <c:pt idx="6">
                  <c:v>96664.98000000001</c:v>
                </c:pt>
                <c:pt idx="7">
                  <c:v>35811.68</c:v>
                </c:pt>
                <c:pt idx="8">
                  <c:v>41195.74</c:v>
                </c:pt>
                <c:pt idx="9">
                  <c:v>8968.5499999999993</c:v>
                </c:pt>
                <c:pt idx="10">
                  <c:v>121180.06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6-4B97-A1D3-4322A8B5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817647"/>
        <c:axId val="1813819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Development!$A$3</c15:sqref>
                        </c15:formulaRef>
                      </c:ext>
                    </c:extLst>
                    <c:strCache>
                      <c:ptCount val="1"/>
                      <c:pt idx="0">
                        <c:v>Recruit 5 people in the Impact Circle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Development!$B$2:$M$2</c15:sqref>
                        </c15:fullRef>
                        <c15:formulaRef>
                          <c15:sqref>(Development!$B$2:$H$2,Development!$J$2:$M$2)</c15:sqref>
                        </c15:formulaRef>
                      </c:ext>
                    </c:extLst>
                    <c:strCache>
                      <c:ptCount val="11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Jun</c:v>
                      </c:pt>
                      <c:pt idx="8">
                        <c:v>July</c:v>
                      </c:pt>
                      <c:pt idx="9">
                        <c:v>Aug</c:v>
                      </c:pt>
                      <c:pt idx="10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Development!$B$3:$M$3</c15:sqref>
                        </c15:fullRef>
                        <c15:formulaRef>
                          <c15:sqref>(Development!$B$3:$H$3,Development!$J$3:$M$3)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13-443C-9069-B4074305264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Development!$A$7</c15:sqref>
                        </c15:formulaRef>
                      </c:ext>
                    </c:extLst>
                    <c:strCache>
                      <c:ptCount val="1"/>
                      <c:pt idx="0">
                        <c:v># of new donors acquired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Development!$B$2:$M$2</c15:sqref>
                        </c15:fullRef>
                        <c15:formulaRef>
                          <c15:sqref>(Development!$B$2:$H$2,Development!$J$2:$M$2)</c15:sqref>
                        </c15:formulaRef>
                      </c:ext>
                    </c:extLst>
                    <c:strCache>
                      <c:ptCount val="11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Jun</c:v>
                      </c:pt>
                      <c:pt idx="8">
                        <c:v>July</c:v>
                      </c:pt>
                      <c:pt idx="9">
                        <c:v>Aug</c:v>
                      </c:pt>
                      <c:pt idx="10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Development!$B$7:$M$7</c15:sqref>
                        </c15:fullRef>
                        <c15:formulaRef>
                          <c15:sqref>(Development!$B$7:$H$7,Development!$J$7:$M$7)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31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06-4B97-A1D3-4322A8B5183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Development!$A$8</c15:sqref>
                        </c15:formulaRef>
                      </c:ext>
                    </c:extLst>
                    <c:strCache>
                      <c:ptCount val="1"/>
                      <c:pt idx="0">
                        <c:v># of donors giving more ("upgraded")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Development!$B$2:$M$2</c15:sqref>
                        </c15:fullRef>
                        <c15:formulaRef>
                          <c15:sqref>(Development!$B$2:$H$2,Development!$J$2:$M$2)</c15:sqref>
                        </c15:formulaRef>
                      </c:ext>
                    </c:extLst>
                    <c:strCache>
                      <c:ptCount val="11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Jun</c:v>
                      </c:pt>
                      <c:pt idx="8">
                        <c:v>July</c:v>
                      </c:pt>
                      <c:pt idx="9">
                        <c:v>Aug</c:v>
                      </c:pt>
                      <c:pt idx="10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Development!$B$8:$M$8</c15:sqref>
                        </c15:fullRef>
                        <c15:formulaRef>
                          <c15:sqref>(Development!$B$8:$H$8,Development!$J$8:$M$8)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21</c:v>
                      </c:pt>
                      <c:pt idx="2">
                        <c:v>27</c:v>
                      </c:pt>
                      <c:pt idx="3">
                        <c:v>30</c:v>
                      </c:pt>
                      <c:pt idx="4">
                        <c:v>28</c:v>
                      </c:pt>
                      <c:pt idx="5">
                        <c:v>30</c:v>
                      </c:pt>
                      <c:pt idx="6">
                        <c:v>28</c:v>
                      </c:pt>
                      <c:pt idx="7">
                        <c:v>22</c:v>
                      </c:pt>
                      <c:pt idx="8">
                        <c:v>21</c:v>
                      </c:pt>
                      <c:pt idx="9">
                        <c:v>19</c:v>
                      </c:pt>
                      <c:pt idx="10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06-4B97-A1D3-4322A8B518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Development!$A$9</c15:sqref>
                        </c15:formulaRef>
                      </c:ext>
                    </c:extLst>
                    <c:strCache>
                      <c:ptCount val="1"/>
                      <c:pt idx="0">
                        <c:v># of "reaches"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Development!$B$2:$M$2</c15:sqref>
                        </c15:fullRef>
                        <c15:formulaRef>
                          <c15:sqref>(Development!$B$2:$H$2,Development!$J$2:$M$2)</c15:sqref>
                        </c15:formulaRef>
                      </c:ext>
                    </c:extLst>
                    <c:strCache>
                      <c:ptCount val="11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Jun</c:v>
                      </c:pt>
                      <c:pt idx="8">
                        <c:v>July</c:v>
                      </c:pt>
                      <c:pt idx="9">
                        <c:v>Aug</c:v>
                      </c:pt>
                      <c:pt idx="10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Development!$B$9:$M$9</c15:sqref>
                        </c15:fullRef>
                        <c15:formulaRef>
                          <c15:sqref>(Development!$B$9:$H$9,Development!$J$9:$M$9)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11802</c:v>
                      </c:pt>
                      <c:pt idx="1">
                        <c:v>10121</c:v>
                      </c:pt>
                      <c:pt idx="2">
                        <c:v>3725</c:v>
                      </c:pt>
                      <c:pt idx="3">
                        <c:v>45212</c:v>
                      </c:pt>
                      <c:pt idx="4">
                        <c:v>6344</c:v>
                      </c:pt>
                      <c:pt idx="5">
                        <c:v>15753</c:v>
                      </c:pt>
                      <c:pt idx="6">
                        <c:v>30589</c:v>
                      </c:pt>
                      <c:pt idx="7">
                        <c:v>23921</c:v>
                      </c:pt>
                      <c:pt idx="8">
                        <c:v>25495</c:v>
                      </c:pt>
                      <c:pt idx="9">
                        <c:v>27100</c:v>
                      </c:pt>
                      <c:pt idx="10">
                        <c:v>22836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06-4B97-A1D3-4322A8B5183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Development!$A$10</c15:sqref>
                        </c15:formulaRef>
                      </c:ext>
                    </c:extLst>
                    <c:strCache>
                      <c:ptCount val="1"/>
                      <c:pt idx="0">
                        <c:v>Board of Directors contribute to CCI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Development!$B$2:$M$2</c15:sqref>
                        </c15:fullRef>
                        <c15:formulaRef>
                          <c15:sqref>(Development!$B$2:$H$2,Development!$J$2:$M$2)</c15:sqref>
                        </c15:formulaRef>
                      </c:ext>
                    </c:extLst>
                    <c:strCache>
                      <c:ptCount val="11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Jun</c:v>
                      </c:pt>
                      <c:pt idx="8">
                        <c:v>July</c:v>
                      </c:pt>
                      <c:pt idx="9">
                        <c:v>Aug</c:v>
                      </c:pt>
                      <c:pt idx="10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Development!$B$10:$M$10</c15:sqref>
                        </c15:fullRef>
                        <c15:formulaRef>
                          <c15:sqref>(Development!$B$10:$H$10,Development!$J$10:$M$10)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06-4B97-A1D3-4322A8B51834}"/>
                  </c:ext>
                </c:extLst>
              </c15:ser>
            </c15:filteredBarSeries>
          </c:ext>
        </c:extLst>
      </c:barChart>
      <c:catAx>
        <c:axId val="181381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19311"/>
        <c:crosses val="autoZero"/>
        <c:auto val="1"/>
        <c:lblAlgn val="ctr"/>
        <c:lblOffset val="100"/>
        <c:noMultiLvlLbl val="0"/>
      </c:catAx>
      <c:valAx>
        <c:axId val="1813819311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Donor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48250722071088E-2"/>
          <c:y val="0.11677290957148008"/>
          <c:w val="0.96088463429729554"/>
          <c:h val="0.73817119081133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Development!$A$3</c:f>
              <c:strCache>
                <c:ptCount val="1"/>
                <c:pt idx="0">
                  <c:v>Recruit 5 people in the Impact Circle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Development!$B$2:$M$2</c15:sqref>
                  </c15:fullRef>
                </c:ext>
              </c:extLst>
              <c:f>(Development!$B$2:$H$2,Development!$J$2:$M$2)</c:f>
              <c:strCache>
                <c:ptCount val="11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Jun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Development!$B$3:$M$3</c15:sqref>
                  </c15:fullRef>
                </c:ext>
              </c:extLst>
              <c:f>(Development!$B$3:$H$3,Development!$J$3:$M$3)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F14-4DB0-96B4-537A0E77E991}"/>
            </c:ext>
          </c:extLst>
        </c:ser>
        <c:ser>
          <c:idx val="4"/>
          <c:order val="4"/>
          <c:tx>
            <c:strRef>
              <c:f>Development!$A$7</c:f>
              <c:strCache>
                <c:ptCount val="1"/>
                <c:pt idx="0">
                  <c:v># of new donors acquired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Development!$B$2:$M$2</c15:sqref>
                  </c15:fullRef>
                </c:ext>
              </c:extLst>
              <c:f>(Development!$B$2:$H$2,Development!$J$2:$M$2)</c:f>
              <c:strCache>
                <c:ptCount val="11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Jun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Development!$B$7:$M$7</c15:sqref>
                  </c15:fullRef>
                </c:ext>
              </c:extLst>
              <c:f>(Development!$B$7:$H$7,Development!$J$7:$M$7)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31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14-4DB0-96B4-537A0E77E991}"/>
            </c:ext>
          </c:extLst>
        </c:ser>
        <c:ser>
          <c:idx val="5"/>
          <c:order val="5"/>
          <c:tx>
            <c:strRef>
              <c:f>Development!$A$8</c:f>
              <c:strCache>
                <c:ptCount val="1"/>
                <c:pt idx="0">
                  <c:v># of donors giving more ("upgraded")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Development!$B$2:$M$2</c15:sqref>
                  </c15:fullRef>
                </c:ext>
              </c:extLst>
              <c:f>(Development!$B$2:$H$2,Development!$J$2:$M$2)</c:f>
              <c:strCache>
                <c:ptCount val="11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Jun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Development!$B$8:$M$8</c15:sqref>
                  </c15:fullRef>
                </c:ext>
              </c:extLst>
              <c:f>(Development!$B$8:$H$8,Development!$J$8:$M$8)</c:f>
              <c:numCache>
                <c:formatCode>General</c:formatCode>
                <c:ptCount val="11"/>
                <c:pt idx="0">
                  <c:v>0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  <c:pt idx="4">
                  <c:v>28</c:v>
                </c:pt>
                <c:pt idx="5">
                  <c:v>30</c:v>
                </c:pt>
                <c:pt idx="6">
                  <c:v>28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14-4DB0-96B4-537A0E77E991}"/>
            </c:ext>
          </c:extLst>
        </c:ser>
        <c:ser>
          <c:idx val="7"/>
          <c:order val="7"/>
          <c:tx>
            <c:strRef>
              <c:f>Development!$A$10</c:f>
              <c:strCache>
                <c:ptCount val="1"/>
                <c:pt idx="0">
                  <c:v>Board of Directors contribute to CCI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Development!$B$2:$M$2</c15:sqref>
                  </c15:fullRef>
                </c:ext>
              </c:extLst>
              <c:f>(Development!$B$2:$H$2,Development!$J$2:$M$2)</c:f>
              <c:strCache>
                <c:ptCount val="11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Jun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Development!$B$10:$M$10</c15:sqref>
                  </c15:fullRef>
                </c:ext>
              </c:extLst>
              <c:f>(Development!$B$10:$H$10,Development!$J$10:$M$10)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14-4DB0-96B4-537A0E77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817647"/>
        <c:axId val="18138193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Development!$A$4</c15:sqref>
                        </c15:formulaRef>
                      </c:ext>
                    </c:extLst>
                    <c:strCache>
                      <c:ptCount val="1"/>
                      <c:pt idx="0">
                        <c:v>Raise $150,000 in grant funding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Development!$B$2:$M$2</c15:sqref>
                        </c15:fullRef>
                        <c15:formulaRef>
                          <c15:sqref>(Development!$B$2:$H$2,Development!$J$2:$M$2)</c15:sqref>
                        </c15:formulaRef>
                      </c:ext>
                    </c:extLst>
                    <c:strCache>
                      <c:ptCount val="11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Jun</c:v>
                      </c:pt>
                      <c:pt idx="8">
                        <c:v>July</c:v>
                      </c:pt>
                      <c:pt idx="9">
                        <c:v>Aug</c:v>
                      </c:pt>
                      <c:pt idx="10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Development!$B$4:$M$4</c15:sqref>
                        </c15:fullRef>
                        <c15:formulaRef>
                          <c15:sqref>(Development!$B$4:$H$4,Development!$J$4:$M$4)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1"/>
                      <c:pt idx="0">
                        <c:v>0</c:v>
                      </c:pt>
                      <c:pt idx="1">
                        <c:v>60729</c:v>
                      </c:pt>
                      <c:pt idx="2">
                        <c:v>20000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85521.59</c:v>
                      </c:pt>
                      <c:pt idx="7">
                        <c:v>3755000</c:v>
                      </c:pt>
                      <c:pt idx="8">
                        <c:v>16812</c:v>
                      </c:pt>
                      <c:pt idx="9">
                        <c:v>1182360</c:v>
                      </c:pt>
                      <c:pt idx="10">
                        <c:v>155000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F14-4DB0-96B4-537A0E77E99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Development!$A$5</c15:sqref>
                        </c15:formulaRef>
                      </c:ext>
                    </c:extLst>
                    <c:strCache>
                      <c:ptCount val="1"/>
                      <c:pt idx="0">
                        <c:v>Raise $125,000 in unrestricted funds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Development!$B$2:$M$2</c15:sqref>
                        </c15:fullRef>
                        <c15:formulaRef>
                          <c15:sqref>(Development!$B$2:$H$2,Development!$J$2:$M$2)</c15:sqref>
                        </c15:formulaRef>
                      </c:ext>
                    </c:extLst>
                    <c:strCache>
                      <c:ptCount val="11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Jun</c:v>
                      </c:pt>
                      <c:pt idx="8">
                        <c:v>July</c:v>
                      </c:pt>
                      <c:pt idx="9">
                        <c:v>Aug</c:v>
                      </c:pt>
                      <c:pt idx="10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Development!$B$5:$M$5</c15:sqref>
                        </c15:fullRef>
                        <c15:formulaRef>
                          <c15:sqref>(Development!$B$5:$H$5,Development!$J$5:$M$5)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1"/>
                      <c:pt idx="0">
                        <c:v>0</c:v>
                      </c:pt>
                      <c:pt idx="1">
                        <c:v>14145</c:v>
                      </c:pt>
                      <c:pt idx="2">
                        <c:v>3026.38</c:v>
                      </c:pt>
                      <c:pt idx="3">
                        <c:v>20164</c:v>
                      </c:pt>
                      <c:pt idx="4">
                        <c:v>7762</c:v>
                      </c:pt>
                      <c:pt idx="5">
                        <c:v>9473</c:v>
                      </c:pt>
                      <c:pt idx="6">
                        <c:v>7604.62</c:v>
                      </c:pt>
                      <c:pt idx="7">
                        <c:v>8219.2099999999991</c:v>
                      </c:pt>
                      <c:pt idx="8">
                        <c:v>47738.89</c:v>
                      </c:pt>
                      <c:pt idx="9">
                        <c:v>8968.5499999999993</c:v>
                      </c:pt>
                      <c:pt idx="10">
                        <c:v>6694.54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14-4DB0-96B4-537A0E77E99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Development!$A$6</c15:sqref>
                        </c15:formulaRef>
                      </c:ext>
                    </c:extLst>
                    <c:strCache>
                      <c:ptCount val="1"/>
                      <c:pt idx="0">
                        <c:v>Overall Agency Donations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Development!$B$2:$M$2</c15:sqref>
                        </c15:fullRef>
                        <c15:formulaRef>
                          <c15:sqref>(Development!$B$2:$H$2,Development!$J$2:$M$2)</c15:sqref>
                        </c15:formulaRef>
                      </c:ext>
                    </c:extLst>
                    <c:strCache>
                      <c:ptCount val="11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Jun</c:v>
                      </c:pt>
                      <c:pt idx="8">
                        <c:v>July</c:v>
                      </c:pt>
                      <c:pt idx="9">
                        <c:v>Aug</c:v>
                      </c:pt>
                      <c:pt idx="10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Development!$B$6:$M$6</c15:sqref>
                        </c15:fullRef>
                        <c15:formulaRef>
                          <c15:sqref>(Development!$B$6:$H$6,Development!$J$6:$M$6)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1"/>
                      <c:pt idx="0">
                        <c:v>0</c:v>
                      </c:pt>
                      <c:pt idx="1">
                        <c:v>28780</c:v>
                      </c:pt>
                      <c:pt idx="2">
                        <c:v>60302.37</c:v>
                      </c:pt>
                      <c:pt idx="3">
                        <c:v>70578</c:v>
                      </c:pt>
                      <c:pt idx="4">
                        <c:v>79598</c:v>
                      </c:pt>
                      <c:pt idx="5">
                        <c:v>59723</c:v>
                      </c:pt>
                      <c:pt idx="6">
                        <c:v>96664.98000000001</c:v>
                      </c:pt>
                      <c:pt idx="7">
                        <c:v>35811.68</c:v>
                      </c:pt>
                      <c:pt idx="8">
                        <c:v>41195.74</c:v>
                      </c:pt>
                      <c:pt idx="9">
                        <c:v>8968.5499999999993</c:v>
                      </c:pt>
                      <c:pt idx="10">
                        <c:v>121180.06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14-4DB0-96B4-537A0E77E99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Development!$A$9</c15:sqref>
                        </c15:formulaRef>
                      </c:ext>
                    </c:extLst>
                    <c:strCache>
                      <c:ptCount val="1"/>
                      <c:pt idx="0">
                        <c:v># of "reaches"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Development!$B$2:$M$2</c15:sqref>
                        </c15:fullRef>
                        <c15:formulaRef>
                          <c15:sqref>(Development!$B$2:$H$2,Development!$J$2:$M$2)</c15:sqref>
                        </c15:formulaRef>
                      </c:ext>
                    </c:extLst>
                    <c:strCache>
                      <c:ptCount val="11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Jun</c:v>
                      </c:pt>
                      <c:pt idx="8">
                        <c:v>July</c:v>
                      </c:pt>
                      <c:pt idx="9">
                        <c:v>Aug</c:v>
                      </c:pt>
                      <c:pt idx="10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Development!$B$9:$M$9</c15:sqref>
                        </c15:fullRef>
                        <c15:formulaRef>
                          <c15:sqref>(Development!$B$9:$H$9,Development!$J$9:$M$9)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11802</c:v>
                      </c:pt>
                      <c:pt idx="1">
                        <c:v>10121</c:v>
                      </c:pt>
                      <c:pt idx="2">
                        <c:v>3725</c:v>
                      </c:pt>
                      <c:pt idx="3">
                        <c:v>45212</c:v>
                      </c:pt>
                      <c:pt idx="4">
                        <c:v>6344</c:v>
                      </c:pt>
                      <c:pt idx="5">
                        <c:v>15753</c:v>
                      </c:pt>
                      <c:pt idx="6">
                        <c:v>30589</c:v>
                      </c:pt>
                      <c:pt idx="7">
                        <c:v>23921</c:v>
                      </c:pt>
                      <c:pt idx="8">
                        <c:v>25495</c:v>
                      </c:pt>
                      <c:pt idx="9">
                        <c:v>27100</c:v>
                      </c:pt>
                      <c:pt idx="10">
                        <c:v>22836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14-4DB0-96B4-537A0E77E991}"/>
                  </c:ext>
                </c:extLst>
              </c15:ser>
            </c15:filteredBarSeries>
          </c:ext>
        </c:extLst>
      </c:barChart>
      <c:catAx>
        <c:axId val="181381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19311"/>
        <c:crosses val="autoZero"/>
        <c:auto val="1"/>
        <c:lblAlgn val="ctr"/>
        <c:lblOffset val="100"/>
        <c:noMultiLvlLbl val="0"/>
      </c:catAx>
      <c:valAx>
        <c:axId val="1813819311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'Children''s '!$A$4</c:f>
              <c:strCache>
                <c:ptCount val="1"/>
                <c:pt idx="0">
                  <c:v> HS Goal ≥ 90%   Attendance %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'FY24 KPIs'!$D$1:$P$1</c15:sqref>
                  </c15:fullRef>
                </c:ext>
              </c:extLst>
              <c:f>'FY24 KPIs'!$D$1:$O$1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'Children''s '!$B$4:$N$4</c15:sqref>
                  </c15:fullRef>
                </c:ext>
              </c:extLst>
              <c:f>'Children''s '!$B$4:$M$4</c:f>
              <c:numCache>
                <c:formatCode>0%</c:formatCode>
                <c:ptCount val="12"/>
                <c:pt idx="0">
                  <c:v>0.89</c:v>
                </c:pt>
                <c:pt idx="1">
                  <c:v>0.87</c:v>
                </c:pt>
                <c:pt idx="2">
                  <c:v>0.84</c:v>
                </c:pt>
                <c:pt idx="3">
                  <c:v>0.82</c:v>
                </c:pt>
                <c:pt idx="4">
                  <c:v>0.85</c:v>
                </c:pt>
                <c:pt idx="5">
                  <c:v>0.83</c:v>
                </c:pt>
                <c:pt idx="6">
                  <c:v>0.84</c:v>
                </c:pt>
                <c:pt idx="7">
                  <c:v>0.84</c:v>
                </c:pt>
                <c:pt idx="8">
                  <c:v>0.89</c:v>
                </c:pt>
                <c:pt idx="9">
                  <c:v>0.81</c:v>
                </c:pt>
                <c:pt idx="10">
                  <c:v>0.77</c:v>
                </c:pt>
                <c:pt idx="1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B-40AF-AAD8-0ADC1C3B5EB1}"/>
            </c:ext>
          </c:extLst>
        </c:ser>
        <c:ser>
          <c:idx val="6"/>
          <c:order val="6"/>
          <c:tx>
            <c:strRef>
              <c:f>'Children''s '!$A$9</c:f>
              <c:strCache>
                <c:ptCount val="1"/>
                <c:pt idx="0">
                  <c:v>EHS Goal ≥ 90% Attendance %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'FY24 KPIs'!$D$1:$P$1</c15:sqref>
                  </c15:fullRef>
                </c:ext>
              </c:extLst>
              <c:f>'FY24 KPIs'!$D$1:$O$1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'Children''s '!$B$9:$N$9</c15:sqref>
                  </c15:fullRef>
                </c:ext>
              </c:extLst>
              <c:f>'Children''s '!$B$9:$M$9</c:f>
              <c:numCache>
                <c:formatCode>0%</c:formatCode>
                <c:ptCount val="12"/>
                <c:pt idx="0">
                  <c:v>0.89</c:v>
                </c:pt>
                <c:pt idx="1">
                  <c:v>0.87</c:v>
                </c:pt>
                <c:pt idx="2">
                  <c:v>0.78</c:v>
                </c:pt>
                <c:pt idx="3">
                  <c:v>0.81</c:v>
                </c:pt>
                <c:pt idx="4">
                  <c:v>0.86</c:v>
                </c:pt>
                <c:pt idx="5">
                  <c:v>0.88</c:v>
                </c:pt>
                <c:pt idx="6">
                  <c:v>0.81</c:v>
                </c:pt>
                <c:pt idx="7">
                  <c:v>0.87</c:v>
                </c:pt>
                <c:pt idx="8">
                  <c:v>0.84</c:v>
                </c:pt>
                <c:pt idx="9">
                  <c:v>0.82</c:v>
                </c:pt>
                <c:pt idx="10">
                  <c:v>0.82</c:v>
                </c:pt>
                <c:pt idx="1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0B-40AF-AAD8-0ADC1C3B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2395904"/>
        <c:axId val="412385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'Children''s '!$A$3</c15:sqref>
                        </c15:formulaRef>
                      </c:ext>
                    </c:extLst>
                    <c:strCache>
                      <c:ptCount val="1"/>
                      <c:pt idx="0">
                        <c:v> Head Start Children Enrolled (Goal 266)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'Children''s '!$B$3:$N$3</c15:sqref>
                        </c15:fullRef>
                        <c15:formulaRef>
                          <c15:sqref>'Children''s 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197</c:v>
                      </c:pt>
                      <c:pt idx="1">
                        <c:v>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D0B-40AF-AAD8-0ADC1C3B5EB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'!$A$5</c15:sqref>
                        </c15:formulaRef>
                      </c:ext>
                    </c:extLst>
                    <c:strCache>
                      <c:ptCount val="1"/>
                      <c:pt idx="0">
                        <c:v> HS Wait List for Income Eligible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'!$B$5:$N$5</c15:sqref>
                        </c15:fullRef>
                        <c15:formulaRef>
                          <c15:sqref>'Children''s '!$B$5:$M$5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34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39</c:v>
                      </c:pt>
                      <c:pt idx="4">
                        <c:v>38</c:v>
                      </c:pt>
                      <c:pt idx="5">
                        <c:v>26</c:v>
                      </c:pt>
                      <c:pt idx="6">
                        <c:v>30</c:v>
                      </c:pt>
                      <c:pt idx="7">
                        <c:v>39</c:v>
                      </c:pt>
                      <c:pt idx="8">
                        <c:v>11</c:v>
                      </c:pt>
                      <c:pt idx="9">
                        <c:v>5</c:v>
                      </c:pt>
                      <c:pt idx="10">
                        <c:v>24</c:v>
                      </c:pt>
                      <c:pt idx="1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0B-40AF-AAD8-0ADC1C3B5EB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'!$A$6</c15:sqref>
                        </c15:formulaRef>
                      </c:ext>
                    </c:extLst>
                    <c:strCache>
                      <c:ptCount val="1"/>
                      <c:pt idx="0">
                        <c:v> HS Wait List for Over Income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'!$B$6:$N$6</c15:sqref>
                        </c15:fullRef>
                        <c15:formulaRef>
                          <c15:sqref>'Children''s 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42</c:v>
                      </c:pt>
                      <c:pt idx="1">
                        <c:v>42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43</c:v>
                      </c:pt>
                      <c:pt idx="5">
                        <c:v>36</c:v>
                      </c:pt>
                      <c:pt idx="6">
                        <c:v>35</c:v>
                      </c:pt>
                      <c:pt idx="7">
                        <c:v>26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43</c:v>
                      </c:pt>
                      <c:pt idx="1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0B-40AF-AAD8-0ADC1C3B5EB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'!$A$7</c15:sqref>
                        </c15:formulaRef>
                      </c:ext>
                    </c:extLst>
                    <c:strCache>
                      <c:ptCount val="1"/>
                      <c:pt idx="0">
                        <c:v>97% enrollment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'!$B$7:$N$7</c15:sqref>
                        </c15:fullRef>
                        <c15:formulaRef>
                          <c15:sqref>'Children''s '!$B$7:$M$7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0.76</c:v>
                      </c:pt>
                      <c:pt idx="1">
                        <c:v>0.79</c:v>
                      </c:pt>
                      <c:pt idx="2">
                        <c:v>0.79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0.92</c:v>
                      </c:pt>
                      <c:pt idx="6">
                        <c:v>0.91</c:v>
                      </c:pt>
                      <c:pt idx="7">
                        <c:v>0.89</c:v>
                      </c:pt>
                      <c:pt idx="8">
                        <c:v>0.15</c:v>
                      </c:pt>
                      <c:pt idx="9">
                        <c:v>0.1</c:v>
                      </c:pt>
                      <c:pt idx="10">
                        <c:v>0.08</c:v>
                      </c:pt>
                      <c:pt idx="11">
                        <c:v>0.68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0B-40AF-AAD8-0ADC1C3B5EB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'!$A$8</c15:sqref>
                        </c15:formulaRef>
                      </c:ext>
                    </c:extLst>
                    <c:strCache>
                      <c:ptCount val="1"/>
                      <c:pt idx="0">
                        <c:v> Early Head Start Children Enrolled (Goal 148)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'!$B$8:$N$8</c15:sqref>
                        </c15:fullRef>
                        <c15:formulaRef>
                          <c15:sqref>'Children''s 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60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0B-40AF-AAD8-0ADC1C3B5EB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'!$A$10</c15:sqref>
                        </c15:formulaRef>
                      </c:ext>
                    </c:extLst>
                    <c:strCache>
                      <c:ptCount val="1"/>
                      <c:pt idx="0">
                        <c:v>EHS Wait List for Income Eligible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'!$B$10:$N$10</c15:sqref>
                        </c15:fullRef>
                        <c15:formulaRef>
                          <c15:sqref>'Children''s 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49</c:v>
                      </c:pt>
                      <c:pt idx="1">
                        <c:v>51</c:v>
                      </c:pt>
                      <c:pt idx="2">
                        <c:v>53</c:v>
                      </c:pt>
                      <c:pt idx="3">
                        <c:v>52</c:v>
                      </c:pt>
                      <c:pt idx="4">
                        <c:v>51</c:v>
                      </c:pt>
                      <c:pt idx="5">
                        <c:v>31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37</c:v>
                      </c:pt>
                      <c:pt idx="9">
                        <c:v>39</c:v>
                      </c:pt>
                      <c:pt idx="10">
                        <c:v>52</c:v>
                      </c:pt>
                      <c:pt idx="1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0B-40AF-AAD8-0ADC1C3B5EB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'!$A$11</c15:sqref>
                        </c15:formulaRef>
                      </c:ext>
                    </c:extLst>
                    <c:strCache>
                      <c:ptCount val="1"/>
                      <c:pt idx="0">
                        <c:v> EHS Wait List for Over Income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'!$B$11:$N$11</c15:sqref>
                        </c15:fullRef>
                        <c15:formulaRef>
                          <c15:sqref>'Children''s '!$B$11:$M$11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37</c:v>
                      </c:pt>
                      <c:pt idx="2">
                        <c:v>36</c:v>
                      </c:pt>
                      <c:pt idx="3">
                        <c:v>35</c:v>
                      </c:pt>
                      <c:pt idx="4">
                        <c:v>32</c:v>
                      </c:pt>
                      <c:pt idx="5">
                        <c:v>31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51</c:v>
                      </c:pt>
                      <c:pt idx="1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0B-40AF-AAD8-0ADC1C3B5EB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'!$A$12</c15:sqref>
                        </c15:formulaRef>
                      </c:ext>
                    </c:extLst>
                    <c:strCache>
                      <c:ptCount val="1"/>
                      <c:pt idx="0">
                        <c:v>40 Early Head Start child care slots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'!$B$12:$N$12</c15:sqref>
                        </c15:fullRef>
                        <c15:formulaRef>
                          <c15:sqref>'Children''s '!$B$12:$M$12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38</c:v>
                      </c:pt>
                      <c:pt idx="4">
                        <c:v>39</c:v>
                      </c:pt>
                      <c:pt idx="5">
                        <c:v>40</c:v>
                      </c:pt>
                      <c:pt idx="6">
                        <c:v>39</c:v>
                      </c:pt>
                      <c:pt idx="7">
                        <c:v>48</c:v>
                      </c:pt>
                      <c:pt idx="8">
                        <c:v>45</c:v>
                      </c:pt>
                      <c:pt idx="9">
                        <c:v>46</c:v>
                      </c:pt>
                      <c:pt idx="10">
                        <c:v>45</c:v>
                      </c:pt>
                      <c:pt idx="1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0B-40AF-AAD8-0ADC1C3B5EB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'!$A$13</c15:sqref>
                        </c15:formulaRef>
                      </c:ext>
                    </c:extLst>
                    <c:strCache>
                      <c:ptCount val="1"/>
                      <c:pt idx="0">
                        <c:v>97% enrollment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'!$B$13:$N$13</c15:sqref>
                        </c15:fullRef>
                        <c15:formulaRef>
                          <c15:sqref>'Children''s '!$B$13:$M$13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0.41</c:v>
                      </c:pt>
                      <c:pt idx="1">
                        <c:v>0.44</c:v>
                      </c:pt>
                      <c:pt idx="2">
                        <c:v>0.44</c:v>
                      </c:pt>
                      <c:pt idx="3">
                        <c:v>0.44</c:v>
                      </c:pt>
                      <c:pt idx="4">
                        <c:v>0.44</c:v>
                      </c:pt>
                      <c:pt idx="5">
                        <c:v>0.85</c:v>
                      </c:pt>
                      <c:pt idx="6">
                        <c:v>0.81</c:v>
                      </c:pt>
                      <c:pt idx="7">
                        <c:v>0.86</c:v>
                      </c:pt>
                      <c:pt idx="8">
                        <c:v>0.8</c:v>
                      </c:pt>
                      <c:pt idx="9">
                        <c:v>0.88</c:v>
                      </c:pt>
                      <c:pt idx="10">
                        <c:v>0.8</c:v>
                      </c:pt>
                      <c:pt idx="11">
                        <c:v>0.71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D0B-40AF-AAD8-0ADC1C3B5EB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'!$A$14</c15:sqref>
                        </c15:formulaRef>
                      </c:ext>
                    </c:extLst>
                    <c:strCache>
                      <c:ptCount val="1"/>
                      <c:pt idx="0">
                        <c:v>USDA - 17 Homes (CACFP)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'!$B$14:$N$14</c15:sqref>
                        </c15:fullRef>
                        <c15:formulaRef>
                          <c15:sqref>'Children''s '!$B$14:$M$14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">
                        <c:v>0</c:v>
                      </c:pt>
                      <c:pt idx="5" formatCode="0%">
                        <c:v>0</c:v>
                      </c:pt>
                      <c:pt idx="6" formatCode="0">
                        <c:v>0</c:v>
                      </c:pt>
                      <c:pt idx="7" formatCode="0%">
                        <c:v>0</c:v>
                      </c:pt>
                      <c:pt idx="8" formatCode="0">
                        <c:v>0</c:v>
                      </c:pt>
                      <c:pt idx="9" formatCode="0">
                        <c:v>0</c:v>
                      </c:pt>
                      <c:pt idx="10" formatCode="0">
                        <c:v>0</c:v>
                      </c:pt>
                      <c:pt idx="11" formatCode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D0B-40AF-AAD8-0ADC1C3B5EB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'!$A$15</c15:sqref>
                        </c15:formulaRef>
                      </c:ext>
                    </c:extLst>
                    <c:strCache>
                      <c:ptCount val="1"/>
                      <c:pt idx="0">
                        <c:v>USDA - 7 Centers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'!$B$15:$N$15</c15:sqref>
                        </c15:fullRef>
                        <c15:formulaRef>
                          <c15:sqref>'Children''s '!$B$15:$M$15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D0B-40AF-AAD8-0ADC1C3B5EB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'!$A$16</c15:sqref>
                        </c15:formulaRef>
                      </c:ext>
                    </c:extLst>
                    <c:strCache>
                      <c:ptCount val="1"/>
                      <c:pt idx="0">
                        <c:v>17 Pre school child care slots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'!$B$16:$N$16</c15:sqref>
                        </c15:fullRef>
                        <c15:formulaRef>
                          <c15:sqref>'Children''s '!$B$16:$M$16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0B-40AF-AAD8-0ADC1C3B5EB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'!$A$17</c15:sqref>
                        </c15:formulaRef>
                      </c:ext>
                    </c:extLst>
                    <c:strCache>
                      <c:ptCount val="1"/>
                      <c:pt idx="0">
                        <c:v>Total applications received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'!$B$17:$N$17</c15:sqref>
                        </c15:fullRef>
                        <c15:formulaRef>
                          <c15:sqref>'Children''s '!$B$17:$M$17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18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D0B-40AF-AAD8-0ADC1C3B5EB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'!$A$18</c15:sqref>
                        </c15:formulaRef>
                      </c:ext>
                    </c:extLst>
                    <c:strCache>
                      <c:ptCount val="1"/>
                      <c:pt idx="0">
                        <c:v>% of applications processed within 10 days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'!$B$18:$N$18</c15:sqref>
                        </c15:fullRef>
                        <c15:formulaRef>
                          <c15:sqref>'Children''s '!$B$18:$M$18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</c:v>
                      </c:pt>
                      <c:pt idx="1">
                        <c:v>28</c:v>
                      </c:pt>
                      <c:pt idx="2">
                        <c:v>22</c:v>
                      </c:pt>
                      <c:pt idx="3">
                        <c:v>50</c:v>
                      </c:pt>
                      <c:pt idx="4">
                        <c:v>33</c:v>
                      </c:pt>
                      <c:pt idx="5">
                        <c:v>75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66</c:v>
                      </c:pt>
                      <c:pt idx="1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D0B-40AF-AAD8-0ADC1C3B5EB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'!$A$19</c15:sqref>
                        </c15:formulaRef>
                      </c:ext>
                    </c:extLst>
                    <c:strCache>
                      <c:ptCount val="1"/>
                      <c:pt idx="0">
                        <c:v>Average number of days from App to Enrolled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'!$B$19:$N$19</c15:sqref>
                        </c15:fullRef>
                        <c15:formulaRef>
                          <c15:sqref>'Children''s '!$B$19:$M$19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</c:v>
                      </c:pt>
                      <c:pt idx="1">
                        <c:v>0.62</c:v>
                      </c:pt>
                      <c:pt idx="2">
                        <c:v>0.41</c:v>
                      </c:pt>
                      <c:pt idx="3">
                        <c:v>0.77</c:v>
                      </c:pt>
                      <c:pt idx="4">
                        <c:v>0.83</c:v>
                      </c:pt>
                      <c:pt idx="5">
                        <c:v>0.73</c:v>
                      </c:pt>
                      <c:pt idx="6">
                        <c:v>0.6</c:v>
                      </c:pt>
                      <c:pt idx="7">
                        <c:v>0.75</c:v>
                      </c:pt>
                      <c:pt idx="8">
                        <c:v>0.63</c:v>
                      </c:pt>
                      <c:pt idx="9">
                        <c:v>0.72</c:v>
                      </c:pt>
                      <c:pt idx="10">
                        <c:v>0.64</c:v>
                      </c:pt>
                      <c:pt idx="11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D0B-40AF-AAD8-0ADC1C3B5EB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'!$A$20</c15:sqref>
                        </c15:formulaRef>
                      </c:ext>
                    </c:extLst>
                    <c:strCache>
                      <c:ptCount val="1"/>
                      <c:pt idx="0">
                        <c:v>Total # children currently served In all of Children's Services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'!$B$20:$N$20</c15:sqref>
                        </c15:fullRef>
                        <c15:formulaRef>
                          <c15:sqref>'Children''s '!$B$20:$M$20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327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18</c:v>
                      </c:pt>
                      <c:pt idx="5">
                        <c:v>85</c:v>
                      </c:pt>
                      <c:pt idx="6">
                        <c:v>3</c:v>
                      </c:pt>
                      <c:pt idx="7">
                        <c:v>73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D0B-40AF-AAD8-0ADC1C3B5EB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'!$A$21</c15:sqref>
                        </c15:formulaRef>
                      </c:ext>
                    </c:extLst>
                    <c:strCache>
                      <c:ptCount val="1"/>
                      <c:pt idx="0">
                        <c:v>Unduplicated number of children who rode the Chisholm bus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'!$B$21:$N$21</c15:sqref>
                        </c15:fullRef>
                        <c15:formulaRef>
                          <c15:sqref>'Children''s 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D0B-40AF-AAD8-0ADC1C3B5EB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'!$A$22</c15:sqref>
                        </c15:formulaRef>
                      </c:ext>
                    </c:extLst>
                    <c:strCache>
                      <c:ptCount val="1"/>
                      <c:pt idx="0">
                        <c:v>Children/pregnant mothers enrolled in home visiting services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'!$B$22:$N$22</c15:sqref>
                        </c15:fullRef>
                        <c15:formulaRef>
                          <c15:sqref>'Children''s '!$B$22:$M$22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29</c:v>
                      </c:pt>
                      <c:pt idx="5">
                        <c:v>41</c:v>
                      </c:pt>
                      <c:pt idx="6">
                        <c:v>48</c:v>
                      </c:pt>
                      <c:pt idx="7">
                        <c:v>45</c:v>
                      </c:pt>
                      <c:pt idx="8">
                        <c:v>51</c:v>
                      </c:pt>
                      <c:pt idx="9">
                        <c:v>43</c:v>
                      </c:pt>
                      <c:pt idx="10">
                        <c:v>37</c:v>
                      </c:pt>
                      <c:pt idx="1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D0B-40AF-AAD8-0ADC1C3B5EB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'!$A$23</c15:sqref>
                        </c15:formulaRef>
                      </c:ext>
                    </c:extLst>
                    <c:strCache>
                      <c:ptCount val="1"/>
                      <c:pt idx="0">
                        <c:v>% of all children and pregnant parents enrolled in Dental Homes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'!$B$23:$N$23</c15:sqref>
                        </c15:fullRef>
                        <c15:formulaRef>
                          <c15:sqref>'Children''s '!$B$23:$M$23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317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30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D0B-40AF-AAD8-0ADC1C3B5EB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'!$A$24</c15:sqref>
                        </c15:formulaRef>
                      </c:ext>
                    </c:extLst>
                    <c:strCache>
                      <c:ptCount val="1"/>
                      <c:pt idx="0">
                        <c:v># Families enrolled and completed a family  partnership agreement (Whole Family)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'!$B$24:$N$24</c15:sqref>
                        </c15:fullRef>
                        <c15:formulaRef>
                          <c15:sqref>'Children''s '!$B$24:$M$24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487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36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31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D0B-40AF-AAD8-0ADC1C3B5EB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'!$A$25</c15:sqref>
                        </c15:formulaRef>
                      </c:ext>
                    </c:extLst>
                    <c:strCache>
                      <c:ptCount val="1"/>
                      <c:pt idx="0">
                        <c:v>CACFP meals provided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'!$B$25:$N$25</c15:sqref>
                        </c15:fullRef>
                        <c15:formulaRef>
                          <c15:sqref>'Children''s '!$B$25:$M$25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1002</c:v>
                      </c:pt>
                      <c:pt idx="1">
                        <c:v>2500</c:v>
                      </c:pt>
                      <c:pt idx="2">
                        <c:v>2888</c:v>
                      </c:pt>
                      <c:pt idx="3" formatCode="#,##0">
                        <c:v>859</c:v>
                      </c:pt>
                      <c:pt idx="4">
                        <c:v>436</c:v>
                      </c:pt>
                      <c:pt idx="5">
                        <c:v>1522</c:v>
                      </c:pt>
                      <c:pt idx="6">
                        <c:v>2018</c:v>
                      </c:pt>
                      <c:pt idx="7">
                        <c:v>769</c:v>
                      </c:pt>
                      <c:pt idx="8" formatCode="#,##0">
                        <c:v>774</c:v>
                      </c:pt>
                      <c:pt idx="9" formatCode="#,##0">
                        <c:v>480</c:v>
                      </c:pt>
                      <c:pt idx="10" formatCode="#,##0">
                        <c:v>204</c:v>
                      </c:pt>
                      <c:pt idx="11" formatCode="#,##0">
                        <c:v>654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D0B-40AF-AAD8-0ADC1C3B5EB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'!$A$26</c15:sqref>
                        </c15:formulaRef>
                      </c:ext>
                    </c:extLst>
                    <c:strCache>
                      <c:ptCount val="1"/>
                      <c:pt idx="0">
                        <c:v>Number of GSFB Meals Distributed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'!$B$26:$N$26</c15:sqref>
                        </c15:fullRef>
                        <c15:formulaRef>
                          <c15:sqref>'Children''s '!$B$26:$M$26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14</c:v>
                      </c:pt>
                      <c:pt idx="10">
                        <c:v>12</c:v>
                      </c:pt>
                      <c:pt idx="1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D0B-40AF-AAD8-0ADC1C3B5EB1}"/>
                  </c:ext>
                </c:extLst>
              </c15:ser>
            </c15:filteredBarSeries>
          </c:ext>
        </c:extLst>
      </c:barChart>
      <c:catAx>
        <c:axId val="4123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5088"/>
        <c:crosses val="autoZero"/>
        <c:auto val="1"/>
        <c:lblAlgn val="ctr"/>
        <c:lblOffset val="100"/>
        <c:noMultiLvlLbl val="0"/>
      </c:catAx>
      <c:valAx>
        <c:axId val="4123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Buyer Ed and Financial Coaching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CCFC!$A$3</c:f>
              <c:strCache>
                <c:ptCount val="1"/>
                <c:pt idx="0">
                  <c:v>Provide Homebuyer Education to 600 clients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CCFC!$B$2:$N$2</c15:sqref>
                  </c15:fullRef>
                </c:ext>
              </c:extLst>
              <c:f>CCFC!$B$2:$M$2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CCFC!$B$3:$N$3</c15:sqref>
                  </c15:fullRef>
                </c:ext>
              </c:extLst>
              <c:f>CCFC!$B$3:$M$3</c:f>
              <c:numCache>
                <c:formatCode>General</c:formatCode>
                <c:ptCount val="12"/>
                <c:pt idx="0">
                  <c:v>38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48</c:v>
                </c:pt>
                <c:pt idx="5">
                  <c:v>49</c:v>
                </c:pt>
                <c:pt idx="6">
                  <c:v>65</c:v>
                </c:pt>
                <c:pt idx="7">
                  <c:v>54</c:v>
                </c:pt>
                <c:pt idx="8">
                  <c:v>60</c:v>
                </c:pt>
                <c:pt idx="9">
                  <c:v>46</c:v>
                </c:pt>
                <c:pt idx="10">
                  <c:v>86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B-42FF-BF01-190468ADEB90}"/>
            </c:ext>
          </c:extLst>
        </c:ser>
        <c:ser>
          <c:idx val="1"/>
          <c:order val="1"/>
          <c:tx>
            <c:strRef>
              <c:f>CCFC!$A$4</c:f>
              <c:strCache>
                <c:ptCount val="1"/>
                <c:pt idx="0">
                  <c:v>Provide 600 hours of Financial Coaching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CCFC!$B$2:$N$2</c15:sqref>
                  </c15:fullRef>
                </c:ext>
              </c:extLst>
              <c:f>CCFC!$B$2:$M$2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CCFC!$B$4:$N$4</c15:sqref>
                  </c15:fullRef>
                </c:ext>
              </c:extLst>
              <c:f>CCFC!$B$4:$M$4</c:f>
              <c:numCache>
                <c:formatCode>General</c:formatCode>
                <c:ptCount val="12"/>
                <c:pt idx="0">
                  <c:v>50</c:v>
                </c:pt>
                <c:pt idx="1">
                  <c:v>46</c:v>
                </c:pt>
                <c:pt idx="2">
                  <c:v>66.75</c:v>
                </c:pt>
                <c:pt idx="3">
                  <c:v>53</c:v>
                </c:pt>
                <c:pt idx="4">
                  <c:v>45</c:v>
                </c:pt>
                <c:pt idx="5">
                  <c:v>57.5</c:v>
                </c:pt>
                <c:pt idx="6">
                  <c:v>53</c:v>
                </c:pt>
                <c:pt idx="7">
                  <c:v>69</c:v>
                </c:pt>
                <c:pt idx="8">
                  <c:v>61</c:v>
                </c:pt>
                <c:pt idx="9">
                  <c:v>50</c:v>
                </c:pt>
                <c:pt idx="10">
                  <c:v>46.5</c:v>
                </c:pt>
                <c:pt idx="11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B-42FF-BF01-190468ADEB90}"/>
            </c:ext>
          </c:extLst>
        </c:ser>
        <c:ser>
          <c:idx val="2"/>
          <c:order val="2"/>
          <c:tx>
            <c:strRef>
              <c:f>CCFC!$A$5</c:f>
              <c:strCache>
                <c:ptCount val="1"/>
                <c:pt idx="0">
                  <c:v>Create 150 new homeowners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CCFC!$B$2:$N$2</c15:sqref>
                  </c15:fullRef>
                </c:ext>
              </c:extLst>
              <c:f>CCFC!$B$2:$M$2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CCFC!$B$5:$N$5</c15:sqref>
                  </c15:fullRef>
                </c:ext>
              </c:extLst>
              <c:f>CCFC!$B$5:$M$5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B-42FF-BF01-190468AD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391391"/>
        <c:axId val="84038556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CCFC!$A$6</c15:sqref>
                        </c15:formulaRef>
                      </c:ext>
                    </c:extLst>
                    <c:strCache>
                      <c:ptCount val="1"/>
                      <c:pt idx="0">
                        <c:v>$2,100,000 in Residential Lending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CCFC!$B$6:$N$6</c15:sqref>
                        </c15:fullRef>
                        <c15:formulaRef>
                          <c15:sqref>CCFC!$B$6:$M$6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92380</c:v>
                      </c:pt>
                      <c:pt idx="1">
                        <c:v>289446</c:v>
                      </c:pt>
                      <c:pt idx="2">
                        <c:v>216300</c:v>
                      </c:pt>
                      <c:pt idx="3">
                        <c:v>0</c:v>
                      </c:pt>
                      <c:pt idx="4">
                        <c:v>174600</c:v>
                      </c:pt>
                      <c:pt idx="5">
                        <c:v>0</c:v>
                      </c:pt>
                      <c:pt idx="6">
                        <c:v>195700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  <c:pt idx="9" formatCode="General">
                        <c:v>0</c:v>
                      </c:pt>
                      <c:pt idx="10" formatCode="General">
                        <c:v>0</c:v>
                      </c:pt>
                      <c:pt idx="11" formatCode="General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53B-42FF-BF01-190468ADEB9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CCFC!$A$7</c15:sqref>
                        </c15:formulaRef>
                      </c:ext>
                    </c:extLst>
                    <c:strCache>
                      <c:ptCount val="1"/>
                      <c:pt idx="0">
                        <c:v>$1,600,000 in Business Lending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CCFC!$B$7:$N$7</c15:sqref>
                        </c15:fullRef>
                        <c15:formulaRef>
                          <c15:sqref>CCFC!$B$7:$M$7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15000</c:v>
                      </c:pt>
                      <c:pt idx="1">
                        <c:v>15000</c:v>
                      </c:pt>
                      <c:pt idx="2">
                        <c:v>156601</c:v>
                      </c:pt>
                      <c:pt idx="3">
                        <c:v>0</c:v>
                      </c:pt>
                      <c:pt idx="4">
                        <c:v>186000</c:v>
                      </c:pt>
                      <c:pt idx="5">
                        <c:v>0</c:v>
                      </c:pt>
                      <c:pt idx="6">
                        <c:v>76000</c:v>
                      </c:pt>
                      <c:pt idx="7">
                        <c:v>245000</c:v>
                      </c:pt>
                      <c:pt idx="8">
                        <c:v>50000</c:v>
                      </c:pt>
                      <c:pt idx="9">
                        <c:v>119135.07</c:v>
                      </c:pt>
                      <c:pt idx="10">
                        <c:v>234000</c:v>
                      </c:pt>
                      <c:pt idx="11" formatCode="General">
                        <c:v>103500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3B-42FF-BF01-190468ADEB9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CCFC!$A$8</c15:sqref>
                        </c15:formulaRef>
                      </c:ext>
                    </c:extLst>
                    <c:strCache>
                      <c:ptCount val="1"/>
                      <c:pt idx="0">
                        <c:v>Provide 6,000 hours of business advising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CCFC!$B$8:$N$8</c15:sqref>
                        </c15:fullRef>
                        <c15:formulaRef>
                          <c15:sqref>CCFC!$B$8:$M$8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242</c:v>
                      </c:pt>
                      <c:pt idx="1">
                        <c:v>220</c:v>
                      </c:pt>
                      <c:pt idx="2">
                        <c:v>203</c:v>
                      </c:pt>
                      <c:pt idx="3">
                        <c:v>318</c:v>
                      </c:pt>
                      <c:pt idx="4">
                        <c:v>312</c:v>
                      </c:pt>
                      <c:pt idx="5">
                        <c:v>311</c:v>
                      </c:pt>
                      <c:pt idx="6">
                        <c:v>365</c:v>
                      </c:pt>
                      <c:pt idx="7">
                        <c:v>447</c:v>
                      </c:pt>
                      <c:pt idx="8">
                        <c:v>237</c:v>
                      </c:pt>
                      <c:pt idx="9">
                        <c:v>229.5</c:v>
                      </c:pt>
                      <c:pt idx="10">
                        <c:v>333</c:v>
                      </c:pt>
                      <c:pt idx="11">
                        <c:v>361.25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3B-42FF-BF01-190468ADEB9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CCFC!$A$9</c15:sqref>
                        </c15:formulaRef>
                      </c:ext>
                    </c:extLst>
                    <c:strCache>
                      <c:ptCount val="1"/>
                      <c:pt idx="0">
                        <c:v>Delinquency Rate – reduce rate by1/3 (33.33%)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CCFC!$B$9:$N$9</c15:sqref>
                        </c15:fullRef>
                        <c15:formulaRef>
                          <c15:sqref>CCFC!$B$9:$M$9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0.23200000000000001</c:v>
                      </c:pt>
                      <c:pt idx="1">
                        <c:v>0.161</c:v>
                      </c:pt>
                      <c:pt idx="2">
                        <c:v>0.122</c:v>
                      </c:pt>
                      <c:pt idx="3">
                        <c:v>0.12790000000000001</c:v>
                      </c:pt>
                      <c:pt idx="4">
                        <c:v>0.1273</c:v>
                      </c:pt>
                      <c:pt idx="5">
                        <c:v>0.1409</c:v>
                      </c:pt>
                      <c:pt idx="6">
                        <c:v>0.1399</c:v>
                      </c:pt>
                      <c:pt idx="7">
                        <c:v>0.14099999999999999</c:v>
                      </c:pt>
                      <c:pt idx="8">
                        <c:v>0.18</c:v>
                      </c:pt>
                      <c:pt idx="9">
                        <c:v>0.16200000000000001</c:v>
                      </c:pt>
                      <c:pt idx="10">
                        <c:v>0.11</c:v>
                      </c:pt>
                      <c:pt idx="11">
                        <c:v>0.124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3B-42FF-BF01-190468ADEB9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CCFC!$A$10</c15:sqref>
                        </c15:formulaRef>
                      </c:ext>
                    </c:extLst>
                    <c:strCache>
                      <c:ptCount val="1"/>
                      <c:pt idx="0">
                        <c:v>Create or Retain at least 1 FTE (Full Time Equivalent) per $75,000 lent (20 FTEs)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CCFC!$B$10:$N$10</c15:sqref>
                        </c15:fullRef>
                        <c15:formulaRef>
                          <c15:sqref>CCFC!$B$10:$M$10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4.5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3B-42FF-BF01-190468ADEB9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CCFC!$A$11</c15:sqref>
                        </c15:formulaRef>
                      </c:ext>
                    </c:extLst>
                    <c:strCache>
                      <c:ptCount val="1"/>
                      <c:pt idx="0">
                        <c:v>Complete 550 tax returns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CCFC!$B$11:$N$11</c15:sqref>
                        </c15:fullRef>
                        <c15:formulaRef>
                          <c15:sqref>CCFC!$B$11:$M$11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160</c:v>
                      </c:pt>
                      <c:pt idx="5">
                        <c:v>179</c:v>
                      </c:pt>
                      <c:pt idx="6">
                        <c:v>178</c:v>
                      </c:pt>
                      <c:pt idx="7">
                        <c:v>15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3B-42FF-BF01-190468ADEB9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CCFC!$A$13</c15:sqref>
                        </c15:formulaRef>
                      </c:ext>
                    </c:extLst>
                    <c:strCache>
                      <c:ptCount val="1"/>
                      <c:pt idx="0">
                        <c:v>Package 4 USDA 502 Direct Loans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CCFC!$B$13:$N$13</c15:sqref>
                        </c15:fullRef>
                        <c15:formulaRef>
                          <c15:sqref>CCFC!$B$13:$M$13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3B-42FF-BF01-190468ADEB9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CCFC!$A$14</c15:sqref>
                        </c15:formulaRef>
                      </c:ext>
                    </c:extLst>
                    <c:strCache>
                      <c:ptCount val="1"/>
                      <c:pt idx="0">
                        <c:v>Provide 100 hours of economic development facilitation and coordination in Oxford County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CCFC!$B$14:$N$14</c15:sqref>
                        </c15:fullRef>
                        <c15:formulaRef>
                          <c15:sqref>CCFC!$B$14:$M$14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6.75</c:v>
                      </c:pt>
                      <c:pt idx="2">
                        <c:v>6.5</c:v>
                      </c:pt>
                      <c:pt idx="3">
                        <c:v>15.25</c:v>
                      </c:pt>
                      <c:pt idx="4">
                        <c:v>19.75</c:v>
                      </c:pt>
                      <c:pt idx="5">
                        <c:v>10.5</c:v>
                      </c:pt>
                      <c:pt idx="6">
                        <c:v>9.5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6.75</c:v>
                      </c:pt>
                      <c:pt idx="10">
                        <c:v>5</c:v>
                      </c:pt>
                      <c:pt idx="11">
                        <c:v>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3B-42FF-BF01-190468ADEB90}"/>
                  </c:ext>
                </c:extLst>
              </c15:ser>
            </c15:filteredBarSeries>
          </c:ext>
        </c:extLst>
      </c:barChart>
      <c:catAx>
        <c:axId val="8403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5567"/>
        <c:crosses val="autoZero"/>
        <c:auto val="1"/>
        <c:lblAlgn val="ctr"/>
        <c:lblOffset val="100"/>
        <c:noMultiLvlLbl val="0"/>
      </c:catAx>
      <c:valAx>
        <c:axId val="840385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CCFC!$A$6</c:f>
              <c:strCache>
                <c:ptCount val="1"/>
                <c:pt idx="0">
                  <c:v>$2,100,000 in Residential Lending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CCFC!$B$2:$N$2</c15:sqref>
                  </c15:fullRef>
                </c:ext>
              </c:extLst>
              <c:f>CCFC!$B$2:$M$2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CCFC!$B$6:$N$6</c15:sqref>
                  </c15:fullRef>
                </c:ext>
              </c:extLst>
              <c:f>CCFC!$B$6:$M$6</c:f>
              <c:numCache>
                <c:formatCode>_("$"* #,##0.00_);_("$"* \(#,##0.00\);_("$"* "-"??_);_(@_)</c:formatCode>
                <c:ptCount val="12"/>
                <c:pt idx="0">
                  <c:v>92380</c:v>
                </c:pt>
                <c:pt idx="1">
                  <c:v>289446</c:v>
                </c:pt>
                <c:pt idx="2">
                  <c:v>216300</c:v>
                </c:pt>
                <c:pt idx="3">
                  <c:v>0</c:v>
                </c:pt>
                <c:pt idx="4">
                  <c:v>174600</c:v>
                </c:pt>
                <c:pt idx="5">
                  <c:v>0</c:v>
                </c:pt>
                <c:pt idx="6">
                  <c:v>195700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B-4DC4-A7EE-5540EA38BC48}"/>
            </c:ext>
          </c:extLst>
        </c:ser>
        <c:ser>
          <c:idx val="4"/>
          <c:order val="4"/>
          <c:tx>
            <c:strRef>
              <c:f>CCFC!$A$7</c:f>
              <c:strCache>
                <c:ptCount val="1"/>
                <c:pt idx="0">
                  <c:v>$1,600,000 in Business Lending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3499000957974914E-2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F7-464E-8EE9-4A6DEFCF46FA}"/>
                </c:ext>
              </c:extLst>
            </c:dLbl>
            <c:dLbl>
              <c:idx val="2"/>
              <c:layout>
                <c:manualLayout>
                  <c:x val="2.4733220471299857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F7-464E-8EE9-4A6DEFCF46FA}"/>
                </c:ext>
              </c:extLst>
            </c:dLbl>
            <c:dLbl>
              <c:idx val="6"/>
              <c:layout>
                <c:manualLayout>
                  <c:x val="6.2307319726583195E-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5D-4B6E-B1C9-7884500A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CCFC!$B$2:$N$2</c15:sqref>
                  </c15:fullRef>
                </c:ext>
              </c:extLst>
              <c:f>CCFC!$B$2:$M$2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CCFC!$B$7:$N$7</c15:sqref>
                  </c15:fullRef>
                </c:ext>
              </c:extLst>
              <c:f>CCFC!$B$7:$M$7</c:f>
              <c:numCache>
                <c:formatCode>_("$"* #,##0.00_);_("$"* \(#,##0.00\);_("$"* "-"??_);_(@_)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156601</c:v>
                </c:pt>
                <c:pt idx="3">
                  <c:v>0</c:v>
                </c:pt>
                <c:pt idx="4">
                  <c:v>186000</c:v>
                </c:pt>
                <c:pt idx="5">
                  <c:v>0</c:v>
                </c:pt>
                <c:pt idx="6">
                  <c:v>76000</c:v>
                </c:pt>
                <c:pt idx="7">
                  <c:v>245000</c:v>
                </c:pt>
                <c:pt idx="8">
                  <c:v>50000</c:v>
                </c:pt>
                <c:pt idx="9">
                  <c:v>119135.07</c:v>
                </c:pt>
                <c:pt idx="10">
                  <c:v>234000</c:v>
                </c:pt>
                <c:pt idx="11" formatCode="General">
                  <c:v>103500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B-4DC4-A7EE-5540EA38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391391"/>
        <c:axId val="840385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CCFC!$A$3</c15:sqref>
                        </c15:formulaRef>
                      </c:ext>
                    </c:extLst>
                    <c:strCache>
                      <c:ptCount val="1"/>
                      <c:pt idx="0">
                        <c:v>Provide Homebuyer Education to 600 clients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CCFC!$B$3:$N$3</c15:sqref>
                        </c15:fullRef>
                        <c15:formulaRef>
                          <c15:sqref>CCFC!$B$3:$M$3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</c:v>
                      </c:pt>
                      <c:pt idx="1">
                        <c:v>22</c:v>
                      </c:pt>
                      <c:pt idx="2">
                        <c:v>30</c:v>
                      </c:pt>
                      <c:pt idx="3">
                        <c:v>38</c:v>
                      </c:pt>
                      <c:pt idx="4">
                        <c:v>48</c:v>
                      </c:pt>
                      <c:pt idx="5">
                        <c:v>49</c:v>
                      </c:pt>
                      <c:pt idx="6">
                        <c:v>65</c:v>
                      </c:pt>
                      <c:pt idx="7">
                        <c:v>54</c:v>
                      </c:pt>
                      <c:pt idx="8">
                        <c:v>60</c:v>
                      </c:pt>
                      <c:pt idx="9">
                        <c:v>46</c:v>
                      </c:pt>
                      <c:pt idx="10">
                        <c:v>86</c:v>
                      </c:pt>
                      <c:pt idx="11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9B-4DC4-A7EE-5540EA38BC4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CCFC!$A$4</c15:sqref>
                        </c15:formulaRef>
                      </c:ext>
                    </c:extLst>
                    <c:strCache>
                      <c:ptCount val="1"/>
                      <c:pt idx="0">
                        <c:v>Provide 600 hours of Financial Coaching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CCFC!$B$4:$N$4</c15:sqref>
                        </c15:fullRef>
                        <c15:formulaRef>
                          <c15:sqref>CCFC!$B$4:$M$4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66.75</c:v>
                      </c:pt>
                      <c:pt idx="3">
                        <c:v>53</c:v>
                      </c:pt>
                      <c:pt idx="4">
                        <c:v>45</c:v>
                      </c:pt>
                      <c:pt idx="5">
                        <c:v>57.5</c:v>
                      </c:pt>
                      <c:pt idx="6">
                        <c:v>53</c:v>
                      </c:pt>
                      <c:pt idx="7">
                        <c:v>69</c:v>
                      </c:pt>
                      <c:pt idx="8">
                        <c:v>61</c:v>
                      </c:pt>
                      <c:pt idx="9">
                        <c:v>50</c:v>
                      </c:pt>
                      <c:pt idx="10">
                        <c:v>46.5</c:v>
                      </c:pt>
                      <c:pt idx="11">
                        <c:v>57.5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9B-4DC4-A7EE-5540EA38BC4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CCFC!$A$5</c15:sqref>
                        </c15:formulaRef>
                      </c:ext>
                    </c:extLst>
                    <c:strCache>
                      <c:ptCount val="1"/>
                      <c:pt idx="0">
                        <c:v>Create 150 new homeowners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CCFC!$B$5:$N$5</c15:sqref>
                        </c15:fullRef>
                        <c15:formulaRef>
                          <c15:sqref>CCFC!$B$5:$M$5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13</c:v>
                      </c:pt>
                      <c:pt idx="5">
                        <c:v>18</c:v>
                      </c:pt>
                      <c:pt idx="6">
                        <c:v>16</c:v>
                      </c:pt>
                      <c:pt idx="7">
                        <c:v>10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9B-4DC4-A7EE-5540EA38BC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CCFC!$A$8</c15:sqref>
                        </c15:formulaRef>
                      </c:ext>
                    </c:extLst>
                    <c:strCache>
                      <c:ptCount val="1"/>
                      <c:pt idx="0">
                        <c:v>Provide 6,000 hours of business advising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CCFC!$B$8:$N$8</c15:sqref>
                        </c15:fullRef>
                        <c15:formulaRef>
                          <c15:sqref>CCFC!$B$8:$M$8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242</c:v>
                      </c:pt>
                      <c:pt idx="1">
                        <c:v>220</c:v>
                      </c:pt>
                      <c:pt idx="2">
                        <c:v>203</c:v>
                      </c:pt>
                      <c:pt idx="3">
                        <c:v>318</c:v>
                      </c:pt>
                      <c:pt idx="4">
                        <c:v>312</c:v>
                      </c:pt>
                      <c:pt idx="5">
                        <c:v>311</c:v>
                      </c:pt>
                      <c:pt idx="6">
                        <c:v>365</c:v>
                      </c:pt>
                      <c:pt idx="7">
                        <c:v>447</c:v>
                      </c:pt>
                      <c:pt idx="8">
                        <c:v>237</c:v>
                      </c:pt>
                      <c:pt idx="9">
                        <c:v>229.5</c:v>
                      </c:pt>
                      <c:pt idx="10">
                        <c:v>333</c:v>
                      </c:pt>
                      <c:pt idx="11">
                        <c:v>361.25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9B-4DC4-A7EE-5540EA38BC4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CCFC!$A$9</c15:sqref>
                        </c15:formulaRef>
                      </c:ext>
                    </c:extLst>
                    <c:strCache>
                      <c:ptCount val="1"/>
                      <c:pt idx="0">
                        <c:v>Delinquency Rate – reduce rate by1/3 (33.33%)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CCFC!$B$9:$N$9</c15:sqref>
                        </c15:fullRef>
                        <c15:formulaRef>
                          <c15:sqref>CCFC!$B$9:$M$9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0.23200000000000001</c:v>
                      </c:pt>
                      <c:pt idx="1">
                        <c:v>0.161</c:v>
                      </c:pt>
                      <c:pt idx="2">
                        <c:v>0.122</c:v>
                      </c:pt>
                      <c:pt idx="3">
                        <c:v>0.12790000000000001</c:v>
                      </c:pt>
                      <c:pt idx="4">
                        <c:v>0.1273</c:v>
                      </c:pt>
                      <c:pt idx="5">
                        <c:v>0.1409</c:v>
                      </c:pt>
                      <c:pt idx="6">
                        <c:v>0.1399</c:v>
                      </c:pt>
                      <c:pt idx="7">
                        <c:v>0.14099999999999999</c:v>
                      </c:pt>
                      <c:pt idx="8">
                        <c:v>0.18</c:v>
                      </c:pt>
                      <c:pt idx="9">
                        <c:v>0.16200000000000001</c:v>
                      </c:pt>
                      <c:pt idx="10">
                        <c:v>0.11</c:v>
                      </c:pt>
                      <c:pt idx="11">
                        <c:v>0.124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9B-4DC4-A7EE-5540EA38BC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CCFC!$A$10</c15:sqref>
                        </c15:formulaRef>
                      </c:ext>
                    </c:extLst>
                    <c:strCache>
                      <c:ptCount val="1"/>
                      <c:pt idx="0">
                        <c:v>Create or Retain at least 1 FTE (Full Time Equivalent) per $75,000 lent (20 FTEs)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CCFC!$B$10:$N$10</c15:sqref>
                        </c15:fullRef>
                        <c15:formulaRef>
                          <c15:sqref>CCFC!$B$10:$M$10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4.5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9B-4DC4-A7EE-5540EA38BC4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CCFC!$A$11</c15:sqref>
                        </c15:formulaRef>
                      </c:ext>
                    </c:extLst>
                    <c:strCache>
                      <c:ptCount val="1"/>
                      <c:pt idx="0">
                        <c:v>Complete 550 tax returns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CCFC!$B$11:$N$11</c15:sqref>
                        </c15:fullRef>
                        <c15:formulaRef>
                          <c15:sqref>CCFC!$B$11:$M$11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160</c:v>
                      </c:pt>
                      <c:pt idx="5">
                        <c:v>179</c:v>
                      </c:pt>
                      <c:pt idx="6">
                        <c:v>178</c:v>
                      </c:pt>
                      <c:pt idx="7">
                        <c:v>15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9B-4DC4-A7EE-5540EA38BC4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CCFC!$A$13</c15:sqref>
                        </c15:formulaRef>
                      </c:ext>
                    </c:extLst>
                    <c:strCache>
                      <c:ptCount val="1"/>
                      <c:pt idx="0">
                        <c:v>Package 4 USDA 502 Direct Loans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CCFC!$B$13:$N$13</c15:sqref>
                        </c15:fullRef>
                        <c15:formulaRef>
                          <c15:sqref>CCFC!$B$13:$M$13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C9B-4DC4-A7EE-5540EA38BC4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CCFC!$A$14</c15:sqref>
                        </c15:formulaRef>
                      </c:ext>
                    </c:extLst>
                    <c:strCache>
                      <c:ptCount val="1"/>
                      <c:pt idx="0">
                        <c:v>Provide 100 hours of economic development facilitation and coordination in Oxford County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CCFC!$B$14:$N$14</c15:sqref>
                        </c15:fullRef>
                        <c15:formulaRef>
                          <c15:sqref>CCFC!$B$14:$M$14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6.75</c:v>
                      </c:pt>
                      <c:pt idx="2">
                        <c:v>6.5</c:v>
                      </c:pt>
                      <c:pt idx="3">
                        <c:v>15.25</c:v>
                      </c:pt>
                      <c:pt idx="4">
                        <c:v>19.75</c:v>
                      </c:pt>
                      <c:pt idx="5">
                        <c:v>10.5</c:v>
                      </c:pt>
                      <c:pt idx="6">
                        <c:v>9.5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6.75</c:v>
                      </c:pt>
                      <c:pt idx="10">
                        <c:v>5</c:v>
                      </c:pt>
                      <c:pt idx="11">
                        <c:v>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9B-4DC4-A7EE-5540EA38BC48}"/>
                  </c:ext>
                </c:extLst>
              </c15:ser>
            </c15:filteredBarSeries>
          </c:ext>
        </c:extLst>
      </c:barChart>
      <c:catAx>
        <c:axId val="8403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5567"/>
        <c:crosses val="autoZero"/>
        <c:auto val="1"/>
        <c:lblAlgn val="ctr"/>
        <c:lblOffset val="100"/>
        <c:noMultiLvlLbl val="0"/>
      </c:catAx>
      <c:valAx>
        <c:axId val="840385567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and Economic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CCFC!$A$8</c:f>
              <c:strCache>
                <c:ptCount val="1"/>
                <c:pt idx="0">
                  <c:v>Provide 6,000 hours of business advising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CCFC!$B$2:$N$2</c15:sqref>
                  </c15:fullRef>
                </c:ext>
              </c:extLst>
              <c:f>CCFC!$B$2:$M$2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CCFC!$B$8:$N$8</c15:sqref>
                  </c15:fullRef>
                </c:ext>
              </c:extLst>
              <c:f>CCFC!$B$8:$M$8</c:f>
              <c:numCache>
                <c:formatCode>General</c:formatCode>
                <c:ptCount val="12"/>
                <c:pt idx="0">
                  <c:v>242</c:v>
                </c:pt>
                <c:pt idx="1">
                  <c:v>220</c:v>
                </c:pt>
                <c:pt idx="2">
                  <c:v>203</c:v>
                </c:pt>
                <c:pt idx="3">
                  <c:v>318</c:v>
                </c:pt>
                <c:pt idx="4">
                  <c:v>312</c:v>
                </c:pt>
                <c:pt idx="5">
                  <c:v>311</c:v>
                </c:pt>
                <c:pt idx="6">
                  <c:v>365</c:v>
                </c:pt>
                <c:pt idx="7">
                  <c:v>447</c:v>
                </c:pt>
                <c:pt idx="8">
                  <c:v>237</c:v>
                </c:pt>
                <c:pt idx="9">
                  <c:v>229.5</c:v>
                </c:pt>
                <c:pt idx="10">
                  <c:v>333</c:v>
                </c:pt>
                <c:pt idx="11">
                  <c:v>361.25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E-49E7-AEB0-F6DEE68F9405}"/>
            </c:ext>
          </c:extLst>
        </c:ser>
        <c:ser>
          <c:idx val="6"/>
          <c:order val="6"/>
          <c:tx>
            <c:strRef>
              <c:f>CCFC!$A$9</c:f>
              <c:strCache>
                <c:ptCount val="1"/>
                <c:pt idx="0">
                  <c:v>Delinquency Rate – reduce rate by1/3 (33.33%)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CCFC!$B$2:$N$2</c15:sqref>
                  </c15:fullRef>
                </c:ext>
              </c:extLst>
              <c:f>CCFC!$B$2:$M$2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CCFC!$B$9:$N$9</c15:sqref>
                  </c15:fullRef>
                </c:ext>
              </c:extLst>
              <c:f>CCFC!$B$9:$M$9</c:f>
              <c:numCache>
                <c:formatCode>0%</c:formatCode>
                <c:ptCount val="12"/>
                <c:pt idx="0">
                  <c:v>0.23200000000000001</c:v>
                </c:pt>
                <c:pt idx="1">
                  <c:v>0.161</c:v>
                </c:pt>
                <c:pt idx="2">
                  <c:v>0.122</c:v>
                </c:pt>
                <c:pt idx="3">
                  <c:v>0.12790000000000001</c:v>
                </c:pt>
                <c:pt idx="4">
                  <c:v>0.1273</c:v>
                </c:pt>
                <c:pt idx="5">
                  <c:v>0.1409</c:v>
                </c:pt>
                <c:pt idx="6">
                  <c:v>0.1399</c:v>
                </c:pt>
                <c:pt idx="7">
                  <c:v>0.14099999999999999</c:v>
                </c:pt>
                <c:pt idx="8">
                  <c:v>0.18</c:v>
                </c:pt>
                <c:pt idx="9">
                  <c:v>0.16200000000000001</c:v>
                </c:pt>
                <c:pt idx="10">
                  <c:v>0.11</c:v>
                </c:pt>
                <c:pt idx="11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E-49E7-AEB0-F6DEE68F9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391391"/>
        <c:axId val="840385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CCFC!$A$3</c15:sqref>
                        </c15:formulaRef>
                      </c:ext>
                    </c:extLst>
                    <c:strCache>
                      <c:ptCount val="1"/>
                      <c:pt idx="0">
                        <c:v>Provide Homebuyer Education to 600 clients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CCFC!$B$3:$N$3</c15:sqref>
                        </c15:fullRef>
                        <c15:formulaRef>
                          <c15:sqref>CCFC!$B$3:$M$3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</c:v>
                      </c:pt>
                      <c:pt idx="1">
                        <c:v>22</c:v>
                      </c:pt>
                      <c:pt idx="2">
                        <c:v>30</c:v>
                      </c:pt>
                      <c:pt idx="3">
                        <c:v>38</c:v>
                      </c:pt>
                      <c:pt idx="4">
                        <c:v>48</c:v>
                      </c:pt>
                      <c:pt idx="5">
                        <c:v>49</c:v>
                      </c:pt>
                      <c:pt idx="6">
                        <c:v>65</c:v>
                      </c:pt>
                      <c:pt idx="7">
                        <c:v>54</c:v>
                      </c:pt>
                      <c:pt idx="8">
                        <c:v>60</c:v>
                      </c:pt>
                      <c:pt idx="9">
                        <c:v>46</c:v>
                      </c:pt>
                      <c:pt idx="10">
                        <c:v>86</c:v>
                      </c:pt>
                      <c:pt idx="11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3E-49E7-AEB0-F6DEE68F940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CCFC!$A$4</c15:sqref>
                        </c15:formulaRef>
                      </c:ext>
                    </c:extLst>
                    <c:strCache>
                      <c:ptCount val="1"/>
                      <c:pt idx="0">
                        <c:v>Provide 600 hours of Financial Coaching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CCFC!$B$4:$N$4</c15:sqref>
                        </c15:fullRef>
                        <c15:formulaRef>
                          <c15:sqref>CCFC!$B$4:$M$4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66.75</c:v>
                      </c:pt>
                      <c:pt idx="3">
                        <c:v>53</c:v>
                      </c:pt>
                      <c:pt idx="4">
                        <c:v>45</c:v>
                      </c:pt>
                      <c:pt idx="5">
                        <c:v>57.5</c:v>
                      </c:pt>
                      <c:pt idx="6">
                        <c:v>53</c:v>
                      </c:pt>
                      <c:pt idx="7">
                        <c:v>69</c:v>
                      </c:pt>
                      <c:pt idx="8">
                        <c:v>61</c:v>
                      </c:pt>
                      <c:pt idx="9">
                        <c:v>50</c:v>
                      </c:pt>
                      <c:pt idx="10">
                        <c:v>46.5</c:v>
                      </c:pt>
                      <c:pt idx="11">
                        <c:v>57.5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3E-49E7-AEB0-F6DEE68F94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CCFC!$A$5</c15:sqref>
                        </c15:formulaRef>
                      </c:ext>
                    </c:extLst>
                    <c:strCache>
                      <c:ptCount val="1"/>
                      <c:pt idx="0">
                        <c:v>Create 150 new homeowners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CCFC!$B$5:$N$5</c15:sqref>
                        </c15:fullRef>
                        <c15:formulaRef>
                          <c15:sqref>CCFC!$B$5:$M$5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13</c:v>
                      </c:pt>
                      <c:pt idx="5">
                        <c:v>18</c:v>
                      </c:pt>
                      <c:pt idx="6">
                        <c:v>16</c:v>
                      </c:pt>
                      <c:pt idx="7">
                        <c:v>10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3E-49E7-AEB0-F6DEE68F94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CCFC!$A$6</c15:sqref>
                        </c15:formulaRef>
                      </c:ext>
                    </c:extLst>
                    <c:strCache>
                      <c:ptCount val="1"/>
                      <c:pt idx="0">
                        <c:v>$2,100,000 in Residential Lending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CCFC!$B$6:$N$6</c15:sqref>
                        </c15:fullRef>
                        <c15:formulaRef>
                          <c15:sqref>CCFC!$B$6:$M$6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92380</c:v>
                      </c:pt>
                      <c:pt idx="1">
                        <c:v>289446</c:v>
                      </c:pt>
                      <c:pt idx="2">
                        <c:v>216300</c:v>
                      </c:pt>
                      <c:pt idx="3">
                        <c:v>0</c:v>
                      </c:pt>
                      <c:pt idx="4">
                        <c:v>174600</c:v>
                      </c:pt>
                      <c:pt idx="5">
                        <c:v>0</c:v>
                      </c:pt>
                      <c:pt idx="6">
                        <c:v>195700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  <c:pt idx="9" formatCode="General">
                        <c:v>0</c:v>
                      </c:pt>
                      <c:pt idx="10" formatCode="General">
                        <c:v>0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3E-49E7-AEB0-F6DEE68F94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CCFC!$A$7</c15:sqref>
                        </c15:formulaRef>
                      </c:ext>
                    </c:extLst>
                    <c:strCache>
                      <c:ptCount val="1"/>
                      <c:pt idx="0">
                        <c:v>$1,600,000 in Business Lending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CCFC!$B$7:$N$7</c15:sqref>
                        </c15:fullRef>
                        <c15:formulaRef>
                          <c15:sqref>CCFC!$B$7:$M$7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15000</c:v>
                      </c:pt>
                      <c:pt idx="1">
                        <c:v>15000</c:v>
                      </c:pt>
                      <c:pt idx="2">
                        <c:v>156601</c:v>
                      </c:pt>
                      <c:pt idx="3">
                        <c:v>0</c:v>
                      </c:pt>
                      <c:pt idx="4">
                        <c:v>186000</c:v>
                      </c:pt>
                      <c:pt idx="5">
                        <c:v>0</c:v>
                      </c:pt>
                      <c:pt idx="6">
                        <c:v>76000</c:v>
                      </c:pt>
                      <c:pt idx="7">
                        <c:v>245000</c:v>
                      </c:pt>
                      <c:pt idx="8">
                        <c:v>50000</c:v>
                      </c:pt>
                      <c:pt idx="9">
                        <c:v>119135.07</c:v>
                      </c:pt>
                      <c:pt idx="10">
                        <c:v>234000</c:v>
                      </c:pt>
                      <c:pt idx="11" formatCode="General">
                        <c:v>103500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3E-49E7-AEB0-F6DEE68F94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CCFC!$A$10</c15:sqref>
                        </c15:formulaRef>
                      </c:ext>
                    </c:extLst>
                    <c:strCache>
                      <c:ptCount val="1"/>
                      <c:pt idx="0">
                        <c:v>Create or Retain at least 1 FTE (Full Time Equivalent) per $75,000 lent (20 FTEs)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CCFC!$B$10:$N$10</c15:sqref>
                        </c15:fullRef>
                        <c15:formulaRef>
                          <c15:sqref>CCFC!$B$10:$M$10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4.5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3E-49E7-AEB0-F6DEE68F94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CCFC!$A$11</c15:sqref>
                        </c15:formulaRef>
                      </c:ext>
                    </c:extLst>
                    <c:strCache>
                      <c:ptCount val="1"/>
                      <c:pt idx="0">
                        <c:v>Complete 550 tax returns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CCFC!$B$11:$N$11</c15:sqref>
                        </c15:fullRef>
                        <c15:formulaRef>
                          <c15:sqref>CCFC!$B$11:$M$11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160</c:v>
                      </c:pt>
                      <c:pt idx="5">
                        <c:v>179</c:v>
                      </c:pt>
                      <c:pt idx="6">
                        <c:v>178</c:v>
                      </c:pt>
                      <c:pt idx="7">
                        <c:v>15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3E-49E7-AEB0-F6DEE68F940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CCFC!$A$13</c15:sqref>
                        </c15:formulaRef>
                      </c:ext>
                    </c:extLst>
                    <c:strCache>
                      <c:ptCount val="1"/>
                      <c:pt idx="0">
                        <c:v>Package 4 USDA 502 Direct Loans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CCFC!$B$13:$N$13</c15:sqref>
                        </c15:fullRef>
                        <c15:formulaRef>
                          <c15:sqref>CCFC!$B$13:$M$13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3E-49E7-AEB0-F6DEE68F940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CCFC!$A$14</c15:sqref>
                        </c15:formulaRef>
                      </c:ext>
                    </c:extLst>
                    <c:strCache>
                      <c:ptCount val="1"/>
                      <c:pt idx="0">
                        <c:v>Provide 100 hours of economic development facilitation and coordination in Oxford County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CCFC!$B$2:$M$2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CCFC!$B$14:$N$14</c15:sqref>
                        </c15:fullRef>
                        <c15:formulaRef>
                          <c15:sqref>CCFC!$B$14:$M$14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6.75</c:v>
                      </c:pt>
                      <c:pt idx="2">
                        <c:v>6.5</c:v>
                      </c:pt>
                      <c:pt idx="3">
                        <c:v>15.25</c:v>
                      </c:pt>
                      <c:pt idx="4">
                        <c:v>19.75</c:v>
                      </c:pt>
                      <c:pt idx="5">
                        <c:v>10.5</c:v>
                      </c:pt>
                      <c:pt idx="6">
                        <c:v>9.5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6.75</c:v>
                      </c:pt>
                      <c:pt idx="10">
                        <c:v>5</c:v>
                      </c:pt>
                      <c:pt idx="11">
                        <c:v>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3E-49E7-AEB0-F6DEE68F9405}"/>
                  </c:ext>
                </c:extLst>
              </c15:ser>
            </c15:filteredBarSeries>
          </c:ext>
        </c:extLst>
      </c:barChart>
      <c:catAx>
        <c:axId val="8403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5567"/>
        <c:crosses val="autoZero"/>
        <c:auto val="1"/>
        <c:lblAlgn val="ctr"/>
        <c:lblOffset val="100"/>
        <c:noMultiLvlLbl val="0"/>
      </c:catAx>
      <c:valAx>
        <c:axId val="840385567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139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VITA Tax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CCFC!$A$11</c:f>
              <c:strCache>
                <c:ptCount val="1"/>
                <c:pt idx="0">
                  <c:v>Complete 550 tax returns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CCFC!$B$2:$N$2</c15:sqref>
                  </c15:fullRef>
                </c:ext>
              </c:extLst>
              <c:f>(CCFC!$F$2:$I$2,CCFC!$N$2)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CCFC!$B$11:$M$11</c15:sqref>
                  </c15:fullRef>
                </c:ext>
              </c:extLst>
              <c:f>CCFC!$F$11:$I$11</c:f>
              <c:numCache>
                <c:formatCode>General</c:formatCode>
                <c:ptCount val="4"/>
                <c:pt idx="0">
                  <c:v>160</c:v>
                </c:pt>
                <c:pt idx="1">
                  <c:v>179</c:v>
                </c:pt>
                <c:pt idx="2">
                  <c:v>178</c:v>
                </c:pt>
                <c:pt idx="3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ED83-4DDB-91DD-B68074445314}"/>
            </c:ext>
          </c:extLst>
        </c:ser>
        <c:ser>
          <c:idx val="11"/>
          <c:order val="11"/>
          <c:tx>
            <c:strRef>
              <c:f>CCFC!$A$12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Feb</c:v>
              </c:pt>
              <c:pt idx="1">
                <c:v>Mar</c:v>
              </c:pt>
              <c:pt idx="2">
                <c:v>Apr</c:v>
              </c:pt>
              <c:pt idx="3">
                <c:v>May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CCFC!$B$12:$M$12</c15:sqref>
                  </c15:fullRef>
                </c:ext>
              </c:extLst>
              <c:f>CCFC!$F$12:$I$12</c:f>
              <c:numCache>
                <c:formatCode>General</c:formatCode>
                <c:ptCount val="4"/>
                <c:pt idx="0">
                  <c:v>160</c:v>
                </c:pt>
                <c:pt idx="1">
                  <c:v>339</c:v>
                </c:pt>
                <c:pt idx="2">
                  <c:v>517</c:v>
                </c:pt>
                <c:pt idx="3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5-4FE1-A792-2A7E0F98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391391"/>
        <c:axId val="840385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CCFC!$A$3</c15:sqref>
                        </c15:formulaRef>
                      </c:ext>
                    </c:extLst>
                    <c:strCache>
                      <c:ptCount val="1"/>
                      <c:pt idx="0">
                        <c:v>Provide Homebuyer Education to 600 clients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CCFC!$B$3:$N$3</c15:sqref>
                        </c15:fullRef>
                        <c15:formulaRef>
                          <c15:sqref>(CCFC!$F$3:$I$3,CCFC!$N$3)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49</c:v>
                      </c:pt>
                      <c:pt idx="2">
                        <c:v>65</c:v>
                      </c:pt>
                      <c:pt idx="3">
                        <c:v>54</c:v>
                      </c:pt>
                      <c:pt idx="4">
                        <c:v>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D83-4DDB-91DD-B6807444531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CCFC!$A$4</c15:sqref>
                        </c15:formulaRef>
                      </c:ext>
                    </c:extLst>
                    <c:strCache>
                      <c:ptCount val="1"/>
                      <c:pt idx="0">
                        <c:v>Provide 600 hours of Financial Coaching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CCFC!$B$4:$N$4</c15:sqref>
                        </c15:fullRef>
                        <c15:formulaRef>
                          <c15:sqref>(CCFC!$F$4:$I$4,CCFC!$N$4)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</c:v>
                      </c:pt>
                      <c:pt idx="1">
                        <c:v>57.5</c:v>
                      </c:pt>
                      <c:pt idx="2">
                        <c:v>53</c:v>
                      </c:pt>
                      <c:pt idx="3">
                        <c:v>69</c:v>
                      </c:pt>
                      <c:pt idx="4">
                        <c:v>655.25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83-4DDB-91DD-B6807444531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CCFC!$A$5</c15:sqref>
                        </c15:formulaRef>
                      </c:ext>
                    </c:extLst>
                    <c:strCache>
                      <c:ptCount val="1"/>
                      <c:pt idx="0">
                        <c:v>Create 150 new homeowners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CCFC!$B$5:$N$5</c15:sqref>
                        </c15:fullRef>
                        <c15:formulaRef>
                          <c15:sqref>(CCFC!$F$5:$I$5,CCFC!$N$5)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</c:v>
                      </c:pt>
                      <c:pt idx="1">
                        <c:v>18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83-4DDB-91DD-B6807444531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CCFC!$A$6</c15:sqref>
                        </c15:formulaRef>
                      </c:ext>
                    </c:extLst>
                    <c:strCache>
                      <c:ptCount val="1"/>
                      <c:pt idx="0">
                        <c:v>$2,100,000 in Residential Lending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CCFC!$B$6:$N$6</c15:sqref>
                        </c15:fullRef>
                        <c15:formulaRef>
                          <c15:sqref>(CCFC!$F$6:$I$6,CCFC!$N$6)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174600</c:v>
                      </c:pt>
                      <c:pt idx="1">
                        <c:v>0</c:v>
                      </c:pt>
                      <c:pt idx="2">
                        <c:v>195700</c:v>
                      </c:pt>
                      <c:pt idx="3" formatCode="General">
                        <c:v>0</c:v>
                      </c:pt>
                      <c:pt idx="4" formatCode="_(&quot;$&quot;* #,##0_);_(&quot;$&quot;* \(#,##0\);_(&quot;$&quot;* &quot;-&quot;??_);_(@_)">
                        <c:v>968426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83-4DDB-91DD-B6807444531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CCFC!$A$7</c15:sqref>
                        </c15:formulaRef>
                      </c:ext>
                    </c:extLst>
                    <c:strCache>
                      <c:ptCount val="1"/>
                      <c:pt idx="0">
                        <c:v>$1,600,000 in Business Lending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CCFC!$B$7:$N$7</c15:sqref>
                        </c15:fullRef>
                        <c15:formulaRef>
                          <c15:sqref>(CCFC!$F$7:$I$7,CCFC!$N$7)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186000</c:v>
                      </c:pt>
                      <c:pt idx="1">
                        <c:v>0</c:v>
                      </c:pt>
                      <c:pt idx="2">
                        <c:v>76000</c:v>
                      </c:pt>
                      <c:pt idx="3">
                        <c:v>245000</c:v>
                      </c:pt>
                      <c:pt idx="4" formatCode="_(&quot;$&quot;* #,##0_);_(&quot;$&quot;* \(#,##0\);_(&quot;$&quot;* &quot;-&quot;??_);_(@_)">
                        <c:v>1200236.07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83-4DDB-91DD-B6807444531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CCFC!$A$8</c15:sqref>
                        </c15:formulaRef>
                      </c:ext>
                    </c:extLst>
                    <c:strCache>
                      <c:ptCount val="1"/>
                      <c:pt idx="0">
                        <c:v>Provide 6,000 hours of business advising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CCFC!$B$8:$N$8</c15:sqref>
                        </c15:fullRef>
                        <c15:formulaRef>
                          <c15:sqref>(CCFC!$F$8:$I$8,CCFC!$N$8)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312</c:v>
                      </c:pt>
                      <c:pt idx="1">
                        <c:v>311</c:v>
                      </c:pt>
                      <c:pt idx="2">
                        <c:v>365</c:v>
                      </c:pt>
                      <c:pt idx="3">
                        <c:v>447</c:v>
                      </c:pt>
                      <c:pt idx="4">
                        <c:v>3578.75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D83-4DDB-91DD-B6807444531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CCFC!$A$9</c15:sqref>
                        </c15:formulaRef>
                      </c:ext>
                    </c:extLst>
                    <c:strCache>
                      <c:ptCount val="1"/>
                      <c:pt idx="0">
                        <c:v>Delinquency Rate – reduce rate by1/3 (33.33%)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CCFC!$B$9:$N$9</c15:sqref>
                        </c15:fullRef>
                        <c15:formulaRef>
                          <c15:sqref>(CCFC!$F$9:$I$9,CCFC!$N$9)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0.1273</c:v>
                      </c:pt>
                      <c:pt idx="1">
                        <c:v>0.1409</c:v>
                      </c:pt>
                      <c:pt idx="2">
                        <c:v>0.1399</c:v>
                      </c:pt>
                      <c:pt idx="3">
                        <c:v>0.14099999999999999</c:v>
                      </c:pt>
                      <c:pt idx="4" formatCode="General">
                        <c:v>1.7679999999999998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83-4DDB-91DD-B6807444531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CCFC!$A$10</c15:sqref>
                        </c15:formulaRef>
                      </c:ext>
                    </c:extLst>
                    <c:strCache>
                      <c:ptCount val="1"/>
                      <c:pt idx="0">
                        <c:v>Create or Retain at least 1 FTE (Full Time Equivalent) per $75,000 lent (20 FTEs)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CCFC!$B$10:$N$10</c15:sqref>
                        </c15:fullRef>
                        <c15:formulaRef>
                          <c15:sqref>(CCFC!$F$10:$I$10,CCFC!$N$10)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_(&quot;$&quot;* #,##0_);_(&quot;$&quot;* \(#,##0\);_(&quot;$&quot;* &quot;-&quot;??_);_(@_)">
                        <c:v>12.912346666666666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83-4DDB-91DD-B6807444531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CCFC!$A$13</c15:sqref>
                        </c15:formulaRef>
                      </c:ext>
                    </c:extLst>
                    <c:strCache>
                      <c:ptCount val="1"/>
                      <c:pt idx="0">
                        <c:v>Package 4 USDA 502 Direct Loans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CCFC!$B$13:$N$13</c15:sqref>
                        </c15:fullRef>
                        <c15:formulaRef>
                          <c15:sqref>(CCFC!$F$13:$I$13,CCFC!$N$13)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83-4DDB-91DD-B6807444531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CCFC!$A$14</c15:sqref>
                        </c15:formulaRef>
                      </c:ext>
                    </c:extLst>
                    <c:strCache>
                      <c:ptCount val="1"/>
                      <c:pt idx="0">
                        <c:v>Provide 100 hours of economic development facilitation and coordination in Oxford County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CCFC!$B$2:$N$2</c15:sqref>
                        </c15:fullRef>
                        <c15:formulaRef>
                          <c15:sqref>(CCFC!$F$2:$I$2,CCFC!$N$2)</c15:sqref>
                        </c15:formulaRef>
                      </c:ext>
                    </c:extLst>
                    <c:strCache>
                      <c:ptCount val="5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YTD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CCFC!$B$14:$N$14</c15:sqref>
                        </c15:fullRef>
                        <c15:formulaRef>
                          <c15:sqref>(CCFC!$F$14:$I$14,CCFC!$N$14)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19.75</c:v>
                      </c:pt>
                      <c:pt idx="1">
                        <c:v>10.5</c:v>
                      </c:pt>
                      <c:pt idx="2">
                        <c:v>9.5</c:v>
                      </c:pt>
                      <c:pt idx="3">
                        <c:v>7.5</c:v>
                      </c:pt>
                      <c:pt idx="4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83-4DDB-91DD-B68074445314}"/>
                  </c:ext>
                </c:extLst>
              </c15:ser>
            </c15:filteredBarSeries>
          </c:ext>
        </c:extLst>
      </c:barChart>
      <c:catAx>
        <c:axId val="8403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5567"/>
        <c:crosses val="autoZero"/>
        <c:auto val="1"/>
        <c:lblAlgn val="ctr"/>
        <c:lblOffset val="100"/>
        <c:noMultiLvlLbl val="0"/>
      </c:catAx>
      <c:valAx>
        <c:axId val="8403855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139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Orders and Fee for Service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Property!$A$3</c:f>
              <c:strCache>
                <c:ptCount val="1"/>
                <c:pt idx="0">
                  <c:v># Work Orders in month being reported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Property!$B$2:$N$2</c15:sqref>
                  </c15:fullRef>
                </c:ext>
              </c:extLst>
              <c:f>Property!$B$2:$M$2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  <c:pt idx="12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Property!$B$3:$M$3</c15:sqref>
                  </c15:fullRef>
                </c:ext>
              </c:extLst>
              <c:f>Property!$B$3:$M$3</c:f>
              <c:numCache>
                <c:formatCode>General</c:formatCode>
                <c:ptCount val="12"/>
                <c:pt idx="0">
                  <c:v>68</c:v>
                </c:pt>
                <c:pt idx="1">
                  <c:v>74</c:v>
                </c:pt>
                <c:pt idx="2">
                  <c:v>76</c:v>
                </c:pt>
                <c:pt idx="3">
                  <c:v>122</c:v>
                </c:pt>
                <c:pt idx="4">
                  <c:v>76</c:v>
                </c:pt>
                <c:pt idx="5">
                  <c:v>70</c:v>
                </c:pt>
                <c:pt idx="6">
                  <c:v>82</c:v>
                </c:pt>
                <c:pt idx="7">
                  <c:v>102</c:v>
                </c:pt>
                <c:pt idx="8">
                  <c:v>67</c:v>
                </c:pt>
                <c:pt idx="9">
                  <c:v>68</c:v>
                </c:pt>
                <c:pt idx="10">
                  <c:v>104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6-49A3-92C0-AD5A5DCFD368}"/>
            </c:ext>
          </c:extLst>
        </c:ser>
        <c:ser>
          <c:idx val="1"/>
          <c:order val="1"/>
          <c:tx>
            <c:strRef>
              <c:f>Property!$A$4</c:f>
              <c:strCache>
                <c:ptCount val="1"/>
                <c:pt idx="0">
                  <c:v># Fee for Service Projects in month being reported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Property!$B$2:$N$2</c15:sqref>
                  </c15:fullRef>
                </c:ext>
              </c:extLst>
              <c:f>Property!$B$2:$M$2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Property!$B$4:$N$4</c15:sqref>
                  </c15:fullRef>
                </c:ext>
              </c:extLst>
              <c:f>Property!$B$4:$M$4</c:f>
              <c:numCache>
                <c:formatCode>General</c:formatCode>
                <c:ptCount val="12"/>
                <c:pt idx="0">
                  <c:v>149</c:v>
                </c:pt>
                <c:pt idx="1">
                  <c:v>141</c:v>
                </c:pt>
                <c:pt idx="2">
                  <c:v>114</c:v>
                </c:pt>
                <c:pt idx="3">
                  <c:v>166</c:v>
                </c:pt>
                <c:pt idx="4">
                  <c:v>104</c:v>
                </c:pt>
                <c:pt idx="5">
                  <c:v>107</c:v>
                </c:pt>
                <c:pt idx="6">
                  <c:v>181</c:v>
                </c:pt>
                <c:pt idx="7">
                  <c:v>256</c:v>
                </c:pt>
                <c:pt idx="8">
                  <c:v>162</c:v>
                </c:pt>
                <c:pt idx="9">
                  <c:v>209</c:v>
                </c:pt>
                <c:pt idx="10">
                  <c:v>177</c:v>
                </c:pt>
                <c:pt idx="1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6-49A3-92C0-AD5A5DCF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287007"/>
        <c:axId val="1010285759"/>
      </c:barChart>
      <c:catAx>
        <c:axId val="10102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85759"/>
        <c:crosses val="autoZero"/>
        <c:auto val="1"/>
        <c:lblAlgn val="ctr"/>
        <c:lblOffset val="100"/>
        <c:noMultiLvlLbl val="0"/>
      </c:catAx>
      <c:valAx>
        <c:axId val="10102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 for Service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79626967609977E-2"/>
          <c:y val="0.17171296296296296"/>
          <c:w val="0.918287312178620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Property!$A$5</c:f>
              <c:strCache>
                <c:ptCount val="1"/>
                <c:pt idx="0">
                  <c:v>$$ Fee for Servcie Revenue received in the month being reported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Property!$B$2:$M$2</c15:sqref>
                  </c15:fullRef>
                </c:ext>
              </c:extLst>
              <c:f>Property!$B$2:$M$2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Property!$B$5:$N$5</c15:sqref>
                  </c15:fullRef>
                </c:ext>
              </c:extLst>
              <c:f>Property!$B$5:$M$5</c:f>
              <c:numCache>
                <c:formatCode>"$"#,##0.00_);[Red]\("$"#,##0.00\)</c:formatCode>
                <c:ptCount val="12"/>
                <c:pt idx="0">
                  <c:v>32822.370000000003</c:v>
                </c:pt>
                <c:pt idx="1">
                  <c:v>43503.839999999997</c:v>
                </c:pt>
                <c:pt idx="2">
                  <c:v>41503.83</c:v>
                </c:pt>
                <c:pt idx="3">
                  <c:v>39907.46</c:v>
                </c:pt>
                <c:pt idx="4" formatCode="_(&quot;$&quot;* #,##0.00_);_(&quot;$&quot;* \(#,##0.00\);_(&quot;$&quot;* &quot;-&quot;??_);_(@_)">
                  <c:v>46361.33</c:v>
                </c:pt>
                <c:pt idx="5" formatCode="_(&quot;$&quot;* #,##0.00_);_(&quot;$&quot;* \(#,##0.00\);_(&quot;$&quot;* &quot;-&quot;??_);_(@_)">
                  <c:v>47688.9</c:v>
                </c:pt>
                <c:pt idx="6" formatCode="_(&quot;$&quot;* #,##0.00_);_(&quot;$&quot;* \(#,##0.00\);_(&quot;$&quot;* &quot;-&quot;??_);_(@_)">
                  <c:v>45108.83</c:v>
                </c:pt>
                <c:pt idx="7" formatCode="_(&quot;$&quot;* #,##0.00_);_(&quot;$&quot;* \(#,##0.00\);_(&quot;$&quot;* &quot;-&quot;??_);_(@_)">
                  <c:v>72298.720000000001</c:v>
                </c:pt>
                <c:pt idx="8" formatCode="_(&quot;$&quot;* #,##0.00_);_(&quot;$&quot;* \(#,##0.00\);_(&quot;$&quot;* &quot;-&quot;??_);_(@_)">
                  <c:v>48681.06</c:v>
                </c:pt>
                <c:pt idx="9" formatCode="_(&quot;$&quot;* #,##0.00_);_(&quot;$&quot;* \(#,##0.00\);_(&quot;$&quot;* &quot;-&quot;??_);_(@_)">
                  <c:v>57022.1</c:v>
                </c:pt>
                <c:pt idx="10" formatCode="_(&quot;$&quot;* #,##0.00_);_(&quot;$&quot;* \(#,##0.00\);_(&quot;$&quot;* &quot;-&quot;??_);_(@_)">
                  <c:v>44241.72</c:v>
                </c:pt>
                <c:pt idx="11" formatCode="_(&quot;$&quot;* #,##0.00_);_(&quot;$&quot;* \(#,##0.00\);_(&quot;$&quot;* &quot;-&quot;??_);_(@_)">
                  <c:v>41382.69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4-468B-9448-B91D1E25F82D}"/>
            </c:ext>
          </c:extLst>
        </c:ser>
        <c:ser>
          <c:idx val="2"/>
          <c:order val="2"/>
          <c:tx>
            <c:strRef>
              <c:f>Property!$A$6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Property!$B$2:$M$2</c15:sqref>
                  </c15:fullRef>
                </c:ext>
              </c:extLst>
              <c:f>Property!$B$2:$M$2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Property!$B$6:$M$6</c15:sqref>
                  </c15:fullRef>
                </c:ext>
              </c:extLst>
              <c:f>Property!$B$6:$M$6</c:f>
              <c:numCache>
                <c:formatCode>_("$"* #,##0.00_);_("$"* \(#,##0.00\);_("$"* "-"??_);_(@_)</c:formatCode>
                <c:ptCount val="12"/>
                <c:pt idx="0">
                  <c:v>32822.370000000003</c:v>
                </c:pt>
                <c:pt idx="1">
                  <c:v>76326.209999999992</c:v>
                </c:pt>
                <c:pt idx="2">
                  <c:v>117830.04</c:v>
                </c:pt>
                <c:pt idx="3">
                  <c:v>157737.5</c:v>
                </c:pt>
                <c:pt idx="4">
                  <c:v>204098.83000000002</c:v>
                </c:pt>
                <c:pt idx="5">
                  <c:v>251787.73</c:v>
                </c:pt>
                <c:pt idx="6">
                  <c:v>296896.56</c:v>
                </c:pt>
                <c:pt idx="7">
                  <c:v>369195.28</c:v>
                </c:pt>
                <c:pt idx="8">
                  <c:v>417876.34</c:v>
                </c:pt>
                <c:pt idx="9">
                  <c:v>474898.44</c:v>
                </c:pt>
                <c:pt idx="10">
                  <c:v>519140.16000000003</c:v>
                </c:pt>
                <c:pt idx="11">
                  <c:v>560522.85000000009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A-42D8-A044-DD16E50CD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287007"/>
        <c:axId val="101028575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Property!$A$4</c15:sqref>
                        </c15:formulaRef>
                      </c:ext>
                    </c:extLst>
                    <c:strCache>
                      <c:ptCount val="1"/>
                      <c:pt idx="0">
                        <c:v># Fee for Service Projects in month being reported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Property!$B$2:$M$2</c15:sqref>
                        </c15:fullRef>
                        <c15:formulaRef>
                          <c15:sqref>Property!$B$2:$M$2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Property!$B$4:$N$4</c15:sqref>
                        </c15:fullRef>
                        <c15:formulaRef>
                          <c15:sqref>Property!$B$4:$M$4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149</c:v>
                      </c:pt>
                      <c:pt idx="1">
                        <c:v>141</c:v>
                      </c:pt>
                      <c:pt idx="2">
                        <c:v>114</c:v>
                      </c:pt>
                      <c:pt idx="3">
                        <c:v>166</c:v>
                      </c:pt>
                      <c:pt idx="4">
                        <c:v>104</c:v>
                      </c:pt>
                      <c:pt idx="5">
                        <c:v>107</c:v>
                      </c:pt>
                      <c:pt idx="6">
                        <c:v>181</c:v>
                      </c:pt>
                      <c:pt idx="7">
                        <c:v>256</c:v>
                      </c:pt>
                      <c:pt idx="8">
                        <c:v>162</c:v>
                      </c:pt>
                      <c:pt idx="9">
                        <c:v>209</c:v>
                      </c:pt>
                      <c:pt idx="10">
                        <c:v>177</c:v>
                      </c:pt>
                      <c:pt idx="11">
                        <c:v>166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A74-468B-9448-B91D1E25F82D}"/>
                  </c:ext>
                </c:extLst>
              </c15:ser>
            </c15:filteredBarSeries>
          </c:ext>
        </c:extLst>
      </c:barChart>
      <c:catAx>
        <c:axId val="10102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85759"/>
        <c:crosses val="autoZero"/>
        <c:auto val="1"/>
        <c:lblAlgn val="ctr"/>
        <c:lblOffset val="100"/>
        <c:noMultiLvlLbl val="0"/>
      </c:catAx>
      <c:valAx>
        <c:axId val="1010285759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87007"/>
        <c:crosses val="autoZero"/>
        <c:crossBetween val="between"/>
        <c:majorUnit val="100000"/>
        <c:minorUnit val="2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2543254898686"/>
          <c:y val="0.89409667541557303"/>
          <c:w val="0.6719130013238501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Policies Updated </a:t>
            </a:r>
          </a:p>
          <a:p>
            <a:pPr>
              <a:defRPr/>
            </a:pPr>
            <a:r>
              <a:rPr lang="en-US"/>
              <a:t>FY24 goal of 25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Finance!$C$4</c:f>
              <c:strCache>
                <c:ptCount val="1"/>
                <c:pt idx="0">
                  <c:v># of Policies updated in month being reported (25 expected to be updated in FY24)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Finance!$D$4:$O$4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3-4640-89E7-7519FB065745}"/>
            </c:ext>
          </c:extLst>
        </c:ser>
        <c:ser>
          <c:idx val="1"/>
          <c:order val="1"/>
          <c:tx>
            <c:strRef>
              <c:f>Finance!$C$3</c:f>
              <c:strCache>
                <c:ptCount val="1"/>
                <c:pt idx="0">
                  <c:v>Average days to close books - goal is 10 days by Sept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Finance!$D$3:$O$3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23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18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043-4640-89E7-7519FB065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252255"/>
        <c:axId val="473251839"/>
        <c:extLst/>
      </c:barChart>
      <c:catAx>
        <c:axId val="4732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1839"/>
        <c:crosses val="autoZero"/>
        <c:auto val="1"/>
        <c:lblAlgn val="ctr"/>
        <c:lblOffset val="100"/>
        <c:noMultiLvlLbl val="0"/>
      </c:catAx>
      <c:valAx>
        <c:axId val="47325183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 - Incidents and Service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594087796069573"/>
          <c:y val="0.13654048918348488"/>
          <c:w val="0.37510749358577367"/>
          <c:h val="0.84682795244064246"/>
        </c:manualLayout>
      </c:layout>
      <c:pieChart>
        <c:varyColors val="1"/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86-44EA-9977-B7C49F66B1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86-44EA-9977-B7C49F66B1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86-44EA-9977-B7C49F66B1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86-44EA-9977-B7C49F66B1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86-44EA-9977-B7C49F66B1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86-44EA-9977-B7C49F66B1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C86-44EA-9977-B7C49F66B1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C86-44EA-9977-B7C49F66B1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C86-44EA-9977-B7C49F66B1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C86-44EA-9977-B7C49F66B11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C86-44EA-9977-B7C49F66B11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C86-44EA-9977-B7C49F66B11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C86-44EA-9977-B7C49F66B11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C86-44EA-9977-B7C49F66B119}"/>
              </c:ext>
            </c:extLst>
          </c:dPt>
          <c:dLbls>
            <c:dLbl>
              <c:idx val="0"/>
              <c:layout>
                <c:manualLayout>
                  <c:x val="6.348584560032848E-2"/>
                  <c:y val="4.49956294735927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86-44EA-9977-B7C49F66B119}"/>
                </c:ext>
              </c:extLst>
            </c:dLbl>
            <c:dLbl>
              <c:idx val="2"/>
              <c:layout>
                <c:manualLayout>
                  <c:x val="-1.658370707118827E-2"/>
                  <c:y val="-1.88832961901751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86-44EA-9977-B7C49F66B119}"/>
                </c:ext>
              </c:extLst>
            </c:dLbl>
            <c:dLbl>
              <c:idx val="6"/>
              <c:layout>
                <c:manualLayout>
                  <c:x val="-6.7816849168702661E-2"/>
                  <c:y val="4.079431116632111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86-44EA-9977-B7C49F66B119}"/>
                </c:ext>
              </c:extLst>
            </c:dLbl>
            <c:dLbl>
              <c:idx val="7"/>
              <c:layout>
                <c:manualLayout>
                  <c:x val="-4.0917977301238383E-2"/>
                  <c:y val="-1.3436475161746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C86-44EA-9977-B7C49F66B119}"/>
                </c:ext>
              </c:extLst>
            </c:dLbl>
            <c:dLbl>
              <c:idx val="8"/>
              <c:layout>
                <c:manualLayout>
                  <c:x val="-3.0312805540621164E-3"/>
                  <c:y val="-1.18800064651424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C86-44EA-9977-B7C49F66B119}"/>
                </c:ext>
              </c:extLst>
            </c:dLbl>
            <c:dLbl>
              <c:idx val="9"/>
              <c:layout>
                <c:manualLayout>
                  <c:x val="8.4887833273217684E-4"/>
                  <c:y val="-2.02705567868324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C86-44EA-9977-B7C49F66B119}"/>
                </c:ext>
              </c:extLst>
            </c:dLbl>
            <c:dLbl>
              <c:idx val="10"/>
              <c:layout>
                <c:manualLayout>
                  <c:x val="-4.610693326255566E-2"/>
                  <c:y val="6.548496864631266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3A4142-170A-4946-99CB-9863401BE6D1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C860E7DE-456E-4347-B525-9243908C8BCA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869444690200241E-2"/>
                      <c:h val="0.1195578137576018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8C86-44EA-9977-B7C49F66B119}"/>
                </c:ext>
              </c:extLst>
            </c:dLbl>
            <c:dLbl>
              <c:idx val="11"/>
              <c:layout>
                <c:manualLayout>
                  <c:x val="-6.5594430341842536E-2"/>
                  <c:y val="5.77190133569924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C86-44EA-9977-B7C49F66B119}"/>
                </c:ext>
              </c:extLst>
            </c:dLbl>
            <c:dLbl>
              <c:idx val="12"/>
              <c:layout>
                <c:manualLayout>
                  <c:x val="-1.9485727637545698E-2"/>
                  <c:y val="3.524281055063716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C86-44EA-9977-B7C49F66B119}"/>
                </c:ext>
              </c:extLst>
            </c:dLbl>
            <c:dLbl>
              <c:idx val="13"/>
              <c:layout>
                <c:manualLayout>
                  <c:x val="0.11417336445735986"/>
                  <c:y val="1.23478893952613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C86-44EA-9977-B7C49F66B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IT!$C$7:$C$20</c:f>
              <c:strCache>
                <c:ptCount val="14"/>
                <c:pt idx="0">
                  <c:v>Admin</c:v>
                </c:pt>
                <c:pt idx="1">
                  <c:v>CCFC</c:v>
                </c:pt>
                <c:pt idx="2">
                  <c:v>Board of Directors</c:v>
                </c:pt>
                <c:pt idx="3">
                  <c:v>Children's Services</c:v>
                </c:pt>
                <c:pt idx="4">
                  <c:v>Customer Services</c:v>
                </c:pt>
                <c:pt idx="5">
                  <c:v>Family Services</c:v>
                </c:pt>
                <c:pt idx="6">
                  <c:v>Finance</c:v>
                </c:pt>
                <c:pt idx="7">
                  <c:v>Homeless Crisis</c:v>
                </c:pt>
                <c:pt idx="8">
                  <c:v>Housing Services</c:v>
                </c:pt>
                <c:pt idx="9">
                  <c:v>Human Resources</c:v>
                </c:pt>
                <c:pt idx="10">
                  <c:v>IT</c:v>
                </c:pt>
                <c:pt idx="11">
                  <c:v>OCMHS</c:v>
                </c:pt>
                <c:pt idx="12">
                  <c:v>Property Management</c:v>
                </c:pt>
                <c:pt idx="13">
                  <c:v>Resource Development</c:v>
                </c:pt>
              </c:strCache>
            </c:strRef>
          </c:cat>
          <c:val>
            <c:numRef>
              <c:f>IT!$P$7:$P$20</c:f>
              <c:numCache>
                <c:formatCode>General</c:formatCode>
                <c:ptCount val="14"/>
                <c:pt idx="0">
                  <c:v>313</c:v>
                </c:pt>
                <c:pt idx="1">
                  <c:v>253</c:v>
                </c:pt>
                <c:pt idx="2">
                  <c:v>0</c:v>
                </c:pt>
                <c:pt idx="3">
                  <c:v>908</c:v>
                </c:pt>
                <c:pt idx="4">
                  <c:v>649</c:v>
                </c:pt>
                <c:pt idx="5">
                  <c:v>39</c:v>
                </c:pt>
                <c:pt idx="6">
                  <c:v>223</c:v>
                </c:pt>
                <c:pt idx="7">
                  <c:v>7</c:v>
                </c:pt>
                <c:pt idx="8">
                  <c:v>216</c:v>
                </c:pt>
                <c:pt idx="9">
                  <c:v>160</c:v>
                </c:pt>
                <c:pt idx="10">
                  <c:v>607</c:v>
                </c:pt>
                <c:pt idx="11">
                  <c:v>148</c:v>
                </c:pt>
                <c:pt idx="12">
                  <c:v>70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5-657A-49DE-B142-4735CC88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C283-47A1-9E66-5F7D1277D2F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C283-47A1-9E66-5F7D1277D2F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C283-47A1-9E66-5F7D1277D2F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C283-47A1-9E66-5F7D1277D2F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C283-47A1-9E66-5F7D1277D2F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C283-47A1-9E66-5F7D1277D2F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0-C283-47A1-9E66-5F7D1277D2F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IT!$D$7:$D$20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0</c:v>
                      </c:pt>
                      <c:pt idx="3">
                        <c:v>78</c:v>
                      </c:pt>
                      <c:pt idx="4">
                        <c:v>24</c:v>
                      </c:pt>
                      <c:pt idx="5">
                        <c:v>11</c:v>
                      </c:pt>
                      <c:pt idx="6">
                        <c:v>19</c:v>
                      </c:pt>
                      <c:pt idx="8">
                        <c:v>21</c:v>
                      </c:pt>
                      <c:pt idx="9">
                        <c:v>9</c:v>
                      </c:pt>
                      <c:pt idx="10">
                        <c:v>48</c:v>
                      </c:pt>
                      <c:pt idx="12">
                        <c:v>3</c:v>
                      </c:pt>
                      <c:pt idx="1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B4-4708-B32D-06771DA2B686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074A-46C8-8041-F76B9D2204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IT!$E$7:$E$20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</c:v>
                      </c:pt>
                      <c:pt idx="1">
                        <c:v>28</c:v>
                      </c:pt>
                      <c:pt idx="2">
                        <c:v>0</c:v>
                      </c:pt>
                      <c:pt idx="3">
                        <c:v>60</c:v>
                      </c:pt>
                      <c:pt idx="4">
                        <c:v>43</c:v>
                      </c:pt>
                      <c:pt idx="5">
                        <c:v>13</c:v>
                      </c:pt>
                      <c:pt idx="6">
                        <c:v>19</c:v>
                      </c:pt>
                      <c:pt idx="8">
                        <c:v>25</c:v>
                      </c:pt>
                      <c:pt idx="9">
                        <c:v>19</c:v>
                      </c:pt>
                      <c:pt idx="10">
                        <c:v>48</c:v>
                      </c:pt>
                      <c:pt idx="12">
                        <c:v>4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9B4-4708-B32D-06771DA2B686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074A-46C8-8041-F76B9D2204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IT!$F$7:$F$20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</c:v>
                      </c:pt>
                      <c:pt idx="1">
                        <c:v>10</c:v>
                      </c:pt>
                      <c:pt idx="2">
                        <c:v>0</c:v>
                      </c:pt>
                      <c:pt idx="3">
                        <c:v>60</c:v>
                      </c:pt>
                      <c:pt idx="4">
                        <c:v>49</c:v>
                      </c:pt>
                      <c:pt idx="5">
                        <c:v>12</c:v>
                      </c:pt>
                      <c:pt idx="6">
                        <c:v>21</c:v>
                      </c:pt>
                      <c:pt idx="8">
                        <c:v>28</c:v>
                      </c:pt>
                      <c:pt idx="9">
                        <c:v>13</c:v>
                      </c:pt>
                      <c:pt idx="10">
                        <c:v>43</c:v>
                      </c:pt>
                      <c:pt idx="12">
                        <c:v>1</c:v>
                      </c:pt>
                      <c:pt idx="1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B4-4708-B32D-06771DA2B686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074A-46C8-8041-F76B9D2204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IT!$G$7:$G$20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35</c:v>
                      </c:pt>
                      <c:pt idx="1">
                        <c:v>43</c:v>
                      </c:pt>
                      <c:pt idx="2">
                        <c:v>0</c:v>
                      </c:pt>
                      <c:pt idx="3">
                        <c:v>77</c:v>
                      </c:pt>
                      <c:pt idx="4">
                        <c:v>89</c:v>
                      </c:pt>
                      <c:pt idx="5">
                        <c:v>0</c:v>
                      </c:pt>
                      <c:pt idx="6">
                        <c:v>34</c:v>
                      </c:pt>
                      <c:pt idx="8">
                        <c:v>23</c:v>
                      </c:pt>
                      <c:pt idx="9">
                        <c:v>30</c:v>
                      </c:pt>
                      <c:pt idx="10">
                        <c:v>47</c:v>
                      </c:pt>
                      <c:pt idx="12">
                        <c:v>8</c:v>
                      </c:pt>
                      <c:pt idx="1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B4-4708-B32D-06771DA2B686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074A-46C8-8041-F76B9D2204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IT!$H$7:$H$20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55</c:v>
                      </c:pt>
                      <c:pt idx="1">
                        <c:v>32</c:v>
                      </c:pt>
                      <c:pt idx="2">
                        <c:v>0</c:v>
                      </c:pt>
                      <c:pt idx="3">
                        <c:v>74</c:v>
                      </c:pt>
                      <c:pt idx="4">
                        <c:v>43</c:v>
                      </c:pt>
                      <c:pt idx="5">
                        <c:v>0</c:v>
                      </c:pt>
                      <c:pt idx="6">
                        <c:v>18</c:v>
                      </c:pt>
                      <c:pt idx="8">
                        <c:v>16</c:v>
                      </c:pt>
                      <c:pt idx="9">
                        <c:v>15</c:v>
                      </c:pt>
                      <c:pt idx="10">
                        <c:v>48</c:v>
                      </c:pt>
                      <c:pt idx="12">
                        <c:v>8</c:v>
                      </c:pt>
                      <c:pt idx="13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B4-4708-B32D-06771DA2B686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074A-46C8-8041-F76B9D2204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IT!$I$7:$I$20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</c:v>
                      </c:pt>
                      <c:pt idx="1">
                        <c:v>15</c:v>
                      </c:pt>
                      <c:pt idx="2">
                        <c:v>0</c:v>
                      </c:pt>
                      <c:pt idx="3">
                        <c:v>62</c:v>
                      </c:pt>
                      <c:pt idx="4">
                        <c:v>53</c:v>
                      </c:pt>
                      <c:pt idx="5">
                        <c:v>3</c:v>
                      </c:pt>
                      <c:pt idx="6">
                        <c:v>13</c:v>
                      </c:pt>
                      <c:pt idx="8">
                        <c:v>7</c:v>
                      </c:pt>
                      <c:pt idx="9">
                        <c:v>14</c:v>
                      </c:pt>
                      <c:pt idx="10">
                        <c:v>52</c:v>
                      </c:pt>
                      <c:pt idx="12">
                        <c:v>3</c:v>
                      </c:pt>
                      <c:pt idx="1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B4-4708-B32D-06771DA2B686}"/>
                  </c:ext>
                </c:extLst>
              </c15:ser>
            </c15:filteredPieSeries>
            <c15:filteredPieSeries>
              <c15:ser>
                <c:idx val="6"/>
                <c:order val="6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074A-46C8-8041-F76B9D2204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IT!$J$7:$J$20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</c:v>
                      </c:pt>
                      <c:pt idx="1">
                        <c:v>22</c:v>
                      </c:pt>
                      <c:pt idx="2">
                        <c:v>0</c:v>
                      </c:pt>
                      <c:pt idx="3">
                        <c:v>54</c:v>
                      </c:pt>
                      <c:pt idx="4">
                        <c:v>43</c:v>
                      </c:pt>
                      <c:pt idx="5">
                        <c:v>0</c:v>
                      </c:pt>
                      <c:pt idx="6">
                        <c:v>24</c:v>
                      </c:pt>
                      <c:pt idx="7">
                        <c:v>1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46</c:v>
                      </c:pt>
                      <c:pt idx="11">
                        <c:v>6</c:v>
                      </c:pt>
                      <c:pt idx="12">
                        <c:v>12</c:v>
                      </c:pt>
                      <c:pt idx="13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B4-4708-B32D-06771DA2B686}"/>
                  </c:ext>
                </c:extLst>
              </c15:ser>
            </c15:filteredPieSeries>
            <c15:filteredPieSeries>
              <c15:ser>
                <c:idx val="7"/>
                <c:order val="7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074A-46C8-8041-F76B9D2204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IT!$K$7:$K$20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72</c:v>
                      </c:pt>
                      <c:pt idx="4">
                        <c:v>51</c:v>
                      </c:pt>
                      <c:pt idx="5">
                        <c:v>0</c:v>
                      </c:pt>
                      <c:pt idx="6">
                        <c:v>21</c:v>
                      </c:pt>
                      <c:pt idx="7">
                        <c:v>0</c:v>
                      </c:pt>
                      <c:pt idx="8">
                        <c:v>21</c:v>
                      </c:pt>
                      <c:pt idx="9">
                        <c:v>9</c:v>
                      </c:pt>
                      <c:pt idx="10">
                        <c:v>50</c:v>
                      </c:pt>
                      <c:pt idx="11">
                        <c:v>36</c:v>
                      </c:pt>
                      <c:pt idx="12">
                        <c:v>5</c:v>
                      </c:pt>
                      <c:pt idx="1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B4-4708-B32D-06771DA2B686}"/>
                  </c:ext>
                </c:extLst>
              </c15:ser>
            </c15:filteredPieSeries>
            <c15:filteredPieSeries>
              <c15:ser>
                <c:idx val="8"/>
                <c:order val="8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074A-46C8-8041-F76B9D2204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IT!$L$7:$L$20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0</c:v>
                      </c:pt>
                      <c:pt idx="3">
                        <c:v>90</c:v>
                      </c:pt>
                      <c:pt idx="4">
                        <c:v>57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17</c:v>
                      </c:pt>
                      <c:pt idx="9">
                        <c:v>6</c:v>
                      </c:pt>
                      <c:pt idx="10">
                        <c:v>45</c:v>
                      </c:pt>
                      <c:pt idx="11">
                        <c:v>30</c:v>
                      </c:pt>
                      <c:pt idx="12">
                        <c:v>7</c:v>
                      </c:pt>
                      <c:pt idx="1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B4-4708-B32D-06771DA2B686}"/>
                  </c:ext>
                </c:extLst>
              </c15:ser>
            </c15:filteredPieSeries>
            <c15:filteredPieSeries>
              <c15:ser>
                <c:idx val="9"/>
                <c:order val="9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9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B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074A-46C8-8041-F76B9D2204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IT!$M$7:$M$20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0</c:v>
                      </c:pt>
                      <c:pt idx="3">
                        <c:v>90</c:v>
                      </c:pt>
                      <c:pt idx="4">
                        <c:v>57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17</c:v>
                      </c:pt>
                      <c:pt idx="9">
                        <c:v>6</c:v>
                      </c:pt>
                      <c:pt idx="10">
                        <c:v>45</c:v>
                      </c:pt>
                      <c:pt idx="11">
                        <c:v>30</c:v>
                      </c:pt>
                      <c:pt idx="12">
                        <c:v>7</c:v>
                      </c:pt>
                      <c:pt idx="1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B4-4708-B32D-06771DA2B686}"/>
                  </c:ext>
                </c:extLst>
              </c15:ser>
            </c15:filteredPieSeries>
            <c15:filteredPieSeries>
              <c15:ser>
                <c:idx val="10"/>
                <c:order val="1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9-074A-46C8-8041-F76B9D2204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B-074A-46C8-8041-F76B9D22043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D-074A-46C8-8041-F76B9D22043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F-074A-46C8-8041-F76B9D22043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074A-46C8-8041-F76B9D22043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074A-46C8-8041-F76B9D22043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074A-46C8-8041-F76B9D22043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074A-46C8-8041-F76B9D22043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9-074A-46C8-8041-F76B9D22043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074A-46C8-8041-F76B9D22043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D-074A-46C8-8041-F76B9D22043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F-074A-46C8-8041-F76B9D220437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1-074A-46C8-8041-F76B9D220437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074A-46C8-8041-F76B9D22043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IT!$N$7:$N$20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</c:v>
                      </c:pt>
                      <c:pt idx="1">
                        <c:v>14</c:v>
                      </c:pt>
                      <c:pt idx="2">
                        <c:v>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0</c:v>
                      </c:pt>
                      <c:pt idx="6">
                        <c:v>24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65</c:v>
                      </c:pt>
                      <c:pt idx="11">
                        <c:v>21</c:v>
                      </c:pt>
                      <c:pt idx="12">
                        <c:v>7</c:v>
                      </c:pt>
                      <c:pt idx="1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B4-4708-B32D-06771DA2B686}"/>
                  </c:ext>
                </c:extLst>
              </c15:ser>
            </c15:filteredPieSeries>
            <c15:filteredPieSeries>
              <c15:ser>
                <c:idx val="11"/>
                <c:order val="1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1-8C86-44EA-9977-B7C49F66B11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3-8C86-44EA-9977-B7C49F66B11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5-8C86-44EA-9977-B7C49F66B11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7-8C86-44EA-9977-B7C49F66B11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9-8C86-44EA-9977-B7C49F66B11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B-8C86-44EA-9977-B7C49F66B11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D-8C86-44EA-9977-B7C49F66B11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F-8C86-44EA-9977-B7C49F66B11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61-8C86-44EA-9977-B7C49F66B11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63-8C86-44EA-9977-B7C49F66B119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65-8C86-44EA-9977-B7C49F66B119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67-8C86-44EA-9977-B7C49F66B119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69-8C86-44EA-9977-B7C49F66B119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6B-8C86-44EA-9977-B7C49F66B11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IT!$C$7:$C$20</c15:sqref>
                        </c15:formulaRef>
                      </c:ext>
                    </c:extLst>
                    <c:strCache>
                      <c:ptCount val="14"/>
                      <c:pt idx="0">
                        <c:v>Admin</c:v>
                      </c:pt>
                      <c:pt idx="1">
                        <c:v>CCFC</c:v>
                      </c:pt>
                      <c:pt idx="2">
                        <c:v>Board of Directors</c:v>
                      </c:pt>
                      <c:pt idx="3">
                        <c:v>Children's Services</c:v>
                      </c:pt>
                      <c:pt idx="4">
                        <c:v>Customer Services</c:v>
                      </c:pt>
                      <c:pt idx="5">
                        <c:v>Family Services</c:v>
                      </c:pt>
                      <c:pt idx="6">
                        <c:v>Finance</c:v>
                      </c:pt>
                      <c:pt idx="7">
                        <c:v>Homeless Crisis</c:v>
                      </c:pt>
                      <c:pt idx="8">
                        <c:v>Housing Services</c:v>
                      </c:pt>
                      <c:pt idx="9">
                        <c:v>Human Resources</c:v>
                      </c:pt>
                      <c:pt idx="10">
                        <c:v>IT</c:v>
                      </c:pt>
                      <c:pt idx="11">
                        <c:v>OCMHS</c:v>
                      </c:pt>
                      <c:pt idx="12">
                        <c:v>Property Management</c:v>
                      </c:pt>
                      <c:pt idx="13">
                        <c:v>Resource Development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IT!$O$7:$O$20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</c:v>
                      </c:pt>
                      <c:pt idx="1">
                        <c:v>10</c:v>
                      </c:pt>
                      <c:pt idx="2">
                        <c:v>0</c:v>
                      </c:pt>
                      <c:pt idx="3">
                        <c:v>141</c:v>
                      </c:pt>
                      <c:pt idx="4">
                        <c:v>80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70</c:v>
                      </c:pt>
                      <c:pt idx="11">
                        <c:v>25</c:v>
                      </c:pt>
                      <c:pt idx="12">
                        <c:v>5</c:v>
                      </c:pt>
                      <c:pt idx="1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4-657A-49DE-B142-4735CC88226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Response/Resolution </a:t>
            </a:r>
          </a:p>
          <a:p>
            <a:pPr>
              <a:defRPr/>
            </a:pPr>
            <a:r>
              <a:rPr lang="en-US"/>
              <a:t>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3357237830703E-2"/>
          <c:y val="0.24958005256200594"/>
          <c:w val="0.88574243380214557"/>
          <c:h val="0.58422656523488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IT!$C$23</c:f>
              <c:strCache>
                <c:ptCount val="1"/>
                <c:pt idx="0">
                  <c:v>Average time to respond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IT!$D$23:$O$23</c:f>
              <c:numCache>
                <c:formatCode>General</c:formatCode>
                <c:ptCount val="12"/>
                <c:pt idx="0">
                  <c:v>260</c:v>
                </c:pt>
                <c:pt idx="1">
                  <c:v>554</c:v>
                </c:pt>
                <c:pt idx="2">
                  <c:v>932</c:v>
                </c:pt>
                <c:pt idx="3">
                  <c:v>523</c:v>
                </c:pt>
                <c:pt idx="4">
                  <c:v>360</c:v>
                </c:pt>
                <c:pt idx="5">
                  <c:v>407</c:v>
                </c:pt>
                <c:pt idx="6">
                  <c:v>149</c:v>
                </c:pt>
                <c:pt idx="7">
                  <c:v>152</c:v>
                </c:pt>
                <c:pt idx="8">
                  <c:v>387</c:v>
                </c:pt>
                <c:pt idx="9">
                  <c:v>387</c:v>
                </c:pt>
                <c:pt idx="10">
                  <c:v>254</c:v>
                </c:pt>
                <c:pt idx="11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D-478C-8182-6F8777DCC366}"/>
            </c:ext>
          </c:extLst>
        </c:ser>
        <c:ser>
          <c:idx val="1"/>
          <c:order val="1"/>
          <c:tx>
            <c:strRef>
              <c:f>IT!$C$25</c:f>
              <c:strCache>
                <c:ptCount val="1"/>
                <c:pt idx="0">
                  <c:v>Average time to resolution - urgent issues  (minutes)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IT!$D$25:$O$25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436</c:v>
                </c:pt>
                <c:pt idx="3">
                  <c:v>18</c:v>
                </c:pt>
                <c:pt idx="4">
                  <c:v>20</c:v>
                </c:pt>
                <c:pt idx="5">
                  <c:v>35</c:v>
                </c:pt>
                <c:pt idx="6">
                  <c:v>385</c:v>
                </c:pt>
                <c:pt idx="7">
                  <c:v>126</c:v>
                </c:pt>
                <c:pt idx="8">
                  <c:v>135</c:v>
                </c:pt>
                <c:pt idx="9">
                  <c:v>135</c:v>
                </c:pt>
                <c:pt idx="10">
                  <c:v>244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D-478C-8182-6F8777DC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50656"/>
        <c:axId val="1606719616"/>
      </c:barChart>
      <c:catAx>
        <c:axId val="19181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19616"/>
        <c:crosses val="autoZero"/>
        <c:auto val="1"/>
        <c:lblAlgn val="ctr"/>
        <c:lblOffset val="100"/>
        <c:noMultiLvlLbl val="0"/>
      </c:catAx>
      <c:valAx>
        <c:axId val="16067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CCI Head Count vs Open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'Human Resources'!$S$18</c:f>
              <c:strCache>
                <c:ptCount val="1"/>
                <c:pt idx="0">
                  <c:v>Open Positions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'Human Resources'!$D$1:$O$1</c15:sqref>
                  </c15:fullRef>
                </c:ext>
              </c:extLst>
              <c:f>'Human Resources'!$D$1:$O$1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'Human Resources'!$D$4:$P$4</c15:sqref>
                  </c15:fullRef>
                </c:ext>
              </c:extLst>
              <c:f>'Human Resources'!$D$4:$O$4</c:f>
              <c:numCache>
                <c:formatCode>General</c:formatCode>
                <c:ptCount val="12"/>
                <c:pt idx="0">
                  <c:v>39</c:v>
                </c:pt>
                <c:pt idx="1">
                  <c:v>41</c:v>
                </c:pt>
                <c:pt idx="2">
                  <c:v>46</c:v>
                </c:pt>
                <c:pt idx="3">
                  <c:v>46</c:v>
                </c:pt>
                <c:pt idx="4">
                  <c:v>40</c:v>
                </c:pt>
                <c:pt idx="5">
                  <c:v>42</c:v>
                </c:pt>
                <c:pt idx="6">
                  <c:v>33</c:v>
                </c:pt>
                <c:pt idx="7">
                  <c:v>41</c:v>
                </c:pt>
                <c:pt idx="8">
                  <c:v>44</c:v>
                </c:pt>
                <c:pt idx="9">
                  <c:v>49</c:v>
                </c:pt>
                <c:pt idx="10">
                  <c:v>44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E-43D8-A77E-03E3F9BF13AC}"/>
            </c:ext>
          </c:extLst>
        </c:ser>
        <c:ser>
          <c:idx val="1"/>
          <c:order val="1"/>
          <c:tx>
            <c:strRef>
              <c:f>'Human Resources'!$S$19</c:f>
              <c:strCache>
                <c:ptCount val="1"/>
                <c:pt idx="0">
                  <c:v>Head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'Human Resources'!$D$1:$O$1</c15:sqref>
                  </c15:fullRef>
                </c:ext>
              </c:extLst>
              <c:f>'Human Resources'!$D$1:$O$1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'Human Resources'!$D$34:$P$34</c15:sqref>
                  </c15:fullRef>
                </c:ext>
              </c:extLst>
              <c:f>'Human Resources'!$D$34:$O$34</c:f>
              <c:numCache>
                <c:formatCode>General</c:formatCode>
                <c:ptCount val="12"/>
                <c:pt idx="0">
                  <c:v>251</c:v>
                </c:pt>
                <c:pt idx="1">
                  <c:v>254</c:v>
                </c:pt>
                <c:pt idx="2">
                  <c:v>258</c:v>
                </c:pt>
                <c:pt idx="3">
                  <c:v>263</c:v>
                </c:pt>
                <c:pt idx="4">
                  <c:v>256</c:v>
                </c:pt>
                <c:pt idx="5">
                  <c:v>256</c:v>
                </c:pt>
                <c:pt idx="6">
                  <c:v>260</c:v>
                </c:pt>
                <c:pt idx="7">
                  <c:v>263</c:v>
                </c:pt>
                <c:pt idx="8">
                  <c:v>264</c:v>
                </c:pt>
                <c:pt idx="9">
                  <c:v>260</c:v>
                </c:pt>
                <c:pt idx="10">
                  <c:v>264</c:v>
                </c:pt>
                <c:pt idx="11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E-43D8-A77E-03E3F9BF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532768"/>
        <c:axId val="1214510208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532768"/>
        <c:axId val="12145102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'Human Resources'!$S$20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t" anchorCtr="0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'Human Resources'!$T$17:$AA$17</c15:sqref>
                        </c15:fullRef>
                        <c15:formulaRef>
                          <c15:sqref>'Human Resources'!$T$17:$AA$17</c15:sqref>
                        </c15:formulaRef>
                      </c:ext>
                    </c:extLst>
                    <c:strCache>
                      <c:ptCount val="8"/>
                      <c:pt idx="0">
                        <c:v>Feb</c:v>
                      </c:pt>
                      <c:pt idx="1">
                        <c:v>Mar</c:v>
                      </c:pt>
                      <c:pt idx="2">
                        <c:v>Apr</c:v>
                      </c:pt>
                      <c:pt idx="3">
                        <c:v>May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Aug</c:v>
                      </c:pt>
                      <c:pt idx="7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'Human Resources'!$T$20:$AA$20</c15:sqref>
                        </c15:fullRef>
                        <c15:formulaRef>
                          <c15:sqref>'Human Resources'!$T$20:$AA$20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42</c:v>
                      </c:pt>
                      <c:pt idx="2">
                        <c:v>157</c:v>
                      </c:pt>
                      <c:pt idx="3">
                        <c:v>41</c:v>
                      </c:pt>
                      <c:pt idx="4">
                        <c:v>44</c:v>
                      </c:pt>
                      <c:pt idx="5">
                        <c:v>49</c:v>
                      </c:pt>
                      <c:pt idx="6">
                        <c:v>44</c:v>
                      </c:pt>
                      <c:pt idx="7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FE-43D8-A77E-03E3F9BF13AC}"/>
                  </c:ext>
                </c:extLst>
              </c15:ser>
            </c15:filteredLineSeries>
          </c:ext>
        </c:extLst>
      </c:lineChart>
      <c:catAx>
        <c:axId val="12145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10208"/>
        <c:crosses val="autoZero"/>
        <c:auto val="1"/>
        <c:lblAlgn val="ctr"/>
        <c:lblOffset val="100"/>
        <c:noMultiLvlLbl val="0"/>
      </c:catAx>
      <c:valAx>
        <c:axId val="12145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Start / Early Head Start Wait Lists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'Children''s '!$A$5</c:f>
              <c:strCache>
                <c:ptCount val="1"/>
                <c:pt idx="0">
                  <c:v> HS Wait List for Income Eligible 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'FY24 KPIs'!$D$1:$P$1</c15:sqref>
                  </c15:fullRef>
                </c:ext>
              </c:extLst>
              <c:f>'FY24 KPIs'!$D$1:$O$1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'Children''s '!$B$5:$N$5</c15:sqref>
                  </c15:fullRef>
                </c:ext>
              </c:extLst>
              <c:f>'Children''s '!$B$5:$M$5</c:f>
              <c:numCache>
                <c:formatCode>General</c:formatCode>
                <c:ptCount val="12"/>
                <c:pt idx="0">
                  <c:v>34</c:v>
                </c:pt>
                <c:pt idx="1">
                  <c:v>36</c:v>
                </c:pt>
                <c:pt idx="2">
                  <c:v>36</c:v>
                </c:pt>
                <c:pt idx="3">
                  <c:v>39</c:v>
                </c:pt>
                <c:pt idx="4">
                  <c:v>38</c:v>
                </c:pt>
                <c:pt idx="5">
                  <c:v>26</c:v>
                </c:pt>
                <c:pt idx="6">
                  <c:v>30</c:v>
                </c:pt>
                <c:pt idx="7">
                  <c:v>39</c:v>
                </c:pt>
                <c:pt idx="8">
                  <c:v>11</c:v>
                </c:pt>
                <c:pt idx="9">
                  <c:v>5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1-4153-90AD-3C8C3C1E6D6A}"/>
            </c:ext>
          </c:extLst>
        </c:ser>
        <c:ser>
          <c:idx val="3"/>
          <c:order val="3"/>
          <c:tx>
            <c:strRef>
              <c:f>'Children''s '!$A$6</c:f>
              <c:strCache>
                <c:ptCount val="1"/>
                <c:pt idx="0">
                  <c:v> HS Wait List for Over Income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'FY24 KPIs'!$D$1:$P$1</c15:sqref>
                  </c15:fullRef>
                </c:ext>
              </c:extLst>
              <c:f>'FY24 KPIs'!$D$1:$O$1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'Children''s '!$B$6:$N$6</c15:sqref>
                  </c15:fullRef>
                </c:ext>
              </c:extLst>
              <c:f>'Children''s '!$B$6:$M$6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43</c:v>
                </c:pt>
                <c:pt idx="4">
                  <c:v>43</c:v>
                </c:pt>
                <c:pt idx="5">
                  <c:v>36</c:v>
                </c:pt>
                <c:pt idx="6">
                  <c:v>35</c:v>
                </c:pt>
                <c:pt idx="7">
                  <c:v>26</c:v>
                </c:pt>
                <c:pt idx="8">
                  <c:v>13</c:v>
                </c:pt>
                <c:pt idx="9">
                  <c:v>14</c:v>
                </c:pt>
                <c:pt idx="10">
                  <c:v>43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1-4153-90AD-3C8C3C1E6D6A}"/>
            </c:ext>
          </c:extLst>
        </c:ser>
        <c:ser>
          <c:idx val="7"/>
          <c:order val="7"/>
          <c:tx>
            <c:strRef>
              <c:f>'Children''s '!$A$10</c:f>
              <c:strCache>
                <c:ptCount val="1"/>
                <c:pt idx="0">
                  <c:v>EHS Wait List for Income Eligible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'FY24 KPIs'!$D$1:$P$1</c15:sqref>
                  </c15:fullRef>
                </c:ext>
              </c:extLst>
              <c:f>'FY24 KPIs'!$D$1:$O$1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'Children''s '!$B$10:$N$10</c15:sqref>
                  </c15:fullRef>
                </c:ext>
              </c:extLst>
              <c:f>'Children''s '!$B$10:$M$10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31</c:v>
                </c:pt>
                <c:pt idx="6">
                  <c:v>38</c:v>
                </c:pt>
                <c:pt idx="7">
                  <c:v>41</c:v>
                </c:pt>
                <c:pt idx="8">
                  <c:v>37</c:v>
                </c:pt>
                <c:pt idx="9">
                  <c:v>39</c:v>
                </c:pt>
                <c:pt idx="10">
                  <c:v>52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81-4153-90AD-3C8C3C1E6D6A}"/>
            </c:ext>
          </c:extLst>
        </c:ser>
        <c:ser>
          <c:idx val="8"/>
          <c:order val="8"/>
          <c:tx>
            <c:strRef>
              <c:f>'Children''s '!$A$11</c:f>
              <c:strCache>
                <c:ptCount val="1"/>
                <c:pt idx="0">
                  <c:v> EHS Wait List for Over Income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'FY24 KPIs'!$D$1:$P$1</c15:sqref>
                  </c15:fullRef>
                </c:ext>
              </c:extLst>
              <c:f>'FY24 KPIs'!$D$1:$O$1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'Children''s '!$B$11:$N$11</c15:sqref>
                  </c15:fullRef>
                </c:ext>
              </c:extLst>
              <c:f>'Children''s '!$B$11:$M$11</c:f>
              <c:numCache>
                <c:formatCode>General</c:formatCode>
                <c:ptCount val="12"/>
                <c:pt idx="0">
                  <c:v>32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32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51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81-4153-90AD-3C8C3C1E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2395904"/>
        <c:axId val="412385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'Children''s '!$A$3</c15:sqref>
                        </c15:formulaRef>
                      </c:ext>
                    </c:extLst>
                    <c:strCache>
                      <c:ptCount val="1"/>
                      <c:pt idx="0">
                        <c:v> Head Start Children Enrolled (Goal 266)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'Children''s '!$B$3:$N$3</c15:sqref>
                        </c15:fullRef>
                        <c15:formulaRef>
                          <c15:sqref>'Children''s 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197</c:v>
                      </c:pt>
                      <c:pt idx="1">
                        <c:v>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A81-4153-90AD-3C8C3C1E6D6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'!$A$4</c15:sqref>
                        </c15:formulaRef>
                      </c:ext>
                    </c:extLst>
                    <c:strCache>
                      <c:ptCount val="1"/>
                      <c:pt idx="0">
                        <c:v> HS Goal ≥ 90%   Attendance 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'!$B$4:$N$4</c15:sqref>
                        </c15:fullRef>
                        <c15:formulaRef>
                          <c15:sqref>'Children''s '!$B$4:$M$4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0.89</c:v>
                      </c:pt>
                      <c:pt idx="1">
                        <c:v>0.87</c:v>
                      </c:pt>
                      <c:pt idx="2">
                        <c:v>0.84</c:v>
                      </c:pt>
                      <c:pt idx="3">
                        <c:v>0.82</c:v>
                      </c:pt>
                      <c:pt idx="4">
                        <c:v>0.85</c:v>
                      </c:pt>
                      <c:pt idx="5">
                        <c:v>0.83</c:v>
                      </c:pt>
                      <c:pt idx="6">
                        <c:v>0.84</c:v>
                      </c:pt>
                      <c:pt idx="7">
                        <c:v>0.84</c:v>
                      </c:pt>
                      <c:pt idx="8">
                        <c:v>0.89</c:v>
                      </c:pt>
                      <c:pt idx="9">
                        <c:v>0.81</c:v>
                      </c:pt>
                      <c:pt idx="10">
                        <c:v>0.77</c:v>
                      </c:pt>
                      <c:pt idx="11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A81-4153-90AD-3C8C3C1E6D6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'!$A$7</c15:sqref>
                        </c15:formulaRef>
                      </c:ext>
                    </c:extLst>
                    <c:strCache>
                      <c:ptCount val="1"/>
                      <c:pt idx="0">
                        <c:v>97% enrollment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'!$B$7:$N$7</c15:sqref>
                        </c15:fullRef>
                        <c15:formulaRef>
                          <c15:sqref>'Children''s '!$B$7:$M$7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0.76</c:v>
                      </c:pt>
                      <c:pt idx="1">
                        <c:v>0.79</c:v>
                      </c:pt>
                      <c:pt idx="2">
                        <c:v>0.79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0.92</c:v>
                      </c:pt>
                      <c:pt idx="6">
                        <c:v>0.91</c:v>
                      </c:pt>
                      <c:pt idx="7">
                        <c:v>0.89</c:v>
                      </c:pt>
                      <c:pt idx="8">
                        <c:v>0.15</c:v>
                      </c:pt>
                      <c:pt idx="9">
                        <c:v>0.1</c:v>
                      </c:pt>
                      <c:pt idx="10">
                        <c:v>0.08</c:v>
                      </c:pt>
                      <c:pt idx="11">
                        <c:v>0.68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81-4153-90AD-3C8C3C1E6D6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'!$A$8</c15:sqref>
                        </c15:formulaRef>
                      </c:ext>
                    </c:extLst>
                    <c:strCache>
                      <c:ptCount val="1"/>
                      <c:pt idx="0">
                        <c:v> Early Head Start Children Enrolled (Goal 148)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'!$B$8:$N$8</c15:sqref>
                        </c15:fullRef>
                        <c15:formulaRef>
                          <c15:sqref>'Children''s 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60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81-4153-90AD-3C8C3C1E6D6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'!$A$9</c15:sqref>
                        </c15:formulaRef>
                      </c:ext>
                    </c:extLst>
                    <c:strCache>
                      <c:ptCount val="1"/>
                      <c:pt idx="0">
                        <c:v>EHS Goal ≥ 90% Attendance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'!$B$9:$N$9</c15:sqref>
                        </c15:fullRef>
                        <c15:formulaRef>
                          <c15:sqref>'Children''s '!$B$9:$M$9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0.89</c:v>
                      </c:pt>
                      <c:pt idx="1">
                        <c:v>0.87</c:v>
                      </c:pt>
                      <c:pt idx="2">
                        <c:v>0.78</c:v>
                      </c:pt>
                      <c:pt idx="3">
                        <c:v>0.81</c:v>
                      </c:pt>
                      <c:pt idx="4">
                        <c:v>0.86</c:v>
                      </c:pt>
                      <c:pt idx="5">
                        <c:v>0.88</c:v>
                      </c:pt>
                      <c:pt idx="6">
                        <c:v>0.81</c:v>
                      </c:pt>
                      <c:pt idx="7">
                        <c:v>0.87</c:v>
                      </c:pt>
                      <c:pt idx="8">
                        <c:v>0.84</c:v>
                      </c:pt>
                      <c:pt idx="9">
                        <c:v>0.82</c:v>
                      </c:pt>
                      <c:pt idx="10">
                        <c:v>0.82</c:v>
                      </c:pt>
                      <c:pt idx="11">
                        <c:v>0.86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81-4153-90AD-3C8C3C1E6D6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'!$A$12</c15:sqref>
                        </c15:formulaRef>
                      </c:ext>
                    </c:extLst>
                    <c:strCache>
                      <c:ptCount val="1"/>
                      <c:pt idx="0">
                        <c:v>40 Early Head Start child care slots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'!$B$12:$N$12</c15:sqref>
                        </c15:fullRef>
                        <c15:formulaRef>
                          <c15:sqref>'Children''s '!$B$12:$M$12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38</c:v>
                      </c:pt>
                      <c:pt idx="4">
                        <c:v>39</c:v>
                      </c:pt>
                      <c:pt idx="5">
                        <c:v>40</c:v>
                      </c:pt>
                      <c:pt idx="6">
                        <c:v>39</c:v>
                      </c:pt>
                      <c:pt idx="7">
                        <c:v>48</c:v>
                      </c:pt>
                      <c:pt idx="8">
                        <c:v>45</c:v>
                      </c:pt>
                      <c:pt idx="9">
                        <c:v>46</c:v>
                      </c:pt>
                      <c:pt idx="10">
                        <c:v>45</c:v>
                      </c:pt>
                      <c:pt idx="1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81-4153-90AD-3C8C3C1E6D6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'!$A$13</c15:sqref>
                        </c15:formulaRef>
                      </c:ext>
                    </c:extLst>
                    <c:strCache>
                      <c:ptCount val="1"/>
                      <c:pt idx="0">
                        <c:v>97% enrollment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'!$B$13:$N$13</c15:sqref>
                        </c15:fullRef>
                        <c15:formulaRef>
                          <c15:sqref>'Children''s '!$B$13:$M$13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0.41</c:v>
                      </c:pt>
                      <c:pt idx="1">
                        <c:v>0.44</c:v>
                      </c:pt>
                      <c:pt idx="2">
                        <c:v>0.44</c:v>
                      </c:pt>
                      <c:pt idx="3">
                        <c:v>0.44</c:v>
                      </c:pt>
                      <c:pt idx="4">
                        <c:v>0.44</c:v>
                      </c:pt>
                      <c:pt idx="5">
                        <c:v>0.85</c:v>
                      </c:pt>
                      <c:pt idx="6">
                        <c:v>0.81</c:v>
                      </c:pt>
                      <c:pt idx="7">
                        <c:v>0.86</c:v>
                      </c:pt>
                      <c:pt idx="8">
                        <c:v>0.8</c:v>
                      </c:pt>
                      <c:pt idx="9">
                        <c:v>0.88</c:v>
                      </c:pt>
                      <c:pt idx="10">
                        <c:v>0.8</c:v>
                      </c:pt>
                      <c:pt idx="11">
                        <c:v>0.71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81-4153-90AD-3C8C3C1E6D6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'!$A$14</c15:sqref>
                        </c15:formulaRef>
                      </c:ext>
                    </c:extLst>
                    <c:strCache>
                      <c:ptCount val="1"/>
                      <c:pt idx="0">
                        <c:v>USDA - 17 Homes (CACFP)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'!$B$14:$N$14</c15:sqref>
                        </c15:fullRef>
                        <c15:formulaRef>
                          <c15:sqref>'Children''s '!$B$14:$M$14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">
                        <c:v>0</c:v>
                      </c:pt>
                      <c:pt idx="5" formatCode="0%">
                        <c:v>0</c:v>
                      </c:pt>
                      <c:pt idx="6" formatCode="0">
                        <c:v>0</c:v>
                      </c:pt>
                      <c:pt idx="7" formatCode="0%">
                        <c:v>0</c:v>
                      </c:pt>
                      <c:pt idx="8" formatCode="0">
                        <c:v>0</c:v>
                      </c:pt>
                      <c:pt idx="9" formatCode="0">
                        <c:v>0</c:v>
                      </c:pt>
                      <c:pt idx="10" formatCode="0">
                        <c:v>0</c:v>
                      </c:pt>
                      <c:pt idx="11" formatCode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81-4153-90AD-3C8C3C1E6D6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'!$A$15</c15:sqref>
                        </c15:formulaRef>
                      </c:ext>
                    </c:extLst>
                    <c:strCache>
                      <c:ptCount val="1"/>
                      <c:pt idx="0">
                        <c:v>USDA - 7 Centers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'!$B$15:$N$15</c15:sqref>
                        </c15:fullRef>
                        <c15:formulaRef>
                          <c15:sqref>'Children''s '!$B$15:$M$15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81-4153-90AD-3C8C3C1E6D6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'!$A$16</c15:sqref>
                        </c15:formulaRef>
                      </c:ext>
                    </c:extLst>
                    <c:strCache>
                      <c:ptCount val="1"/>
                      <c:pt idx="0">
                        <c:v>17 Pre school child care slots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'!$B$16:$N$16</c15:sqref>
                        </c15:fullRef>
                        <c15:formulaRef>
                          <c15:sqref>'Children''s '!$B$16:$M$16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81-4153-90AD-3C8C3C1E6D6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'!$A$17</c15:sqref>
                        </c15:formulaRef>
                      </c:ext>
                    </c:extLst>
                    <c:strCache>
                      <c:ptCount val="1"/>
                      <c:pt idx="0">
                        <c:v>Total applications received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'!$B$17:$N$17</c15:sqref>
                        </c15:fullRef>
                        <c15:formulaRef>
                          <c15:sqref>'Children''s '!$B$17:$M$17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18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81-4153-90AD-3C8C3C1E6D6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'!$A$18</c15:sqref>
                        </c15:formulaRef>
                      </c:ext>
                    </c:extLst>
                    <c:strCache>
                      <c:ptCount val="1"/>
                      <c:pt idx="0">
                        <c:v>% of applications processed within 10 days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'!$B$18:$N$18</c15:sqref>
                        </c15:fullRef>
                        <c15:formulaRef>
                          <c15:sqref>'Children''s '!$B$18:$M$18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</c:v>
                      </c:pt>
                      <c:pt idx="1">
                        <c:v>28</c:v>
                      </c:pt>
                      <c:pt idx="2">
                        <c:v>22</c:v>
                      </c:pt>
                      <c:pt idx="3">
                        <c:v>50</c:v>
                      </c:pt>
                      <c:pt idx="4">
                        <c:v>33</c:v>
                      </c:pt>
                      <c:pt idx="5">
                        <c:v>75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66</c:v>
                      </c:pt>
                      <c:pt idx="1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A81-4153-90AD-3C8C3C1E6D6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'!$A$19</c15:sqref>
                        </c15:formulaRef>
                      </c:ext>
                    </c:extLst>
                    <c:strCache>
                      <c:ptCount val="1"/>
                      <c:pt idx="0">
                        <c:v>Average number of days from App to Enrolled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'!$B$19:$N$19</c15:sqref>
                        </c15:fullRef>
                        <c15:formulaRef>
                          <c15:sqref>'Children''s '!$B$19:$M$19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</c:v>
                      </c:pt>
                      <c:pt idx="1">
                        <c:v>0.62</c:v>
                      </c:pt>
                      <c:pt idx="2">
                        <c:v>0.41</c:v>
                      </c:pt>
                      <c:pt idx="3">
                        <c:v>0.77</c:v>
                      </c:pt>
                      <c:pt idx="4">
                        <c:v>0.83</c:v>
                      </c:pt>
                      <c:pt idx="5">
                        <c:v>0.73</c:v>
                      </c:pt>
                      <c:pt idx="6">
                        <c:v>0.6</c:v>
                      </c:pt>
                      <c:pt idx="7">
                        <c:v>0.75</c:v>
                      </c:pt>
                      <c:pt idx="8">
                        <c:v>0.63</c:v>
                      </c:pt>
                      <c:pt idx="9">
                        <c:v>0.72</c:v>
                      </c:pt>
                      <c:pt idx="10">
                        <c:v>0.64</c:v>
                      </c:pt>
                      <c:pt idx="11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A81-4153-90AD-3C8C3C1E6D6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'!$A$20</c15:sqref>
                        </c15:formulaRef>
                      </c:ext>
                    </c:extLst>
                    <c:strCache>
                      <c:ptCount val="1"/>
                      <c:pt idx="0">
                        <c:v>Total # children currently served In all of Children's Services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'!$B$20:$N$20</c15:sqref>
                        </c15:fullRef>
                        <c15:formulaRef>
                          <c15:sqref>'Children''s '!$B$20:$M$20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327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18</c:v>
                      </c:pt>
                      <c:pt idx="5">
                        <c:v>85</c:v>
                      </c:pt>
                      <c:pt idx="6">
                        <c:v>3</c:v>
                      </c:pt>
                      <c:pt idx="7">
                        <c:v>73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A81-4153-90AD-3C8C3C1E6D6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'!$A$21</c15:sqref>
                        </c15:formulaRef>
                      </c:ext>
                    </c:extLst>
                    <c:strCache>
                      <c:ptCount val="1"/>
                      <c:pt idx="0">
                        <c:v>Unduplicated number of children who rode the Chisholm bus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'!$B$21:$N$21</c15:sqref>
                        </c15:fullRef>
                        <c15:formulaRef>
                          <c15:sqref>'Children''s 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A81-4153-90AD-3C8C3C1E6D6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'!$A$22</c15:sqref>
                        </c15:formulaRef>
                      </c:ext>
                    </c:extLst>
                    <c:strCache>
                      <c:ptCount val="1"/>
                      <c:pt idx="0">
                        <c:v>Children/pregnant mothers enrolled in home visiting services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'!$B$22:$N$22</c15:sqref>
                        </c15:fullRef>
                        <c15:formulaRef>
                          <c15:sqref>'Children''s '!$B$22:$M$22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29</c:v>
                      </c:pt>
                      <c:pt idx="5">
                        <c:v>41</c:v>
                      </c:pt>
                      <c:pt idx="6">
                        <c:v>48</c:v>
                      </c:pt>
                      <c:pt idx="7">
                        <c:v>45</c:v>
                      </c:pt>
                      <c:pt idx="8">
                        <c:v>51</c:v>
                      </c:pt>
                      <c:pt idx="9">
                        <c:v>43</c:v>
                      </c:pt>
                      <c:pt idx="10">
                        <c:v>37</c:v>
                      </c:pt>
                      <c:pt idx="1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A81-4153-90AD-3C8C3C1E6D6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'!$A$23</c15:sqref>
                        </c15:formulaRef>
                      </c:ext>
                    </c:extLst>
                    <c:strCache>
                      <c:ptCount val="1"/>
                      <c:pt idx="0">
                        <c:v>% of all children and pregnant parents enrolled in Dental Homes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'!$B$23:$N$23</c15:sqref>
                        </c15:fullRef>
                        <c15:formulaRef>
                          <c15:sqref>'Children''s '!$B$23:$M$23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317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30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A81-4153-90AD-3C8C3C1E6D6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'!$A$24</c15:sqref>
                        </c15:formulaRef>
                      </c:ext>
                    </c:extLst>
                    <c:strCache>
                      <c:ptCount val="1"/>
                      <c:pt idx="0">
                        <c:v># Families enrolled and completed a family  partnership agreement (Whole Family)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'!$B$24:$N$24</c15:sqref>
                        </c15:fullRef>
                        <c15:formulaRef>
                          <c15:sqref>'Children''s '!$B$24:$M$24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487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36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31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A81-4153-90AD-3C8C3C1E6D6A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'!$A$25</c15:sqref>
                        </c15:formulaRef>
                      </c:ext>
                    </c:extLst>
                    <c:strCache>
                      <c:ptCount val="1"/>
                      <c:pt idx="0">
                        <c:v>CACFP meals provided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'!$B$25:$N$25</c15:sqref>
                        </c15:fullRef>
                        <c15:formulaRef>
                          <c15:sqref>'Children''s '!$B$25:$M$25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1002</c:v>
                      </c:pt>
                      <c:pt idx="1">
                        <c:v>2500</c:v>
                      </c:pt>
                      <c:pt idx="2">
                        <c:v>2888</c:v>
                      </c:pt>
                      <c:pt idx="3" formatCode="#,##0">
                        <c:v>859</c:v>
                      </c:pt>
                      <c:pt idx="4">
                        <c:v>436</c:v>
                      </c:pt>
                      <c:pt idx="5">
                        <c:v>1522</c:v>
                      </c:pt>
                      <c:pt idx="6">
                        <c:v>2018</c:v>
                      </c:pt>
                      <c:pt idx="7">
                        <c:v>769</c:v>
                      </c:pt>
                      <c:pt idx="8" formatCode="#,##0">
                        <c:v>774</c:v>
                      </c:pt>
                      <c:pt idx="9" formatCode="#,##0">
                        <c:v>480</c:v>
                      </c:pt>
                      <c:pt idx="10" formatCode="#,##0">
                        <c:v>204</c:v>
                      </c:pt>
                      <c:pt idx="11" formatCode="#,##0">
                        <c:v>654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A81-4153-90AD-3C8C3C1E6D6A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'!$A$26</c15:sqref>
                        </c15:formulaRef>
                      </c:ext>
                    </c:extLst>
                    <c:strCache>
                      <c:ptCount val="1"/>
                      <c:pt idx="0">
                        <c:v>Number of GSFB Meals Distributed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'!$B$26:$N$26</c15:sqref>
                        </c15:fullRef>
                        <c15:formulaRef>
                          <c15:sqref>'Children''s '!$B$26:$M$26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14</c:v>
                      </c:pt>
                      <c:pt idx="10">
                        <c:v>12</c:v>
                      </c:pt>
                      <c:pt idx="1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A81-4153-90AD-3C8C3C1E6D6A}"/>
                  </c:ext>
                </c:extLst>
              </c15:ser>
            </c15:filteredBarSeries>
          </c:ext>
        </c:extLst>
      </c:barChart>
      <c:catAx>
        <c:axId val="4123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5088"/>
        <c:crosses val="autoZero"/>
        <c:auto val="1"/>
        <c:lblAlgn val="ctr"/>
        <c:lblOffset val="100"/>
        <c:noMultiLvlLbl val="0"/>
      </c:catAx>
      <c:valAx>
        <c:axId val="4123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Positions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'Human Resources'!$D$1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Resources'!$D$5:$D$18</c:f>
              <c:numCache>
                <c:formatCode>General</c:formatCode>
                <c:ptCount val="14"/>
                <c:pt idx="0">
                  <c:v>1</c:v>
                </c:pt>
                <c:pt idx="1">
                  <c:v>32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0-4328-AF39-ADDD00710BE7}"/>
            </c:ext>
          </c:extLst>
        </c:ser>
        <c:ser>
          <c:idx val="1"/>
          <c:order val="1"/>
          <c:tx>
            <c:strRef>
              <c:f>'Human Resources'!$E$1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Resources'!$E$5:$E$18</c:f>
              <c:numCache>
                <c:formatCode>General</c:formatCode>
                <c:ptCount val="14"/>
                <c:pt idx="0">
                  <c:v>2</c:v>
                </c:pt>
                <c:pt idx="1">
                  <c:v>34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0-4328-AF39-ADDD00710BE7}"/>
            </c:ext>
          </c:extLst>
        </c:ser>
        <c:ser>
          <c:idx val="2"/>
          <c:order val="2"/>
          <c:tx>
            <c:strRef>
              <c:f>'Human Resources'!$F$1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Resources'!$F$5:$F$18</c:f>
              <c:numCache>
                <c:formatCode>General</c:formatCode>
                <c:ptCount val="14"/>
                <c:pt idx="0">
                  <c:v>2</c:v>
                </c:pt>
                <c:pt idx="1">
                  <c:v>31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0-4328-AF39-ADDD00710BE7}"/>
            </c:ext>
          </c:extLst>
        </c:ser>
        <c:ser>
          <c:idx val="3"/>
          <c:order val="3"/>
          <c:tx>
            <c:strRef>
              <c:f>'Human Resources'!$G$1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Resources'!$G$5:$G$18</c:f>
              <c:numCache>
                <c:formatCode>General</c:formatCode>
                <c:ptCount val="14"/>
                <c:pt idx="0">
                  <c:v>2</c:v>
                </c:pt>
                <c:pt idx="1">
                  <c:v>31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0-4328-AF39-ADDD00710BE7}"/>
            </c:ext>
          </c:extLst>
        </c:ser>
        <c:ser>
          <c:idx val="4"/>
          <c:order val="4"/>
          <c:tx>
            <c:strRef>
              <c:f>'Human Resources'!$H$1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Resources'!$H$5:$H$18</c:f>
              <c:numCache>
                <c:formatCode>General</c:formatCode>
                <c:ptCount val="14"/>
                <c:pt idx="0">
                  <c:v>2</c:v>
                </c:pt>
                <c:pt idx="1">
                  <c:v>25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0-4328-AF39-ADDD00710BE7}"/>
            </c:ext>
          </c:extLst>
        </c:ser>
        <c:ser>
          <c:idx val="5"/>
          <c:order val="5"/>
          <c:tx>
            <c:strRef>
              <c:f>'Human Resources'!$I$1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Resources'!$I$5:$I$18</c:f>
              <c:numCache>
                <c:formatCode>General</c:formatCode>
                <c:ptCount val="14"/>
                <c:pt idx="0">
                  <c:v>1</c:v>
                </c:pt>
                <c:pt idx="1">
                  <c:v>32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0-4328-AF39-ADDD00710BE7}"/>
            </c:ext>
          </c:extLst>
        </c:ser>
        <c:ser>
          <c:idx val="6"/>
          <c:order val="6"/>
          <c:tx>
            <c:strRef>
              <c:f>'Human Resources'!$J$1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Resources'!$I$5:$I$18</c:f>
              <c:numCache>
                <c:formatCode>General</c:formatCode>
                <c:ptCount val="14"/>
                <c:pt idx="0">
                  <c:v>1</c:v>
                </c:pt>
                <c:pt idx="1">
                  <c:v>32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7-4A52-BD7D-E2231D506D29}"/>
            </c:ext>
          </c:extLst>
        </c:ser>
        <c:ser>
          <c:idx val="7"/>
          <c:order val="7"/>
          <c:tx>
            <c:strRef>
              <c:f>'Human Resources'!$K$1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Resources'!$K$5:$K$18</c:f>
              <c:numCache>
                <c:formatCode>General</c:formatCode>
                <c:ptCount val="14"/>
                <c:pt idx="0">
                  <c:v>1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2-4C41-97DB-71F0F2F1A7C5}"/>
            </c:ext>
          </c:extLst>
        </c:ser>
        <c:ser>
          <c:idx val="8"/>
          <c:order val="8"/>
          <c:tx>
            <c:strRef>
              <c:f>'Human Resources'!$L$1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Resources'!$L$5:$L$18</c:f>
              <c:numCache>
                <c:formatCode>General</c:formatCode>
                <c:ptCount val="14"/>
                <c:pt idx="0">
                  <c:v>1</c:v>
                </c:pt>
                <c:pt idx="1">
                  <c:v>28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9-4DAE-B59E-8F2C7AA0AD83}"/>
            </c:ext>
          </c:extLst>
        </c:ser>
        <c:ser>
          <c:idx val="9"/>
          <c:order val="9"/>
          <c:tx>
            <c:strRef>
              <c:f>'Human Resources'!$M$1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'Human Resources'!$M$5:$M$18</c:f>
              <c:numCache>
                <c:formatCode>General</c:formatCode>
                <c:ptCount val="14"/>
                <c:pt idx="0">
                  <c:v>3</c:v>
                </c:pt>
                <c:pt idx="1">
                  <c:v>29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C-419D-856E-2051DD7AF91E}"/>
            </c:ext>
          </c:extLst>
        </c:ser>
        <c:ser>
          <c:idx val="10"/>
          <c:order val="10"/>
          <c:tx>
            <c:strRef>
              <c:f>'Human Resources'!$N$1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'Human Resources'!$N$5:$N$18</c:f>
              <c:numCache>
                <c:formatCode>General</c:formatCode>
                <c:ptCount val="14"/>
                <c:pt idx="0">
                  <c:v>2</c:v>
                </c:pt>
                <c:pt idx="1">
                  <c:v>25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A-43E2-B2D0-C7EF91AD1E07}"/>
            </c:ext>
          </c:extLst>
        </c:ser>
        <c:ser>
          <c:idx val="11"/>
          <c:order val="11"/>
          <c:tx>
            <c:strRef>
              <c:f>'Human Resources'!$AA$17</c:f>
              <c:strCache>
                <c:ptCount val="1"/>
                <c:pt idx="0">
                  <c:v>Sept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'Human Resources'!$O$5:$O$18</c:f>
              <c:numCache>
                <c:formatCode>General</c:formatCode>
                <c:ptCount val="14"/>
                <c:pt idx="0">
                  <c:v>2</c:v>
                </c:pt>
                <c:pt idx="1">
                  <c:v>23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5-460E-9E2B-225D3D19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891424"/>
        <c:axId val="1594064032"/>
      </c:barChart>
      <c:catAx>
        <c:axId val="18488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64032"/>
        <c:crosses val="autoZero"/>
        <c:auto val="1"/>
        <c:lblAlgn val="ctr"/>
        <c:lblOffset val="100"/>
        <c:noMultiLvlLbl val="0"/>
      </c:catAx>
      <c:valAx>
        <c:axId val="15940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91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Count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'Human Resources'!$D$1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Resources'!$D$35:$D$48</c:f>
              <c:numCache>
                <c:formatCode>General</c:formatCode>
                <c:ptCount val="14"/>
                <c:pt idx="0">
                  <c:v>13</c:v>
                </c:pt>
                <c:pt idx="1">
                  <c:v>133</c:v>
                </c:pt>
                <c:pt idx="2">
                  <c:v>8</c:v>
                </c:pt>
                <c:pt idx="3">
                  <c:v>48</c:v>
                </c:pt>
                <c:pt idx="4">
                  <c:v>1</c:v>
                </c:pt>
                <c:pt idx="5">
                  <c:v>10</c:v>
                </c:pt>
                <c:pt idx="6">
                  <c:v>18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D-4ED9-8384-62EFD9D16268}"/>
            </c:ext>
          </c:extLst>
        </c:ser>
        <c:ser>
          <c:idx val="1"/>
          <c:order val="1"/>
          <c:tx>
            <c:strRef>
              <c:f>'Human Resources'!$E$1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Resources'!$E$35:$E$48</c:f>
              <c:numCache>
                <c:formatCode>General</c:formatCode>
                <c:ptCount val="14"/>
                <c:pt idx="0">
                  <c:v>13</c:v>
                </c:pt>
                <c:pt idx="1">
                  <c:v>135</c:v>
                </c:pt>
                <c:pt idx="2">
                  <c:v>9</c:v>
                </c:pt>
                <c:pt idx="3">
                  <c:v>48</c:v>
                </c:pt>
                <c:pt idx="4">
                  <c:v>1</c:v>
                </c:pt>
                <c:pt idx="5">
                  <c:v>10</c:v>
                </c:pt>
                <c:pt idx="6">
                  <c:v>18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D-4ED9-8384-62EFD9D16268}"/>
            </c:ext>
          </c:extLst>
        </c:ser>
        <c:ser>
          <c:idx val="2"/>
          <c:order val="2"/>
          <c:tx>
            <c:strRef>
              <c:f>'Human Resources'!$F$1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Resources'!$F$35:$F$48</c:f>
              <c:numCache>
                <c:formatCode>General</c:formatCode>
                <c:ptCount val="14"/>
                <c:pt idx="0">
                  <c:v>13</c:v>
                </c:pt>
                <c:pt idx="1">
                  <c:v>135</c:v>
                </c:pt>
                <c:pt idx="2">
                  <c:v>11</c:v>
                </c:pt>
                <c:pt idx="3">
                  <c:v>50</c:v>
                </c:pt>
                <c:pt idx="4">
                  <c:v>1</c:v>
                </c:pt>
                <c:pt idx="5">
                  <c:v>10</c:v>
                </c:pt>
                <c:pt idx="6">
                  <c:v>18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D-4ED9-8384-62EFD9D16268}"/>
            </c:ext>
          </c:extLst>
        </c:ser>
        <c:ser>
          <c:idx val="3"/>
          <c:order val="3"/>
          <c:tx>
            <c:strRef>
              <c:f>'Human Resources'!$G$1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Resources'!$G$35:$G$48</c:f>
              <c:numCache>
                <c:formatCode>General</c:formatCode>
                <c:ptCount val="14"/>
                <c:pt idx="0">
                  <c:v>14</c:v>
                </c:pt>
                <c:pt idx="1">
                  <c:v>138</c:v>
                </c:pt>
                <c:pt idx="2">
                  <c:v>14</c:v>
                </c:pt>
                <c:pt idx="3">
                  <c:v>48</c:v>
                </c:pt>
                <c:pt idx="4">
                  <c:v>1</c:v>
                </c:pt>
                <c:pt idx="5">
                  <c:v>9</c:v>
                </c:pt>
                <c:pt idx="6">
                  <c:v>19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D-4ED9-8384-62EFD9D16268}"/>
            </c:ext>
          </c:extLst>
        </c:ser>
        <c:ser>
          <c:idx val="4"/>
          <c:order val="4"/>
          <c:tx>
            <c:strRef>
              <c:f>'Human Resources'!$H$1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Resources'!$H$35:$H$48</c:f>
              <c:numCache>
                <c:formatCode>General</c:formatCode>
                <c:ptCount val="14"/>
                <c:pt idx="0">
                  <c:v>14</c:v>
                </c:pt>
                <c:pt idx="1">
                  <c:v>130</c:v>
                </c:pt>
                <c:pt idx="2">
                  <c:v>6</c:v>
                </c:pt>
                <c:pt idx="3">
                  <c:v>48</c:v>
                </c:pt>
                <c:pt idx="4">
                  <c:v>1</c:v>
                </c:pt>
                <c:pt idx="5">
                  <c:v>9</c:v>
                </c:pt>
                <c:pt idx="6">
                  <c:v>19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D-4ED9-8384-62EFD9D16268}"/>
            </c:ext>
          </c:extLst>
        </c:ser>
        <c:ser>
          <c:idx val="5"/>
          <c:order val="5"/>
          <c:tx>
            <c:strRef>
              <c:f>'Human Resources'!$I$1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Resources'!$I$35:$I$48</c:f>
              <c:numCache>
                <c:formatCode>General</c:formatCode>
                <c:ptCount val="14"/>
                <c:pt idx="0">
                  <c:v>13</c:v>
                </c:pt>
                <c:pt idx="1">
                  <c:v>129</c:v>
                </c:pt>
                <c:pt idx="2">
                  <c:v>5</c:v>
                </c:pt>
                <c:pt idx="3">
                  <c:v>47</c:v>
                </c:pt>
                <c:pt idx="4">
                  <c:v>1</c:v>
                </c:pt>
                <c:pt idx="5">
                  <c:v>9</c:v>
                </c:pt>
                <c:pt idx="6">
                  <c:v>19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4D-4ED9-8384-62EFD9D16268}"/>
            </c:ext>
          </c:extLst>
        </c:ser>
        <c:ser>
          <c:idx val="6"/>
          <c:order val="6"/>
          <c:tx>
            <c:strRef>
              <c:f>'Human Resources'!$J$1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Resources'!$J$35:$J$48</c:f>
              <c:numCache>
                <c:formatCode>General</c:formatCode>
                <c:ptCount val="14"/>
                <c:pt idx="0">
                  <c:v>13</c:v>
                </c:pt>
                <c:pt idx="1">
                  <c:v>132</c:v>
                </c:pt>
                <c:pt idx="2">
                  <c:v>5</c:v>
                </c:pt>
                <c:pt idx="3">
                  <c:v>48</c:v>
                </c:pt>
                <c:pt idx="4">
                  <c:v>1</c:v>
                </c:pt>
                <c:pt idx="5">
                  <c:v>9</c:v>
                </c:pt>
                <c:pt idx="6">
                  <c:v>19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0-4551-9137-4F9BF2DDCD19}"/>
            </c:ext>
          </c:extLst>
        </c:ser>
        <c:ser>
          <c:idx val="7"/>
          <c:order val="7"/>
          <c:tx>
            <c:strRef>
              <c:f>'Human Resources'!$K$1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Resources'!$K$35:$K$48</c:f>
              <c:numCache>
                <c:formatCode>General</c:formatCode>
                <c:ptCount val="14"/>
                <c:pt idx="0">
                  <c:v>13</c:v>
                </c:pt>
                <c:pt idx="1">
                  <c:v>135</c:v>
                </c:pt>
                <c:pt idx="2">
                  <c:v>5</c:v>
                </c:pt>
                <c:pt idx="3">
                  <c:v>47</c:v>
                </c:pt>
                <c:pt idx="4">
                  <c:v>1</c:v>
                </c:pt>
                <c:pt idx="5">
                  <c:v>9</c:v>
                </c:pt>
                <c:pt idx="6">
                  <c:v>20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9-4285-8630-A63EA04FC79F}"/>
            </c:ext>
          </c:extLst>
        </c:ser>
        <c:ser>
          <c:idx val="8"/>
          <c:order val="8"/>
          <c:tx>
            <c:strRef>
              <c:f>'Human Resources'!$L$1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'Human Resources'!$C$35:$C$48</c:f>
              <c:strCache>
                <c:ptCount val="14"/>
                <c:pt idx="0">
                  <c:v>CCFC</c:v>
                </c:pt>
                <c:pt idx="1">
                  <c:v>Children's Services</c:v>
                </c:pt>
                <c:pt idx="2">
                  <c:v>Corporate/Corporate Support</c:v>
                </c:pt>
                <c:pt idx="3">
                  <c:v>Customer and Prevention Services (Whole Family/Energy/Reception)</c:v>
                </c:pt>
                <c:pt idx="4">
                  <c:v>Development</c:v>
                </c:pt>
                <c:pt idx="5">
                  <c:v>Finance</c:v>
                </c:pt>
                <c:pt idx="6">
                  <c:v>Housing Services</c:v>
                </c:pt>
                <c:pt idx="7">
                  <c:v>Human Resources</c:v>
                </c:pt>
                <c:pt idx="8">
                  <c:v>IT</c:v>
                </c:pt>
                <c:pt idx="9">
                  <c:v>Property Management</c:v>
                </c:pt>
                <c:pt idx="10">
                  <c:v>MRC</c:v>
                </c:pt>
                <c:pt idx="11">
                  <c:v>Homeless Crisis</c:v>
                </c:pt>
                <c:pt idx="12">
                  <c:v>RD</c:v>
                </c:pt>
                <c:pt idx="13">
                  <c:v>OCMHS</c:v>
                </c:pt>
              </c:strCache>
            </c:strRef>
          </c:cat>
          <c:val>
            <c:numRef>
              <c:f>'Human Resources'!$L$35:$L$48</c:f>
              <c:numCache>
                <c:formatCode>General</c:formatCode>
                <c:ptCount val="14"/>
                <c:pt idx="0">
                  <c:v>12</c:v>
                </c:pt>
                <c:pt idx="1">
                  <c:v>139</c:v>
                </c:pt>
                <c:pt idx="2">
                  <c:v>5</c:v>
                </c:pt>
                <c:pt idx="3">
                  <c:v>44</c:v>
                </c:pt>
                <c:pt idx="4">
                  <c:v>1</c:v>
                </c:pt>
                <c:pt idx="5">
                  <c:v>10</c:v>
                </c:pt>
                <c:pt idx="6">
                  <c:v>19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1-470B-9376-293A7BAA2E6E}"/>
            </c:ext>
          </c:extLst>
        </c:ser>
        <c:ser>
          <c:idx val="9"/>
          <c:order val="9"/>
          <c:tx>
            <c:strRef>
              <c:f>'Human Resources'!$M$1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'Human Resources'!$M$35:$M$48</c:f>
              <c:numCache>
                <c:formatCode>General</c:formatCode>
                <c:ptCount val="14"/>
                <c:pt idx="0">
                  <c:v>12</c:v>
                </c:pt>
                <c:pt idx="1">
                  <c:v>136</c:v>
                </c:pt>
                <c:pt idx="2">
                  <c:v>5</c:v>
                </c:pt>
                <c:pt idx="3">
                  <c:v>44</c:v>
                </c:pt>
                <c:pt idx="4">
                  <c:v>1</c:v>
                </c:pt>
                <c:pt idx="5">
                  <c:v>10</c:v>
                </c:pt>
                <c:pt idx="6">
                  <c:v>18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5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3-4C64-B41E-F35A972239DF}"/>
            </c:ext>
          </c:extLst>
        </c:ser>
        <c:ser>
          <c:idx val="10"/>
          <c:order val="10"/>
          <c:tx>
            <c:strRef>
              <c:f>'Human Resources'!$N$1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'Human Resources'!$N$35:$N$48</c:f>
              <c:numCache>
                <c:formatCode>General</c:formatCode>
                <c:ptCount val="14"/>
                <c:pt idx="0">
                  <c:v>11</c:v>
                </c:pt>
                <c:pt idx="1">
                  <c:v>138</c:v>
                </c:pt>
                <c:pt idx="2">
                  <c:v>5</c:v>
                </c:pt>
                <c:pt idx="3">
                  <c:v>46</c:v>
                </c:pt>
                <c:pt idx="4">
                  <c:v>1</c:v>
                </c:pt>
                <c:pt idx="5">
                  <c:v>9</c:v>
                </c:pt>
                <c:pt idx="6">
                  <c:v>18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3-40D7-B02E-71D97679E54C}"/>
            </c:ext>
          </c:extLst>
        </c:ser>
        <c:ser>
          <c:idx val="11"/>
          <c:order val="11"/>
          <c:tx>
            <c:strRef>
              <c:f>'Human Resources'!$O$1</c:f>
              <c:strCache>
                <c:ptCount val="1"/>
                <c:pt idx="0">
                  <c:v>Sept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'Human Resources'!$O$35:$O$48</c:f>
              <c:numCache>
                <c:formatCode>General</c:formatCode>
                <c:ptCount val="14"/>
                <c:pt idx="0">
                  <c:v>12</c:v>
                </c:pt>
                <c:pt idx="1">
                  <c:v>132</c:v>
                </c:pt>
                <c:pt idx="2">
                  <c:v>5</c:v>
                </c:pt>
                <c:pt idx="3">
                  <c:v>46</c:v>
                </c:pt>
                <c:pt idx="4">
                  <c:v>1</c:v>
                </c:pt>
                <c:pt idx="5">
                  <c:v>9</c:v>
                </c:pt>
                <c:pt idx="6">
                  <c:v>18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6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F-4336-A862-976AD870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891424"/>
        <c:axId val="1594064032"/>
      </c:barChart>
      <c:catAx>
        <c:axId val="18488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64032"/>
        <c:crosses val="autoZero"/>
        <c:auto val="1"/>
        <c:lblAlgn val="ctr"/>
        <c:lblOffset val="100"/>
        <c:noMultiLvlLbl val="0"/>
      </c:catAx>
      <c:valAx>
        <c:axId val="15940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914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Start / Early Head  Start Wait Lists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'Waiting Lists'!$A$5</c:f>
              <c:strCache>
                <c:ptCount val="1"/>
                <c:pt idx="0">
                  <c:v> HS  for Income Eligible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'Waiting Lists'!$B$4:$M$4</c:f>
              <c:strCache>
                <c:ptCount val="12"/>
                <c:pt idx="0">
                  <c:v>Oct 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'Waiting Lists'!$B$5:$M$5</c:f>
              <c:numCache>
                <c:formatCode>General</c:formatCode>
                <c:ptCount val="12"/>
                <c:pt idx="0">
                  <c:v>34</c:v>
                </c:pt>
                <c:pt idx="1">
                  <c:v>36</c:v>
                </c:pt>
                <c:pt idx="2">
                  <c:v>36</c:v>
                </c:pt>
                <c:pt idx="3">
                  <c:v>39</c:v>
                </c:pt>
                <c:pt idx="4">
                  <c:v>38</c:v>
                </c:pt>
                <c:pt idx="5">
                  <c:v>26</c:v>
                </c:pt>
                <c:pt idx="6">
                  <c:v>30</c:v>
                </c:pt>
                <c:pt idx="7">
                  <c:v>39</c:v>
                </c:pt>
                <c:pt idx="8">
                  <c:v>11</c:v>
                </c:pt>
                <c:pt idx="9">
                  <c:v>5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4-4DE2-A687-64997B1C4652}"/>
            </c:ext>
          </c:extLst>
        </c:ser>
        <c:ser>
          <c:idx val="1"/>
          <c:order val="1"/>
          <c:tx>
            <c:strRef>
              <c:f>'Waiting Lists'!$A$6</c:f>
              <c:strCache>
                <c:ptCount val="1"/>
                <c:pt idx="0">
                  <c:v>HS for Over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'Waiting Lists'!$B$4:$M$4</c:f>
              <c:strCache>
                <c:ptCount val="12"/>
                <c:pt idx="0">
                  <c:v>Oct 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'Waiting Lists'!$B$6:$M$6</c:f>
              <c:numCache>
                <c:formatCode>General</c:formatCode>
                <c:ptCount val="12"/>
                <c:pt idx="0">
                  <c:v>32</c:v>
                </c:pt>
                <c:pt idx="1">
                  <c:v>42</c:v>
                </c:pt>
                <c:pt idx="2">
                  <c:v>42</c:v>
                </c:pt>
                <c:pt idx="3">
                  <c:v>43</c:v>
                </c:pt>
                <c:pt idx="4">
                  <c:v>43</c:v>
                </c:pt>
                <c:pt idx="5">
                  <c:v>36</c:v>
                </c:pt>
                <c:pt idx="6">
                  <c:v>35</c:v>
                </c:pt>
                <c:pt idx="7">
                  <c:v>26</c:v>
                </c:pt>
                <c:pt idx="8">
                  <c:v>13</c:v>
                </c:pt>
                <c:pt idx="9">
                  <c:v>14</c:v>
                </c:pt>
                <c:pt idx="10">
                  <c:v>43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4-4DE2-A687-64997B1C4652}"/>
            </c:ext>
          </c:extLst>
        </c:ser>
        <c:ser>
          <c:idx val="3"/>
          <c:order val="3"/>
          <c:tx>
            <c:strRef>
              <c:f>'Waiting Lists'!$A$8</c:f>
              <c:strCache>
                <c:ptCount val="1"/>
                <c:pt idx="0">
                  <c:v>EHS for Income Eligible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'Waiting Lists'!$B$4:$M$4</c:f>
              <c:strCache>
                <c:ptCount val="12"/>
                <c:pt idx="0">
                  <c:v>Oct 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'Waiting Lists'!$B$8:$M$8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31</c:v>
                </c:pt>
                <c:pt idx="6">
                  <c:v>38</c:v>
                </c:pt>
                <c:pt idx="7">
                  <c:v>41</c:v>
                </c:pt>
                <c:pt idx="8">
                  <c:v>37</c:v>
                </c:pt>
                <c:pt idx="9">
                  <c:v>39</c:v>
                </c:pt>
                <c:pt idx="10">
                  <c:v>52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4-4DE2-A687-64997B1C4652}"/>
            </c:ext>
          </c:extLst>
        </c:ser>
        <c:ser>
          <c:idx val="4"/>
          <c:order val="4"/>
          <c:tx>
            <c:strRef>
              <c:f>'Waiting Lists'!$A$9</c:f>
              <c:strCache>
                <c:ptCount val="1"/>
                <c:pt idx="0">
                  <c:v> EHS for Over 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'Waiting Lists'!$B$4:$M$4</c:f>
              <c:strCache>
                <c:ptCount val="12"/>
                <c:pt idx="0">
                  <c:v>Oct 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'Waiting Lists'!$B$9:$M$9</c:f>
              <c:numCache>
                <c:formatCode>General</c:formatCode>
                <c:ptCount val="12"/>
                <c:pt idx="0">
                  <c:v>32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32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51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4-4DE2-A687-64997B1C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0564272"/>
        <c:axId val="14720671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'Waiting Lists'!$A$7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'Waiting Lists'!$B$4:$M$4</c15:sqref>
                        </c15:formulaRef>
                      </c:ext>
                    </c:extLst>
                    <c:strCache>
                      <c:ptCount val="12"/>
                      <c:pt idx="0">
                        <c:v>Oct 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'Waiting Lists'!$B$7:$M$7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44-4DE2-A687-64997B1C4652}"/>
                  </c:ext>
                </c:extLst>
              </c15:ser>
            </c15:filteredBarSeries>
          </c:ext>
        </c:extLst>
      </c:barChart>
      <c:catAx>
        <c:axId val="13705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67152"/>
        <c:crosses val="autoZero"/>
        <c:auto val="1"/>
        <c:lblAlgn val="ctr"/>
        <c:lblOffset val="100"/>
        <c:noMultiLvlLbl val="0"/>
      </c:catAx>
      <c:valAx>
        <c:axId val="14720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59098862642171"/>
          <c:y val="0.82291557305336838"/>
          <c:w val="0.8182624671916009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Services Wait Lists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'Waiting Lists'!$A$11</c:f>
              <c:strCache>
                <c:ptCount val="1"/>
                <c:pt idx="0">
                  <c:v>CHIP wait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Lists'!$B$11:$M$11</c15:sqref>
                  </c15:fullRef>
                </c:ext>
              </c:extLst>
              <c:f>'Waiting Lists'!$I$11:$M$11</c:f>
              <c:numCache>
                <c:formatCode>General</c:formatCode>
                <c:ptCount val="5"/>
                <c:pt idx="0">
                  <c:v>85</c:v>
                </c:pt>
                <c:pt idx="1">
                  <c:v>136</c:v>
                </c:pt>
                <c:pt idx="2">
                  <c:v>149</c:v>
                </c:pt>
                <c:pt idx="3">
                  <c:v>170</c:v>
                </c:pt>
                <c:pt idx="4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7-457B-B973-BC10428B6833}"/>
            </c:ext>
          </c:extLst>
        </c:ser>
        <c:ser>
          <c:idx val="1"/>
          <c:order val="1"/>
          <c:tx>
            <c:strRef>
              <c:f>'Waiting Lists'!$A$12</c:f>
              <c:strCache>
                <c:ptCount val="1"/>
                <c:pt idx="0">
                  <c:v>Heat Pump Wait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Lists'!$B$12:$M$12</c15:sqref>
                  </c15:fullRef>
                </c:ext>
              </c:extLst>
              <c:f>'Waiting Lists'!$I$12:$M$12</c:f>
              <c:numCache>
                <c:formatCode>General</c:formatCode>
                <c:ptCount val="5"/>
                <c:pt idx="0">
                  <c:v>80</c:v>
                </c:pt>
                <c:pt idx="1">
                  <c:v>44</c:v>
                </c:pt>
                <c:pt idx="2">
                  <c:v>55</c:v>
                </c:pt>
                <c:pt idx="3">
                  <c:v>68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7-457B-B973-BC10428B6833}"/>
            </c:ext>
          </c:extLst>
        </c:ser>
        <c:ser>
          <c:idx val="2"/>
          <c:order val="2"/>
          <c:tx>
            <c:strRef>
              <c:f>'Waiting Lists'!$A$13</c:f>
              <c:strCache>
                <c:ptCount val="1"/>
                <c:pt idx="0">
                  <c:v>Home Repair Wait 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Lists'!$B$13:$M$13</c15:sqref>
                  </c15:fullRef>
                </c:ext>
              </c:extLst>
              <c:f>'Waiting Lists'!$I$13:$M$13</c:f>
              <c:numCache>
                <c:formatCode>General</c:formatCode>
                <c:ptCount val="5"/>
                <c:pt idx="0">
                  <c:v>448</c:v>
                </c:pt>
                <c:pt idx="1">
                  <c:v>490</c:v>
                </c:pt>
                <c:pt idx="2">
                  <c:v>497</c:v>
                </c:pt>
                <c:pt idx="3">
                  <c:v>523</c:v>
                </c:pt>
                <c:pt idx="4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7-457B-B973-BC10428B6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565552"/>
        <c:axId val="816669760"/>
      </c:barChart>
      <c:catAx>
        <c:axId val="8655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69760"/>
        <c:crosses val="autoZero"/>
        <c:auto val="1"/>
        <c:lblAlgn val="ctr"/>
        <c:lblOffset val="100"/>
        <c:noMultiLvlLbl val="0"/>
      </c:catAx>
      <c:valAx>
        <c:axId val="8166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'Waiting Lists'!$A$15</c:f>
              <c:strCache>
                <c:ptCount val="1"/>
                <c:pt idx="0">
                  <c:v>HEAP Wait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Lists'!$B$15:$M$15</c15:sqref>
                  </c15:fullRef>
                </c:ext>
              </c:extLst>
              <c:f>'Waiting Lists'!$I$15:$M$15</c:f>
              <c:numCache>
                <c:formatCode>General</c:formatCode>
                <c:ptCount val="5"/>
                <c:pt idx="0">
                  <c:v>665</c:v>
                </c:pt>
                <c:pt idx="1">
                  <c:v>706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4DA9-8B8B-4EFC2235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235088"/>
        <c:axId val="1472068592"/>
      </c:barChart>
      <c:catAx>
        <c:axId val="8052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68592"/>
        <c:crosses val="autoZero"/>
        <c:auto val="1"/>
        <c:lblAlgn val="ctr"/>
        <c:lblOffset val="100"/>
        <c:noMultiLvlLbl val="0"/>
      </c:catAx>
      <c:valAx>
        <c:axId val="14720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Prevention Wait Lists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'Waiting Lists'!$A$17</c:f>
              <c:strCache>
                <c:ptCount val="1"/>
                <c:pt idx="0">
                  <c:v>ME Families  -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Lists'!$B$17:$M$17</c15:sqref>
                  </c15:fullRef>
                </c:ext>
              </c:extLst>
              <c:f>'Waiting Lists'!$I$17:$M$17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C-4C96-B1F8-466141D5D856}"/>
            </c:ext>
          </c:extLst>
        </c:ser>
        <c:ser>
          <c:idx val="1"/>
          <c:order val="1"/>
          <c:tx>
            <c:strRef>
              <c:f>'Waiting Lists'!$A$18</c:f>
              <c:strCache>
                <c:ptCount val="1"/>
                <c:pt idx="0">
                  <c:v>ME Families - Outreach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Lists'!$B$18:$M$18</c15:sqref>
                  </c15:fullRef>
                </c:ext>
              </c:extLst>
              <c:f>'Waiting Lists'!$I$18:$M$18</c:f>
              <c:numCache>
                <c:formatCode>General</c:formatCode>
                <c:ptCount val="5"/>
                <c:pt idx="0">
                  <c:v>74</c:v>
                </c:pt>
                <c:pt idx="1">
                  <c:v>93</c:v>
                </c:pt>
                <c:pt idx="2">
                  <c:v>69</c:v>
                </c:pt>
                <c:pt idx="3">
                  <c:v>21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C-4C96-B1F8-466141D5D856}"/>
            </c:ext>
          </c:extLst>
        </c:ser>
        <c:ser>
          <c:idx val="3"/>
          <c:order val="3"/>
          <c:tx>
            <c:strRef>
              <c:f>'Waiting Lists'!$A$20</c:f>
              <c:strCache>
                <c:ptCount val="1"/>
                <c:pt idx="0">
                  <c:v>Prevent  Council  Work Shops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Lists'!$B$20:$M$20</c15:sqref>
                  </c15:fullRef>
                </c:ext>
              </c:extLst>
              <c:f>'Waiting Lists'!$I$20:$M$20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C-4C96-B1F8-466141D5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6387072"/>
        <c:axId val="14591795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'Waiting Lists'!$A$19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'Waiting Lists'!$B$4:$M$4</c15:sqref>
                        </c15:fullRef>
                        <c15:formulaRef>
                          <c15:sqref>'Waiting Lists'!$I$4:$M$4</c15:sqref>
                        </c15:formulaRef>
                      </c:ext>
                    </c:extLst>
                    <c:strCache>
                      <c:ptCount val="5"/>
                      <c:pt idx="0">
                        <c:v>May</c:v>
                      </c:pt>
                      <c:pt idx="1">
                        <c:v>Jun</c:v>
                      </c:pt>
                      <c:pt idx="2">
                        <c:v>Jul</c:v>
                      </c:pt>
                      <c:pt idx="3">
                        <c:v>Aug</c:v>
                      </c:pt>
                      <c:pt idx="4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'Waiting Lists'!$B$19:$M$19</c15:sqref>
                        </c15:fullRef>
                        <c15:formulaRef>
                          <c15:sqref>'Waiting Lists'!$I$19:$M$19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26C-4C96-B1F8-466141D5D856}"/>
                  </c:ext>
                </c:extLst>
              </c15:ser>
            </c15:filteredBarSeries>
          </c:ext>
        </c:extLst>
      </c:barChart>
      <c:catAx>
        <c:axId val="8163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9552"/>
        <c:crosses val="autoZero"/>
        <c:auto val="1"/>
        <c:lblAlgn val="ctr"/>
        <c:lblOffset val="100"/>
        <c:noMultiLvlLbl val="0"/>
      </c:catAx>
      <c:valAx>
        <c:axId val="1459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383202099737549E-3"/>
          <c:y val="0.82291557305336838"/>
          <c:w val="0.9913455818022747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</a:t>
            </a:r>
            <a:r>
              <a:rPr lang="en-US" baseline="0"/>
              <a:t> Family Wait Lists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'Waiting Lists'!$A$22</c:f>
              <c:strCache>
                <c:ptCount val="1"/>
                <c:pt idx="0">
                  <c:v> Whole Family Wait List - Oxford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Lists'!$B$22:$M$22</c15:sqref>
                  </c15:fullRef>
                </c:ext>
              </c:extLst>
              <c:f>'Waiting Lists'!$I$22:$M$22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A-40F8-9AAE-594F1A2208A3}"/>
            </c:ext>
          </c:extLst>
        </c:ser>
        <c:ser>
          <c:idx val="1"/>
          <c:order val="1"/>
          <c:tx>
            <c:strRef>
              <c:f>'Waiting Lists'!$A$23</c:f>
              <c:strCache>
                <c:ptCount val="1"/>
                <c:pt idx="0">
                  <c:v>Whole Family Wait List - Andro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Lists'!$B$23:$M$23</c15:sqref>
                  </c15:fullRef>
                </c:ext>
              </c:extLst>
              <c:f>'Waiting Lists'!$I$23:$M$23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A-40F8-9AAE-594F1A2208A3}"/>
            </c:ext>
          </c:extLst>
        </c:ser>
        <c:ser>
          <c:idx val="3"/>
          <c:order val="3"/>
          <c:tx>
            <c:strRef>
              <c:f>'Waiting Lists'!$A$25</c:f>
              <c:strCache>
                <c:ptCount val="1"/>
                <c:pt idx="0">
                  <c:v>Assurance 16 Wait List - Oxford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Lists'!$B$25:$M$25</c15:sqref>
                  </c15:fullRef>
                </c:ext>
              </c:extLst>
              <c:f>'Waiting Lists'!$I$25:$M$25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A-40F8-9AAE-594F1A2208A3}"/>
            </c:ext>
          </c:extLst>
        </c:ser>
        <c:ser>
          <c:idx val="4"/>
          <c:order val="4"/>
          <c:tx>
            <c:strRef>
              <c:f>'Waiting Lists'!$A$26</c:f>
              <c:strCache>
                <c:ptCount val="1"/>
                <c:pt idx="0">
                  <c:v>Assurance 16 Wait List - Andro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'Waiting Lists'!$B$4:$M$4</c15:sqref>
                  </c15:fullRef>
                </c:ext>
              </c:extLst>
              <c:f>'Waiting Lists'!$I$4:$M$4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'Waiting Lists'!$B$26:$M$26</c15:sqref>
                  </c15:fullRef>
                </c:ext>
              </c:extLst>
              <c:f>'Waiting Lists'!$I$26:$M$26</c:f>
              <c:numCache>
                <c:formatCode>General</c:formatCode>
                <c:ptCount val="5"/>
                <c:pt idx="0">
                  <c:v>40</c:v>
                </c:pt>
                <c:pt idx="1">
                  <c:v>41</c:v>
                </c:pt>
                <c:pt idx="2">
                  <c:v>34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A-40F8-9AAE-594F1A22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360272"/>
        <c:axId val="13868881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'Waiting Lists'!$A$24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'Waiting Lists'!$B$4:$M$4</c15:sqref>
                        </c15:fullRef>
                        <c15:formulaRef>
                          <c15:sqref>'Waiting Lists'!$I$4:$M$4</c15:sqref>
                        </c15:formulaRef>
                      </c:ext>
                    </c:extLst>
                    <c:strCache>
                      <c:ptCount val="5"/>
                      <c:pt idx="0">
                        <c:v>May</c:v>
                      </c:pt>
                      <c:pt idx="1">
                        <c:v>Jun</c:v>
                      </c:pt>
                      <c:pt idx="2">
                        <c:v>Jul</c:v>
                      </c:pt>
                      <c:pt idx="3">
                        <c:v>Aug</c:v>
                      </c:pt>
                      <c:pt idx="4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'Waiting Lists'!$B$24:$M$24</c15:sqref>
                        </c15:fullRef>
                        <c15:formulaRef>
                          <c15:sqref>'Waiting Lists'!$I$24:$M$24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4DA-40F8-9AAE-594F1A2208A3}"/>
                  </c:ext>
                </c:extLst>
              </c15:ser>
            </c15:filteredBarSeries>
          </c:ext>
        </c:extLst>
      </c:barChart>
      <c:catAx>
        <c:axId val="14613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88144"/>
        <c:crosses val="autoZero"/>
        <c:auto val="1"/>
        <c:lblAlgn val="ctr"/>
        <c:lblOffset val="100"/>
        <c:noMultiLvlLbl val="0"/>
      </c:catAx>
      <c:valAx>
        <c:axId val="13868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562773403324589E-2"/>
          <c:y val="0.82291557305336838"/>
          <c:w val="0.92898556430446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2"/>
          <c:order val="22"/>
          <c:tx>
            <c:strRef>
              <c:f>'Children''s '!$A$25</c:f>
              <c:strCache>
                <c:ptCount val="1"/>
                <c:pt idx="0">
                  <c:v>CACFP meals provided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'FY24 KPIs'!$D$1:$P$1</c15:sqref>
                  </c15:fullRef>
                </c:ext>
              </c:extLst>
              <c:f>'FY24 KPIs'!$D$1:$O$1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  <c:pt idx="12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'Children''s '!$O$25:$Z$25</c15:sqref>
                  </c15:fullRef>
                </c:ext>
              </c:extLst>
              <c:f>'Children''s '!$O$25:$Z$25</c:f>
              <c:numCache>
                <c:formatCode>General</c:formatCode>
                <c:ptCount val="12"/>
                <c:pt idx="0">
                  <c:v>487</c:v>
                </c:pt>
                <c:pt idx="1">
                  <c:v>3502</c:v>
                </c:pt>
                <c:pt idx="2">
                  <c:v>6390</c:v>
                </c:pt>
                <c:pt idx="3">
                  <c:v>7249</c:v>
                </c:pt>
                <c:pt idx="4">
                  <c:v>7685</c:v>
                </c:pt>
                <c:pt idx="5">
                  <c:v>9207</c:v>
                </c:pt>
                <c:pt idx="6">
                  <c:v>11225</c:v>
                </c:pt>
                <c:pt idx="7">
                  <c:v>11994</c:v>
                </c:pt>
                <c:pt idx="8">
                  <c:v>12768</c:v>
                </c:pt>
                <c:pt idx="9">
                  <c:v>13248</c:v>
                </c:pt>
                <c:pt idx="10">
                  <c:v>13452</c:v>
                </c:pt>
                <c:pt idx="11">
                  <c:v>14106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E47-4573-9945-3DA8B28BFEC0}"/>
            </c:ext>
          </c:extLst>
        </c:ser>
        <c:ser>
          <c:idx val="23"/>
          <c:order val="23"/>
          <c:tx>
            <c:strRef>
              <c:f>'Children''s '!$A$26</c:f>
              <c:strCache>
                <c:ptCount val="1"/>
                <c:pt idx="0">
                  <c:v>Number of GSFB Meals Distributed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'FY24 KPIs'!$D$1:$P$1</c15:sqref>
                  </c15:fullRef>
                </c:ext>
              </c:extLst>
              <c:f>'FY24 KPIs'!$D$1:$O$1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  <c:pt idx="12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'Children''s '!$O$26:$Z$26</c15:sqref>
                  </c15:fullRef>
                </c:ext>
              </c:extLst>
              <c:f>'Children''s '!$O$26:$Z$26</c:f>
              <c:numCache>
                <c:formatCode>General</c:formatCode>
                <c:ptCount val="12"/>
                <c:pt idx="0">
                  <c:v>1002</c:v>
                </c:pt>
                <c:pt idx="1">
                  <c:v>10</c:v>
                </c:pt>
                <c:pt idx="2">
                  <c:v>18</c:v>
                </c:pt>
                <c:pt idx="3">
                  <c:v>25</c:v>
                </c:pt>
                <c:pt idx="4">
                  <c:v>32</c:v>
                </c:pt>
                <c:pt idx="5">
                  <c:v>50</c:v>
                </c:pt>
                <c:pt idx="6">
                  <c:v>55</c:v>
                </c:pt>
                <c:pt idx="7">
                  <c:v>61</c:v>
                </c:pt>
                <c:pt idx="8">
                  <c:v>66</c:v>
                </c:pt>
                <c:pt idx="9">
                  <c:v>80</c:v>
                </c:pt>
                <c:pt idx="10">
                  <c:v>92</c:v>
                </c:pt>
                <c:pt idx="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47-4573-9945-3DA8B28B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2395904"/>
        <c:axId val="412385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'Children''s '!$A$3</c15:sqref>
                        </c15:formulaRef>
                      </c:ext>
                    </c:extLst>
                    <c:strCache>
                      <c:ptCount val="1"/>
                      <c:pt idx="0">
                        <c:v> Head Start Children Enrolled (Goal 266)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'Children''s '!$B$3:$N$3</c15:sqref>
                        </c15:fullRef>
                        <c15:formulaRef>
                          <c15:sqref>'Children''s 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197</c:v>
                      </c:pt>
                      <c:pt idx="1">
                        <c:v>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E47-4573-9945-3DA8B28BFEC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'!$A$4</c15:sqref>
                        </c15:formulaRef>
                      </c:ext>
                    </c:extLst>
                    <c:strCache>
                      <c:ptCount val="1"/>
                      <c:pt idx="0">
                        <c:v> HS Goal ≥ 90%   Attendance 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'!$B$4:$N$4</c15:sqref>
                        </c15:fullRef>
                        <c15:formulaRef>
                          <c15:sqref>'Children''s '!$B$4:$M$4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0.89</c:v>
                      </c:pt>
                      <c:pt idx="1">
                        <c:v>0.87</c:v>
                      </c:pt>
                      <c:pt idx="2">
                        <c:v>0.84</c:v>
                      </c:pt>
                      <c:pt idx="3">
                        <c:v>0.82</c:v>
                      </c:pt>
                      <c:pt idx="4">
                        <c:v>0.85</c:v>
                      </c:pt>
                      <c:pt idx="5">
                        <c:v>0.83</c:v>
                      </c:pt>
                      <c:pt idx="6">
                        <c:v>0.84</c:v>
                      </c:pt>
                      <c:pt idx="7">
                        <c:v>0.84</c:v>
                      </c:pt>
                      <c:pt idx="8">
                        <c:v>0.89</c:v>
                      </c:pt>
                      <c:pt idx="9">
                        <c:v>0.81</c:v>
                      </c:pt>
                      <c:pt idx="10">
                        <c:v>0.77</c:v>
                      </c:pt>
                      <c:pt idx="11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47-4573-9945-3DA8B28BFEC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'!$A$5</c15:sqref>
                        </c15:formulaRef>
                      </c:ext>
                    </c:extLst>
                    <c:strCache>
                      <c:ptCount val="1"/>
                      <c:pt idx="0">
                        <c:v> HS Wait List for Income Eligible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'!$B$5:$N$5</c15:sqref>
                        </c15:fullRef>
                        <c15:formulaRef>
                          <c15:sqref>'Children''s '!$B$5:$M$5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34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39</c:v>
                      </c:pt>
                      <c:pt idx="4">
                        <c:v>38</c:v>
                      </c:pt>
                      <c:pt idx="5">
                        <c:v>26</c:v>
                      </c:pt>
                      <c:pt idx="6">
                        <c:v>30</c:v>
                      </c:pt>
                      <c:pt idx="7">
                        <c:v>39</c:v>
                      </c:pt>
                      <c:pt idx="8">
                        <c:v>11</c:v>
                      </c:pt>
                      <c:pt idx="9">
                        <c:v>5</c:v>
                      </c:pt>
                      <c:pt idx="10">
                        <c:v>24</c:v>
                      </c:pt>
                      <c:pt idx="1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E47-4573-9945-3DA8B28BFEC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'!$A$6</c15:sqref>
                        </c15:formulaRef>
                      </c:ext>
                    </c:extLst>
                    <c:strCache>
                      <c:ptCount val="1"/>
                      <c:pt idx="0">
                        <c:v> HS Wait List for Over Income</c:v>
                      </c:pt>
                    </c:strCache>
                  </c:strRef>
                </c:tx>
                <c:spPr>
                  <a:solidFill>
                    <a:schemeClr val="accent5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'!$B$6:$N$6</c15:sqref>
                        </c15:fullRef>
                        <c15:formulaRef>
                          <c15:sqref>'Children''s 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42</c:v>
                      </c:pt>
                      <c:pt idx="1">
                        <c:v>42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43</c:v>
                      </c:pt>
                      <c:pt idx="5">
                        <c:v>36</c:v>
                      </c:pt>
                      <c:pt idx="6">
                        <c:v>35</c:v>
                      </c:pt>
                      <c:pt idx="7">
                        <c:v>26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43</c:v>
                      </c:pt>
                      <c:pt idx="1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47-4573-9945-3DA8B28BFEC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'!$A$7</c15:sqref>
                        </c15:formulaRef>
                      </c:ext>
                    </c:extLst>
                    <c:strCache>
                      <c:ptCount val="1"/>
                      <c:pt idx="0">
                        <c:v>97% enrollment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'!$B$7:$N$7</c15:sqref>
                        </c15:fullRef>
                        <c15:formulaRef>
                          <c15:sqref>'Children''s '!$B$7:$M$7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0.76</c:v>
                      </c:pt>
                      <c:pt idx="1">
                        <c:v>0.79</c:v>
                      </c:pt>
                      <c:pt idx="2">
                        <c:v>0.79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0.92</c:v>
                      </c:pt>
                      <c:pt idx="6">
                        <c:v>0.91</c:v>
                      </c:pt>
                      <c:pt idx="7">
                        <c:v>0.89</c:v>
                      </c:pt>
                      <c:pt idx="8">
                        <c:v>0.15</c:v>
                      </c:pt>
                      <c:pt idx="9">
                        <c:v>0.1</c:v>
                      </c:pt>
                      <c:pt idx="10">
                        <c:v>0.08</c:v>
                      </c:pt>
                      <c:pt idx="11">
                        <c:v>0.68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47-4573-9945-3DA8B28BFE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'!$A$8</c15:sqref>
                        </c15:formulaRef>
                      </c:ext>
                    </c:extLst>
                    <c:strCache>
                      <c:ptCount val="1"/>
                      <c:pt idx="0">
                        <c:v> Early Head Start Children Enrolled (Goal 148)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'!$B$8:$N$8</c15:sqref>
                        </c15:fullRef>
                        <c15:formulaRef>
                          <c15:sqref>'Children''s 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60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47-4573-9945-3DA8B28BFEC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'!$A$9</c15:sqref>
                        </c15:formulaRef>
                      </c:ext>
                    </c:extLst>
                    <c:strCache>
                      <c:ptCount val="1"/>
                      <c:pt idx="0">
                        <c:v>EHS Goal ≥ 90% Attendance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'!$B$9:$N$9</c15:sqref>
                        </c15:fullRef>
                        <c15:formulaRef>
                          <c15:sqref>'Children''s '!$B$9:$M$9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0.89</c:v>
                      </c:pt>
                      <c:pt idx="1">
                        <c:v>0.87</c:v>
                      </c:pt>
                      <c:pt idx="2">
                        <c:v>0.78</c:v>
                      </c:pt>
                      <c:pt idx="3">
                        <c:v>0.81</c:v>
                      </c:pt>
                      <c:pt idx="4">
                        <c:v>0.86</c:v>
                      </c:pt>
                      <c:pt idx="5">
                        <c:v>0.88</c:v>
                      </c:pt>
                      <c:pt idx="6">
                        <c:v>0.81</c:v>
                      </c:pt>
                      <c:pt idx="7">
                        <c:v>0.87</c:v>
                      </c:pt>
                      <c:pt idx="8">
                        <c:v>0.84</c:v>
                      </c:pt>
                      <c:pt idx="9">
                        <c:v>0.82</c:v>
                      </c:pt>
                      <c:pt idx="10">
                        <c:v>0.82</c:v>
                      </c:pt>
                      <c:pt idx="11">
                        <c:v>0.86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47-4573-9945-3DA8B28BFEC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'!$A$10</c15:sqref>
                        </c15:formulaRef>
                      </c:ext>
                    </c:extLst>
                    <c:strCache>
                      <c:ptCount val="1"/>
                      <c:pt idx="0">
                        <c:v>EHS Wait List for Income Eligible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'!$B$10:$N$10</c15:sqref>
                        </c15:fullRef>
                        <c15:formulaRef>
                          <c15:sqref>'Children''s 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49</c:v>
                      </c:pt>
                      <c:pt idx="1">
                        <c:v>51</c:v>
                      </c:pt>
                      <c:pt idx="2">
                        <c:v>53</c:v>
                      </c:pt>
                      <c:pt idx="3">
                        <c:v>52</c:v>
                      </c:pt>
                      <c:pt idx="4">
                        <c:v>51</c:v>
                      </c:pt>
                      <c:pt idx="5">
                        <c:v>31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37</c:v>
                      </c:pt>
                      <c:pt idx="9">
                        <c:v>39</c:v>
                      </c:pt>
                      <c:pt idx="10">
                        <c:v>52</c:v>
                      </c:pt>
                      <c:pt idx="1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47-4573-9945-3DA8B28BFEC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'!$A$11</c15:sqref>
                        </c15:formulaRef>
                      </c:ext>
                    </c:extLst>
                    <c:strCache>
                      <c:ptCount val="1"/>
                      <c:pt idx="0">
                        <c:v> EHS Wait List for Over Income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'!$B$11:$N$11</c15:sqref>
                        </c15:fullRef>
                        <c15:formulaRef>
                          <c15:sqref>'Children''s '!$B$11:$M$11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37</c:v>
                      </c:pt>
                      <c:pt idx="2">
                        <c:v>36</c:v>
                      </c:pt>
                      <c:pt idx="3">
                        <c:v>35</c:v>
                      </c:pt>
                      <c:pt idx="4">
                        <c:v>32</c:v>
                      </c:pt>
                      <c:pt idx="5">
                        <c:v>31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51</c:v>
                      </c:pt>
                      <c:pt idx="1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47-4573-9945-3DA8B28BFEC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'!$A$12</c15:sqref>
                        </c15:formulaRef>
                      </c:ext>
                    </c:extLst>
                    <c:strCache>
                      <c:ptCount val="1"/>
                      <c:pt idx="0">
                        <c:v>40 Early Head Start child care slots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'!$B$12:$N$12</c15:sqref>
                        </c15:fullRef>
                        <c15:formulaRef>
                          <c15:sqref>'Children''s '!$B$12:$M$12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38</c:v>
                      </c:pt>
                      <c:pt idx="4">
                        <c:v>39</c:v>
                      </c:pt>
                      <c:pt idx="5">
                        <c:v>40</c:v>
                      </c:pt>
                      <c:pt idx="6">
                        <c:v>39</c:v>
                      </c:pt>
                      <c:pt idx="7">
                        <c:v>48</c:v>
                      </c:pt>
                      <c:pt idx="8">
                        <c:v>45</c:v>
                      </c:pt>
                      <c:pt idx="9">
                        <c:v>46</c:v>
                      </c:pt>
                      <c:pt idx="10">
                        <c:v>45</c:v>
                      </c:pt>
                      <c:pt idx="1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47-4573-9945-3DA8B28BFEC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'!$A$13</c15:sqref>
                        </c15:formulaRef>
                      </c:ext>
                    </c:extLst>
                    <c:strCache>
                      <c:ptCount val="1"/>
                      <c:pt idx="0">
                        <c:v>97% enrollment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'!$B$13:$N$13</c15:sqref>
                        </c15:fullRef>
                        <c15:formulaRef>
                          <c15:sqref>'Children''s '!$B$13:$M$13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0.41</c:v>
                      </c:pt>
                      <c:pt idx="1">
                        <c:v>0.44</c:v>
                      </c:pt>
                      <c:pt idx="2">
                        <c:v>0.44</c:v>
                      </c:pt>
                      <c:pt idx="3">
                        <c:v>0.44</c:v>
                      </c:pt>
                      <c:pt idx="4">
                        <c:v>0.44</c:v>
                      </c:pt>
                      <c:pt idx="5">
                        <c:v>0.85</c:v>
                      </c:pt>
                      <c:pt idx="6">
                        <c:v>0.81</c:v>
                      </c:pt>
                      <c:pt idx="7">
                        <c:v>0.86</c:v>
                      </c:pt>
                      <c:pt idx="8">
                        <c:v>0.8</c:v>
                      </c:pt>
                      <c:pt idx="9">
                        <c:v>0.88</c:v>
                      </c:pt>
                      <c:pt idx="10">
                        <c:v>0.8</c:v>
                      </c:pt>
                      <c:pt idx="11">
                        <c:v>0.71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47-4573-9945-3DA8B28BFEC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'!$A$14</c15:sqref>
                        </c15:formulaRef>
                      </c:ext>
                    </c:extLst>
                    <c:strCache>
                      <c:ptCount val="1"/>
                      <c:pt idx="0">
                        <c:v>USDA - 17 Homes (CACFP)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'!$B$14:$N$14</c15:sqref>
                        </c15:fullRef>
                        <c15:formulaRef>
                          <c15:sqref>'Children''s '!$B$14:$M$14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">
                        <c:v>0</c:v>
                      </c:pt>
                      <c:pt idx="5" formatCode="0%">
                        <c:v>0</c:v>
                      </c:pt>
                      <c:pt idx="6" formatCode="0">
                        <c:v>0</c:v>
                      </c:pt>
                      <c:pt idx="7" formatCode="0%">
                        <c:v>0</c:v>
                      </c:pt>
                      <c:pt idx="8" formatCode="0">
                        <c:v>0</c:v>
                      </c:pt>
                      <c:pt idx="9" formatCode="0">
                        <c:v>0</c:v>
                      </c:pt>
                      <c:pt idx="10" formatCode="0">
                        <c:v>0</c:v>
                      </c:pt>
                      <c:pt idx="11" formatCode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47-4573-9945-3DA8B28BFEC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'!$A$15</c15:sqref>
                        </c15:formulaRef>
                      </c:ext>
                    </c:extLst>
                    <c:strCache>
                      <c:ptCount val="1"/>
                      <c:pt idx="0">
                        <c:v>USDA - 7 Centers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'!$B$15:$N$15</c15:sqref>
                        </c15:fullRef>
                        <c15:formulaRef>
                          <c15:sqref>'Children''s '!$B$15:$M$15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E47-4573-9945-3DA8B28BFEC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'!$A$16</c15:sqref>
                        </c15:formulaRef>
                      </c:ext>
                    </c:extLst>
                    <c:strCache>
                      <c:ptCount val="1"/>
                      <c:pt idx="0">
                        <c:v>17 Pre school child care slots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'!$B$16:$N$16</c15:sqref>
                        </c15:fullRef>
                        <c15:formulaRef>
                          <c15:sqref>'Children''s '!$B$16:$M$16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E47-4573-9945-3DA8B28BFEC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'!$A$17</c15:sqref>
                        </c15:formulaRef>
                      </c:ext>
                    </c:extLst>
                    <c:strCache>
                      <c:ptCount val="1"/>
                      <c:pt idx="0">
                        <c:v>Total applications received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'!$B$17:$N$17</c15:sqref>
                        </c15:fullRef>
                        <c15:formulaRef>
                          <c15:sqref>'Children''s '!$B$17:$M$17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18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E47-4573-9945-3DA8B28BFEC0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'!$A$18</c15:sqref>
                        </c15:formulaRef>
                      </c:ext>
                    </c:extLst>
                    <c:strCache>
                      <c:ptCount val="1"/>
                      <c:pt idx="0">
                        <c:v>% of applications processed within 10 days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'!$B$18:$N$18</c15:sqref>
                        </c15:fullRef>
                        <c15:formulaRef>
                          <c15:sqref>'Children''s '!$B$18:$M$18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</c:v>
                      </c:pt>
                      <c:pt idx="1">
                        <c:v>28</c:v>
                      </c:pt>
                      <c:pt idx="2">
                        <c:v>22</c:v>
                      </c:pt>
                      <c:pt idx="3">
                        <c:v>50</c:v>
                      </c:pt>
                      <c:pt idx="4">
                        <c:v>33</c:v>
                      </c:pt>
                      <c:pt idx="5">
                        <c:v>75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66</c:v>
                      </c:pt>
                      <c:pt idx="1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E47-4573-9945-3DA8B28BFEC0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'!$A$19</c15:sqref>
                        </c15:formulaRef>
                      </c:ext>
                    </c:extLst>
                    <c:strCache>
                      <c:ptCount val="1"/>
                      <c:pt idx="0">
                        <c:v>Average number of days from App to Enrolled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'!$B$19:$N$19</c15:sqref>
                        </c15:fullRef>
                        <c15:formulaRef>
                          <c15:sqref>'Children''s '!$B$19:$M$19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</c:v>
                      </c:pt>
                      <c:pt idx="1">
                        <c:v>0.62</c:v>
                      </c:pt>
                      <c:pt idx="2">
                        <c:v>0.41</c:v>
                      </c:pt>
                      <c:pt idx="3">
                        <c:v>0.77</c:v>
                      </c:pt>
                      <c:pt idx="4">
                        <c:v>0.83</c:v>
                      </c:pt>
                      <c:pt idx="5">
                        <c:v>0.73</c:v>
                      </c:pt>
                      <c:pt idx="6">
                        <c:v>0.6</c:v>
                      </c:pt>
                      <c:pt idx="7">
                        <c:v>0.75</c:v>
                      </c:pt>
                      <c:pt idx="8">
                        <c:v>0.63</c:v>
                      </c:pt>
                      <c:pt idx="9">
                        <c:v>0.72</c:v>
                      </c:pt>
                      <c:pt idx="10">
                        <c:v>0.64</c:v>
                      </c:pt>
                      <c:pt idx="11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E47-4573-9945-3DA8B28BFEC0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'!$A$20</c15:sqref>
                        </c15:formulaRef>
                      </c:ext>
                    </c:extLst>
                    <c:strCache>
                      <c:ptCount val="1"/>
                      <c:pt idx="0">
                        <c:v>Total # children currently served In all of Children's Services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'!$B$20:$N$20</c15:sqref>
                        </c15:fullRef>
                        <c15:formulaRef>
                          <c15:sqref>'Children''s '!$B$20:$M$20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327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18</c:v>
                      </c:pt>
                      <c:pt idx="5">
                        <c:v>85</c:v>
                      </c:pt>
                      <c:pt idx="6">
                        <c:v>3</c:v>
                      </c:pt>
                      <c:pt idx="7">
                        <c:v>73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E47-4573-9945-3DA8B28BFEC0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'!$A$21</c15:sqref>
                        </c15:formulaRef>
                      </c:ext>
                    </c:extLst>
                    <c:strCache>
                      <c:ptCount val="1"/>
                      <c:pt idx="0">
                        <c:v>Unduplicated number of children who rode the Chisholm bus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'!$B$21:$N$21</c15:sqref>
                        </c15:fullRef>
                        <c15:formulaRef>
                          <c15:sqref>'Children''s 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E47-4573-9945-3DA8B28BFEC0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'!$A$22</c15:sqref>
                        </c15:formulaRef>
                      </c:ext>
                    </c:extLst>
                    <c:strCache>
                      <c:ptCount val="1"/>
                      <c:pt idx="0">
                        <c:v>Children/pregnant mothers enrolled in home visiting services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'!$B$22:$N$22</c15:sqref>
                        </c15:fullRef>
                        <c15:formulaRef>
                          <c15:sqref>'Children''s '!$B$22:$M$22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29</c:v>
                      </c:pt>
                      <c:pt idx="5">
                        <c:v>41</c:v>
                      </c:pt>
                      <c:pt idx="6">
                        <c:v>48</c:v>
                      </c:pt>
                      <c:pt idx="7">
                        <c:v>45</c:v>
                      </c:pt>
                      <c:pt idx="8">
                        <c:v>51</c:v>
                      </c:pt>
                      <c:pt idx="9">
                        <c:v>43</c:v>
                      </c:pt>
                      <c:pt idx="10">
                        <c:v>37</c:v>
                      </c:pt>
                      <c:pt idx="1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E47-4573-9945-3DA8B28BFEC0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'!$A$23</c15:sqref>
                        </c15:formulaRef>
                      </c:ext>
                    </c:extLst>
                    <c:strCache>
                      <c:ptCount val="1"/>
                      <c:pt idx="0">
                        <c:v>% of all children and pregnant parents enrolled in Dental Homes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'!$B$23:$N$23</c15:sqref>
                        </c15:fullRef>
                        <c15:formulaRef>
                          <c15:sqref>'Children''s '!$B$23:$M$23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317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30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E47-4573-9945-3DA8B28BFEC0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'Children''s '!$A$24</c15:sqref>
                        </c15:formulaRef>
                      </c:ext>
                    </c:extLst>
                    <c:strCache>
                      <c:ptCount val="1"/>
                      <c:pt idx="0">
                        <c:v># Families enrolled and completed a family  partnership agreement (Whole Family)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'FY24 KPIs'!$D$1:$P$1</c15:sqref>
                        </c15:fullRef>
                        <c15:formulaRef>
                          <c15:sqref>'FY24 KPIs'!$D$1:$O$1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'Children''s '!$B$24:$N$24</c15:sqref>
                        </c15:fullRef>
                        <c15:formulaRef>
                          <c15:sqref>'Children''s '!$B$24:$M$24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487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36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31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E47-4573-9945-3DA8B28BFEC0}"/>
                  </c:ext>
                </c:extLst>
              </c15:ser>
            </c15:filteredBarSeries>
          </c:ext>
        </c:extLst>
      </c:barChart>
      <c:catAx>
        <c:axId val="4123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5088"/>
        <c:crosses val="autoZero"/>
        <c:auto val="1"/>
        <c:lblAlgn val="ctr"/>
        <c:lblOffset val="100"/>
        <c:noMultiLvlLbl val="0"/>
      </c:catAx>
      <c:valAx>
        <c:axId val="4123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95904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Emergency Heat FY24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73288067022823E-2"/>
          <c:y val="0.13969872316346316"/>
          <c:w val="0.91457776210820485"/>
          <c:h val="0.6867668154772055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Energy!$A$4</c:f>
              <c:strCache>
                <c:ptCount val="1"/>
                <c:pt idx="0">
                  <c:v>Private Donations - 100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Energy!$B$2:$N$2</c15:sqref>
                  </c15:fullRef>
                </c:ext>
              </c:extLst>
              <c:f>Energy!$B$2:$M$2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Energy!$B$4:$N$4</c15:sqref>
                  </c15:fullRef>
                </c:ext>
              </c:extLst>
              <c:f>Energy!$B$4:$M$4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62</c:v>
                </c:pt>
                <c:pt idx="3">
                  <c:v>190</c:v>
                </c:pt>
                <c:pt idx="4">
                  <c:v>263</c:v>
                </c:pt>
                <c:pt idx="5">
                  <c:v>209</c:v>
                </c:pt>
                <c:pt idx="6">
                  <c:v>136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5-4E73-BF79-D55C2EA0BAF2}"/>
            </c:ext>
          </c:extLst>
        </c:ser>
        <c:ser>
          <c:idx val="2"/>
          <c:order val="2"/>
          <c:tx>
            <c:strRef>
              <c:f>Energy!$A$5</c:f>
              <c:strCache>
                <c:ptCount val="1"/>
                <c:pt idx="0">
                  <c:v> ECIP - 1400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2965966549848187E-2"/>
                  <c:y val="-1.381026514852056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94-487D-8C21-3E7663AE8F28}"/>
                </c:ext>
              </c:extLst>
            </c:dLbl>
            <c:dLbl>
              <c:idx val="2"/>
              <c:layout>
                <c:manualLayout>
                  <c:x val="-6.482983274924172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94-487D-8C21-3E7663AE8F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Energy!$B$2:$N$2</c15:sqref>
                  </c15:fullRef>
                </c:ext>
              </c:extLst>
              <c:f>Energy!$B$2:$M$2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Energy!$B$5:$N$5</c15:sqref>
                  </c15:fullRef>
                </c:ext>
              </c:extLst>
              <c:f>Energy!$B$5:$M$5</c:f>
              <c:numCache>
                <c:formatCode>General</c:formatCode>
                <c:ptCount val="12"/>
                <c:pt idx="0">
                  <c:v>0</c:v>
                </c:pt>
                <c:pt idx="1">
                  <c:v>64</c:v>
                </c:pt>
                <c:pt idx="2">
                  <c:v>67</c:v>
                </c:pt>
                <c:pt idx="3">
                  <c:v>96</c:v>
                </c:pt>
                <c:pt idx="4">
                  <c:v>77</c:v>
                </c:pt>
                <c:pt idx="5">
                  <c:v>16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5-4E73-BF79-D55C2EA0BAF2}"/>
            </c:ext>
          </c:extLst>
        </c:ser>
        <c:ser>
          <c:idx val="3"/>
          <c:order val="3"/>
          <c:tx>
            <c:strRef>
              <c:f>Energy!$A$6</c:f>
              <c:strCache>
                <c:ptCount val="1"/>
                <c:pt idx="0">
                  <c:v>Upfronts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Energy!$B$2:$N$2</c15:sqref>
                  </c15:fullRef>
                </c:ext>
              </c:extLst>
              <c:f>Energy!$B$2:$M$2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Energy!$B$6:$N$6</c15:sqref>
                  </c15:fullRef>
                </c:ext>
              </c:extLst>
              <c:f>Energy!$B$6:$M$6</c:f>
              <c:numCache>
                <c:formatCode>General</c:formatCode>
                <c:ptCount val="12"/>
                <c:pt idx="0">
                  <c:v>786</c:v>
                </c:pt>
                <c:pt idx="1">
                  <c:v>746</c:v>
                </c:pt>
                <c:pt idx="2">
                  <c:v>865</c:v>
                </c:pt>
                <c:pt idx="3">
                  <c:v>693</c:v>
                </c:pt>
                <c:pt idx="4">
                  <c:v>994</c:v>
                </c:pt>
                <c:pt idx="5">
                  <c:v>401</c:v>
                </c:pt>
                <c:pt idx="6">
                  <c:v>520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5-4E73-BF79-D55C2EA0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777967"/>
        <c:axId val="7927721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Energy!$A$3</c15:sqref>
                        </c15:formulaRef>
                      </c:ext>
                    </c:extLst>
                    <c:strCache>
                      <c:ptCount val="1"/>
                      <c:pt idx="0">
                        <c:v>Emergency Heat provided to 1,600 households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Energy!$B$2:$N$2</c15:sqref>
                        </c15:fullRef>
                        <c15:formulaRef>
                          <c15:sqref>Energy!$B$2:$M$2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  <c:pt idx="12">
                        <c:v>YTD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Energy!$B$3:$M$3</c15:sqref>
                        </c15:fullRef>
                        <c15:formulaRef>
                          <c15:sqref>Energy!$B$3:$M$3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47</c:v>
                      </c:pt>
                      <c:pt idx="2">
                        <c:v>22</c:v>
                      </c:pt>
                      <c:pt idx="3">
                        <c:v>37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12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05-4E73-BF79-D55C2EA0BAF2}"/>
                  </c:ext>
                </c:extLst>
              </c15:ser>
            </c15:filteredBarSeries>
          </c:ext>
        </c:extLst>
      </c:barChart>
      <c:catAx>
        <c:axId val="7927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72143"/>
        <c:crosses val="autoZero"/>
        <c:auto val="1"/>
        <c:lblAlgn val="ctr"/>
        <c:lblOffset val="100"/>
        <c:noMultiLvlLbl val="0"/>
      </c:catAx>
      <c:valAx>
        <c:axId val="7927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Energy!$A$7</c:f>
              <c:strCache>
                <c:ptCount val="1"/>
                <c:pt idx="0">
                  <c:v>8000 Applications eligible LIHEAP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Energy!$B$2:$N$2</c15:sqref>
                  </c15:fullRef>
                </c:ext>
              </c:extLst>
              <c:f>Energy!$B$2:$M$2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Energy!$B$7:$N$7</c15:sqref>
                  </c15:fullRef>
                </c:ext>
              </c:extLst>
              <c:f>Energy!$B$7:$M$7</c:f>
              <c:numCache>
                <c:formatCode>General</c:formatCode>
                <c:ptCount val="12"/>
                <c:pt idx="0">
                  <c:v>1185</c:v>
                </c:pt>
                <c:pt idx="1">
                  <c:v>1251</c:v>
                </c:pt>
                <c:pt idx="2">
                  <c:v>708</c:v>
                </c:pt>
                <c:pt idx="3">
                  <c:v>1147</c:v>
                </c:pt>
                <c:pt idx="4">
                  <c:v>1285</c:v>
                </c:pt>
                <c:pt idx="5">
                  <c:v>1174</c:v>
                </c:pt>
                <c:pt idx="6">
                  <c:v>253</c:v>
                </c:pt>
                <c:pt idx="7">
                  <c:v>241</c:v>
                </c:pt>
                <c:pt idx="8">
                  <c:v>108</c:v>
                </c:pt>
                <c:pt idx="9">
                  <c:v>0</c:v>
                </c:pt>
                <c:pt idx="10">
                  <c:v>0</c:v>
                </c:pt>
                <c:pt idx="11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7-4425-ABE0-03678C5AB395}"/>
            </c:ext>
          </c:extLst>
        </c:ser>
        <c:ser>
          <c:idx val="1"/>
          <c:order val="1"/>
          <c:tx>
            <c:strRef>
              <c:f>Energy!$A$8</c:f>
              <c:strCache>
                <c:ptCount val="1"/>
                <c:pt idx="0">
                  <c:v>9500 Applications processed LIHEAP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Energy!$B$2:$N$2</c15:sqref>
                  </c15:fullRef>
                </c:ext>
              </c:extLst>
              <c:f>Energy!$B$2:$M$2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Energy!$B$8:$N$8</c15:sqref>
                  </c15:fullRef>
                </c:ext>
              </c:extLst>
              <c:f>Energy!$B$8:$M$8</c:f>
              <c:numCache>
                <c:formatCode>General</c:formatCode>
                <c:ptCount val="12"/>
                <c:pt idx="0">
                  <c:v>230</c:v>
                </c:pt>
                <c:pt idx="1">
                  <c:v>268</c:v>
                </c:pt>
                <c:pt idx="2">
                  <c:v>234</c:v>
                </c:pt>
                <c:pt idx="3">
                  <c:v>287</c:v>
                </c:pt>
                <c:pt idx="4" formatCode="0">
                  <c:v>285</c:v>
                </c:pt>
                <c:pt idx="5">
                  <c:v>301</c:v>
                </c:pt>
                <c:pt idx="6" formatCode="0">
                  <c:v>286</c:v>
                </c:pt>
                <c:pt idx="7">
                  <c:v>120</c:v>
                </c:pt>
                <c:pt idx="8" formatCode="0">
                  <c:v>16</c:v>
                </c:pt>
                <c:pt idx="9">
                  <c:v>444</c:v>
                </c:pt>
                <c:pt idx="10">
                  <c:v>1329</c:v>
                </c:pt>
                <c:pt idx="11" formatCode="0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7-4425-ABE0-03678C5A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753423"/>
        <c:axId val="792741359"/>
      </c:barChart>
      <c:catAx>
        <c:axId val="7927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41359"/>
        <c:crosses val="autoZero"/>
        <c:auto val="1"/>
        <c:lblAlgn val="ctr"/>
        <c:lblOffset val="100"/>
        <c:noMultiLvlLbl val="0"/>
      </c:catAx>
      <c:valAx>
        <c:axId val="79274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CHIP, AST and Heat Pumps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Housing!$C$5</c:f>
              <c:strCache>
                <c:ptCount val="1"/>
                <c:pt idx="0">
                  <c:v>Heating system repair or replacement to 200 households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Housing!$D$5:$O$5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32</c:v>
                </c:pt>
                <c:pt idx="3">
                  <c:v>26</c:v>
                </c:pt>
                <c:pt idx="4">
                  <c:v>34</c:v>
                </c:pt>
                <c:pt idx="5">
                  <c:v>24</c:v>
                </c:pt>
                <c:pt idx="6">
                  <c:v>21</c:v>
                </c:pt>
                <c:pt idx="7">
                  <c:v>15</c:v>
                </c:pt>
                <c:pt idx="8">
                  <c:v>13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E-4215-974C-74ABC1588F3A}"/>
            </c:ext>
          </c:extLst>
        </c:ser>
        <c:ser>
          <c:idx val="1"/>
          <c:order val="1"/>
          <c:tx>
            <c:strRef>
              <c:f>Housing!$C$7</c:f>
              <c:strCache>
                <c:ptCount val="1"/>
                <c:pt idx="0">
                  <c:v>Oil Tank Replacement (20)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Housing!$D$7:$O$7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E-4215-974C-74ABC1588F3A}"/>
            </c:ext>
          </c:extLst>
        </c:ser>
        <c:ser>
          <c:idx val="2"/>
          <c:order val="2"/>
          <c:tx>
            <c:strRef>
              <c:f>Housing!$C$8</c:f>
              <c:strCache>
                <c:ptCount val="1"/>
                <c:pt idx="0">
                  <c:v>Heat Pump Program - 100 Households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Housing!$D$8:$O$8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16</c:v>
                </c:pt>
                <c:pt idx="3">
                  <c:v>18</c:v>
                </c:pt>
                <c:pt idx="4">
                  <c:v>25</c:v>
                </c:pt>
                <c:pt idx="5">
                  <c:v>37</c:v>
                </c:pt>
                <c:pt idx="6">
                  <c:v>25</c:v>
                </c:pt>
                <c:pt idx="7">
                  <c:v>2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E-4215-974C-74ABC158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030351"/>
        <c:axId val="800025359"/>
      </c:barChart>
      <c:catAx>
        <c:axId val="80003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25359"/>
        <c:crosses val="autoZero"/>
        <c:auto val="1"/>
        <c:lblAlgn val="ctr"/>
        <c:lblOffset val="100"/>
        <c:noMultiLvlLbl val="0"/>
      </c:catAx>
      <c:valAx>
        <c:axId val="8000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3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Inspection/Design</a:t>
            </a:r>
            <a:r>
              <a:rPr lang="en-US" baseline="0"/>
              <a:t> and Construction Management </a:t>
            </a:r>
            <a:r>
              <a:rPr lang="en-US"/>
              <a:t>Programs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Housing!$C$22</c:f>
              <c:strCache>
                <c:ptCount val="1"/>
                <c:pt idx="0">
                  <c:v>Lead inspections/designs and construction management to 75 homes MH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Housing!$D$22:$O$22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7-4CB4-8D42-9CD898772A41}"/>
            </c:ext>
          </c:extLst>
        </c:ser>
        <c:ser>
          <c:idx val="3"/>
          <c:order val="3"/>
          <c:tx>
            <c:strRef>
              <c:f>Housing!$C$23</c:f>
              <c:strCache>
                <c:ptCount val="1"/>
                <c:pt idx="0">
                  <c:v>Lead inspections/designs and construction management to 75 homes LA funds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Housing!$D$23:$O$23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26</c:v>
                </c:pt>
                <c:pt idx="8">
                  <c:v>32</c:v>
                </c:pt>
                <c:pt idx="9">
                  <c:v>54</c:v>
                </c:pt>
                <c:pt idx="10">
                  <c:v>54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7-4CB4-8D42-9CD89877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041583"/>
        <c:axId val="80004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Housing!$C$16</c15:sqref>
                        </c15:formulaRef>
                      </c:ext>
                    </c:extLst>
                    <c:strCache>
                      <c:ptCount val="1"/>
                      <c:pt idx="0">
                        <c:v>Lead inspections/designs and construction management to 75 homes MH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Housing!$D$16:$O$16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77-4CB4-8D42-9CD898772A4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Housing!$C$17</c15:sqref>
                        </c15:formulaRef>
                      </c:ext>
                    </c:extLst>
                    <c:strCache>
                      <c:ptCount val="1"/>
                      <c:pt idx="0">
                        <c:v>Lead inspections/designs and construction management to 75 homes LA funds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Housing!$D$17:$O$17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22</c:v>
                      </c:pt>
                      <c:pt idx="10">
                        <c:v>0</c:v>
                      </c:pt>
                      <c:pt idx="1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77-4CB4-8D42-9CD898772A41}"/>
                  </c:ext>
                </c:extLst>
              </c15:ser>
            </c15:filteredBarSeries>
          </c:ext>
        </c:extLst>
      </c:barChart>
      <c:catAx>
        <c:axId val="80004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42831"/>
        <c:crosses val="autoZero"/>
        <c:auto val="1"/>
        <c:lblAlgn val="ctr"/>
        <c:lblOffset val="100"/>
        <c:noMultiLvlLbl val="0"/>
      </c:catAx>
      <c:valAx>
        <c:axId val="800042831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Inspection</a:t>
            </a:r>
            <a:r>
              <a:rPr lang="en-US" baseline="0"/>
              <a:t> </a:t>
            </a:r>
            <a:r>
              <a:rPr lang="en-US"/>
              <a:t>Programs</a:t>
            </a:r>
          </a:p>
        </c:rich>
      </c:tx>
      <c:layout>
        <c:manualLayout>
          <c:xMode val="edge"/>
          <c:yMode val="edge"/>
          <c:x val="0.3851997148043327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Housing!$C$20</c:f>
              <c:strCache>
                <c:ptCount val="1"/>
                <c:pt idx="0">
                  <c:v>300 Lead inspections for DHHS - cumulative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Housing!$D$20:$O$20</c:f>
              <c:numCache>
                <c:formatCode>General</c:formatCode>
                <c:ptCount val="12"/>
                <c:pt idx="0">
                  <c:v>12</c:v>
                </c:pt>
                <c:pt idx="1">
                  <c:v>45</c:v>
                </c:pt>
                <c:pt idx="2">
                  <c:v>77</c:v>
                </c:pt>
                <c:pt idx="3">
                  <c:v>103</c:v>
                </c:pt>
                <c:pt idx="4">
                  <c:v>132</c:v>
                </c:pt>
                <c:pt idx="5">
                  <c:v>191</c:v>
                </c:pt>
                <c:pt idx="6">
                  <c:v>233</c:v>
                </c:pt>
                <c:pt idx="7">
                  <c:v>282</c:v>
                </c:pt>
                <c:pt idx="8">
                  <c:v>317</c:v>
                </c:pt>
                <c:pt idx="9">
                  <c:v>356</c:v>
                </c:pt>
                <c:pt idx="10">
                  <c:v>382</c:v>
                </c:pt>
                <c:pt idx="11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0-4374-B9E5-D60AB79D1E91}"/>
            </c:ext>
          </c:extLst>
        </c:ser>
        <c:ser>
          <c:idx val="16"/>
          <c:order val="16"/>
          <c:tx>
            <c:strRef>
              <c:f>Housing!$C$21</c:f>
              <c:strCache>
                <c:ptCount val="1"/>
                <c:pt idx="0">
                  <c:v>150 Lead Inspections Fee for service - cumulative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Housing!$D$2:$O$2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Housing!$D$21:$O$21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5">
                  <c:v>47</c:v>
                </c:pt>
                <c:pt idx="6">
                  <c:v>61</c:v>
                </c:pt>
                <c:pt idx="7">
                  <c:v>72</c:v>
                </c:pt>
                <c:pt idx="8">
                  <c:v>79</c:v>
                </c:pt>
                <c:pt idx="9">
                  <c:v>82</c:v>
                </c:pt>
                <c:pt idx="10">
                  <c:v>86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0-4374-B9E5-D60AB79D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041583"/>
        <c:axId val="80004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Housing!$C$16</c15:sqref>
                        </c15:formulaRef>
                      </c:ext>
                    </c:extLst>
                    <c:strCache>
                      <c:ptCount val="1"/>
                      <c:pt idx="0">
                        <c:v>Lead inspections/designs and construction management to 75 homes MH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Housing!$D$16:$O$16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74-4430-A20E-34133686619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Housing!$C$4</c15:sqref>
                        </c15:formulaRef>
                      </c:ext>
                    </c:extLst>
                    <c:strCache>
                      <c:ptCount val="1"/>
                      <c:pt idx="0">
                        <c:v>Weatherization to 65 households HEAP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Housing!$D$4:$O$4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74-4430-A20E-3413368661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Housing!$C$5</c15:sqref>
                        </c15:formulaRef>
                      </c:ext>
                    </c:extLst>
                    <c:strCache>
                      <c:ptCount val="1"/>
                      <c:pt idx="0">
                        <c:v>Heating system repair or replacement to 200 households CHIP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Housing!$D$5:$O$5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32</c:v>
                      </c:pt>
                      <c:pt idx="3">
                        <c:v>26</c:v>
                      </c:pt>
                      <c:pt idx="4">
                        <c:v>34</c:v>
                      </c:pt>
                      <c:pt idx="5">
                        <c:v>24</c:v>
                      </c:pt>
                      <c:pt idx="6">
                        <c:v>21</c:v>
                      </c:pt>
                      <c:pt idx="7">
                        <c:v>15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74-4430-A20E-3413368661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Housing!$C$6</c15:sqref>
                        </c15:formulaRef>
                      </c:ext>
                    </c:extLst>
                    <c:strCache>
                      <c:ptCount val="1"/>
                      <c:pt idx="0">
                        <c:v>CHIP wait List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Housing!$D$6:$O$6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85</c:v>
                      </c:pt>
                      <c:pt idx="8">
                        <c:v>136</c:v>
                      </c:pt>
                      <c:pt idx="9">
                        <c:v>149</c:v>
                      </c:pt>
                      <c:pt idx="10">
                        <c:v>170</c:v>
                      </c:pt>
                      <c:pt idx="11">
                        <c:v>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74-4430-A20E-34133686619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Housing!$C$7</c15:sqref>
                        </c15:formulaRef>
                      </c:ext>
                    </c:extLst>
                    <c:strCache>
                      <c:ptCount val="1"/>
                      <c:pt idx="0">
                        <c:v>Oil Tank Replacement (20)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Housing!$D$7:$O$7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10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74-4430-A20E-34133686619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Housing!$C$8</c15:sqref>
                        </c15:formulaRef>
                      </c:ext>
                    </c:extLst>
                    <c:strCache>
                      <c:ptCount val="1"/>
                      <c:pt idx="0">
                        <c:v>Heat Pump Program - 100 Households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Housing!$D$8:$O$8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16</c:v>
                      </c:pt>
                      <c:pt idx="3">
                        <c:v>18</c:v>
                      </c:pt>
                      <c:pt idx="4">
                        <c:v>25</c:v>
                      </c:pt>
                      <c:pt idx="5">
                        <c:v>37</c:v>
                      </c:pt>
                      <c:pt idx="6">
                        <c:v>25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11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956-4427-B909-959E556CD19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Housing!$C$9</c15:sqref>
                        </c15:formulaRef>
                      </c:ext>
                    </c:extLst>
                    <c:strCache>
                      <c:ptCount val="1"/>
                      <c:pt idx="0">
                        <c:v>Heat Pump Wait List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Housing!$D$9:$O$9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80</c:v>
                      </c:pt>
                      <c:pt idx="8">
                        <c:v>44</c:v>
                      </c:pt>
                      <c:pt idx="9">
                        <c:v>55</c:v>
                      </c:pt>
                      <c:pt idx="10">
                        <c:v>68</c:v>
                      </c:pt>
                      <c:pt idx="11">
                        <c:v>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56-4427-B909-959E556CD19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Housing!$C$10</c15:sqref>
                        </c15:formulaRef>
                      </c:ext>
                    </c:extLst>
                    <c:strCache>
                      <c:ptCount val="1"/>
                      <c:pt idx="0">
                        <c:v>Home Repair MSHA 80 Households (Oxford &amp; Andro &amp; Cumberland)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Housing!$D$10:$O$10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56-4427-B909-959E556CD19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Housing!$C$11</c15:sqref>
                        </c15:formulaRef>
                      </c:ext>
                    </c:extLst>
                    <c:strCache>
                      <c:ptCount val="1"/>
                      <c:pt idx="0">
                        <c:v>Home Repair Wait List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Housing!$D$11:$O$11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448</c:v>
                      </c:pt>
                      <c:pt idx="8">
                        <c:v>490</c:v>
                      </c:pt>
                      <c:pt idx="9">
                        <c:v>497</c:v>
                      </c:pt>
                      <c:pt idx="10">
                        <c:v>523</c:v>
                      </c:pt>
                      <c:pt idx="11">
                        <c:v>554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56-4427-B909-959E556CD19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Housing!$C$12</c15:sqref>
                        </c15:formulaRef>
                      </c:ext>
                    </c:extLst>
                    <c:strCache>
                      <c:ptCount val="1"/>
                      <c:pt idx="0">
                        <c:v>Housing rehab and construction management to 20 housing units CDBG Rockland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Housing!$D$12:$O$12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56-4427-B909-959E556CD19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Housing!$C$13</c15:sqref>
                        </c15:formulaRef>
                      </c:ext>
                    </c:extLst>
                    <c:strCache>
                      <c:ptCount val="1"/>
                      <c:pt idx="0">
                        <c:v>6 new self-help homes USDA</c:v>
                      </c:pt>
                    </c:strCache>
                  </c:strRef>
                </c:tx>
                <c:spPr>
                  <a:solidFill>
                    <a:schemeClr val="accent5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Housing!$D$13:$O$13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56-4427-B909-959E556CD19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Housing!$C$14</c15:sqref>
                        </c15:formulaRef>
                      </c:ext>
                    </c:extLst>
                    <c:strCache>
                      <c:ptCount val="1"/>
                      <c:pt idx="0">
                        <c:v>4 new Built by ME homes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Housing!$D$14:$O$14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56-4427-B909-959E556CD19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Housing!$C$15</c15:sqref>
                        </c15:formulaRef>
                      </c:ext>
                    </c:extLst>
                    <c:strCache>
                      <c:ptCount val="1"/>
                      <c:pt idx="0">
                        <c:v>Rehab to 9 Existing homes USDA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Housing!$D$15:$O$15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56-4427-B909-959E556CD19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Housing!$C$16</c15:sqref>
                        </c15:formulaRef>
                      </c:ext>
                    </c:extLst>
                    <c:strCache>
                      <c:ptCount val="1"/>
                      <c:pt idx="0">
                        <c:v>Lead inspections/designs and construction management to 75 homes MH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Housing!$D$16:$O$16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56-4427-B909-959E556CD19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Housing!$C$17</c15:sqref>
                        </c15:formulaRef>
                      </c:ext>
                    </c:extLst>
                    <c:strCache>
                      <c:ptCount val="1"/>
                      <c:pt idx="0">
                        <c:v>Lead inspections/designs and construction management to 75 homes LA funds</c:v>
                      </c:pt>
                    </c:strCache>
                  </c:strRef>
                </c:tx>
                <c:spPr>
                  <a:solidFill>
                    <a:schemeClr val="accent6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Housing!$D$2:$O$2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July</c:v>
                      </c:pt>
                      <c:pt idx="10">
                        <c:v>Aug</c:v>
                      </c:pt>
                      <c:pt idx="11">
                        <c:v>Sept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Housing!$D$17:$O$17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22</c:v>
                      </c:pt>
                      <c:pt idx="10">
                        <c:v>0</c:v>
                      </c:pt>
                      <c:pt idx="1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35-47AA-9C42-C6232870A10A}"/>
                  </c:ext>
                </c:extLst>
              </c15:ser>
            </c15:filteredBarSeries>
          </c:ext>
        </c:extLst>
      </c:barChart>
      <c:catAx>
        <c:axId val="80004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42831"/>
        <c:crosses val="autoZero"/>
        <c:auto val="1"/>
        <c:lblAlgn val="ctr"/>
        <c:lblOffset val="100"/>
        <c:noMultiLvlLbl val="0"/>
      </c:catAx>
      <c:valAx>
        <c:axId val="800042831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27</xdr:row>
      <xdr:rowOff>4762</xdr:rowOff>
    </xdr:from>
    <xdr:to>
      <xdr:col>14</xdr:col>
      <xdr:colOff>9525</xdr:colOff>
      <xdr:row>41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71123-1D73-48D1-9311-6777A722B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43</xdr:row>
      <xdr:rowOff>9524</xdr:rowOff>
    </xdr:from>
    <xdr:to>
      <xdr:col>14</xdr:col>
      <xdr:colOff>28575</xdr:colOff>
      <xdr:row>58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27A52-E5B2-4355-83C8-66809EF67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14</xdr:col>
      <xdr:colOff>0</xdr:colOff>
      <xdr:row>74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2DD30-524E-4B8F-94C0-5E53EB77E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90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B65DF-9A78-4928-9D9C-000622AC3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166687</xdr:rowOff>
    </xdr:from>
    <xdr:to>
      <xdr:col>17</xdr:col>
      <xdr:colOff>42862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17C1F-1888-4E47-B74F-184F2A7E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31</xdr:row>
      <xdr:rowOff>90486</xdr:rowOff>
    </xdr:from>
    <xdr:to>
      <xdr:col>12</xdr:col>
      <xdr:colOff>590549</xdr:colOff>
      <xdr:row>57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F803D2-F1F0-3980-6117-FFF27A40A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38</xdr:row>
      <xdr:rowOff>52387</xdr:rowOff>
    </xdr:from>
    <xdr:to>
      <xdr:col>15</xdr:col>
      <xdr:colOff>433387</xdr:colOff>
      <xdr:row>54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D2330-FCE2-B091-01E4-439B1D438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233362</xdr:rowOff>
    </xdr:from>
    <xdr:to>
      <xdr:col>24</xdr:col>
      <xdr:colOff>552450</xdr:colOff>
      <xdr:row>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10147-A99E-FA84-56B6-B8EE26A4F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</xdr:colOff>
      <xdr:row>20</xdr:row>
      <xdr:rowOff>14287</xdr:rowOff>
    </xdr:from>
    <xdr:to>
      <xdr:col>27</xdr:col>
      <xdr:colOff>571500</xdr:colOff>
      <xdr:row>33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36027-BCB7-AF9B-CF31-805BA3C0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36</xdr:row>
      <xdr:rowOff>0</xdr:rowOff>
    </xdr:from>
    <xdr:to>
      <xdr:col>27</xdr:col>
      <xdr:colOff>566738</xdr:colOff>
      <xdr:row>49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9CCB8-F015-4C77-9C93-1055C64C3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2566987</xdr:colOff>
      <xdr:row>27</xdr:row>
      <xdr:rowOff>23812</xdr:rowOff>
    </xdr:from>
    <xdr:to>
      <xdr:col>8</xdr:col>
      <xdr:colOff>300037</xdr:colOff>
      <xdr:row>41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9B44D-C326-7B65-7310-C71359586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</xdr:colOff>
      <xdr:row>26</xdr:row>
      <xdr:rowOff>176212</xdr:rowOff>
    </xdr:from>
    <xdr:to>
      <xdr:col>16</xdr:col>
      <xdr:colOff>347662</xdr:colOff>
      <xdr:row>41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01219-D564-B68E-B85F-B5F230404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</xdr:colOff>
      <xdr:row>41</xdr:row>
      <xdr:rowOff>185737</xdr:rowOff>
    </xdr:from>
    <xdr:to>
      <xdr:col>8</xdr:col>
      <xdr:colOff>333375</xdr:colOff>
      <xdr:row>56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8FEC5-EC36-3179-2B32-353A0192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42</xdr:row>
      <xdr:rowOff>14287</xdr:rowOff>
    </xdr:from>
    <xdr:to>
      <xdr:col>16</xdr:col>
      <xdr:colOff>319087</xdr:colOff>
      <xdr:row>56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46DC95-7CFF-0DA7-2663-613B3893C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2566987</xdr:colOff>
      <xdr:row>57</xdr:row>
      <xdr:rowOff>4762</xdr:rowOff>
    </xdr:from>
    <xdr:to>
      <xdr:col>8</xdr:col>
      <xdr:colOff>300037</xdr:colOff>
      <xdr:row>71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48CA61-9016-69D6-89CE-AD2948061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9</xdr:row>
      <xdr:rowOff>9525</xdr:rowOff>
    </xdr:from>
    <xdr:to>
      <xdr:col>10</xdr:col>
      <xdr:colOff>409575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4A48A-F81A-4BBD-89E9-317C3FB63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2757487</xdr:colOff>
      <xdr:row>27</xdr:row>
      <xdr:rowOff>14286</xdr:rowOff>
    </xdr:from>
    <xdr:to>
      <xdr:col>10</xdr:col>
      <xdr:colOff>390525</xdr:colOff>
      <xdr:row>44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8F449-0C89-4CFE-96D7-AF75F43F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25</xdr:row>
      <xdr:rowOff>100012</xdr:rowOff>
    </xdr:from>
    <xdr:to>
      <xdr:col>7</xdr:col>
      <xdr:colOff>419100</xdr:colOff>
      <xdr:row>39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F4661-D075-4D0E-B8CB-231A62EFC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23811</xdr:colOff>
      <xdr:row>40</xdr:row>
      <xdr:rowOff>4762</xdr:rowOff>
    </xdr:from>
    <xdr:to>
      <xdr:col>7</xdr:col>
      <xdr:colOff>419100</xdr:colOff>
      <xdr:row>55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6C8CA-CF65-453A-B97F-F5862220C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57</xdr:row>
      <xdr:rowOff>0</xdr:rowOff>
    </xdr:from>
    <xdr:to>
      <xdr:col>7</xdr:col>
      <xdr:colOff>400050</xdr:colOff>
      <xdr:row>71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1C8C2-42ED-4FDF-B7F6-EAEEED8AE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</xdr:colOff>
      <xdr:row>72</xdr:row>
      <xdr:rowOff>4762</xdr:rowOff>
    </xdr:from>
    <xdr:to>
      <xdr:col>7</xdr:col>
      <xdr:colOff>400050</xdr:colOff>
      <xdr:row>86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59F470-286E-42CD-909C-917A126E6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4761</xdr:colOff>
      <xdr:row>30</xdr:row>
      <xdr:rowOff>138112</xdr:rowOff>
    </xdr:from>
    <xdr:to>
      <xdr:col>5</xdr:col>
      <xdr:colOff>600075</xdr:colOff>
      <xdr:row>45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A0D09-A064-4335-9226-28D5AA79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45</xdr:row>
      <xdr:rowOff>28575</xdr:rowOff>
    </xdr:from>
    <xdr:to>
      <xdr:col>6</xdr:col>
      <xdr:colOff>0</xdr:colOff>
      <xdr:row>59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8CAAA-6892-4DB0-8CBC-DDFE7BE2F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30</xdr:row>
      <xdr:rowOff>157162</xdr:rowOff>
    </xdr:from>
    <xdr:to>
      <xdr:col>17</xdr:col>
      <xdr:colOff>495300</xdr:colOff>
      <xdr:row>48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14FDCF-716A-F665-65E1-DDE6A447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0.23026</cdr:x>
      <cdr:y>0.02405</cdr:y>
    </cdr:from>
    <cdr:to>
      <cdr:x>0.86994</cdr:x>
      <cdr:y>0.12306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1A3E6B-9C53-8442-DC02-B7D317E67112}"/>
            </a:ext>
          </a:extLst>
        </cdr:cNvPr>
        <cdr:cNvSpPr txBox="1"/>
      </cdr:nvSpPr>
      <cdr:spPr>
        <a:xfrm xmlns:a="http://schemas.openxmlformats.org/drawingml/2006/main">
          <a:off x="1652588" y="80963"/>
          <a:ext cx="45910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Maine Families Home Visits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21</xdr:row>
      <xdr:rowOff>190499</xdr:rowOff>
    </xdr:from>
    <xdr:to>
      <xdr:col>3</xdr:col>
      <xdr:colOff>209550</xdr:colOff>
      <xdr:row>43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A50C8E-FD1F-464F-88C5-F22D48936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44</xdr:row>
      <xdr:rowOff>9524</xdr:rowOff>
    </xdr:from>
    <xdr:to>
      <xdr:col>3</xdr:col>
      <xdr:colOff>209550</xdr:colOff>
      <xdr:row>64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2B7A73-4D2F-4390-85B2-8138722CD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65</xdr:row>
      <xdr:rowOff>180975</xdr:rowOff>
    </xdr:from>
    <xdr:to>
      <xdr:col>3</xdr:col>
      <xdr:colOff>209550</xdr:colOff>
      <xdr:row>80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524884-ED95-4289-B2BA-786C480BC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82</xdr:row>
      <xdr:rowOff>0</xdr:rowOff>
    </xdr:from>
    <xdr:to>
      <xdr:col>3</xdr:col>
      <xdr:colOff>761999</xdr:colOff>
      <xdr:row>96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46C390-7FC9-4F4A-A5A8-341D90C0C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12</xdr:row>
      <xdr:rowOff>119062</xdr:rowOff>
    </xdr:from>
    <xdr:to>
      <xdr:col>14</xdr:col>
      <xdr:colOff>590549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60BFD-2515-4325-8497-BE656F957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14</xdr:col>
      <xdr:colOff>542924</xdr:colOff>
      <xdr:row>56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16A16-967D-4EC9-8C43-380E7C669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</xdr:rowOff>
    </xdr:from>
    <xdr:to>
      <xdr:col>7</xdr:col>
      <xdr:colOff>547689</xdr:colOff>
      <xdr:row>38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CC718-3883-4049-BDBB-B077AA3A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95250</xdr:rowOff>
    </xdr:from>
    <xdr:to>
      <xdr:col>7</xdr:col>
      <xdr:colOff>676275</xdr:colOff>
      <xdr:row>53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B4985-DED7-46F1-A355-77B741378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54</xdr:row>
      <xdr:rowOff>133350</xdr:rowOff>
    </xdr:from>
    <xdr:to>
      <xdr:col>7</xdr:col>
      <xdr:colOff>719139</xdr:colOff>
      <xdr:row>69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698A0B-3343-48C5-8559-0D8729131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70</xdr:row>
      <xdr:rowOff>19050</xdr:rowOff>
    </xdr:from>
    <xdr:to>
      <xdr:col>7</xdr:col>
      <xdr:colOff>671514</xdr:colOff>
      <xdr:row>84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B6CDBE-F734-4D0D-931B-8C043C96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7</xdr:row>
      <xdr:rowOff>23812</xdr:rowOff>
    </xdr:from>
    <xdr:to>
      <xdr:col>14</xdr:col>
      <xdr:colOff>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6C803-8C15-4C6B-A4D8-8A013F9AA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22</xdr:row>
      <xdr:rowOff>57150</xdr:rowOff>
    </xdr:from>
    <xdr:to>
      <xdr:col>14</xdr:col>
      <xdr:colOff>600075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4C373-ECDB-43ED-9C32-4F3F80D25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oss\AppData\Local\Microsoft\Windows\INetCache\Content.Outlook\R9J1Y4Y6\FY24%20KPIs%20-%20CCFC.xlsx" TargetMode="External"/><Relationship Id="rId1" Type="http://schemas.openxmlformats.org/officeDocument/2006/relationships/externalLinkPath" Target="file:///C:\Users\pross\AppData\Local\Microsoft\Windows\INetCache\Content.Outlook\R9J1Y4Y6\FY24%20KPIs%20-%20CC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ldren's "/>
      <sheetName val="Energy"/>
      <sheetName val="Housing"/>
      <sheetName val="Family"/>
      <sheetName val="FY23 KPIs"/>
      <sheetName val="Customer"/>
      <sheetName val="Development"/>
      <sheetName val="CCFC"/>
      <sheetName val="Property"/>
      <sheetName val="Finance"/>
      <sheetName val="IT"/>
      <sheetName val="Human Resources"/>
      <sheetName val="CSBG Fund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ula Ross" id="{797ED063-591F-473B-8F64-578C5CEC23AD}" userId="S::PRoss@community-concepts.org::6a94bf29-ea36-4880-bdee-a4a364c612f9" providerId="AD"/>
  <person displayName="Ruby Bean" id="{66762AE0-034C-4B67-8CEE-A965958FB536}" userId="S::RBean@community-concepts.org::0e6b8362-c3e8-49f1-8196-c7dcc375b013" providerId="AD"/>
  <person displayName="Holly Szady" id="{9797F4CB-E46A-472A-8FF2-E09D17A7FB1A}" userId="S::HSzady@community-concepts.org::eedc3478-c13c-459c-a2bf-0d5f733de5d5" providerId="AD"/>
  <person displayName="Melissa Green" id="{A1D0B346-D12C-4838-8496-C357505F5D84}" userId="S::MGreen@Community-Concepts.org::f25f00a0-60b3-4a78-84a5-b0ed9971a0c3" providerId="AD"/>
  <person displayName="Katherine" id="{A2F2F594-A49B-4083-AA2E-0E44D7C97BB3}" userId="S::KDumais@community-concepts.org::b9c6c835-ca95-41e2-9907-a73bc24c00d6" providerId="AD"/>
  <person displayName="Nancy Hawkins" id="{92ED08AC-9A16-48E1-8C12-6EB60D4B1C8C}" userId="S::NHawkins@community-concepts.org::22a5c218-bebc-4be8-8e40-830e96cc98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1-06T16:05:27.39" personId="{797ED063-591F-473B-8F64-578C5CEC23AD}" id="{73ECE8C1-0613-41CF-B3EA-A4E50396AB03}">
    <text>Total number of children enrolled for Oct, just new children in all subsequent months.</text>
  </threadedComment>
  <threadedComment ref="C7" dT="2020-11-06T16:06:06.28" personId="{797ED063-591F-473B-8F64-578C5CEC23AD}" id="{04FCEE98-3D7B-473D-85FC-BCA7D631F1A3}">
    <text>Total number of children enrolled in Oct, just new children in all  subsequent months</text>
  </threadedComment>
  <threadedComment ref="G7" dT="2024-02-22T16:56:09.02" personId="{797ED063-591F-473B-8F64-578C5CEC23AD}" id="{9AB9FE5F-2A3D-4C5E-B240-A0D7A68BB116}">
    <text>Per note from N Hawkins 2/21/24</text>
  </threadedComment>
  <threadedComment ref="C19" dT="2020-11-06T16:09:58.54" personId="{797ED063-591F-473B-8F64-578C5CEC23AD}" id="{60298FD9-5EFE-4743-861E-C554B72F19ED}">
    <text>Number of unduplicated children who received any service in October and then just new children in all subsequent months</text>
  </threadedComment>
  <threadedComment ref="E23" dT="2023-12-19T15:42:06.44" personId="{92ED08AC-9A16-48E1-8C12-6EB60D4B1C8C}" id="{8B7B893D-9071-4A93-A898-EE968412C880}">
    <text xml:space="preserve">Total for claim 500
</text>
  </threadedComment>
  <threadedComment ref="M48" dT="2024-08-12T19:34:53.67" personId="{A1D0B346-D12C-4838-8496-C357505F5D84}" id="{21B17415-CCC7-4318-A8E5-EE6B96B19DF6}">
    <text>MaineHousing shared they are paying out PY24 waitlist</text>
  </threadedComment>
  <threadedComment ref="C70" dT="2022-05-25T12:45:23.57" personId="{A2F2F594-A49B-4083-AA2E-0E44D7C97BB3}" id="{7A5D3E44-88B4-450B-ABA3-5E01DF85CCE3}">
    <text>of all families how many completed an assessment during the reporting month</text>
  </threadedComment>
  <threadedComment ref="C71" dT="2022-05-25T12:46:55.34" personId="{A2F2F594-A49B-4083-AA2E-0E44D7C97BB3}" id="{E8A0959F-02C1-43D2-9733-810C3CE1AAD4}">
    <text>of all families how many completed a self-sufficiency matrix during the reporting month</text>
  </threadedComment>
  <threadedComment ref="C72" dT="2022-05-25T12:48:20.92" personId="{A2F2F594-A49B-4083-AA2E-0E44D7C97BB3}" id="{C0DA1A83-85F4-4A40-836D-8E31C2EFB9D5}">
    <text>of all families how many completed a family plan during the reporting month</text>
  </threadedComment>
  <threadedComment ref="C77" dT="2022-05-25T12:48:59.70" personId="{A2F2F594-A49B-4083-AA2E-0E44D7C97BB3}" id="{594846D8-27BE-4707-83F8-39B6F46E3C61}">
    <text>of all families how many home visits and community meetings during the reporting month</text>
  </threadedComment>
  <threadedComment ref="C78" dT="2022-05-25T12:48:59.70" personId="{A2F2F594-A49B-4083-AA2E-0E44D7C97BB3}" id="{903ED18C-0A41-4583-90C3-BF42E8FBB593}">
    <text>of all families how many home visits and community meetings during the reporting month</text>
  </threadedComment>
  <threadedComment ref="C80" dT="2022-05-25T12:49:42.73" personId="{A2F2F594-A49B-4083-AA2E-0E44D7C97BB3}" id="{DBC45EF5-6EE7-402E-B4A9-88F4186783AB}">
    <text>of all families how many made measurable progress during the reporting month</text>
  </threadedComment>
  <threadedComment ref="L80" dT="2023-07-05T21:41:59.09" personId="{9797F4CB-E46A-472A-8FF2-E09D17A7FB1A}" id="{13D7BECC-17E8-42DA-AE6C-FD5EFF919C9C}">
    <text>This is if they gained at least one point between last assessment and the one completed in June</text>
  </threadedComment>
  <threadedComment ref="E84" dT="2024-01-29T20:16:46.33" personId="{66762AE0-034C-4B67-8CEE-A965958FB536}" id="{5D09F05C-A390-4A33-8DF8-65BC7751C3FD}">
    <text>RIF Community Team Books- Childrens Services, MeHAF- MRC</text>
  </threadedComment>
  <threadedComment ref="F84" dT="2024-01-29T20:18:04.96" personId="{66762AE0-034C-4B67-8CEE-A965958FB536}" id="{C78DC162-0F9E-4FF0-862E-4653C246CCC6}">
    <text xml:space="preserve">Stephen &amp; Tabitha King- Books for Childrens Services &amp; Maine Families </text>
  </threadedComment>
  <threadedComment ref="L84" dT="2024-07-16T16:26:20.64" personId="{66762AE0-034C-4B67-8CEE-A965958FB536}" id="{6F56C36E-FB03-4BF4-9BE3-D79F5A8454F3}">
    <text>$3,721,000- CDS Funds- Housing Portfolio, $25k- TD Bank- Financial Literacy, $9k- Reisert Foudation- Customer Service for customer housing needs</text>
  </threadedComment>
  <threadedComment ref="M84" dT="2024-08-23T15:37:04.30" personId="{66762AE0-034C-4B67-8CEE-A965958FB536}" id="{FD54078A-F866-4FC2-A11B-7CAE28DA5661}">
    <text xml:space="preserve">Ripley Foundation, $10,812: NW SBI, $6k
</text>
  </threadedComment>
  <threadedComment ref="N84" dT="2024-09-23T13:25:33.23" personId="{66762AE0-034C-4B67-8CEE-A965958FB536}" id="{BCCE7F04-7B70-4324-89BF-24AD9ADBF185}">
    <text xml:space="preserve">WORC Grant- Childrens Services </text>
  </threadedComment>
  <threadedComment ref="O84" dT="2024-10-18T17:51:20.82" personId="{66762AE0-034C-4B67-8CEE-A965958FB536}" id="{7EC26AC1-53E6-45FB-BC8F-E2C6F33EA397}">
    <text xml:space="preserve">NW- Portfolio Strengthening </text>
  </threadedComment>
  <threadedComment ref="E85" dT="2024-01-02T14:32:24.29" personId="{66762AE0-034C-4B67-8CEE-A965958FB536}" id="{D54977C1-442C-4F7E-822C-0F2684A0C5ED}">
    <text/>
  </threadedComment>
  <threadedComment ref="C88" dT="2024-01-02T14:27:09.31" personId="{66762AE0-034C-4B67-8CEE-A965958FB536}" id="{4C7AB1D4-92AD-4ECA-9BCB-1F4D9507950F}">
    <text xml:space="preserve">This number is based on the last 12 months- a rolling period. </text>
  </threadedComment>
  <threadedComment ref="C89" dT="2024-01-02T14:37:29.47" personId="{66762AE0-034C-4B67-8CEE-A965958FB536}" id="{6DAC8885-25E7-4918-911E-00CB9558CE54}">
    <text xml:space="preserve">Just FB &amp; Instagram and ONLY CCI </text>
  </threadedComment>
  <threadedComment ref="D90" dT="2024-01-02T14:24:05.38" personId="{66762AE0-034C-4B67-8CEE-A965958FB536}" id="{19AD44A5-6B2E-4901-8509-A11290C5F8C4}">
    <text xml:space="preserve">Steve Wallace, Deb McPhail  </text>
  </threadedComment>
  <threadedComment ref="E90" dT="2024-05-17T17:03:31.54" personId="{66762AE0-034C-4B67-8CEE-A965958FB536}" id="{58C7AB61-66D7-40B5-B63B-1E1AEB2EB48B}">
    <text xml:space="preserve">Ricker Hamilton </text>
  </threadedComment>
  <threadedComment ref="J90" dT="2024-05-17T17:03:46.12" personId="{66762AE0-034C-4B67-8CEE-A965958FB536}" id="{3B66231C-1081-452D-8AFB-4F85182532E9}">
    <text>Kristen Cloutier</text>
  </threadedComment>
  <threadedComment ref="L90" dT="2024-07-16T16:36:28.01" personId="{66762AE0-034C-4B67-8CEE-A965958FB536}" id="{57A2428F-5178-4E1F-8EAD-814F99F38D2B}">
    <text xml:space="preserve">Peter Garcia </text>
  </threadedComment>
  <threadedComment ref="O90" dT="2024-10-18T17:59:06.54" personId="{66762AE0-034C-4B67-8CEE-A965958FB536}" id="{A65734BB-6EDE-4BD6-A8F5-CB6698CE6B03}">
    <text xml:space="preserve">David Smirles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0-11-06T16:05:27.39" personId="{797ED063-591F-473B-8F64-578C5CEC23AD}" id="{08475671-C2C3-4FF4-831E-95615DD892EF}">
    <text>Total number of children enrolled for Oct, just new children in all subsequent months.</text>
  </threadedComment>
  <threadedComment ref="A8" dT="2020-11-06T16:06:06.28" personId="{797ED063-591F-473B-8F64-578C5CEC23AD}" id="{4F7450E0-2FFA-4BED-909E-2B5CBB666300}">
    <text>Total number of children enrolled in Oct, just new children in all  subsequent months</text>
  </threadedComment>
  <threadedComment ref="E8" dT="2024-02-22T16:56:09.02" personId="{797ED063-591F-473B-8F64-578C5CEC23AD}" id="{720C508B-FD21-4051-BAEB-095DCF7714CC}">
    <text>Per note from N Hawkins 2/21/24</text>
  </threadedComment>
  <threadedComment ref="A20" dT="2020-11-06T16:09:58.54" personId="{797ED063-591F-473B-8F64-578C5CEC23AD}" id="{D9E9B18F-212B-49D3-AB56-0E91C2DB825C}">
    <text>Number of unduplicated children who received any service in October and then just new children in all subsequent quarters</text>
  </threadedComment>
  <threadedComment ref="C24" dT="2023-12-19T15:42:06.44" personId="{92ED08AC-9A16-48E1-8C12-6EB60D4B1C8C}" id="{0A882EDB-32EE-4855-9CC2-61D51DC39480}">
    <text xml:space="preserve">Total for claim 500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9" dT="2022-05-25T12:45:23.57" personId="{A2F2F594-A49B-4083-AA2E-0E44D7C97BB3}" id="{E400A347-2671-4812-ADAE-25190EC9434A}">
    <text>of all families how many completed an assessment during the reporting month</text>
  </threadedComment>
  <threadedComment ref="B10" dT="2022-05-25T12:46:55.34" personId="{A2F2F594-A49B-4083-AA2E-0E44D7C97BB3}" id="{927BDF0A-4D3D-4BD9-8133-ECA2C000C8EA}">
    <text>of all families how many completed a self-sufficiency matrix during the reporting month</text>
  </threadedComment>
  <threadedComment ref="B11" dT="2022-05-25T12:48:20.92" personId="{A2F2F594-A49B-4083-AA2E-0E44D7C97BB3}" id="{5204DF88-08B7-4A28-B113-65EA389943C4}">
    <text>of all families how many completed a family plan during the reporting month</text>
  </threadedComment>
  <threadedComment ref="B16" dT="2022-05-25T12:48:59.70" personId="{A2F2F594-A49B-4083-AA2E-0E44D7C97BB3}" id="{D153D90F-E97D-4CE0-8314-480439758376}">
    <text>of all families how many home visits and community meetings during the reporting month</text>
  </threadedComment>
  <threadedComment ref="B17" dT="2022-05-25T12:48:59.70" personId="{A2F2F594-A49B-4083-AA2E-0E44D7C97BB3}" id="{93CB63E8-EB29-4E5F-A38C-89D0CEDA44F7}">
    <text>of all families how many home visits and community meetings during the reporting month</text>
  </threadedComment>
  <threadedComment ref="B19" dT="2022-05-25T12:49:42.73" personId="{A2F2F594-A49B-4083-AA2E-0E44D7C97BB3}" id="{36018DE8-C3EE-4420-B5D1-CE117C68A428}">
    <text>of all families how many made measurable progress during the reporting month</text>
  </threadedComment>
  <threadedComment ref="K19" dT="2023-07-05T21:41:59.09" personId="{9797F4CB-E46A-472A-8FF2-E09D17A7FB1A}" id="{6A194FBC-25F5-4438-A303-1304337492A8}">
    <text>This is if they gained at least one point between last assessment and the one completed in June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8" dT="2024-01-02T14:27:09.31" personId="{66762AE0-034C-4B67-8CEE-A965958FB536}" id="{7118AEDC-4AF9-4240-9B2F-F788F8151E2E}">
    <text xml:space="preserve">This number is based on the last 12 months- a rolling period. </text>
  </threadedComment>
  <threadedComment ref="A9" dT="2024-01-02T14:37:29.47" personId="{66762AE0-034C-4B67-8CEE-A965958FB536}" id="{479CD1D7-7A06-4ECE-9C9C-A0795170088A}">
    <text xml:space="preserve">Just FB &amp; Instagram and ONLY CCI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5167-544B-43B6-8769-C8DC4A45B41D}">
  <dimension ref="A1:DW391"/>
  <sheetViews>
    <sheetView topLeftCell="C44" workbookViewId="0">
      <selection activeCell="P44" sqref="P1:P1048576"/>
    </sheetView>
  </sheetViews>
  <sheetFormatPr defaultRowHeight="15" x14ac:dyDescent="0.25"/>
  <cols>
    <col min="2" max="2" width="22.85546875" customWidth="1"/>
    <col min="3" max="3" width="84.140625" style="429" bestFit="1" customWidth="1"/>
    <col min="4" max="4" width="10.85546875" style="115" bestFit="1" customWidth="1"/>
    <col min="5" max="5" width="11.85546875" style="115" bestFit="1" customWidth="1"/>
    <col min="6" max="6" width="11.85546875" bestFit="1" customWidth="1"/>
    <col min="7" max="7" width="10.85546875" bestFit="1" customWidth="1"/>
    <col min="8" max="8" width="12.5703125" style="122" bestFit="1" customWidth="1"/>
    <col min="9" max="9" width="11.5703125" style="376" bestFit="1" customWidth="1"/>
    <col min="10" max="10" width="11.85546875" style="403" bestFit="1" customWidth="1"/>
    <col min="11" max="11" width="12.5703125" style="703" bestFit="1" customWidth="1"/>
    <col min="12" max="12" width="13.5703125" bestFit="1" customWidth="1"/>
    <col min="13" max="13" width="11.85546875" bestFit="1" customWidth="1"/>
    <col min="14" max="14" width="14.28515625" bestFit="1" customWidth="1"/>
    <col min="15" max="15" width="12.5703125" bestFit="1" customWidth="1"/>
    <col min="16" max="16" width="9.5703125" customWidth="1"/>
    <col min="17" max="17" width="9.28515625" customWidth="1"/>
    <col min="18" max="18" width="10.7109375" customWidth="1"/>
    <col min="19" max="19" width="14.85546875" customWidth="1"/>
  </cols>
  <sheetData>
    <row r="1" spans="1:18" ht="15.75" thickBot="1" x14ac:dyDescent="0.3">
      <c r="A1" s="819" t="s">
        <v>0</v>
      </c>
      <c r="B1" s="422"/>
      <c r="C1" s="764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375" t="s">
        <v>7</v>
      </c>
      <c r="J1" s="398" t="s">
        <v>8</v>
      </c>
      <c r="K1" s="6" t="s">
        <v>9</v>
      </c>
      <c r="L1" s="5" t="s">
        <v>10</v>
      </c>
      <c r="M1" s="4" t="s">
        <v>11</v>
      </c>
      <c r="N1" s="6" t="s">
        <v>12</v>
      </c>
      <c r="O1" s="5" t="s">
        <v>13</v>
      </c>
      <c r="P1" s="64" t="s">
        <v>14</v>
      </c>
      <c r="Q1" s="5" t="s">
        <v>15</v>
      </c>
    </row>
    <row r="2" spans="1:18" x14ac:dyDescent="0.25">
      <c r="A2" s="820"/>
      <c r="B2" s="822"/>
      <c r="C2" s="765" t="s">
        <v>16</v>
      </c>
      <c r="D2" s="443">
        <v>197</v>
      </c>
      <c r="E2" s="319">
        <v>9</v>
      </c>
      <c r="F2" s="319">
        <v>0</v>
      </c>
      <c r="G2" s="321">
        <v>0</v>
      </c>
      <c r="H2" s="320">
        <v>20</v>
      </c>
      <c r="I2" s="321">
        <v>19</v>
      </c>
      <c r="J2" s="320">
        <v>6</v>
      </c>
      <c r="K2" s="323">
        <v>0</v>
      </c>
      <c r="L2" s="322">
        <v>0</v>
      </c>
      <c r="M2" s="322">
        <v>0</v>
      </c>
      <c r="N2" s="323">
        <v>0</v>
      </c>
      <c r="O2" s="323">
        <v>0</v>
      </c>
      <c r="P2" s="656">
        <f>SUM(D2:O2)</f>
        <v>251</v>
      </c>
      <c r="Q2" s="74">
        <f>SUM(P2/266)</f>
        <v>0.94360902255639101</v>
      </c>
    </row>
    <row r="3" spans="1:18" x14ac:dyDescent="0.25">
      <c r="A3" s="820"/>
      <c r="B3" s="822"/>
      <c r="C3" s="766" t="s">
        <v>151</v>
      </c>
      <c r="D3" s="444">
        <v>0.89</v>
      </c>
      <c r="E3" s="273">
        <v>0.87</v>
      </c>
      <c r="F3" s="273">
        <v>0.84</v>
      </c>
      <c r="G3" s="206">
        <v>0.82</v>
      </c>
      <c r="H3" s="207">
        <v>0.85</v>
      </c>
      <c r="I3" s="207">
        <v>0.83</v>
      </c>
      <c r="J3" s="206">
        <v>0.84</v>
      </c>
      <c r="K3" s="209">
        <v>0.84</v>
      </c>
      <c r="L3" s="208">
        <v>0.89</v>
      </c>
      <c r="M3" s="208">
        <v>0.81</v>
      </c>
      <c r="N3" s="209">
        <v>0.77</v>
      </c>
      <c r="O3" s="209">
        <v>0.89</v>
      </c>
      <c r="P3" s="173">
        <f>AVERAGE(D3:O3)</f>
        <v>0.84499999999999986</v>
      </c>
      <c r="Q3" s="39"/>
    </row>
    <row r="4" spans="1:18" x14ac:dyDescent="0.25">
      <c r="A4" s="820"/>
      <c r="B4" s="822"/>
      <c r="C4" s="767" t="s">
        <v>17</v>
      </c>
      <c r="D4" s="282">
        <v>34</v>
      </c>
      <c r="E4" s="274">
        <v>36</v>
      </c>
      <c r="F4" s="274">
        <v>36</v>
      </c>
      <c r="G4" s="414">
        <v>39</v>
      </c>
      <c r="H4" s="351">
        <v>38</v>
      </c>
      <c r="I4" s="414">
        <v>26</v>
      </c>
      <c r="J4" s="389">
        <v>30</v>
      </c>
      <c r="K4" s="665">
        <v>39</v>
      </c>
      <c r="L4" s="720">
        <v>11</v>
      </c>
      <c r="M4" s="720">
        <v>5</v>
      </c>
      <c r="N4" s="665">
        <v>24</v>
      </c>
      <c r="O4" s="665">
        <v>30</v>
      </c>
      <c r="P4" s="135">
        <f t="shared" ref="P4:P5" si="0">AVERAGE(D4:O4)</f>
        <v>29</v>
      </c>
      <c r="Q4" s="77"/>
    </row>
    <row r="5" spans="1:18" x14ac:dyDescent="0.25">
      <c r="A5" s="820"/>
      <c r="B5" s="822"/>
      <c r="C5" s="767" t="s">
        <v>18</v>
      </c>
      <c r="D5" s="282">
        <v>42</v>
      </c>
      <c r="E5" s="274">
        <v>42</v>
      </c>
      <c r="F5" s="274">
        <v>42</v>
      </c>
      <c r="G5" s="414">
        <v>43</v>
      </c>
      <c r="H5" s="351">
        <v>43</v>
      </c>
      <c r="I5" s="414">
        <v>36</v>
      </c>
      <c r="J5" s="389">
        <v>35</v>
      </c>
      <c r="K5" s="665">
        <v>26</v>
      </c>
      <c r="L5" s="720">
        <v>13</v>
      </c>
      <c r="M5" s="720">
        <v>14</v>
      </c>
      <c r="N5" s="665">
        <v>43</v>
      </c>
      <c r="O5" s="665">
        <v>36</v>
      </c>
      <c r="P5" s="135">
        <f t="shared" si="0"/>
        <v>34.583333333333336</v>
      </c>
      <c r="Q5" s="77"/>
    </row>
    <row r="6" spans="1:18" ht="15.75" thickBot="1" x14ac:dyDescent="0.3">
      <c r="A6" s="820"/>
      <c r="B6" s="822"/>
      <c r="C6" s="768" t="s">
        <v>19</v>
      </c>
      <c r="D6" s="445">
        <v>0.76</v>
      </c>
      <c r="E6" s="275">
        <v>0.79</v>
      </c>
      <c r="F6" s="275">
        <v>0.79</v>
      </c>
      <c r="G6" s="212">
        <v>0.79</v>
      </c>
      <c r="H6" s="212">
        <v>0.87</v>
      </c>
      <c r="I6" s="212">
        <v>0.92</v>
      </c>
      <c r="J6" s="212">
        <v>0.91</v>
      </c>
      <c r="K6" s="666">
        <v>0.89</v>
      </c>
      <c r="L6" s="212">
        <v>0.15</v>
      </c>
      <c r="M6" s="212">
        <v>0.1</v>
      </c>
      <c r="N6" s="212">
        <v>0.08</v>
      </c>
      <c r="O6" s="212">
        <v>0.68</v>
      </c>
      <c r="P6" s="173">
        <f>AVERAGE(D6:O6)</f>
        <v>0.64416666666666667</v>
      </c>
      <c r="Q6" s="79">
        <f>SUM(P6/0.97)</f>
        <v>0.66408934707903777</v>
      </c>
    </row>
    <row r="7" spans="1:18" x14ac:dyDescent="0.25">
      <c r="A7" s="820"/>
      <c r="B7" s="822"/>
      <c r="C7" s="769" t="s">
        <v>20</v>
      </c>
      <c r="D7" s="443">
        <v>60</v>
      </c>
      <c r="E7" s="319">
        <v>5</v>
      </c>
      <c r="F7" s="319">
        <v>0</v>
      </c>
      <c r="G7" s="320">
        <v>0</v>
      </c>
      <c r="H7" s="320">
        <v>0</v>
      </c>
      <c r="I7" s="320">
        <v>23</v>
      </c>
      <c r="J7" s="320">
        <v>4</v>
      </c>
      <c r="K7" s="325">
        <v>2</v>
      </c>
      <c r="L7" s="324">
        <v>0</v>
      </c>
      <c r="M7" s="324">
        <v>0</v>
      </c>
      <c r="N7" s="325">
        <v>0</v>
      </c>
      <c r="O7" s="326">
        <v>0</v>
      </c>
      <c r="P7" s="135">
        <f>SUM(D7:O7)</f>
        <v>94</v>
      </c>
      <c r="Q7" s="74">
        <f>SUM(P7/148)</f>
        <v>0.63513513513513509</v>
      </c>
    </row>
    <row r="8" spans="1:18" x14ac:dyDescent="0.25">
      <c r="A8" s="820"/>
      <c r="B8" s="822"/>
      <c r="C8" s="766" t="s">
        <v>151</v>
      </c>
      <c r="D8" s="444">
        <v>0.89</v>
      </c>
      <c r="E8" s="273">
        <v>0.87</v>
      </c>
      <c r="F8" s="273">
        <v>0.78</v>
      </c>
      <c r="G8" s="213">
        <v>0.81</v>
      </c>
      <c r="H8" s="213">
        <v>0.86</v>
      </c>
      <c r="I8" s="213">
        <v>0.88</v>
      </c>
      <c r="J8" s="213">
        <v>0.81</v>
      </c>
      <c r="K8" s="214">
        <v>0.87</v>
      </c>
      <c r="L8" s="208">
        <v>0.84</v>
      </c>
      <c r="M8" s="208">
        <v>0.82</v>
      </c>
      <c r="N8" s="214">
        <v>0.82</v>
      </c>
      <c r="O8" s="261">
        <v>0.86</v>
      </c>
      <c r="P8" s="173">
        <f>AVERAGE(D8:O8)</f>
        <v>0.84249999999999992</v>
      </c>
      <c r="Q8" s="39"/>
    </row>
    <row r="9" spans="1:18" x14ac:dyDescent="0.25">
      <c r="A9" s="820"/>
      <c r="B9" s="822"/>
      <c r="C9" s="767" t="s">
        <v>21</v>
      </c>
      <c r="D9" s="282">
        <v>49</v>
      </c>
      <c r="E9" s="274">
        <v>51</v>
      </c>
      <c r="F9" s="274">
        <v>53</v>
      </c>
      <c r="G9" s="414">
        <v>52</v>
      </c>
      <c r="H9" s="351">
        <v>51</v>
      </c>
      <c r="I9" s="414">
        <v>31</v>
      </c>
      <c r="J9" s="389">
        <v>38</v>
      </c>
      <c r="K9" s="665">
        <v>41</v>
      </c>
      <c r="L9" s="720">
        <v>37</v>
      </c>
      <c r="M9" s="720">
        <v>39</v>
      </c>
      <c r="N9" s="665">
        <v>52</v>
      </c>
      <c r="O9" s="790">
        <v>41</v>
      </c>
      <c r="P9" s="135">
        <f t="shared" ref="P9:P12" si="1">AVERAGE(D9:O9)</f>
        <v>44.583333333333336</v>
      </c>
      <c r="Q9" s="39"/>
    </row>
    <row r="10" spans="1:18" x14ac:dyDescent="0.25">
      <c r="A10" s="820"/>
      <c r="B10" s="822"/>
      <c r="C10" s="767" t="s">
        <v>22</v>
      </c>
      <c r="D10" s="282">
        <v>32</v>
      </c>
      <c r="E10" s="276">
        <v>37</v>
      </c>
      <c r="F10" s="274">
        <v>36</v>
      </c>
      <c r="G10" s="414">
        <v>35</v>
      </c>
      <c r="H10" s="351">
        <v>32</v>
      </c>
      <c r="I10" s="414">
        <v>31</v>
      </c>
      <c r="J10" s="389">
        <v>32</v>
      </c>
      <c r="K10" s="665">
        <v>32</v>
      </c>
      <c r="L10" s="720">
        <v>32</v>
      </c>
      <c r="M10" s="720">
        <v>32</v>
      </c>
      <c r="N10" s="665">
        <v>51</v>
      </c>
      <c r="O10" s="790">
        <v>52</v>
      </c>
      <c r="P10" s="135">
        <f t="shared" si="1"/>
        <v>36.166666666666664</v>
      </c>
      <c r="Q10" s="39"/>
    </row>
    <row r="11" spans="1:18" x14ac:dyDescent="0.25">
      <c r="A11" s="820"/>
      <c r="B11" s="822"/>
      <c r="C11" s="766" t="s">
        <v>23</v>
      </c>
      <c r="D11" s="281">
        <v>37</v>
      </c>
      <c r="E11" s="277">
        <v>39</v>
      </c>
      <c r="F11" s="277">
        <v>40</v>
      </c>
      <c r="G11" s="414">
        <v>38</v>
      </c>
      <c r="H11" s="414">
        <v>39</v>
      </c>
      <c r="I11" s="414">
        <v>40</v>
      </c>
      <c r="J11" s="414">
        <v>39</v>
      </c>
      <c r="K11" s="211">
        <v>48</v>
      </c>
      <c r="L11" s="210">
        <v>45</v>
      </c>
      <c r="M11" s="210">
        <v>46</v>
      </c>
      <c r="N11" s="211">
        <v>45</v>
      </c>
      <c r="O11" s="262">
        <v>40</v>
      </c>
      <c r="P11" s="135">
        <f t="shared" si="1"/>
        <v>41.333333333333336</v>
      </c>
      <c r="Q11" s="39">
        <f>SUM(P11/40)</f>
        <v>1.0333333333333334</v>
      </c>
    </row>
    <row r="12" spans="1:18" ht="15.75" thickBot="1" x14ac:dyDescent="0.3">
      <c r="A12" s="820"/>
      <c r="B12" s="822"/>
      <c r="C12" s="768" t="s">
        <v>19</v>
      </c>
      <c r="D12" s="445">
        <v>0.41</v>
      </c>
      <c r="E12" s="278">
        <v>0.44</v>
      </c>
      <c r="F12" s="275">
        <v>0.44</v>
      </c>
      <c r="G12" s="212">
        <v>0.44</v>
      </c>
      <c r="H12" s="212">
        <v>0.44</v>
      </c>
      <c r="I12" s="212">
        <v>0.85</v>
      </c>
      <c r="J12" s="212">
        <v>0.81</v>
      </c>
      <c r="K12" s="666">
        <v>0.86</v>
      </c>
      <c r="L12" s="212">
        <v>0.8</v>
      </c>
      <c r="M12" s="212">
        <v>0.88</v>
      </c>
      <c r="N12" s="212">
        <v>0.8</v>
      </c>
      <c r="O12" s="263">
        <v>0.71</v>
      </c>
      <c r="P12" s="224">
        <f t="shared" si="1"/>
        <v>0.65666666666666662</v>
      </c>
      <c r="Q12" s="107">
        <f>SUM(P12/0.97)</f>
        <v>0.67697594501718206</v>
      </c>
    </row>
    <row r="13" spans="1:18" x14ac:dyDescent="0.25">
      <c r="A13" s="820"/>
      <c r="B13" s="822"/>
      <c r="C13" s="770" t="s">
        <v>153</v>
      </c>
      <c r="D13" s="279">
        <v>70</v>
      </c>
      <c r="E13" s="280">
        <v>1</v>
      </c>
      <c r="F13" s="333">
        <v>0</v>
      </c>
      <c r="G13" s="334">
        <v>0</v>
      </c>
      <c r="H13" s="352">
        <v>0</v>
      </c>
      <c r="I13" s="334">
        <v>0</v>
      </c>
      <c r="J13" s="334">
        <v>0</v>
      </c>
      <c r="K13" s="793">
        <v>0</v>
      </c>
      <c r="L13" s="334">
        <v>0</v>
      </c>
      <c r="M13" s="334">
        <v>0</v>
      </c>
      <c r="N13" s="334">
        <v>0</v>
      </c>
      <c r="O13" s="794">
        <v>0</v>
      </c>
      <c r="P13" s="795">
        <f>SUM(D13:O13)</f>
        <v>71</v>
      </c>
      <c r="Q13" s="107">
        <f>SUM(P13/88)</f>
        <v>0.80681818181818177</v>
      </c>
    </row>
    <row r="14" spans="1:18" x14ac:dyDescent="0.25">
      <c r="A14" s="820"/>
      <c r="B14" s="822"/>
      <c r="C14" s="771" t="s">
        <v>149</v>
      </c>
      <c r="D14" s="281">
        <v>27</v>
      </c>
      <c r="E14" s="277">
        <v>27</v>
      </c>
      <c r="F14" s="277">
        <v>27</v>
      </c>
      <c r="G14" s="414">
        <v>27</v>
      </c>
      <c r="H14" s="414">
        <v>27</v>
      </c>
      <c r="I14" s="414">
        <v>27</v>
      </c>
      <c r="J14" s="414">
        <v>27</v>
      </c>
      <c r="K14" s="211">
        <v>27</v>
      </c>
      <c r="L14" s="210">
        <v>27</v>
      </c>
      <c r="M14" s="210">
        <v>27</v>
      </c>
      <c r="N14" s="211">
        <v>27</v>
      </c>
      <c r="O14" s="262">
        <v>26</v>
      </c>
      <c r="P14" s="264">
        <f>AVERAGE(D14:O14)</f>
        <v>26.916666666666668</v>
      </c>
      <c r="Q14" s="39">
        <f>SUM(P14/25)</f>
        <v>1.0766666666666667</v>
      </c>
    </row>
    <row r="15" spans="1:18" x14ac:dyDescent="0.25">
      <c r="A15" s="820"/>
      <c r="B15" s="822"/>
      <c r="C15" s="771" t="s">
        <v>24</v>
      </c>
      <c r="D15" s="281">
        <v>7</v>
      </c>
      <c r="E15" s="277">
        <v>7</v>
      </c>
      <c r="F15" s="277">
        <v>7</v>
      </c>
      <c r="G15" s="414">
        <v>7</v>
      </c>
      <c r="H15" s="414">
        <v>7</v>
      </c>
      <c r="I15" s="414">
        <v>7</v>
      </c>
      <c r="J15" s="414">
        <v>7</v>
      </c>
      <c r="K15" s="211">
        <v>7</v>
      </c>
      <c r="L15" s="210">
        <v>7</v>
      </c>
      <c r="M15" s="210">
        <v>7</v>
      </c>
      <c r="N15" s="211">
        <v>7</v>
      </c>
      <c r="O15" s="262">
        <v>7</v>
      </c>
      <c r="P15" s="84">
        <f>AVERAGE(D15:O15)</f>
        <v>7</v>
      </c>
      <c r="Q15" s="39">
        <f>SUM(P15/7)</f>
        <v>1</v>
      </c>
    </row>
    <row r="16" spans="1:18" x14ac:dyDescent="0.25">
      <c r="A16" s="820"/>
      <c r="B16" s="822"/>
      <c r="C16" s="771" t="s">
        <v>25</v>
      </c>
      <c r="D16" s="281">
        <v>13</v>
      </c>
      <c r="E16" s="277">
        <v>0</v>
      </c>
      <c r="F16" s="277">
        <v>0</v>
      </c>
      <c r="G16" s="414">
        <v>2</v>
      </c>
      <c r="H16" s="414">
        <v>0</v>
      </c>
      <c r="I16" s="414">
        <v>3</v>
      </c>
      <c r="J16" s="414">
        <v>1</v>
      </c>
      <c r="K16" s="211">
        <v>0</v>
      </c>
      <c r="L16" s="210">
        <v>0</v>
      </c>
      <c r="M16" s="210">
        <v>0</v>
      </c>
      <c r="N16" s="211">
        <v>18</v>
      </c>
      <c r="O16" s="262">
        <v>12</v>
      </c>
      <c r="P16" s="135">
        <f>AVERAGE(D16:O16)</f>
        <v>4.083333333333333</v>
      </c>
      <c r="Q16" s="39">
        <f>SUM(P16/17)</f>
        <v>0.24019607843137253</v>
      </c>
      <c r="R16" s="163"/>
    </row>
    <row r="17" spans="1:18" x14ac:dyDescent="0.25">
      <c r="A17" s="820"/>
      <c r="B17" s="822"/>
      <c r="C17" s="771" t="s">
        <v>26</v>
      </c>
      <c r="D17" s="282">
        <v>35</v>
      </c>
      <c r="E17" s="274">
        <v>28</v>
      </c>
      <c r="F17" s="274">
        <v>22</v>
      </c>
      <c r="G17" s="414">
        <v>50</v>
      </c>
      <c r="H17" s="351">
        <v>33</v>
      </c>
      <c r="I17" s="414">
        <v>75</v>
      </c>
      <c r="J17" s="389">
        <v>78</v>
      </c>
      <c r="K17" s="665">
        <v>79</v>
      </c>
      <c r="L17" s="720">
        <v>52</v>
      </c>
      <c r="M17" s="720">
        <v>67</v>
      </c>
      <c r="N17" s="665">
        <v>66</v>
      </c>
      <c r="O17" s="790">
        <v>37</v>
      </c>
      <c r="P17" s="85">
        <f>SUM(D17:O17)</f>
        <v>622</v>
      </c>
      <c r="Q17" s="141"/>
    </row>
    <row r="18" spans="1:18" x14ac:dyDescent="0.25">
      <c r="A18" s="820"/>
      <c r="B18" s="822"/>
      <c r="C18" s="771" t="s">
        <v>27</v>
      </c>
      <c r="D18" s="283">
        <v>0.8</v>
      </c>
      <c r="E18" s="284">
        <v>0.62</v>
      </c>
      <c r="F18" s="284">
        <v>0.41</v>
      </c>
      <c r="G18" s="213">
        <v>0.77</v>
      </c>
      <c r="H18" s="353">
        <v>0.83</v>
      </c>
      <c r="I18" s="213">
        <v>0.73</v>
      </c>
      <c r="J18" s="390">
        <v>0.6</v>
      </c>
      <c r="K18" s="668">
        <v>0.75</v>
      </c>
      <c r="L18" s="721">
        <v>0.63</v>
      </c>
      <c r="M18" s="721">
        <v>0.72</v>
      </c>
      <c r="N18" s="785">
        <v>0.64</v>
      </c>
      <c r="O18" s="791">
        <v>0.65</v>
      </c>
      <c r="P18" s="86">
        <f>AVERAGE(D18:O18)</f>
        <v>0.67916666666666659</v>
      </c>
      <c r="Q18" s="141"/>
    </row>
    <row r="19" spans="1:18" x14ac:dyDescent="0.25">
      <c r="A19" s="820"/>
      <c r="B19" s="822"/>
      <c r="C19" s="772" t="s">
        <v>29</v>
      </c>
      <c r="D19" s="327">
        <v>327</v>
      </c>
      <c r="E19" s="328">
        <v>12</v>
      </c>
      <c r="F19" s="328">
        <v>2</v>
      </c>
      <c r="G19" s="329">
        <v>5</v>
      </c>
      <c r="H19" s="329">
        <v>18</v>
      </c>
      <c r="I19" s="329">
        <v>85</v>
      </c>
      <c r="J19" s="329">
        <v>3</v>
      </c>
      <c r="K19" s="331">
        <v>73</v>
      </c>
      <c r="L19" s="330">
        <v>0</v>
      </c>
      <c r="M19" s="330">
        <v>0</v>
      </c>
      <c r="N19" s="331">
        <v>0</v>
      </c>
      <c r="O19" s="332">
        <v>0</v>
      </c>
      <c r="P19" s="88">
        <f t="shared" ref="P19:P24" si="2">SUM(D19:O19)</f>
        <v>525</v>
      </c>
      <c r="Q19" s="141"/>
    </row>
    <row r="20" spans="1:18" x14ac:dyDescent="0.25">
      <c r="A20" s="820"/>
      <c r="B20" s="822"/>
      <c r="C20" s="773" t="s">
        <v>30</v>
      </c>
      <c r="D20" s="287">
        <v>0</v>
      </c>
      <c r="E20" s="288">
        <v>0</v>
      </c>
      <c r="F20" s="288">
        <v>0</v>
      </c>
      <c r="G20" s="215">
        <v>0</v>
      </c>
      <c r="H20" s="215">
        <v>0</v>
      </c>
      <c r="I20" s="215">
        <v>0</v>
      </c>
      <c r="J20" s="215">
        <v>0</v>
      </c>
      <c r="K20" s="217">
        <v>0</v>
      </c>
      <c r="L20" s="216">
        <v>0</v>
      </c>
      <c r="M20" s="216">
        <v>0</v>
      </c>
      <c r="N20" s="217">
        <v>0</v>
      </c>
      <c r="O20" s="266">
        <v>0</v>
      </c>
      <c r="P20" s="88">
        <f t="shared" si="2"/>
        <v>0</v>
      </c>
      <c r="Q20" s="141"/>
    </row>
    <row r="21" spans="1:18" x14ac:dyDescent="0.25">
      <c r="A21" s="820"/>
      <c r="B21" s="822"/>
      <c r="C21" s="771" t="s">
        <v>150</v>
      </c>
      <c r="D21" s="285">
        <v>23</v>
      </c>
      <c r="E21" s="286">
        <v>24</v>
      </c>
      <c r="F21" s="286">
        <v>24</v>
      </c>
      <c r="G21" s="215">
        <v>24</v>
      </c>
      <c r="H21" s="354">
        <v>29</v>
      </c>
      <c r="I21" s="215">
        <v>41</v>
      </c>
      <c r="J21" s="391">
        <v>48</v>
      </c>
      <c r="K21" s="669">
        <v>45</v>
      </c>
      <c r="L21" s="722">
        <v>51</v>
      </c>
      <c r="M21" s="722">
        <v>43</v>
      </c>
      <c r="N21" s="669">
        <v>37</v>
      </c>
      <c r="O21" s="792">
        <v>36</v>
      </c>
      <c r="P21" s="88">
        <f t="shared" si="2"/>
        <v>425</v>
      </c>
      <c r="Q21" s="141"/>
    </row>
    <row r="22" spans="1:18" x14ac:dyDescent="0.25">
      <c r="A22" s="820"/>
      <c r="B22" s="822"/>
      <c r="C22" s="774" t="s">
        <v>35</v>
      </c>
      <c r="D22" s="287">
        <v>0</v>
      </c>
      <c r="E22" s="288">
        <v>317</v>
      </c>
      <c r="F22" s="288">
        <v>8</v>
      </c>
      <c r="G22" s="215">
        <v>9</v>
      </c>
      <c r="H22" s="215">
        <v>13</v>
      </c>
      <c r="I22" s="215">
        <v>30</v>
      </c>
      <c r="J22" s="215">
        <v>1</v>
      </c>
      <c r="K22" s="217">
        <v>5</v>
      </c>
      <c r="L22" s="216">
        <v>2</v>
      </c>
      <c r="M22" s="216">
        <v>7</v>
      </c>
      <c r="N22" s="219">
        <v>1</v>
      </c>
      <c r="O22" s="218">
        <v>0</v>
      </c>
      <c r="P22" s="85">
        <f t="shared" si="2"/>
        <v>393</v>
      </c>
      <c r="Q22" s="141"/>
    </row>
    <row r="23" spans="1:18" x14ac:dyDescent="0.25">
      <c r="A23" s="820"/>
      <c r="B23" s="822"/>
      <c r="C23" s="775" t="s">
        <v>152</v>
      </c>
      <c r="D23" s="281">
        <v>487</v>
      </c>
      <c r="E23" s="288">
        <v>13</v>
      </c>
      <c r="F23" s="288">
        <v>0</v>
      </c>
      <c r="G23" s="220">
        <v>0</v>
      </c>
      <c r="H23" s="220">
        <v>36</v>
      </c>
      <c r="I23" s="220">
        <v>0</v>
      </c>
      <c r="J23" s="220">
        <v>0</v>
      </c>
      <c r="K23" s="222">
        <v>31</v>
      </c>
      <c r="L23" s="221">
        <v>0</v>
      </c>
      <c r="M23" s="221">
        <v>0</v>
      </c>
      <c r="N23" s="222">
        <v>0</v>
      </c>
      <c r="O23" s="223">
        <v>0</v>
      </c>
      <c r="P23" s="89">
        <f t="shared" si="2"/>
        <v>567</v>
      </c>
      <c r="Q23" s="141"/>
    </row>
    <row r="24" spans="1:18" ht="15.75" thickBot="1" x14ac:dyDescent="0.3">
      <c r="A24" s="821"/>
      <c r="B24" s="823"/>
      <c r="C24" s="776" t="s">
        <v>154</v>
      </c>
      <c r="D24" s="657">
        <v>1002</v>
      </c>
      <c r="E24" s="658">
        <v>2500</v>
      </c>
      <c r="F24" s="658">
        <v>2888</v>
      </c>
      <c r="G24" s="659">
        <v>859</v>
      </c>
      <c r="H24" s="660">
        <v>436</v>
      </c>
      <c r="I24" s="660">
        <v>1522</v>
      </c>
      <c r="J24" s="660">
        <v>2018</v>
      </c>
      <c r="K24" s="662">
        <v>769</v>
      </c>
      <c r="L24" s="661">
        <v>774</v>
      </c>
      <c r="M24" s="661">
        <v>480</v>
      </c>
      <c r="N24" s="662">
        <v>204</v>
      </c>
      <c r="O24" s="663">
        <v>654</v>
      </c>
      <c r="P24" s="90">
        <f t="shared" si="2"/>
        <v>14106</v>
      </c>
      <c r="Q24" s="664"/>
    </row>
    <row r="25" spans="1:18" x14ac:dyDescent="0.25">
      <c r="A25" s="819" t="s">
        <v>107</v>
      </c>
      <c r="B25" s="824"/>
      <c r="C25" s="648" t="s">
        <v>170</v>
      </c>
      <c r="D25" s="649">
        <v>4</v>
      </c>
      <c r="E25" s="649">
        <v>7</v>
      </c>
      <c r="F25" s="650">
        <v>7</v>
      </c>
      <c r="G25" s="651">
        <v>6</v>
      </c>
      <c r="H25" s="651">
        <v>9</v>
      </c>
      <c r="I25" s="651">
        <v>18</v>
      </c>
      <c r="J25" s="651">
        <v>9</v>
      </c>
      <c r="K25" s="652">
        <v>9</v>
      </c>
      <c r="L25" s="651">
        <v>6</v>
      </c>
      <c r="M25" s="651">
        <v>14</v>
      </c>
      <c r="N25" s="652">
        <v>12</v>
      </c>
      <c r="O25" s="653">
        <v>7</v>
      </c>
      <c r="P25" s="654">
        <f t="shared" ref="P25:P46" si="3">SUM(D25:O25)</f>
        <v>108</v>
      </c>
      <c r="Q25" s="655">
        <f>SUM(P25/65)</f>
        <v>1.6615384615384616</v>
      </c>
    </row>
    <row r="26" spans="1:18" x14ac:dyDescent="0.25">
      <c r="A26" s="820"/>
      <c r="B26" s="825"/>
      <c r="C26" s="451" t="s">
        <v>171</v>
      </c>
      <c r="D26" s="271">
        <v>4</v>
      </c>
      <c r="E26" s="271">
        <v>6</v>
      </c>
      <c r="F26" s="307">
        <v>8</v>
      </c>
      <c r="G26" s="24">
        <v>7</v>
      </c>
      <c r="H26" s="24">
        <v>7</v>
      </c>
      <c r="I26" s="24">
        <v>18</v>
      </c>
      <c r="J26" s="24">
        <v>5</v>
      </c>
      <c r="K26" s="25">
        <v>6</v>
      </c>
      <c r="L26" s="24">
        <v>5</v>
      </c>
      <c r="M26" s="24">
        <v>5</v>
      </c>
      <c r="N26" s="25">
        <v>0</v>
      </c>
      <c r="O26" s="425">
        <v>0</v>
      </c>
      <c r="P26" s="426">
        <f t="shared" si="3"/>
        <v>71</v>
      </c>
      <c r="Q26" s="71">
        <f>SUM(P26/65)</f>
        <v>1.0923076923076922</v>
      </c>
    </row>
    <row r="27" spans="1:18" x14ac:dyDescent="0.25">
      <c r="A27" s="820"/>
      <c r="B27" s="825"/>
      <c r="C27" s="451" t="s">
        <v>172</v>
      </c>
      <c r="D27" s="271">
        <v>11</v>
      </c>
      <c r="E27" s="271">
        <v>12</v>
      </c>
      <c r="F27" s="307">
        <v>32</v>
      </c>
      <c r="G27" s="24">
        <v>26</v>
      </c>
      <c r="H27" s="24">
        <v>34</v>
      </c>
      <c r="I27" s="24">
        <v>24</v>
      </c>
      <c r="J27" s="24">
        <v>21</v>
      </c>
      <c r="K27" s="25">
        <v>15</v>
      </c>
      <c r="L27" s="24">
        <v>13</v>
      </c>
      <c r="M27" s="24">
        <v>4</v>
      </c>
      <c r="N27" s="25">
        <v>0</v>
      </c>
      <c r="O27" s="425">
        <v>3</v>
      </c>
      <c r="P27" s="426">
        <f t="shared" si="3"/>
        <v>195</v>
      </c>
      <c r="Q27" s="71">
        <f>SUM(P27/200)</f>
        <v>0.97499999999999998</v>
      </c>
      <c r="R27" s="163"/>
    </row>
    <row r="28" spans="1:18" s="171" customFormat="1" x14ac:dyDescent="0.25">
      <c r="A28" s="820"/>
      <c r="B28" s="825"/>
      <c r="C28" s="452" t="s">
        <v>201</v>
      </c>
      <c r="D28" s="271"/>
      <c r="E28" s="271"/>
      <c r="F28" s="307"/>
      <c r="G28" s="24"/>
      <c r="H28" s="24"/>
      <c r="I28" s="24"/>
      <c r="J28" s="24"/>
      <c r="K28" s="480">
        <v>85</v>
      </c>
      <c r="L28" s="479">
        <v>136</v>
      </c>
      <c r="M28" s="479">
        <v>149</v>
      </c>
      <c r="N28" s="480">
        <v>170</v>
      </c>
      <c r="O28" s="479">
        <v>186</v>
      </c>
      <c r="P28" s="481"/>
      <c r="Q28" s="482"/>
      <c r="R28" s="483"/>
    </row>
    <row r="29" spans="1:18" x14ac:dyDescent="0.25">
      <c r="A29" s="820"/>
      <c r="B29" s="825"/>
      <c r="C29" s="451" t="s">
        <v>173</v>
      </c>
      <c r="D29" s="271">
        <v>1</v>
      </c>
      <c r="E29" s="271">
        <v>1</v>
      </c>
      <c r="F29" s="308">
        <v>6</v>
      </c>
      <c r="G29" s="24">
        <v>0</v>
      </c>
      <c r="H29" s="24">
        <v>3</v>
      </c>
      <c r="I29" s="24">
        <v>0</v>
      </c>
      <c r="J29" s="24">
        <v>6</v>
      </c>
      <c r="K29" s="25">
        <v>10</v>
      </c>
      <c r="L29" s="24">
        <v>4</v>
      </c>
      <c r="M29" s="24">
        <v>3</v>
      </c>
      <c r="N29" s="25">
        <v>0</v>
      </c>
      <c r="O29" s="427">
        <v>2</v>
      </c>
      <c r="P29" s="426">
        <f t="shared" si="3"/>
        <v>36</v>
      </c>
      <c r="Q29" s="71">
        <f>SUM(P29/20)</f>
        <v>1.8</v>
      </c>
    </row>
    <row r="30" spans="1:18" x14ac:dyDescent="0.25">
      <c r="A30" s="820"/>
      <c r="B30" s="825"/>
      <c r="C30" s="451" t="s">
        <v>174</v>
      </c>
      <c r="D30" s="271">
        <v>26</v>
      </c>
      <c r="E30" s="150">
        <v>26</v>
      </c>
      <c r="F30" s="308">
        <v>16</v>
      </c>
      <c r="G30" s="24">
        <v>18</v>
      </c>
      <c r="H30" s="24">
        <v>25</v>
      </c>
      <c r="I30" s="24">
        <v>37</v>
      </c>
      <c r="J30" s="24">
        <v>25</v>
      </c>
      <c r="K30" s="25">
        <v>2</v>
      </c>
      <c r="L30" s="24">
        <v>0</v>
      </c>
      <c r="M30" s="24">
        <v>11</v>
      </c>
      <c r="N30" s="25">
        <v>0</v>
      </c>
      <c r="O30" s="427">
        <v>0</v>
      </c>
      <c r="P30" s="426">
        <f t="shared" si="3"/>
        <v>186</v>
      </c>
      <c r="Q30" s="71">
        <f>SUM(P30/100)</f>
        <v>1.86</v>
      </c>
      <c r="R30" s="163"/>
    </row>
    <row r="31" spans="1:18" s="171" customFormat="1" x14ac:dyDescent="0.25">
      <c r="A31" s="820"/>
      <c r="B31" s="825"/>
      <c r="C31" s="452" t="s">
        <v>202</v>
      </c>
      <c r="D31" s="271"/>
      <c r="E31" s="150"/>
      <c r="F31" s="308"/>
      <c r="G31" s="24"/>
      <c r="H31" s="24"/>
      <c r="I31" s="24"/>
      <c r="J31" s="24"/>
      <c r="K31" s="480">
        <v>80</v>
      </c>
      <c r="L31" s="479">
        <v>44</v>
      </c>
      <c r="M31" s="479">
        <v>55</v>
      </c>
      <c r="N31" s="480">
        <v>68</v>
      </c>
      <c r="O31" s="479">
        <v>79</v>
      </c>
      <c r="P31" s="481"/>
      <c r="Q31" s="482"/>
    </row>
    <row r="32" spans="1:18" x14ac:dyDescent="0.25">
      <c r="A32" s="820"/>
      <c r="B32" s="825"/>
      <c r="C32" s="451" t="s">
        <v>175</v>
      </c>
      <c r="D32" s="271">
        <v>3</v>
      </c>
      <c r="E32" s="271">
        <v>4</v>
      </c>
      <c r="F32" s="307">
        <v>7</v>
      </c>
      <c r="G32" s="24">
        <v>2</v>
      </c>
      <c r="H32" s="24">
        <v>0</v>
      </c>
      <c r="I32" s="24">
        <v>2</v>
      </c>
      <c r="J32" s="24">
        <v>3</v>
      </c>
      <c r="K32" s="25">
        <v>7</v>
      </c>
      <c r="L32" s="24">
        <v>1</v>
      </c>
      <c r="M32" s="24">
        <v>2</v>
      </c>
      <c r="N32" s="25">
        <v>7</v>
      </c>
      <c r="O32" s="427">
        <v>1</v>
      </c>
      <c r="P32" s="426">
        <f t="shared" si="3"/>
        <v>39</v>
      </c>
      <c r="Q32" s="71">
        <f>SUM(P32/80)</f>
        <v>0.48749999999999999</v>
      </c>
    </row>
    <row r="33" spans="1:17" s="171" customFormat="1" x14ac:dyDescent="0.25">
      <c r="A33" s="820"/>
      <c r="B33" s="825"/>
      <c r="C33" s="452" t="s">
        <v>203</v>
      </c>
      <c r="D33" s="271"/>
      <c r="E33" s="271"/>
      <c r="F33" s="307"/>
      <c r="G33" s="24"/>
      <c r="H33" s="24"/>
      <c r="I33" s="24"/>
      <c r="J33" s="24"/>
      <c r="K33" s="480">
        <v>448</v>
      </c>
      <c r="L33" s="479">
        <v>490</v>
      </c>
      <c r="M33" s="479">
        <v>497</v>
      </c>
      <c r="N33" s="480">
        <v>523</v>
      </c>
      <c r="O33" s="479">
        <v>554</v>
      </c>
      <c r="P33" s="481"/>
      <c r="Q33" s="482"/>
    </row>
    <row r="34" spans="1:17" x14ac:dyDescent="0.25">
      <c r="A34" s="820"/>
      <c r="B34" s="825"/>
      <c r="C34" s="451" t="s">
        <v>40</v>
      </c>
      <c r="D34" s="271">
        <v>0</v>
      </c>
      <c r="E34" s="150">
        <v>1</v>
      </c>
      <c r="F34" s="308">
        <v>0</v>
      </c>
      <c r="G34" s="24">
        <v>0</v>
      </c>
      <c r="H34" s="24">
        <v>0</v>
      </c>
      <c r="I34" s="24">
        <v>0</v>
      </c>
      <c r="J34" s="24">
        <v>0</v>
      </c>
      <c r="K34" s="25">
        <v>0</v>
      </c>
      <c r="L34" s="24">
        <v>0</v>
      </c>
      <c r="M34" s="24">
        <v>1</v>
      </c>
      <c r="N34" s="25">
        <v>0</v>
      </c>
      <c r="O34" s="427">
        <v>0</v>
      </c>
      <c r="P34" s="426">
        <f t="shared" si="3"/>
        <v>2</v>
      </c>
      <c r="Q34" s="71">
        <f>SUM(P34/20)</f>
        <v>0.1</v>
      </c>
    </row>
    <row r="35" spans="1:17" x14ac:dyDescent="0.25">
      <c r="A35" s="820"/>
      <c r="B35" s="825"/>
      <c r="C35" s="451" t="s">
        <v>41</v>
      </c>
      <c r="D35" s="271">
        <v>0</v>
      </c>
      <c r="E35" s="150">
        <v>0</v>
      </c>
      <c r="F35" s="308">
        <v>0</v>
      </c>
      <c r="G35" s="24">
        <v>6</v>
      </c>
      <c r="H35" s="24">
        <v>0</v>
      </c>
      <c r="I35" s="24">
        <v>0</v>
      </c>
      <c r="J35" s="24">
        <v>0</v>
      </c>
      <c r="K35" s="25">
        <v>0</v>
      </c>
      <c r="L35" s="24">
        <v>0</v>
      </c>
      <c r="M35" s="24">
        <v>0</v>
      </c>
      <c r="N35" s="25">
        <v>0</v>
      </c>
      <c r="O35" s="427">
        <v>0</v>
      </c>
      <c r="P35" s="426">
        <f t="shared" si="3"/>
        <v>6</v>
      </c>
      <c r="Q35" s="71"/>
    </row>
    <row r="36" spans="1:17" x14ac:dyDescent="0.25">
      <c r="A36" s="820"/>
      <c r="B36" s="825"/>
      <c r="C36" s="453" t="s">
        <v>176</v>
      </c>
      <c r="D36" s="271">
        <v>0</v>
      </c>
      <c r="E36" s="150">
        <v>0</v>
      </c>
      <c r="F36" s="308">
        <v>0</v>
      </c>
      <c r="G36" s="24">
        <v>0</v>
      </c>
      <c r="H36" s="24">
        <v>0</v>
      </c>
      <c r="I36" s="24">
        <v>0</v>
      </c>
      <c r="J36" s="24">
        <v>0</v>
      </c>
      <c r="K36" s="25">
        <v>0</v>
      </c>
      <c r="L36" s="24">
        <v>0</v>
      </c>
      <c r="M36" s="24">
        <v>0</v>
      </c>
      <c r="N36" s="25">
        <v>0</v>
      </c>
      <c r="O36" s="427">
        <v>0</v>
      </c>
      <c r="P36" s="428">
        <f t="shared" si="3"/>
        <v>0</v>
      </c>
      <c r="Q36" s="71">
        <f>SUM(P36/4)</f>
        <v>0</v>
      </c>
    </row>
    <row r="37" spans="1:17" x14ac:dyDescent="0.25">
      <c r="A37" s="820"/>
      <c r="B37" s="825"/>
      <c r="C37" s="451" t="s">
        <v>55</v>
      </c>
      <c r="D37" s="271">
        <v>2</v>
      </c>
      <c r="E37" s="150">
        <v>0</v>
      </c>
      <c r="F37" s="308">
        <v>0</v>
      </c>
      <c r="G37" s="24">
        <v>0</v>
      </c>
      <c r="H37" s="24">
        <v>2</v>
      </c>
      <c r="I37" s="24">
        <v>1</v>
      </c>
      <c r="J37" s="24">
        <v>1</v>
      </c>
      <c r="K37" s="25">
        <v>0</v>
      </c>
      <c r="L37" s="24">
        <v>0</v>
      </c>
      <c r="M37" s="24">
        <v>0</v>
      </c>
      <c r="N37" s="25">
        <v>3</v>
      </c>
      <c r="O37" s="427">
        <v>0</v>
      </c>
      <c r="P37" s="428">
        <f t="shared" si="3"/>
        <v>9</v>
      </c>
      <c r="Q37" s="71">
        <f>SUM(P37/9)</f>
        <v>1</v>
      </c>
    </row>
    <row r="38" spans="1:17" x14ac:dyDescent="0.25">
      <c r="A38" s="820"/>
      <c r="B38" s="825"/>
      <c r="C38" s="451" t="s">
        <v>177</v>
      </c>
      <c r="D38" s="271">
        <v>0</v>
      </c>
      <c r="E38" s="150">
        <v>0</v>
      </c>
      <c r="F38" s="308">
        <v>3</v>
      </c>
      <c r="G38" s="24">
        <v>0</v>
      </c>
      <c r="H38" s="24">
        <v>2</v>
      </c>
      <c r="I38" s="24">
        <v>3</v>
      </c>
      <c r="J38" s="24">
        <v>0</v>
      </c>
      <c r="K38" s="25">
        <v>0</v>
      </c>
      <c r="L38" s="24">
        <v>0</v>
      </c>
      <c r="M38" s="24">
        <v>0</v>
      </c>
      <c r="N38" s="25">
        <v>0</v>
      </c>
      <c r="O38" s="427">
        <v>0</v>
      </c>
      <c r="P38" s="428">
        <f t="shared" si="3"/>
        <v>8</v>
      </c>
      <c r="Q38" s="71">
        <f>SUM(P38/75)</f>
        <v>0.10666666666666667</v>
      </c>
    </row>
    <row r="39" spans="1:17" x14ac:dyDescent="0.25">
      <c r="A39" s="820"/>
      <c r="B39" s="825"/>
      <c r="C39" s="451" t="s">
        <v>49</v>
      </c>
      <c r="D39" s="271">
        <v>0</v>
      </c>
      <c r="E39" s="150">
        <v>5</v>
      </c>
      <c r="F39" s="308">
        <v>5</v>
      </c>
      <c r="G39" s="24">
        <v>6</v>
      </c>
      <c r="H39" s="24">
        <v>4</v>
      </c>
      <c r="I39" s="24">
        <v>0</v>
      </c>
      <c r="J39" s="24">
        <v>0</v>
      </c>
      <c r="K39" s="25">
        <v>6</v>
      </c>
      <c r="L39" s="24">
        <v>6</v>
      </c>
      <c r="M39" s="24">
        <v>22</v>
      </c>
      <c r="N39" s="25">
        <v>0</v>
      </c>
      <c r="O39" s="427">
        <v>26</v>
      </c>
      <c r="P39" s="428">
        <f t="shared" si="3"/>
        <v>80</v>
      </c>
      <c r="Q39" s="71">
        <f>SUM(P39/75)</f>
        <v>1.0666666666666667</v>
      </c>
    </row>
    <row r="40" spans="1:17" x14ac:dyDescent="0.25">
      <c r="A40" s="820"/>
      <c r="B40" s="825"/>
      <c r="C40" s="451" t="s">
        <v>56</v>
      </c>
      <c r="D40" s="271">
        <v>12</v>
      </c>
      <c r="E40" s="150">
        <v>33</v>
      </c>
      <c r="F40" s="308">
        <v>32</v>
      </c>
      <c r="G40" s="24">
        <v>26</v>
      </c>
      <c r="H40" s="24">
        <v>29</v>
      </c>
      <c r="I40" s="24">
        <v>59</v>
      </c>
      <c r="J40" s="24">
        <v>42</v>
      </c>
      <c r="K40" s="25">
        <v>49</v>
      </c>
      <c r="L40" s="24">
        <v>35</v>
      </c>
      <c r="M40" s="24">
        <v>39</v>
      </c>
      <c r="N40" s="25">
        <v>26</v>
      </c>
      <c r="O40" s="427">
        <v>123</v>
      </c>
      <c r="P40" s="428">
        <f t="shared" si="3"/>
        <v>505</v>
      </c>
      <c r="Q40" s="71">
        <f>SUM(P40/300)</f>
        <v>1.6833333333333333</v>
      </c>
    </row>
    <row r="41" spans="1:17" ht="15.75" customHeight="1" thickBot="1" x14ac:dyDescent="0.3">
      <c r="A41" s="821"/>
      <c r="B41" s="826"/>
      <c r="C41" s="522" t="s">
        <v>50</v>
      </c>
      <c r="D41" s="618">
        <v>2</v>
      </c>
      <c r="E41" s="619">
        <v>7</v>
      </c>
      <c r="F41" s="620">
        <v>6</v>
      </c>
      <c r="G41" s="621">
        <v>9</v>
      </c>
      <c r="H41" s="621">
        <v>5</v>
      </c>
      <c r="I41" s="621">
        <v>18</v>
      </c>
      <c r="J41" s="621">
        <v>14</v>
      </c>
      <c r="K41" s="670">
        <v>11</v>
      </c>
      <c r="L41" s="470">
        <v>7</v>
      </c>
      <c r="M41" s="470">
        <v>3</v>
      </c>
      <c r="N41" s="471">
        <v>4</v>
      </c>
      <c r="O41" s="472">
        <v>42</v>
      </c>
      <c r="P41" s="469">
        <f t="shared" si="3"/>
        <v>128</v>
      </c>
      <c r="Q41" s="71">
        <f>SUM(P41/150)</f>
        <v>0.85333333333333339</v>
      </c>
    </row>
    <row r="42" spans="1:17" ht="30.75" customHeight="1" x14ac:dyDescent="0.25">
      <c r="A42" s="819" t="s">
        <v>178</v>
      </c>
      <c r="B42" s="834" t="s">
        <v>51</v>
      </c>
      <c r="C42" s="523" t="s">
        <v>52</v>
      </c>
      <c r="D42" s="513">
        <v>0</v>
      </c>
      <c r="E42" s="289">
        <v>47</v>
      </c>
      <c r="F42" s="289">
        <v>22</v>
      </c>
      <c r="G42" s="401">
        <v>37</v>
      </c>
      <c r="H42" s="401">
        <v>16</v>
      </c>
      <c r="I42" s="229">
        <v>24</v>
      </c>
      <c r="J42" s="229">
        <v>12</v>
      </c>
      <c r="K42" s="28">
        <v>0</v>
      </c>
      <c r="L42" s="401">
        <v>0</v>
      </c>
      <c r="M42" s="401">
        <v>0</v>
      </c>
      <c r="N42" s="230">
        <v>0</v>
      </c>
      <c r="O42" s="29">
        <v>0</v>
      </c>
      <c r="P42" s="477">
        <f t="shared" si="3"/>
        <v>158</v>
      </c>
      <c r="Q42" s="231"/>
    </row>
    <row r="43" spans="1:17" x14ac:dyDescent="0.25">
      <c r="A43" s="820"/>
      <c r="B43" s="835"/>
      <c r="C43" s="524" t="s">
        <v>37</v>
      </c>
      <c r="D43" s="514">
        <v>0</v>
      </c>
      <c r="E43" s="396">
        <v>22</v>
      </c>
      <c r="F43" s="396">
        <v>62</v>
      </c>
      <c r="G43" s="399">
        <v>190</v>
      </c>
      <c r="H43" s="399">
        <v>263</v>
      </c>
      <c r="I43" s="227">
        <v>209</v>
      </c>
      <c r="J43" s="227">
        <v>136</v>
      </c>
      <c r="K43" s="625">
        <v>0</v>
      </c>
      <c r="L43" s="399">
        <v>0</v>
      </c>
      <c r="M43" s="399">
        <v>0</v>
      </c>
      <c r="N43" s="228">
        <v>0</v>
      </c>
      <c r="O43" s="407">
        <v>0</v>
      </c>
      <c r="P43" s="428">
        <f t="shared" si="3"/>
        <v>882</v>
      </c>
      <c r="Q43" s="49"/>
    </row>
    <row r="44" spans="1:17" x14ac:dyDescent="0.25">
      <c r="A44" s="820"/>
      <c r="B44" s="835"/>
      <c r="C44" s="524" t="s">
        <v>38</v>
      </c>
      <c r="D44" s="514">
        <v>0</v>
      </c>
      <c r="E44" s="396">
        <v>64</v>
      </c>
      <c r="F44" s="396">
        <v>67</v>
      </c>
      <c r="G44" s="399">
        <v>96</v>
      </c>
      <c r="H44" s="399">
        <v>77</v>
      </c>
      <c r="I44" s="227">
        <v>16</v>
      </c>
      <c r="J44" s="227">
        <v>3</v>
      </c>
      <c r="K44" s="625">
        <v>0</v>
      </c>
      <c r="L44" s="399">
        <v>0</v>
      </c>
      <c r="M44" s="399">
        <v>0</v>
      </c>
      <c r="N44" s="228">
        <v>0</v>
      </c>
      <c r="O44" s="407">
        <v>0</v>
      </c>
      <c r="P44" s="428">
        <f t="shared" si="3"/>
        <v>323</v>
      </c>
      <c r="Q44" s="49"/>
    </row>
    <row r="45" spans="1:17" x14ac:dyDescent="0.25">
      <c r="A45" s="820"/>
      <c r="B45" s="835"/>
      <c r="C45" s="524" t="s">
        <v>39</v>
      </c>
      <c r="D45" s="514">
        <v>786</v>
      </c>
      <c r="E45" s="396">
        <v>746</v>
      </c>
      <c r="F45" s="396">
        <v>865</v>
      </c>
      <c r="G45" s="399">
        <v>693</v>
      </c>
      <c r="H45" s="399">
        <v>994</v>
      </c>
      <c r="I45" s="227">
        <v>401</v>
      </c>
      <c r="J45" s="227">
        <v>520</v>
      </c>
      <c r="K45" s="625">
        <v>0</v>
      </c>
      <c r="L45" s="399">
        <v>0</v>
      </c>
      <c r="M45" s="399">
        <v>0</v>
      </c>
      <c r="N45" s="228">
        <v>0</v>
      </c>
      <c r="O45" s="407">
        <v>0</v>
      </c>
      <c r="P45" s="428">
        <f t="shared" si="3"/>
        <v>5005</v>
      </c>
      <c r="Q45" s="49"/>
    </row>
    <row r="46" spans="1:17" x14ac:dyDescent="0.25">
      <c r="A46" s="820"/>
      <c r="B46" s="835"/>
      <c r="C46" s="525" t="s">
        <v>53</v>
      </c>
      <c r="D46" s="514">
        <v>1185</v>
      </c>
      <c r="E46" s="396">
        <v>1251</v>
      </c>
      <c r="F46" s="396">
        <v>708</v>
      </c>
      <c r="G46" s="399">
        <v>1147</v>
      </c>
      <c r="H46" s="399">
        <v>1285</v>
      </c>
      <c r="I46" s="227">
        <v>1174</v>
      </c>
      <c r="J46" s="227">
        <v>253</v>
      </c>
      <c r="K46" s="625">
        <v>241</v>
      </c>
      <c r="L46" s="399">
        <v>108</v>
      </c>
      <c r="M46" s="399">
        <v>0</v>
      </c>
      <c r="N46" s="228">
        <v>0</v>
      </c>
      <c r="O46" s="407">
        <v>665</v>
      </c>
      <c r="P46" s="428">
        <f t="shared" si="3"/>
        <v>8017</v>
      </c>
      <c r="Q46" s="49"/>
    </row>
    <row r="47" spans="1:17" s="393" customFormat="1" x14ac:dyDescent="0.25">
      <c r="A47" s="820"/>
      <c r="B47" s="835"/>
      <c r="C47" s="525" t="s">
        <v>54</v>
      </c>
      <c r="D47" s="515">
        <v>230</v>
      </c>
      <c r="E47" s="464">
        <v>268</v>
      </c>
      <c r="F47" s="464">
        <v>234</v>
      </c>
      <c r="G47" s="465">
        <v>287</v>
      </c>
      <c r="H47" s="466">
        <v>285</v>
      </c>
      <c r="I47" s="465">
        <v>301</v>
      </c>
      <c r="J47" s="466">
        <v>286</v>
      </c>
      <c r="K47" s="199">
        <v>120</v>
      </c>
      <c r="L47" s="723">
        <v>16</v>
      </c>
      <c r="M47" s="752">
        <v>444</v>
      </c>
      <c r="N47" s="467">
        <v>1329</v>
      </c>
      <c r="O47" s="723">
        <v>1361</v>
      </c>
      <c r="P47" s="468">
        <f>SUM(D47:O47)</f>
        <v>5161</v>
      </c>
      <c r="Q47" s="478">
        <f>SUM(P47/2800)</f>
        <v>1.8432142857142857</v>
      </c>
    </row>
    <row r="48" spans="1:17" s="171" customFormat="1" ht="15" customHeight="1" thickBot="1" x14ac:dyDescent="0.3">
      <c r="A48" s="820"/>
      <c r="B48" s="836"/>
      <c r="C48" s="526" t="s">
        <v>212</v>
      </c>
      <c r="D48" s="516"/>
      <c r="E48" s="491"/>
      <c r="F48" s="492"/>
      <c r="G48" s="492"/>
      <c r="H48" s="493"/>
      <c r="I48" s="493"/>
      <c r="J48" s="493"/>
      <c r="K48" s="671">
        <v>665</v>
      </c>
      <c r="L48" s="724">
        <v>706</v>
      </c>
      <c r="M48" s="23">
        <v>0</v>
      </c>
      <c r="N48" s="492">
        <v>0</v>
      </c>
      <c r="O48" s="23">
        <v>0</v>
      </c>
      <c r="P48" s="492"/>
      <c r="Q48" s="494"/>
    </row>
    <row r="49" spans="1:18" x14ac:dyDescent="0.25">
      <c r="A49" s="820"/>
      <c r="B49" s="827" t="s">
        <v>59</v>
      </c>
      <c r="C49" s="35" t="s">
        <v>124</v>
      </c>
      <c r="D49" s="535">
        <v>230</v>
      </c>
      <c r="E49" s="536">
        <v>268</v>
      </c>
      <c r="F49" s="537">
        <v>234</v>
      </c>
      <c r="G49" s="538">
        <v>287</v>
      </c>
      <c r="H49" s="539">
        <v>285</v>
      </c>
      <c r="I49" s="538">
        <v>301</v>
      </c>
      <c r="J49" s="539">
        <v>286</v>
      </c>
      <c r="K49" s="672">
        <v>315</v>
      </c>
      <c r="L49" s="474">
        <v>263</v>
      </c>
      <c r="M49" s="473">
        <v>295</v>
      </c>
      <c r="N49" s="475">
        <v>289</v>
      </c>
      <c r="O49" s="476">
        <v>239</v>
      </c>
      <c r="P49" s="462">
        <f>SUM(D49:O49)</f>
        <v>3292</v>
      </c>
      <c r="Q49" s="463">
        <f>SUM(P49/2800)</f>
        <v>1.1757142857142857</v>
      </c>
    </row>
    <row r="50" spans="1:18" x14ac:dyDescent="0.25">
      <c r="A50" s="820"/>
      <c r="B50" s="827"/>
      <c r="C50" s="36" t="s">
        <v>62</v>
      </c>
      <c r="D50" s="533">
        <v>188</v>
      </c>
      <c r="E50" s="290">
        <v>6</v>
      </c>
      <c r="F50" s="291">
        <v>9</v>
      </c>
      <c r="G50" s="34">
        <v>7</v>
      </c>
      <c r="H50" s="369">
        <v>5</v>
      </c>
      <c r="I50" s="34">
        <v>10</v>
      </c>
      <c r="J50" s="369">
        <v>6</v>
      </c>
      <c r="K50" s="10">
        <v>66</v>
      </c>
      <c r="L50" s="371">
        <v>6</v>
      </c>
      <c r="M50" s="369">
        <v>4</v>
      </c>
      <c r="N50" s="10">
        <v>10</v>
      </c>
      <c r="O50" s="142">
        <v>6</v>
      </c>
      <c r="P50" s="55">
        <f>SUM(D50:O50)</f>
        <v>323</v>
      </c>
      <c r="Q50" s="463">
        <f>SUM(P50/230)</f>
        <v>1.4043478260869566</v>
      </c>
    </row>
    <row r="51" spans="1:18" s="171" customFormat="1" x14ac:dyDescent="0.25">
      <c r="A51" s="820"/>
      <c r="B51" s="827"/>
      <c r="C51" s="460" t="s">
        <v>209</v>
      </c>
      <c r="D51" s="549"/>
      <c r="E51" s="549"/>
      <c r="F51" s="549"/>
      <c r="G51" s="549"/>
      <c r="H51" s="549"/>
      <c r="I51" s="549"/>
      <c r="J51" s="549"/>
      <c r="K51" s="488">
        <f>SUM(K52:K53)</f>
        <v>86</v>
      </c>
      <c r="L51" s="329">
        <v>102</v>
      </c>
      <c r="M51" s="753">
        <v>71</v>
      </c>
      <c r="N51" s="487">
        <v>29</v>
      </c>
      <c r="O51" s="753">
        <f t="shared" ref="O51" si="4">SUM(O52:O53)</f>
        <v>24</v>
      </c>
      <c r="P51" s="489"/>
      <c r="Q51" s="490"/>
    </row>
    <row r="52" spans="1:18" s="171" customFormat="1" x14ac:dyDescent="0.25">
      <c r="A52" s="820"/>
      <c r="B52" s="827"/>
      <c r="C52" s="461" t="s">
        <v>210</v>
      </c>
      <c r="D52" s="484"/>
      <c r="E52" s="484"/>
      <c r="F52" s="485"/>
      <c r="G52" s="486"/>
      <c r="H52" s="487"/>
      <c r="I52" s="486"/>
      <c r="J52" s="487"/>
      <c r="K52" s="673">
        <v>12</v>
      </c>
      <c r="L52" s="329">
        <v>9</v>
      </c>
      <c r="M52" s="753">
        <v>2</v>
      </c>
      <c r="N52" s="488">
        <v>8</v>
      </c>
      <c r="O52" s="796">
        <v>2</v>
      </c>
      <c r="P52" s="489"/>
      <c r="Q52" s="490"/>
    </row>
    <row r="53" spans="1:18" s="171" customFormat="1" x14ac:dyDescent="0.25">
      <c r="A53" s="820"/>
      <c r="B53" s="827"/>
      <c r="C53" s="461" t="s">
        <v>211</v>
      </c>
      <c r="D53" s="484"/>
      <c r="E53" s="484"/>
      <c r="F53" s="485"/>
      <c r="G53" s="486"/>
      <c r="H53" s="487"/>
      <c r="I53" s="486"/>
      <c r="J53" s="487"/>
      <c r="K53" s="673">
        <v>74</v>
      </c>
      <c r="L53" s="329">
        <v>93</v>
      </c>
      <c r="M53" s="753">
        <v>69</v>
      </c>
      <c r="N53" s="488">
        <v>21</v>
      </c>
      <c r="O53" s="369">
        <v>22</v>
      </c>
      <c r="P53" s="489"/>
      <c r="Q53" s="490"/>
    </row>
    <row r="54" spans="1:18" x14ac:dyDescent="0.25">
      <c r="A54" s="820"/>
      <c r="B54" s="827"/>
      <c r="C54" s="36" t="s">
        <v>60</v>
      </c>
      <c r="D54" s="533">
        <v>2</v>
      </c>
      <c r="E54" s="290">
        <v>3</v>
      </c>
      <c r="F54" s="291">
        <v>4</v>
      </c>
      <c r="G54" s="34">
        <v>0</v>
      </c>
      <c r="H54" s="369">
        <v>1</v>
      </c>
      <c r="I54" s="34">
        <v>6</v>
      </c>
      <c r="J54" s="369">
        <v>1</v>
      </c>
      <c r="K54" s="10">
        <v>3</v>
      </c>
      <c r="L54" s="725">
        <v>3</v>
      </c>
      <c r="M54" s="754">
        <v>1</v>
      </c>
      <c r="N54" s="779">
        <v>2</v>
      </c>
      <c r="O54" s="797">
        <v>3</v>
      </c>
      <c r="P54" s="780">
        <f>SUM(D54:O54)</f>
        <v>29</v>
      </c>
      <c r="Q54" s="800"/>
    </row>
    <row r="55" spans="1:18" ht="15.75" thickBot="1" x14ac:dyDescent="0.3">
      <c r="A55" s="820"/>
      <c r="B55" s="827"/>
      <c r="C55" s="36" t="s">
        <v>61</v>
      </c>
      <c r="D55" s="292">
        <v>0.28999999999999998</v>
      </c>
      <c r="E55" s="292">
        <v>0.5</v>
      </c>
      <c r="F55" s="293">
        <v>0.44</v>
      </c>
      <c r="G55" s="37">
        <v>0</v>
      </c>
      <c r="H55" s="38">
        <v>0.2</v>
      </c>
      <c r="I55" s="37">
        <v>1</v>
      </c>
      <c r="J55" s="38">
        <v>0.17</v>
      </c>
      <c r="K55" s="674">
        <v>0.5</v>
      </c>
      <c r="L55" s="726">
        <v>0.5</v>
      </c>
      <c r="M55" s="726">
        <v>0.25</v>
      </c>
      <c r="N55" s="777">
        <v>0.2</v>
      </c>
      <c r="O55" s="726">
        <v>0.5</v>
      </c>
      <c r="P55" s="41"/>
      <c r="Q55" s="41"/>
    </row>
    <row r="56" spans="1:18" x14ac:dyDescent="0.25">
      <c r="A56" s="820"/>
      <c r="B56" s="827"/>
      <c r="C56" s="527" t="s">
        <v>63</v>
      </c>
      <c r="D56" s="294">
        <v>1</v>
      </c>
      <c r="E56" s="294">
        <v>0</v>
      </c>
      <c r="F56" s="295">
        <v>0</v>
      </c>
      <c r="G56" s="377">
        <v>0</v>
      </c>
      <c r="H56" s="125">
        <v>0</v>
      </c>
      <c r="I56" s="377">
        <v>1</v>
      </c>
      <c r="J56" s="377">
        <v>0</v>
      </c>
      <c r="K56" s="675">
        <v>1</v>
      </c>
      <c r="L56" s="540">
        <v>5</v>
      </c>
      <c r="M56" s="541">
        <v>1</v>
      </c>
      <c r="N56" s="542">
        <v>2</v>
      </c>
      <c r="O56" s="543">
        <v>0</v>
      </c>
      <c r="P56" s="544">
        <f>SUM(D56:O56)</f>
        <v>11</v>
      </c>
      <c r="Q56" s="246">
        <f>SUM(P56/4)</f>
        <v>2.75</v>
      </c>
    </row>
    <row r="57" spans="1:18" x14ac:dyDescent="0.25">
      <c r="A57" s="820"/>
      <c r="B57" s="827"/>
      <c r="C57" s="247" t="s">
        <v>68</v>
      </c>
      <c r="D57" s="296">
        <v>2</v>
      </c>
      <c r="E57" s="296">
        <v>3</v>
      </c>
      <c r="F57" s="297">
        <v>2</v>
      </c>
      <c r="G57" s="248">
        <v>3</v>
      </c>
      <c r="H57" s="248">
        <v>2</v>
      </c>
      <c r="I57" s="248">
        <v>3</v>
      </c>
      <c r="J57" s="249">
        <v>2</v>
      </c>
      <c r="K57" s="251">
        <v>3</v>
      </c>
      <c r="L57" s="250">
        <v>3</v>
      </c>
      <c r="M57" s="249">
        <v>2</v>
      </c>
      <c r="N57" s="251">
        <v>3</v>
      </c>
      <c r="O57" s="252">
        <v>3</v>
      </c>
      <c r="P57" s="57">
        <f>SUM(D57:O57)</f>
        <v>31</v>
      </c>
      <c r="Q57" s="253">
        <f>SUM(P57/30)</f>
        <v>1.0333333333333334</v>
      </c>
      <c r="R57" s="163"/>
    </row>
    <row r="58" spans="1:18" x14ac:dyDescent="0.25">
      <c r="A58" s="820"/>
      <c r="B58" s="827"/>
      <c r="C58" s="247" t="s">
        <v>69</v>
      </c>
      <c r="D58" s="296">
        <v>20</v>
      </c>
      <c r="E58" s="296">
        <v>43</v>
      </c>
      <c r="F58" s="297">
        <v>25</v>
      </c>
      <c r="G58" s="248">
        <v>34</v>
      </c>
      <c r="H58" s="248">
        <v>44</v>
      </c>
      <c r="I58" s="248">
        <v>49</v>
      </c>
      <c r="J58" s="249">
        <v>51</v>
      </c>
      <c r="K58" s="251">
        <v>70</v>
      </c>
      <c r="L58" s="250">
        <v>50</v>
      </c>
      <c r="M58" s="249">
        <v>52</v>
      </c>
      <c r="N58" s="251">
        <v>85</v>
      </c>
      <c r="O58" s="252">
        <v>68</v>
      </c>
      <c r="P58" s="57">
        <f>SUM(D58:O58)</f>
        <v>591</v>
      </c>
      <c r="Q58" s="253">
        <f>SUM(P58/20)</f>
        <v>29.55</v>
      </c>
      <c r="R58" s="163"/>
    </row>
    <row r="59" spans="1:18" x14ac:dyDescent="0.25">
      <c r="A59" s="820"/>
      <c r="B59" s="827"/>
      <c r="C59" s="247" t="s">
        <v>64</v>
      </c>
      <c r="D59" s="296">
        <v>1</v>
      </c>
      <c r="E59" s="296">
        <v>2</v>
      </c>
      <c r="F59" s="297">
        <v>4</v>
      </c>
      <c r="G59" s="248">
        <v>2</v>
      </c>
      <c r="H59" s="248">
        <v>1</v>
      </c>
      <c r="I59" s="248">
        <v>3</v>
      </c>
      <c r="J59" s="249">
        <v>2</v>
      </c>
      <c r="K59" s="251">
        <v>0</v>
      </c>
      <c r="L59" s="250">
        <v>3</v>
      </c>
      <c r="M59" s="249">
        <v>1</v>
      </c>
      <c r="N59" s="251">
        <v>0</v>
      </c>
      <c r="O59" s="252">
        <v>4</v>
      </c>
      <c r="P59" s="57">
        <f t="shared" ref="P59:P63" si="5">SUM(D59:O59)</f>
        <v>23</v>
      </c>
      <c r="Q59" s="253">
        <f>SUM(P59/9)</f>
        <v>2.5555555555555554</v>
      </c>
    </row>
    <row r="60" spans="1:18" x14ac:dyDescent="0.25">
      <c r="A60" s="820"/>
      <c r="B60" s="827"/>
      <c r="C60" s="247" t="s">
        <v>65</v>
      </c>
      <c r="D60" s="296">
        <v>92</v>
      </c>
      <c r="E60" s="296">
        <v>13</v>
      </c>
      <c r="F60" s="297">
        <v>21</v>
      </c>
      <c r="G60" s="248">
        <v>11</v>
      </c>
      <c r="H60" s="248">
        <v>12</v>
      </c>
      <c r="I60" s="248">
        <v>30</v>
      </c>
      <c r="J60" s="249">
        <v>19</v>
      </c>
      <c r="K60" s="251">
        <v>0</v>
      </c>
      <c r="L60" s="250">
        <v>26</v>
      </c>
      <c r="M60" s="249">
        <v>2</v>
      </c>
      <c r="N60" s="251">
        <v>0</v>
      </c>
      <c r="O60" s="252">
        <v>28</v>
      </c>
      <c r="P60" s="57">
        <f t="shared" si="5"/>
        <v>254</v>
      </c>
      <c r="Q60" s="253">
        <f>SUM(P60/45)</f>
        <v>5.6444444444444448</v>
      </c>
    </row>
    <row r="61" spans="1:18" s="171" customFormat="1" x14ac:dyDescent="0.25">
      <c r="A61" s="820"/>
      <c r="B61" s="827"/>
      <c r="C61" s="545" t="s">
        <v>213</v>
      </c>
      <c r="D61" s="546"/>
      <c r="E61" s="546"/>
      <c r="F61" s="546"/>
      <c r="G61" s="546"/>
      <c r="H61" s="546"/>
      <c r="I61" s="546"/>
      <c r="J61" s="546"/>
      <c r="K61" s="676">
        <v>12</v>
      </c>
      <c r="L61" s="727">
        <v>7</v>
      </c>
      <c r="M61" s="249">
        <v>0</v>
      </c>
      <c r="N61" s="251">
        <v>0</v>
      </c>
      <c r="O61" s="252">
        <v>0</v>
      </c>
      <c r="P61" s="57">
        <f t="shared" si="5"/>
        <v>19</v>
      </c>
      <c r="Q61" s="546"/>
    </row>
    <row r="62" spans="1:18" x14ac:dyDescent="0.25">
      <c r="A62" s="820"/>
      <c r="B62" s="827"/>
      <c r="C62" s="528" t="s">
        <v>66</v>
      </c>
      <c r="D62" s="296">
        <v>0</v>
      </c>
      <c r="E62" s="296">
        <v>2</v>
      </c>
      <c r="F62" s="297">
        <v>1</v>
      </c>
      <c r="G62" s="248">
        <v>3</v>
      </c>
      <c r="H62" s="248">
        <v>3</v>
      </c>
      <c r="I62" s="248">
        <v>2</v>
      </c>
      <c r="J62" s="249">
        <v>8</v>
      </c>
      <c r="K62" s="251">
        <v>5</v>
      </c>
      <c r="L62" s="728">
        <v>9</v>
      </c>
      <c r="M62" s="755">
        <v>4</v>
      </c>
      <c r="N62" s="495">
        <v>0</v>
      </c>
      <c r="O62" s="798">
        <v>7</v>
      </c>
      <c r="P62" s="57">
        <f t="shared" si="5"/>
        <v>44</v>
      </c>
      <c r="Q62" s="253">
        <f>SUM(P62/20)</f>
        <v>2.2000000000000002</v>
      </c>
    </row>
    <row r="63" spans="1:18" ht="15.75" customHeight="1" thickBot="1" x14ac:dyDescent="0.3">
      <c r="A63" s="820"/>
      <c r="B63" s="828"/>
      <c r="C63" s="254" t="s">
        <v>67</v>
      </c>
      <c r="D63" s="298">
        <v>0</v>
      </c>
      <c r="E63" s="298">
        <v>8</v>
      </c>
      <c r="F63" s="299">
        <v>14</v>
      </c>
      <c r="G63" s="255">
        <v>32</v>
      </c>
      <c r="H63" s="255">
        <v>20</v>
      </c>
      <c r="I63" s="255">
        <v>24</v>
      </c>
      <c r="J63" s="256">
        <v>53</v>
      </c>
      <c r="K63" s="677">
        <v>47</v>
      </c>
      <c r="L63" s="257">
        <v>201</v>
      </c>
      <c r="M63" s="256">
        <v>6</v>
      </c>
      <c r="N63" s="258">
        <v>0</v>
      </c>
      <c r="O63" s="259">
        <v>44</v>
      </c>
      <c r="P63" s="57">
        <f t="shared" si="5"/>
        <v>449</v>
      </c>
      <c r="Q63" s="260">
        <f>SUM(P63/160)</f>
        <v>2.8062499999999999</v>
      </c>
    </row>
    <row r="64" spans="1:18" ht="15" customHeight="1" x14ac:dyDescent="0.25">
      <c r="A64" s="820"/>
      <c r="B64" s="819" t="s">
        <v>72</v>
      </c>
      <c r="C64" s="454" t="s">
        <v>73</v>
      </c>
      <c r="D64" s="300">
        <v>20</v>
      </c>
      <c r="E64" s="300">
        <v>17</v>
      </c>
      <c r="F64" s="300">
        <v>8</v>
      </c>
      <c r="G64" s="44">
        <v>14</v>
      </c>
      <c r="H64" s="44">
        <v>10</v>
      </c>
      <c r="I64" s="44">
        <v>22</v>
      </c>
      <c r="J64" s="44">
        <v>14</v>
      </c>
      <c r="K64" s="235">
        <v>21</v>
      </c>
      <c r="L64" s="233">
        <v>5</v>
      </c>
      <c r="M64" s="234">
        <v>7</v>
      </c>
      <c r="N64" s="235">
        <v>19</v>
      </c>
      <c r="O64" s="233">
        <v>13</v>
      </c>
      <c r="P64" s="236">
        <f t="shared" ref="P64:P80" si="6">SUM(D64:O64)</f>
        <v>170</v>
      </c>
      <c r="Q64" s="143"/>
    </row>
    <row r="65" spans="1:18" s="171" customFormat="1" x14ac:dyDescent="0.25">
      <c r="A65" s="820"/>
      <c r="B65" s="820"/>
      <c r="C65" s="458" t="s">
        <v>204</v>
      </c>
      <c r="D65" s="446"/>
      <c r="E65" s="301"/>
      <c r="F65" s="301"/>
      <c r="G65" s="42"/>
      <c r="H65" s="42"/>
      <c r="I65" s="42"/>
      <c r="J65" s="42"/>
      <c r="K65" s="678">
        <f>SUM(K66:K67)</f>
        <v>13</v>
      </c>
      <c r="L65" s="727">
        <v>10</v>
      </c>
      <c r="M65" s="238">
        <v>8</v>
      </c>
      <c r="N65" s="239">
        <v>7</v>
      </c>
      <c r="O65" s="237">
        <v>7</v>
      </c>
      <c r="P65" s="240">
        <f t="shared" si="6"/>
        <v>45</v>
      </c>
      <c r="Q65" s="144"/>
      <c r="R65"/>
    </row>
    <row r="66" spans="1:18" s="171" customFormat="1" x14ac:dyDescent="0.25">
      <c r="A66" s="820"/>
      <c r="B66" s="820"/>
      <c r="C66" s="459" t="s">
        <v>218</v>
      </c>
      <c r="D66" s="496"/>
      <c r="E66" s="496"/>
      <c r="F66" s="496"/>
      <c r="G66" s="496"/>
      <c r="H66" s="496"/>
      <c r="I66" s="496"/>
      <c r="J66" s="496"/>
      <c r="K66" s="676">
        <v>8</v>
      </c>
      <c r="L66" s="729">
        <v>5</v>
      </c>
      <c r="M66" s="756">
        <v>5</v>
      </c>
      <c r="N66" s="496">
        <v>5</v>
      </c>
      <c r="O66" s="446">
        <v>3</v>
      </c>
      <c r="P66" s="500"/>
      <c r="Q66" s="501"/>
    </row>
    <row r="67" spans="1:18" s="171" customFormat="1" x14ac:dyDescent="0.25">
      <c r="A67" s="820"/>
      <c r="B67" s="820"/>
      <c r="C67" s="459" t="s">
        <v>205</v>
      </c>
      <c r="D67" s="496"/>
      <c r="E67" s="497"/>
      <c r="F67" s="497"/>
      <c r="G67" s="498"/>
      <c r="H67" s="498"/>
      <c r="I67" s="498"/>
      <c r="J67" s="498"/>
      <c r="K67" s="673">
        <v>5</v>
      </c>
      <c r="L67" s="727">
        <v>5</v>
      </c>
      <c r="M67" s="238">
        <v>3</v>
      </c>
      <c r="N67" s="499">
        <v>2</v>
      </c>
      <c r="O67" s="42">
        <v>4</v>
      </c>
      <c r="P67" s="500"/>
      <c r="Q67" s="501"/>
    </row>
    <row r="68" spans="1:18" x14ac:dyDescent="0.25">
      <c r="A68" s="820"/>
      <c r="B68" s="820"/>
      <c r="C68" s="455" t="s">
        <v>74</v>
      </c>
      <c r="D68" s="446">
        <v>12</v>
      </c>
      <c r="E68" s="301">
        <v>7</v>
      </c>
      <c r="F68" s="301">
        <v>11</v>
      </c>
      <c r="G68" s="42">
        <v>11</v>
      </c>
      <c r="H68" s="42">
        <v>15</v>
      </c>
      <c r="I68" s="42">
        <v>30</v>
      </c>
      <c r="J68" s="42">
        <v>16</v>
      </c>
      <c r="K68" s="679">
        <v>33</v>
      </c>
      <c r="L68" s="237">
        <v>6</v>
      </c>
      <c r="M68" s="238">
        <v>12</v>
      </c>
      <c r="N68" s="239">
        <v>24</v>
      </c>
      <c r="O68" s="237">
        <v>23</v>
      </c>
      <c r="P68" s="240">
        <f t="shared" ref="P68" si="7">SUM(D68:O68)</f>
        <v>200</v>
      </c>
      <c r="Q68" s="501"/>
      <c r="R68" s="171"/>
    </row>
    <row r="69" spans="1:18" x14ac:dyDescent="0.25">
      <c r="A69" s="820"/>
      <c r="B69" s="820"/>
      <c r="C69" s="455" t="s">
        <v>75</v>
      </c>
      <c r="D69" s="302">
        <v>14</v>
      </c>
      <c r="E69" s="302">
        <v>9</v>
      </c>
      <c r="F69" s="302">
        <v>21</v>
      </c>
      <c r="G69" s="42">
        <v>19</v>
      </c>
      <c r="H69" s="42">
        <v>6</v>
      </c>
      <c r="I69" s="42">
        <v>25</v>
      </c>
      <c r="J69" s="42">
        <v>8</v>
      </c>
      <c r="K69" s="239">
        <v>17</v>
      </c>
      <c r="L69" s="237">
        <v>8</v>
      </c>
      <c r="M69" s="238">
        <v>13</v>
      </c>
      <c r="N69" s="239">
        <v>19</v>
      </c>
      <c r="O69" s="237">
        <v>17</v>
      </c>
      <c r="P69" s="240">
        <f t="shared" si="6"/>
        <v>176</v>
      </c>
      <c r="Q69" s="144"/>
    </row>
    <row r="70" spans="1:18" x14ac:dyDescent="0.25">
      <c r="A70" s="820"/>
      <c r="B70" s="820"/>
      <c r="C70" s="455" t="s">
        <v>76</v>
      </c>
      <c r="D70" s="302">
        <v>23</v>
      </c>
      <c r="E70" s="302">
        <v>23</v>
      </c>
      <c r="F70" s="302">
        <v>22</v>
      </c>
      <c r="G70" s="42">
        <v>26</v>
      </c>
      <c r="H70" s="42">
        <v>15</v>
      </c>
      <c r="I70" s="42">
        <v>41</v>
      </c>
      <c r="J70" s="42">
        <v>35</v>
      </c>
      <c r="K70" s="239">
        <v>42</v>
      </c>
      <c r="L70" s="237">
        <v>32</v>
      </c>
      <c r="M70" s="238">
        <v>21</v>
      </c>
      <c r="N70" s="239">
        <v>38</v>
      </c>
      <c r="O70" s="237">
        <v>30</v>
      </c>
      <c r="P70" s="240">
        <f t="shared" si="6"/>
        <v>348</v>
      </c>
      <c r="Q70" s="144"/>
    </row>
    <row r="71" spans="1:18" x14ac:dyDescent="0.25">
      <c r="A71" s="820"/>
      <c r="B71" s="820"/>
      <c r="C71" s="455" t="s">
        <v>77</v>
      </c>
      <c r="D71" s="302">
        <v>23</v>
      </c>
      <c r="E71" s="302">
        <v>23</v>
      </c>
      <c r="F71" s="302">
        <v>22</v>
      </c>
      <c r="G71" s="42">
        <v>26</v>
      </c>
      <c r="H71" s="42">
        <v>15</v>
      </c>
      <c r="I71" s="42">
        <v>41</v>
      </c>
      <c r="J71" s="42">
        <v>35</v>
      </c>
      <c r="K71" s="239">
        <v>42</v>
      </c>
      <c r="L71" s="237">
        <v>32</v>
      </c>
      <c r="M71" s="238">
        <v>21</v>
      </c>
      <c r="N71" s="239">
        <v>38</v>
      </c>
      <c r="O71" s="237">
        <v>30</v>
      </c>
      <c r="P71" s="241">
        <f t="shared" si="6"/>
        <v>348</v>
      </c>
      <c r="Q71" s="144"/>
    </row>
    <row r="72" spans="1:18" x14ac:dyDescent="0.25">
      <c r="A72" s="820"/>
      <c r="B72" s="820"/>
      <c r="C72" s="455" t="s">
        <v>78</v>
      </c>
      <c r="D72" s="302">
        <v>75</v>
      </c>
      <c r="E72" s="302">
        <v>73</v>
      </c>
      <c r="F72" s="302">
        <v>69</v>
      </c>
      <c r="G72" s="42">
        <v>76</v>
      </c>
      <c r="H72" s="42">
        <v>79</v>
      </c>
      <c r="I72" s="42">
        <v>95</v>
      </c>
      <c r="J72" s="42">
        <v>109</v>
      </c>
      <c r="K72" s="239">
        <v>110</v>
      </c>
      <c r="L72" s="237">
        <v>97</v>
      </c>
      <c r="M72" s="238">
        <v>76</v>
      </c>
      <c r="N72" s="239">
        <v>76</v>
      </c>
      <c r="O72" s="237">
        <v>69</v>
      </c>
      <c r="P72" s="241">
        <f t="shared" si="6"/>
        <v>1004</v>
      </c>
      <c r="Q72" s="144"/>
    </row>
    <row r="73" spans="1:18" x14ac:dyDescent="0.25">
      <c r="A73" s="820"/>
      <c r="B73" s="820"/>
      <c r="C73" s="455" t="s">
        <v>82</v>
      </c>
      <c r="D73" s="302">
        <v>9</v>
      </c>
      <c r="E73" s="302">
        <v>4</v>
      </c>
      <c r="F73" s="302">
        <v>4</v>
      </c>
      <c r="G73" s="42">
        <v>6</v>
      </c>
      <c r="H73" s="42">
        <v>8</v>
      </c>
      <c r="I73" s="42">
        <v>11</v>
      </c>
      <c r="J73" s="42">
        <v>15</v>
      </c>
      <c r="K73" s="239">
        <v>19</v>
      </c>
      <c r="L73" s="237">
        <v>14</v>
      </c>
      <c r="M73" s="238">
        <v>14</v>
      </c>
      <c r="N73" s="239">
        <v>14</v>
      </c>
      <c r="O73" s="237">
        <v>8</v>
      </c>
      <c r="P73" s="241">
        <f t="shared" si="6"/>
        <v>126</v>
      </c>
      <c r="Q73" s="144"/>
    </row>
    <row r="74" spans="1:18" s="171" customFormat="1" x14ac:dyDescent="0.25">
      <c r="A74" s="820"/>
      <c r="B74" s="820"/>
      <c r="C74" s="547" t="s">
        <v>206</v>
      </c>
      <c r="D74" s="548"/>
      <c r="E74" s="548"/>
      <c r="F74" s="548"/>
      <c r="G74" s="548"/>
      <c r="H74" s="548"/>
      <c r="I74" s="548"/>
      <c r="J74" s="548"/>
      <c r="K74" s="678">
        <f>SUM(K75:K76)</f>
        <v>49</v>
      </c>
      <c r="L74" s="727">
        <v>48</v>
      </c>
      <c r="M74" s="238">
        <v>39</v>
      </c>
      <c r="N74" s="239">
        <v>20</v>
      </c>
      <c r="O74" s="42">
        <v>1</v>
      </c>
      <c r="P74" s="241">
        <f t="shared" si="6"/>
        <v>157</v>
      </c>
      <c r="Q74" s="144"/>
      <c r="R74"/>
    </row>
    <row r="75" spans="1:18" s="171" customFormat="1" x14ac:dyDescent="0.25">
      <c r="A75" s="820"/>
      <c r="B75" s="820"/>
      <c r="C75" s="459" t="s">
        <v>208</v>
      </c>
      <c r="D75" s="496"/>
      <c r="E75" s="496"/>
      <c r="F75" s="496"/>
      <c r="G75" s="496"/>
      <c r="H75" s="496"/>
      <c r="I75" s="496"/>
      <c r="J75" s="496"/>
      <c r="K75" s="673">
        <v>9</v>
      </c>
      <c r="L75" s="730">
        <v>7</v>
      </c>
      <c r="M75" s="446">
        <v>5</v>
      </c>
      <c r="N75" s="496">
        <v>2</v>
      </c>
      <c r="O75" s="446">
        <v>0</v>
      </c>
      <c r="P75" s="241">
        <f t="shared" si="6"/>
        <v>23</v>
      </c>
      <c r="Q75" s="501"/>
    </row>
    <row r="76" spans="1:18" s="171" customFormat="1" x14ac:dyDescent="0.25">
      <c r="A76" s="820"/>
      <c r="B76" s="820"/>
      <c r="C76" s="459" t="s">
        <v>207</v>
      </c>
      <c r="D76" s="496"/>
      <c r="E76" s="497"/>
      <c r="F76" s="497"/>
      <c r="G76" s="498"/>
      <c r="H76" s="498"/>
      <c r="I76" s="498"/>
      <c r="J76" s="498"/>
      <c r="K76" s="673">
        <v>40</v>
      </c>
      <c r="L76" s="727">
        <v>41</v>
      </c>
      <c r="M76" s="238">
        <v>34</v>
      </c>
      <c r="N76" s="499">
        <v>18</v>
      </c>
      <c r="O76" s="42">
        <v>1</v>
      </c>
      <c r="P76" s="241">
        <f t="shared" si="6"/>
        <v>134</v>
      </c>
      <c r="Q76" s="501"/>
    </row>
    <row r="77" spans="1:18" x14ac:dyDescent="0.25">
      <c r="A77" s="820"/>
      <c r="B77" s="820"/>
      <c r="C77" s="455" t="s">
        <v>135</v>
      </c>
      <c r="D77" s="447">
        <v>24</v>
      </c>
      <c r="E77" s="302">
        <v>27</v>
      </c>
      <c r="F77" s="302">
        <v>15</v>
      </c>
      <c r="G77" s="42">
        <v>31</v>
      </c>
      <c r="H77" s="42">
        <v>35</v>
      </c>
      <c r="I77" s="42">
        <v>31</v>
      </c>
      <c r="J77" s="42">
        <v>35</v>
      </c>
      <c r="K77" s="680">
        <v>30</v>
      </c>
      <c r="L77" s="237">
        <v>23</v>
      </c>
      <c r="M77" s="238">
        <v>10</v>
      </c>
      <c r="N77" s="499">
        <v>18</v>
      </c>
      <c r="O77" s="42">
        <v>20</v>
      </c>
      <c r="P77" s="241">
        <f>SUM(D77:O77)</f>
        <v>299</v>
      </c>
      <c r="Q77" s="501"/>
      <c r="R77" s="171"/>
    </row>
    <row r="78" spans="1:18" x14ac:dyDescent="0.25">
      <c r="A78" s="820"/>
      <c r="B78" s="820"/>
      <c r="C78" s="455" t="s">
        <v>80</v>
      </c>
      <c r="D78" s="447">
        <v>12</v>
      </c>
      <c r="E78" s="302">
        <v>25</v>
      </c>
      <c r="F78" s="302">
        <v>11</v>
      </c>
      <c r="G78" s="42">
        <v>22</v>
      </c>
      <c r="H78" s="42">
        <v>11</v>
      </c>
      <c r="I78" s="42">
        <v>11</v>
      </c>
      <c r="J78" s="42">
        <v>12</v>
      </c>
      <c r="K78" s="239">
        <v>22</v>
      </c>
      <c r="L78" s="237">
        <v>14</v>
      </c>
      <c r="M78" s="238">
        <v>9</v>
      </c>
      <c r="N78" s="239">
        <v>17</v>
      </c>
      <c r="O78" s="237">
        <v>21</v>
      </c>
      <c r="P78" s="240">
        <f t="shared" si="6"/>
        <v>187</v>
      </c>
      <c r="Q78" s="144"/>
    </row>
    <row r="79" spans="1:18" x14ac:dyDescent="0.25">
      <c r="A79" s="820"/>
      <c r="B79" s="820"/>
      <c r="C79" s="455" t="s">
        <v>81</v>
      </c>
      <c r="D79" s="447" t="s">
        <v>181</v>
      </c>
      <c r="E79" s="303">
        <v>875</v>
      </c>
      <c r="F79" s="303">
        <v>2600</v>
      </c>
      <c r="G79" s="242">
        <v>1400</v>
      </c>
      <c r="H79" s="242">
        <v>1800</v>
      </c>
      <c r="I79" s="368">
        <v>7100</v>
      </c>
      <c r="J79" s="368">
        <v>6200</v>
      </c>
      <c r="K79" s="681">
        <v>6500</v>
      </c>
      <c r="L79" s="243">
        <v>5700</v>
      </c>
      <c r="M79" s="757">
        <v>3700</v>
      </c>
      <c r="N79" s="778">
        <v>6500</v>
      </c>
      <c r="O79" s="244">
        <v>3000</v>
      </c>
      <c r="P79" s="245">
        <f t="shared" si="6"/>
        <v>45375</v>
      </c>
      <c r="Q79" s="144"/>
    </row>
    <row r="80" spans="1:18" ht="15.75" customHeight="1" thickBot="1" x14ac:dyDescent="0.3">
      <c r="A80" s="820"/>
      <c r="B80" s="820"/>
      <c r="C80" s="456" t="s">
        <v>79</v>
      </c>
      <c r="D80" s="448">
        <v>9</v>
      </c>
      <c r="E80" s="431">
        <v>13</v>
      </c>
      <c r="F80" s="431">
        <v>12</v>
      </c>
      <c r="G80" s="432">
        <v>26</v>
      </c>
      <c r="H80" s="432">
        <v>27</v>
      </c>
      <c r="I80" s="432">
        <v>23</v>
      </c>
      <c r="J80" s="432">
        <v>12</v>
      </c>
      <c r="K80" s="682">
        <v>10</v>
      </c>
      <c r="L80" s="433">
        <v>10</v>
      </c>
      <c r="M80" s="434">
        <v>9</v>
      </c>
      <c r="N80" s="435">
        <v>11</v>
      </c>
      <c r="O80" s="433">
        <v>8</v>
      </c>
      <c r="P80" s="436">
        <f t="shared" si="6"/>
        <v>170</v>
      </c>
      <c r="Q80" s="437"/>
    </row>
    <row r="81" spans="1:18" ht="15.75" customHeight="1" x14ac:dyDescent="0.25">
      <c r="A81" s="820"/>
      <c r="B81" s="832" t="s">
        <v>219</v>
      </c>
      <c r="C81" s="554" t="s">
        <v>85</v>
      </c>
      <c r="D81" s="304">
        <v>5409</v>
      </c>
      <c r="E81" s="304">
        <v>6085</v>
      </c>
      <c r="F81" s="304">
        <v>4712</v>
      </c>
      <c r="G81" s="151">
        <v>6274</v>
      </c>
      <c r="H81" s="151">
        <v>4503</v>
      </c>
      <c r="I81" s="151">
        <v>4464</v>
      </c>
      <c r="J81" s="151">
        <v>2815</v>
      </c>
      <c r="K81" s="151">
        <v>2439</v>
      </c>
      <c r="L81" s="151">
        <v>2175</v>
      </c>
      <c r="M81" s="232">
        <v>3580</v>
      </c>
      <c r="N81" s="151">
        <v>3493</v>
      </c>
      <c r="O81" s="151">
        <v>4194</v>
      </c>
      <c r="P81" s="440">
        <f t="shared" ref="P81" si="8">SUM(D81:O81)</f>
        <v>50143</v>
      </c>
      <c r="Q81" s="43"/>
    </row>
    <row r="82" spans="1:18" ht="15.75" customHeight="1" thickBot="1" x14ac:dyDescent="0.3">
      <c r="A82" s="821"/>
      <c r="B82" s="833"/>
      <c r="C82" s="553" t="s">
        <v>84</v>
      </c>
      <c r="D82" s="534">
        <v>69</v>
      </c>
      <c r="E82" s="534">
        <v>69</v>
      </c>
      <c r="F82" s="534">
        <v>73</v>
      </c>
      <c r="G82" s="152">
        <v>80</v>
      </c>
      <c r="H82" s="152">
        <v>83</v>
      </c>
      <c r="I82" s="152">
        <v>72</v>
      </c>
      <c r="J82" s="152">
        <v>78</v>
      </c>
      <c r="K82" s="152">
        <v>68</v>
      </c>
      <c r="L82" s="441">
        <v>55</v>
      </c>
      <c r="M82" s="758">
        <v>58</v>
      </c>
      <c r="N82" s="152">
        <v>54</v>
      </c>
      <c r="O82" s="799">
        <f>46+12</f>
        <v>58</v>
      </c>
      <c r="P82" s="441">
        <f t="shared" ref="P82:P90" si="9">SUM(D82:O82)</f>
        <v>817</v>
      </c>
      <c r="Q82" s="442">
        <f>SUM(P82/5)</f>
        <v>163.4</v>
      </c>
      <c r="R82" s="430"/>
    </row>
    <row r="83" spans="1:18" ht="48.75" customHeight="1" x14ac:dyDescent="0.25">
      <c r="A83" s="837" t="s">
        <v>137</v>
      </c>
      <c r="B83" s="829"/>
      <c r="C83" s="341" t="s">
        <v>89</v>
      </c>
      <c r="D83" s="29">
        <v>0</v>
      </c>
      <c r="E83" s="29">
        <v>0</v>
      </c>
      <c r="F83" s="29">
        <v>0</v>
      </c>
      <c r="G83" s="401">
        <v>0</v>
      </c>
      <c r="H83" s="401">
        <v>0</v>
      </c>
      <c r="I83" s="401">
        <v>0</v>
      </c>
      <c r="J83" s="401">
        <v>0</v>
      </c>
      <c r="K83" s="683" t="s">
        <v>220</v>
      </c>
      <c r="L83" s="180">
        <v>2</v>
      </c>
      <c r="M83" s="438"/>
      <c r="N83" s="378"/>
      <c r="O83" s="180"/>
      <c r="P83" s="172">
        <f t="shared" si="9"/>
        <v>2</v>
      </c>
      <c r="Q83" s="439">
        <f>SUM(P83/150000)</f>
        <v>1.3333333333333333E-5</v>
      </c>
    </row>
    <row r="84" spans="1:18" x14ac:dyDescent="0.25">
      <c r="A84" s="838"/>
      <c r="B84" s="830"/>
      <c r="C84" s="342" t="s">
        <v>87</v>
      </c>
      <c r="D84" s="159">
        <v>0</v>
      </c>
      <c r="E84" s="159">
        <v>60729</v>
      </c>
      <c r="F84" s="159">
        <v>20000</v>
      </c>
      <c r="G84" s="551">
        <v>0</v>
      </c>
      <c r="H84" s="551">
        <v>0</v>
      </c>
      <c r="I84" s="552">
        <v>0</v>
      </c>
      <c r="J84" s="551">
        <v>85521.59</v>
      </c>
      <c r="K84" s="683" t="s">
        <v>220</v>
      </c>
      <c r="L84" s="786">
        <v>3755000</v>
      </c>
      <c r="M84" s="47">
        <v>16812</v>
      </c>
      <c r="N84" s="48">
        <v>1182360</v>
      </c>
      <c r="O84" s="154">
        <v>155000</v>
      </c>
      <c r="P84" s="172">
        <f t="shared" si="9"/>
        <v>5275422.59</v>
      </c>
      <c r="Q84" s="49">
        <f>SUM(P84/125000)</f>
        <v>42.203380719999998</v>
      </c>
    </row>
    <row r="85" spans="1:18" x14ac:dyDescent="0.25">
      <c r="A85" s="838"/>
      <c r="B85" s="830"/>
      <c r="C85" s="342" t="s">
        <v>88</v>
      </c>
      <c r="D85" s="159"/>
      <c r="E85" s="159">
        <v>14145</v>
      </c>
      <c r="F85" s="159">
        <v>3026.38</v>
      </c>
      <c r="G85" s="46">
        <v>20164</v>
      </c>
      <c r="H85" s="45">
        <v>7762</v>
      </c>
      <c r="I85" s="423">
        <v>9473</v>
      </c>
      <c r="J85" s="418">
        <v>7604.62</v>
      </c>
      <c r="K85" s="683" t="s">
        <v>220</v>
      </c>
      <c r="L85" s="787">
        <v>8219.2099999999991</v>
      </c>
      <c r="M85" s="155">
        <v>47738.89</v>
      </c>
      <c r="N85" s="156">
        <v>8968.5499999999993</v>
      </c>
      <c r="O85" s="204">
        <v>6694.54</v>
      </c>
      <c r="P85" s="172">
        <f t="shared" si="9"/>
        <v>133796.19</v>
      </c>
      <c r="Q85" s="158"/>
    </row>
    <row r="86" spans="1:18" x14ac:dyDescent="0.25">
      <c r="A86" s="838"/>
      <c r="B86" s="830"/>
      <c r="C86" s="342" t="s">
        <v>133</v>
      </c>
      <c r="D86" s="272"/>
      <c r="E86" s="272">
        <v>28780</v>
      </c>
      <c r="F86" s="272">
        <v>60302.37</v>
      </c>
      <c r="G86" s="153">
        <v>70578</v>
      </c>
      <c r="H86" s="424">
        <v>79598</v>
      </c>
      <c r="I86" s="424">
        <v>59723</v>
      </c>
      <c r="J86" s="419">
        <f>86304.46 + 10360.52</f>
        <v>96664.98000000001</v>
      </c>
      <c r="K86" s="683" t="s">
        <v>220</v>
      </c>
      <c r="L86" s="787">
        <v>35811.68</v>
      </c>
      <c r="M86" s="155">
        <v>41195.74</v>
      </c>
      <c r="N86" s="156">
        <v>8968.5499999999993</v>
      </c>
      <c r="O86" s="204">
        <v>121180.06</v>
      </c>
      <c r="P86" s="336">
        <f t="shared" si="9"/>
        <v>602802.37999999989</v>
      </c>
      <c r="Q86" s="158"/>
    </row>
    <row r="87" spans="1:18" x14ac:dyDescent="0.25">
      <c r="A87" s="838"/>
      <c r="B87" s="830"/>
      <c r="C87" s="342" t="s">
        <v>155</v>
      </c>
      <c r="D87" s="198"/>
      <c r="E87" s="198">
        <v>7</v>
      </c>
      <c r="F87" s="198">
        <v>4</v>
      </c>
      <c r="G87" s="335">
        <v>5</v>
      </c>
      <c r="H87" s="384">
        <v>5</v>
      </c>
      <c r="I87" s="384">
        <v>7</v>
      </c>
      <c r="J87" s="404">
        <v>31</v>
      </c>
      <c r="K87" s="683" t="s">
        <v>220</v>
      </c>
      <c r="L87" s="157">
        <v>2</v>
      </c>
      <c r="M87" s="267">
        <v>3</v>
      </c>
      <c r="N87" s="156">
        <v>1</v>
      </c>
      <c r="O87" s="204"/>
      <c r="P87" s="336">
        <f t="shared" si="9"/>
        <v>65</v>
      </c>
      <c r="Q87" s="158"/>
    </row>
    <row r="88" spans="1:18" x14ac:dyDescent="0.25">
      <c r="A88" s="838"/>
      <c r="B88" s="830"/>
      <c r="C88" s="342" t="s">
        <v>156</v>
      </c>
      <c r="D88" s="198"/>
      <c r="E88" s="198">
        <v>21</v>
      </c>
      <c r="F88" s="198">
        <v>27</v>
      </c>
      <c r="G88" s="335">
        <v>30</v>
      </c>
      <c r="H88" s="384">
        <v>28</v>
      </c>
      <c r="I88" s="384">
        <v>30</v>
      </c>
      <c r="J88" s="404">
        <v>28</v>
      </c>
      <c r="K88" s="683" t="s">
        <v>220</v>
      </c>
      <c r="L88" s="157">
        <v>22</v>
      </c>
      <c r="M88" s="267">
        <v>21</v>
      </c>
      <c r="N88" s="156">
        <v>19</v>
      </c>
      <c r="O88" s="808">
        <v>19</v>
      </c>
      <c r="P88" s="336">
        <f t="shared" si="9"/>
        <v>245</v>
      </c>
      <c r="Q88" s="158"/>
    </row>
    <row r="89" spans="1:18" ht="15.75" customHeight="1" x14ac:dyDescent="0.25">
      <c r="A89" s="838"/>
      <c r="B89" s="830"/>
      <c r="C89" s="342" t="s">
        <v>157</v>
      </c>
      <c r="D89" s="198">
        <v>11802</v>
      </c>
      <c r="E89" s="198">
        <v>10121</v>
      </c>
      <c r="F89" s="198">
        <v>3725</v>
      </c>
      <c r="G89" s="335">
        <v>45212</v>
      </c>
      <c r="H89" s="384">
        <v>6344</v>
      </c>
      <c r="I89" s="384">
        <v>15753</v>
      </c>
      <c r="J89" s="404">
        <v>30589</v>
      </c>
      <c r="K89" s="683" t="s">
        <v>220</v>
      </c>
      <c r="L89" s="14">
        <v>23921</v>
      </c>
      <c r="M89" s="267">
        <v>25495</v>
      </c>
      <c r="N89" s="199">
        <v>27100</v>
      </c>
      <c r="O89" s="157">
        <v>22836</v>
      </c>
      <c r="P89" s="807">
        <f t="shared" si="9"/>
        <v>222898</v>
      </c>
      <c r="Q89" s="158"/>
    </row>
    <row r="90" spans="1:18" ht="15.75" customHeight="1" thickBot="1" x14ac:dyDescent="0.3">
      <c r="A90" s="839"/>
      <c r="B90" s="831"/>
      <c r="C90" s="364" t="s">
        <v>86</v>
      </c>
      <c r="D90" s="407">
        <v>2</v>
      </c>
      <c r="E90" s="407">
        <v>1</v>
      </c>
      <c r="F90" s="407">
        <v>0</v>
      </c>
      <c r="G90" s="399">
        <v>0</v>
      </c>
      <c r="H90" s="399">
        <v>0</v>
      </c>
      <c r="I90" s="399">
        <v>0</v>
      </c>
      <c r="J90" s="399">
        <v>1</v>
      </c>
      <c r="K90" s="683" t="s">
        <v>220</v>
      </c>
      <c r="L90" s="14">
        <v>1</v>
      </c>
      <c r="M90" s="14">
        <v>0</v>
      </c>
      <c r="N90" s="14">
        <v>0</v>
      </c>
      <c r="O90" s="14">
        <v>1</v>
      </c>
      <c r="P90" s="157">
        <f t="shared" si="9"/>
        <v>6</v>
      </c>
      <c r="Q90" s="809">
        <f>SUM(6/15)</f>
        <v>0.4</v>
      </c>
    </row>
    <row r="91" spans="1:18" ht="15.75" thickBot="1" x14ac:dyDescent="0.3">
      <c r="A91" s="819" t="s">
        <v>90</v>
      </c>
      <c r="B91" s="819"/>
      <c r="C91" s="745" t="s">
        <v>91</v>
      </c>
      <c r="D91" s="555">
        <v>38</v>
      </c>
      <c r="E91" s="305">
        <v>22</v>
      </c>
      <c r="F91" s="305">
        <v>30</v>
      </c>
      <c r="G91" s="370">
        <v>38</v>
      </c>
      <c r="H91" s="370">
        <v>48</v>
      </c>
      <c r="I91" s="370">
        <v>49</v>
      </c>
      <c r="J91" s="370">
        <v>65</v>
      </c>
      <c r="K91" s="684">
        <v>54</v>
      </c>
      <c r="L91" s="731">
        <v>60</v>
      </c>
      <c r="M91" s="402">
        <v>46</v>
      </c>
      <c r="N91" s="40">
        <v>86</v>
      </c>
      <c r="O91" s="402">
        <v>41</v>
      </c>
      <c r="P91" s="54">
        <f>SUM(D91:O91)</f>
        <v>577</v>
      </c>
      <c r="Q91" s="750">
        <f>SUM(P91/600)</f>
        <v>0.96166666666666667</v>
      </c>
    </row>
    <row r="92" spans="1:18" ht="15.75" thickBot="1" x14ac:dyDescent="0.3">
      <c r="A92" s="820"/>
      <c r="B92" s="820"/>
      <c r="C92" s="746" t="s">
        <v>94</v>
      </c>
      <c r="D92" s="556">
        <v>50</v>
      </c>
      <c r="E92" s="306">
        <v>46</v>
      </c>
      <c r="F92" s="306">
        <v>66.75</v>
      </c>
      <c r="G92" s="369">
        <v>53</v>
      </c>
      <c r="H92" s="369">
        <v>45</v>
      </c>
      <c r="I92" s="369">
        <v>57.5</v>
      </c>
      <c r="J92" s="369">
        <v>53</v>
      </c>
      <c r="K92" s="685">
        <v>69</v>
      </c>
      <c r="L92" s="742">
        <v>61</v>
      </c>
      <c r="M92" s="40">
        <v>50</v>
      </c>
      <c r="N92" s="40">
        <v>46.5</v>
      </c>
      <c r="O92" s="402">
        <v>57.5</v>
      </c>
      <c r="P92" s="55">
        <f t="shared" ref="P92:P96" si="10">SUM(D92:O92)</f>
        <v>655.25</v>
      </c>
      <c r="Q92" s="53">
        <f>SUM(P92/600)</f>
        <v>1.0920833333333333</v>
      </c>
    </row>
    <row r="93" spans="1:18" ht="15.75" thickBot="1" x14ac:dyDescent="0.3">
      <c r="A93" s="820"/>
      <c r="B93" s="820"/>
      <c r="C93" s="746" t="s">
        <v>164</v>
      </c>
      <c r="D93" s="556">
        <v>5</v>
      </c>
      <c r="E93" s="306">
        <v>6</v>
      </c>
      <c r="F93" s="306">
        <v>3</v>
      </c>
      <c r="G93" s="369">
        <v>6</v>
      </c>
      <c r="H93" s="369">
        <v>13</v>
      </c>
      <c r="I93" s="369">
        <v>18</v>
      </c>
      <c r="J93" s="369">
        <v>16</v>
      </c>
      <c r="K93" s="685">
        <v>10</v>
      </c>
      <c r="L93" s="742">
        <v>12</v>
      </c>
      <c r="M93" s="40">
        <v>15</v>
      </c>
      <c r="N93" s="40">
        <v>20</v>
      </c>
      <c r="O93" s="402">
        <v>5</v>
      </c>
      <c r="P93" s="55">
        <f t="shared" si="10"/>
        <v>129</v>
      </c>
      <c r="Q93" s="53">
        <f>SUM(P93/125)</f>
        <v>1.032</v>
      </c>
    </row>
    <row r="94" spans="1:18" ht="15.75" thickBot="1" x14ac:dyDescent="0.3">
      <c r="A94" s="820"/>
      <c r="B94" s="820"/>
      <c r="C94" s="746" t="s">
        <v>165</v>
      </c>
      <c r="D94" s="557">
        <v>92380</v>
      </c>
      <c r="E94" s="355">
        <v>289446</v>
      </c>
      <c r="F94" s="355">
        <v>216300</v>
      </c>
      <c r="G94" s="161">
        <v>0</v>
      </c>
      <c r="H94" s="161">
        <v>174600</v>
      </c>
      <c r="I94" s="374">
        <v>0</v>
      </c>
      <c r="J94" s="420">
        <v>195700</v>
      </c>
      <c r="K94" s="686">
        <v>0</v>
      </c>
      <c r="L94" s="742">
        <v>0</v>
      </c>
      <c r="M94" s="40" t="s">
        <v>232</v>
      </c>
      <c r="N94" s="40" t="s">
        <v>232</v>
      </c>
      <c r="O94" s="801">
        <f>+'[1]FY23 KPIs'!Q93</f>
        <v>0</v>
      </c>
      <c r="P94" s="162">
        <f t="shared" si="10"/>
        <v>968426</v>
      </c>
      <c r="Q94" s="53">
        <f>SUM(P94/2000000)</f>
        <v>0.484213</v>
      </c>
    </row>
    <row r="95" spans="1:18" ht="15.75" thickBot="1" x14ac:dyDescent="0.3">
      <c r="A95" s="820"/>
      <c r="B95" s="820"/>
      <c r="C95" s="746" t="s">
        <v>166</v>
      </c>
      <c r="D95" s="557">
        <v>15000</v>
      </c>
      <c r="E95" s="355">
        <v>15000</v>
      </c>
      <c r="F95" s="355">
        <v>156601</v>
      </c>
      <c r="G95" s="161">
        <v>0</v>
      </c>
      <c r="H95" s="161">
        <v>186000</v>
      </c>
      <c r="I95" s="374">
        <v>0</v>
      </c>
      <c r="J95" s="420">
        <v>76000</v>
      </c>
      <c r="K95" s="687">
        <v>245000</v>
      </c>
      <c r="L95" s="784">
        <v>50000</v>
      </c>
      <c r="M95" s="740">
        <v>119135.07</v>
      </c>
      <c r="N95" s="740">
        <v>234000</v>
      </c>
      <c r="O95" s="801">
        <v>103500</v>
      </c>
      <c r="P95" s="162">
        <f t="shared" si="10"/>
        <v>1200236.07</v>
      </c>
      <c r="Q95" s="53">
        <f>SUM(P95/1600000)</f>
        <v>0.75014754375000003</v>
      </c>
    </row>
    <row r="96" spans="1:18" ht="15.75" thickBot="1" x14ac:dyDescent="0.3">
      <c r="A96" s="820"/>
      <c r="B96" s="820"/>
      <c r="C96" s="746" t="s">
        <v>167</v>
      </c>
      <c r="D96" s="556">
        <v>242</v>
      </c>
      <c r="E96" s="306">
        <v>220</v>
      </c>
      <c r="F96" s="356">
        <v>203</v>
      </c>
      <c r="G96" s="369">
        <v>318</v>
      </c>
      <c r="H96" s="369">
        <v>312</v>
      </c>
      <c r="I96" s="369">
        <v>311</v>
      </c>
      <c r="J96" s="369">
        <v>365</v>
      </c>
      <c r="K96" s="685">
        <v>447</v>
      </c>
      <c r="L96" s="742">
        <v>237</v>
      </c>
      <c r="M96" s="40">
        <v>229.5</v>
      </c>
      <c r="N96" s="40">
        <v>333</v>
      </c>
      <c r="O96" s="402">
        <v>361.25</v>
      </c>
      <c r="P96" s="55">
        <f t="shared" si="10"/>
        <v>3578.75</v>
      </c>
      <c r="Q96" s="53">
        <f>SUM(P96/6000)</f>
        <v>0.59645833333333331</v>
      </c>
    </row>
    <row r="97" spans="1:19" ht="15.75" thickBot="1" x14ac:dyDescent="0.3">
      <c r="A97" s="820"/>
      <c r="B97" s="820"/>
      <c r="C97" s="746" t="s">
        <v>93</v>
      </c>
      <c r="D97" s="558">
        <v>0.23200000000000001</v>
      </c>
      <c r="E97" s="357">
        <v>0.161</v>
      </c>
      <c r="F97" s="357">
        <v>0.122</v>
      </c>
      <c r="G97" s="372">
        <v>0.12790000000000001</v>
      </c>
      <c r="H97" s="373">
        <v>0.1273</v>
      </c>
      <c r="I97" s="372">
        <v>0.1409</v>
      </c>
      <c r="J97" s="373">
        <v>0.1399</v>
      </c>
      <c r="K97" s="688">
        <v>0.14099999999999999</v>
      </c>
      <c r="L97" s="743">
        <v>0.18</v>
      </c>
      <c r="M97" s="147">
        <v>0.16200000000000001</v>
      </c>
      <c r="N97" s="781">
        <v>0.11</v>
      </c>
      <c r="O97" s="802">
        <v>0.124</v>
      </c>
      <c r="P97" s="59">
        <f>AVERAGE(D97:O97)</f>
        <v>0.14733333333333332</v>
      </c>
      <c r="Q97" s="53"/>
    </row>
    <row r="98" spans="1:19" ht="15.75" thickBot="1" x14ac:dyDescent="0.3">
      <c r="A98" s="820"/>
      <c r="B98" s="820"/>
      <c r="C98" s="746" t="s">
        <v>102</v>
      </c>
      <c r="D98" s="556">
        <v>1</v>
      </c>
      <c r="E98" s="306">
        <v>0</v>
      </c>
      <c r="F98" s="306">
        <v>4.5</v>
      </c>
      <c r="G98" s="369">
        <v>0</v>
      </c>
      <c r="H98" s="369">
        <v>0</v>
      </c>
      <c r="I98" s="392">
        <v>0</v>
      </c>
      <c r="J98" s="392">
        <v>0</v>
      </c>
      <c r="K98" s="688">
        <v>0</v>
      </c>
      <c r="L98" s="742">
        <v>0</v>
      </c>
      <c r="M98" s="40">
        <v>0</v>
      </c>
      <c r="N98" s="40">
        <v>0</v>
      </c>
      <c r="O98" s="402">
        <f>+'[1]FY23 KPIs'!Q97</f>
        <v>0</v>
      </c>
      <c r="P98" s="361">
        <f>SUM(D98:O98)</f>
        <v>5.5</v>
      </c>
      <c r="Q98" s="53">
        <f>SUM(P98/20)</f>
        <v>0.27500000000000002</v>
      </c>
    </row>
    <row r="99" spans="1:19" ht="15.75" thickBot="1" x14ac:dyDescent="0.3">
      <c r="A99" s="820"/>
      <c r="B99" s="820"/>
      <c r="C99" s="746" t="s">
        <v>168</v>
      </c>
      <c r="D99" s="559">
        <v>0</v>
      </c>
      <c r="E99" s="306">
        <v>0</v>
      </c>
      <c r="F99" s="306">
        <v>0</v>
      </c>
      <c r="G99" s="371">
        <v>0</v>
      </c>
      <c r="H99" s="371">
        <v>160</v>
      </c>
      <c r="I99" s="369">
        <v>179</v>
      </c>
      <c r="J99" s="369">
        <v>178</v>
      </c>
      <c r="K99" s="685">
        <v>15</v>
      </c>
      <c r="L99" s="742">
        <v>0</v>
      </c>
      <c r="M99" s="40">
        <v>0</v>
      </c>
      <c r="N99" s="40">
        <v>0</v>
      </c>
      <c r="O99" s="402">
        <f>+'[1]FY23 KPIs'!Q98</f>
        <v>0</v>
      </c>
      <c r="P99" s="361">
        <f>SUM(D99:O99)</f>
        <v>532</v>
      </c>
      <c r="Q99" s="53">
        <f>SUM(P99/550)</f>
        <v>0.96727272727272728</v>
      </c>
    </row>
    <row r="100" spans="1:19" ht="15.75" thickBot="1" x14ac:dyDescent="0.3">
      <c r="A100" s="820"/>
      <c r="B100" s="820"/>
      <c r="C100" s="746" t="s">
        <v>169</v>
      </c>
      <c r="D100" s="533">
        <v>0</v>
      </c>
      <c r="E100" s="306">
        <v>0</v>
      </c>
      <c r="F100" s="306">
        <v>0</v>
      </c>
      <c r="G100" s="358">
        <v>0</v>
      </c>
      <c r="H100" s="371">
        <v>0</v>
      </c>
      <c r="I100" s="371">
        <v>0</v>
      </c>
      <c r="J100" s="371">
        <v>0</v>
      </c>
      <c r="K100" s="689">
        <v>0</v>
      </c>
      <c r="L100" s="742">
        <v>0</v>
      </c>
      <c r="M100" s="40">
        <v>0</v>
      </c>
      <c r="N100" s="40">
        <v>0</v>
      </c>
      <c r="O100" s="402">
        <f>+'[1]FY23 KPIs'!Q99</f>
        <v>0</v>
      </c>
      <c r="P100" s="55">
        <f t="shared" ref="P100:P103" si="11">SUM(D100:O100)</f>
        <v>0</v>
      </c>
      <c r="Q100" s="53">
        <f>SUM(P100/4)</f>
        <v>0</v>
      </c>
    </row>
    <row r="101" spans="1:19" ht="15.75" thickBot="1" x14ac:dyDescent="0.3">
      <c r="A101" s="820"/>
      <c r="B101" s="820"/>
      <c r="C101" s="746" t="s">
        <v>92</v>
      </c>
      <c r="D101" s="556">
        <v>4</v>
      </c>
      <c r="E101" s="306">
        <v>6.75</v>
      </c>
      <c r="F101" s="306">
        <v>6.5</v>
      </c>
      <c r="G101" s="369">
        <v>15.25</v>
      </c>
      <c r="H101" s="369">
        <v>19.75</v>
      </c>
      <c r="I101" s="371">
        <v>10.5</v>
      </c>
      <c r="J101" s="371">
        <v>9.5</v>
      </c>
      <c r="K101" s="689">
        <v>7.5</v>
      </c>
      <c r="L101" s="742">
        <v>0</v>
      </c>
      <c r="M101" s="40">
        <v>6.75</v>
      </c>
      <c r="N101" s="40">
        <v>5</v>
      </c>
      <c r="O101" s="402">
        <v>4.5</v>
      </c>
      <c r="P101" s="40">
        <f t="shared" si="11"/>
        <v>96</v>
      </c>
      <c r="Q101" s="53">
        <f>SUM(P101/100)</f>
        <v>0.96</v>
      </c>
    </row>
    <row r="102" spans="1:19" ht="15.75" customHeight="1" thickBot="1" x14ac:dyDescent="0.3">
      <c r="A102" s="820"/>
      <c r="B102" s="822"/>
      <c r="C102" s="747" t="s">
        <v>188</v>
      </c>
      <c r="D102" s="556">
        <v>34</v>
      </c>
      <c r="E102" s="306">
        <v>13</v>
      </c>
      <c r="F102" s="306">
        <v>16</v>
      </c>
      <c r="G102" s="306">
        <v>20</v>
      </c>
      <c r="H102" s="306">
        <v>83</v>
      </c>
      <c r="I102" s="371">
        <v>8</v>
      </c>
      <c r="J102" s="371">
        <v>12</v>
      </c>
      <c r="K102" s="690">
        <v>8</v>
      </c>
      <c r="L102" s="40">
        <v>9</v>
      </c>
      <c r="M102" s="40">
        <v>20</v>
      </c>
      <c r="N102" s="40">
        <v>8</v>
      </c>
      <c r="O102" s="402">
        <v>5</v>
      </c>
      <c r="P102" s="40">
        <f t="shared" si="11"/>
        <v>236</v>
      </c>
      <c r="Q102" s="53">
        <f>SUM(P102/120)</f>
        <v>1.9666666666666666</v>
      </c>
    </row>
    <row r="103" spans="1:19" ht="30.75" customHeight="1" thickBot="1" x14ac:dyDescent="0.3">
      <c r="A103" s="821"/>
      <c r="B103" s="821"/>
      <c r="C103" s="748" t="s">
        <v>189</v>
      </c>
      <c r="D103" s="751">
        <v>38</v>
      </c>
      <c r="E103" s="561">
        <v>27</v>
      </c>
      <c r="F103" s="561">
        <v>19</v>
      </c>
      <c r="G103" s="561">
        <v>33</v>
      </c>
      <c r="H103" s="561">
        <v>32</v>
      </c>
      <c r="I103" s="562">
        <v>41</v>
      </c>
      <c r="J103" s="562">
        <v>36</v>
      </c>
      <c r="K103" s="744">
        <v>42</v>
      </c>
      <c r="L103" s="41">
        <v>42</v>
      </c>
      <c r="M103" s="41">
        <v>46</v>
      </c>
      <c r="N103" s="40">
        <v>16</v>
      </c>
      <c r="O103" s="402">
        <v>5</v>
      </c>
      <c r="P103" s="560">
        <f t="shared" si="11"/>
        <v>377</v>
      </c>
      <c r="Q103" s="166"/>
    </row>
    <row r="104" spans="1:19" x14ac:dyDescent="0.25">
      <c r="A104" s="844" t="s">
        <v>191</v>
      </c>
      <c r="B104" s="819"/>
      <c r="C104" s="529" t="s">
        <v>192</v>
      </c>
      <c r="D104" s="749" t="s">
        <v>179</v>
      </c>
      <c r="E104" s="741" t="s">
        <v>179</v>
      </c>
      <c r="F104" s="741" t="s">
        <v>179</v>
      </c>
      <c r="G104" s="741" t="s">
        <v>179</v>
      </c>
      <c r="H104" s="741" t="s">
        <v>179</v>
      </c>
      <c r="I104" s="741" t="s">
        <v>179</v>
      </c>
      <c r="J104" s="550" t="s">
        <v>220</v>
      </c>
      <c r="K104" s="683" t="s">
        <v>220</v>
      </c>
      <c r="L104" s="741" t="s">
        <v>179</v>
      </c>
      <c r="M104" s="741" t="s">
        <v>179</v>
      </c>
      <c r="N104" s="741" t="s">
        <v>179</v>
      </c>
      <c r="O104" s="741" t="s">
        <v>179</v>
      </c>
      <c r="P104" s="741" t="s">
        <v>179</v>
      </c>
      <c r="Q104" s="750"/>
    </row>
    <row r="105" spans="1:19" x14ac:dyDescent="0.25">
      <c r="A105" s="842"/>
      <c r="B105" s="820"/>
      <c r="C105" s="530" t="s">
        <v>193</v>
      </c>
      <c r="D105" s="449" t="s">
        <v>179</v>
      </c>
      <c r="E105" s="306" t="s">
        <v>179</v>
      </c>
      <c r="F105" s="306" t="s">
        <v>179</v>
      </c>
      <c r="G105" s="306" t="s">
        <v>179</v>
      </c>
      <c r="H105" s="306" t="s">
        <v>179</v>
      </c>
      <c r="I105" s="306" t="s">
        <v>179</v>
      </c>
      <c r="J105" s="550" t="s">
        <v>220</v>
      </c>
      <c r="K105" s="683" t="s">
        <v>220</v>
      </c>
      <c r="L105" s="306" t="s">
        <v>179</v>
      </c>
      <c r="M105" s="306" t="s">
        <v>179</v>
      </c>
      <c r="N105" s="306" t="s">
        <v>179</v>
      </c>
      <c r="O105" s="306" t="s">
        <v>179</v>
      </c>
      <c r="P105" s="306" t="s">
        <v>179</v>
      </c>
      <c r="Q105" s="53"/>
    </row>
    <row r="106" spans="1:19" x14ac:dyDescent="0.25">
      <c r="A106" s="842"/>
      <c r="B106" s="820"/>
      <c r="C106" s="530" t="s">
        <v>194</v>
      </c>
      <c r="D106" s="449" t="s">
        <v>179</v>
      </c>
      <c r="E106" s="306" t="s">
        <v>179</v>
      </c>
      <c r="F106" s="306" t="s">
        <v>179</v>
      </c>
      <c r="G106" s="306" t="s">
        <v>179</v>
      </c>
      <c r="H106" s="306" t="s">
        <v>179</v>
      </c>
      <c r="I106" s="306" t="s">
        <v>179</v>
      </c>
      <c r="J106" s="550" t="s">
        <v>220</v>
      </c>
      <c r="K106" s="683" t="s">
        <v>220</v>
      </c>
      <c r="L106" s="306" t="s">
        <v>179</v>
      </c>
      <c r="M106" s="306" t="s">
        <v>179</v>
      </c>
      <c r="N106" s="306" t="s">
        <v>179</v>
      </c>
      <c r="O106" s="306" t="s">
        <v>179</v>
      </c>
      <c r="P106" s="306" t="s">
        <v>179</v>
      </c>
      <c r="Q106" s="53"/>
    </row>
    <row r="107" spans="1:19" ht="21" customHeight="1" thickBot="1" x14ac:dyDescent="0.3">
      <c r="A107" s="843"/>
      <c r="B107" s="821"/>
      <c r="C107" s="531" t="s">
        <v>195</v>
      </c>
      <c r="D107" s="450" t="s">
        <v>179</v>
      </c>
      <c r="E107" s="360" t="s">
        <v>179</v>
      </c>
      <c r="F107" s="360" t="s">
        <v>179</v>
      </c>
      <c r="G107" s="360" t="s">
        <v>179</v>
      </c>
      <c r="H107" s="360" t="s">
        <v>179</v>
      </c>
      <c r="I107" s="360" t="s">
        <v>179</v>
      </c>
      <c r="J107" s="550" t="s">
        <v>220</v>
      </c>
      <c r="K107" s="683" t="s">
        <v>220</v>
      </c>
      <c r="L107" s="360" t="s">
        <v>179</v>
      </c>
      <c r="M107" s="360" t="s">
        <v>179</v>
      </c>
      <c r="N107" s="360" t="s">
        <v>179</v>
      </c>
      <c r="O107" s="360" t="s">
        <v>179</v>
      </c>
      <c r="P107" s="360" t="s">
        <v>179</v>
      </c>
      <c r="Q107" s="367"/>
    </row>
    <row r="108" spans="1:19" ht="22.5" customHeight="1" x14ac:dyDescent="0.25">
      <c r="A108" s="840" t="s">
        <v>95</v>
      </c>
      <c r="B108" s="842"/>
      <c r="C108" s="622" t="s">
        <v>96</v>
      </c>
      <c r="D108" s="592">
        <v>68</v>
      </c>
      <c r="E108" s="289">
        <v>74</v>
      </c>
      <c r="F108" s="289">
        <v>76</v>
      </c>
      <c r="G108" s="401">
        <v>122</v>
      </c>
      <c r="H108" s="28">
        <v>76</v>
      </c>
      <c r="I108" s="28">
        <v>70</v>
      </c>
      <c r="J108" s="401">
        <v>82</v>
      </c>
      <c r="K108" s="28">
        <v>102</v>
      </c>
      <c r="L108" s="29">
        <v>67</v>
      </c>
      <c r="M108" s="401">
        <v>68</v>
      </c>
      <c r="N108" s="28">
        <v>104</v>
      </c>
      <c r="O108" s="29">
        <v>69</v>
      </c>
      <c r="P108" s="640">
        <f t="shared" ref="P108:P110" si="12">SUM(D108:O108)</f>
        <v>978</v>
      </c>
      <c r="Q108" s="641"/>
      <c r="S108" t="s">
        <v>134</v>
      </c>
    </row>
    <row r="109" spans="1:19" ht="27" customHeight="1" x14ac:dyDescent="0.25">
      <c r="A109" s="840"/>
      <c r="B109" s="842"/>
      <c r="C109" s="623" t="s">
        <v>97</v>
      </c>
      <c r="D109" s="574">
        <v>149</v>
      </c>
      <c r="E109" s="396">
        <v>141</v>
      </c>
      <c r="F109" s="396">
        <v>114</v>
      </c>
      <c r="G109" s="399">
        <v>166</v>
      </c>
      <c r="H109" s="625">
        <v>104</v>
      </c>
      <c r="I109" s="625">
        <v>107</v>
      </c>
      <c r="J109" s="399">
        <v>181</v>
      </c>
      <c r="K109" s="625">
        <v>256</v>
      </c>
      <c r="L109" s="407">
        <v>162</v>
      </c>
      <c r="M109" s="399">
        <v>209</v>
      </c>
      <c r="N109" s="625">
        <v>177</v>
      </c>
      <c r="O109" s="407">
        <v>166</v>
      </c>
      <c r="P109" s="642">
        <f t="shared" si="12"/>
        <v>1932</v>
      </c>
      <c r="Q109" s="643"/>
      <c r="R109" s="170">
        <f>SUM(P110/P109)</f>
        <v>290.12569875776404</v>
      </c>
    </row>
    <row r="110" spans="1:19" ht="18.75" customHeight="1" thickBot="1" x14ac:dyDescent="0.3">
      <c r="A110" s="841"/>
      <c r="B110" s="843"/>
      <c r="C110" s="624" t="s">
        <v>98</v>
      </c>
      <c r="D110" s="644">
        <v>32822.370000000003</v>
      </c>
      <c r="E110" s="645">
        <v>43503.839999999997</v>
      </c>
      <c r="F110" s="645">
        <v>41503.83</v>
      </c>
      <c r="G110" s="628">
        <v>39907.46</v>
      </c>
      <c r="H110" s="627">
        <v>46361.33</v>
      </c>
      <c r="I110" s="627">
        <v>47688.9</v>
      </c>
      <c r="J110" s="627">
        <v>45108.83</v>
      </c>
      <c r="K110" s="691">
        <v>72298.720000000001</v>
      </c>
      <c r="L110" s="627">
        <v>48681.06</v>
      </c>
      <c r="M110" s="628">
        <v>57022.1</v>
      </c>
      <c r="N110" s="628">
        <v>44241.72</v>
      </c>
      <c r="O110" s="627">
        <v>41382.69</v>
      </c>
      <c r="P110" s="646">
        <f t="shared" si="12"/>
        <v>560522.85000000009</v>
      </c>
      <c r="Q110" s="647"/>
      <c r="R110" s="171" t="s">
        <v>121</v>
      </c>
    </row>
    <row r="111" spans="1:19" ht="18.75" customHeight="1" x14ac:dyDescent="0.25">
      <c r="A111" s="845" t="s">
        <v>99</v>
      </c>
      <c r="B111" s="847"/>
      <c r="C111" s="457" t="s">
        <v>100</v>
      </c>
      <c r="D111" s="638" t="s">
        <v>179</v>
      </c>
      <c r="E111" s="639">
        <v>25</v>
      </c>
      <c r="F111" s="305">
        <v>23</v>
      </c>
      <c r="G111" s="140">
        <v>15</v>
      </c>
      <c r="H111" s="140">
        <v>14</v>
      </c>
      <c r="I111" s="140">
        <v>13</v>
      </c>
      <c r="J111" s="140">
        <v>18</v>
      </c>
      <c r="K111" s="692">
        <v>15</v>
      </c>
      <c r="L111" s="140">
        <v>16</v>
      </c>
      <c r="M111" s="140">
        <v>14</v>
      </c>
      <c r="N111" s="140">
        <v>15</v>
      </c>
      <c r="O111" s="140">
        <v>15</v>
      </c>
      <c r="P111" s="629">
        <f>AVERAGE(D111:O111)</f>
        <v>16.636363636363637</v>
      </c>
      <c r="Q111" s="104">
        <f>SUM(10/P111)</f>
        <v>0.60109289617486339</v>
      </c>
    </row>
    <row r="112" spans="1:19" ht="20.25" customHeight="1" thickBot="1" x14ac:dyDescent="0.3">
      <c r="A112" s="846"/>
      <c r="B112" s="848"/>
      <c r="C112" s="65" t="s">
        <v>101</v>
      </c>
      <c r="D112" s="449">
        <v>0</v>
      </c>
      <c r="E112" s="306">
        <v>2</v>
      </c>
      <c r="F112" s="306">
        <v>0</v>
      </c>
      <c r="G112" s="371">
        <v>0</v>
      </c>
      <c r="H112" s="371">
        <v>2</v>
      </c>
      <c r="I112" s="371">
        <v>0</v>
      </c>
      <c r="J112" s="371">
        <v>0</v>
      </c>
      <c r="K112" s="693">
        <v>0</v>
      </c>
      <c r="L112" s="358">
        <v>0</v>
      </c>
      <c r="M112" s="358">
        <v>0</v>
      </c>
      <c r="N112" s="358">
        <v>18</v>
      </c>
      <c r="O112" s="371">
        <v>0</v>
      </c>
      <c r="P112" s="100">
        <f>SUM(D112:O112)</f>
        <v>22</v>
      </c>
      <c r="Q112" s="107">
        <f>SUM(P112/25)</f>
        <v>0.88</v>
      </c>
    </row>
    <row r="113" spans="1:19" ht="30" x14ac:dyDescent="0.25">
      <c r="A113" s="852" t="s">
        <v>103</v>
      </c>
      <c r="B113" s="849" t="s">
        <v>163</v>
      </c>
      <c r="C113" s="630" t="s">
        <v>158</v>
      </c>
      <c r="D113" s="563">
        <v>4</v>
      </c>
      <c r="E113" s="136">
        <v>1</v>
      </c>
      <c r="F113" s="401">
        <v>1</v>
      </c>
      <c r="G113" s="401">
        <v>3</v>
      </c>
      <c r="H113" s="401">
        <v>17</v>
      </c>
      <c r="I113" s="401">
        <v>2</v>
      </c>
      <c r="J113" s="564">
        <v>11</v>
      </c>
      <c r="K113" s="28">
        <v>2</v>
      </c>
      <c r="L113" s="401">
        <v>1</v>
      </c>
      <c r="M113" s="229">
        <v>1</v>
      </c>
      <c r="N113" s="229">
        <v>3</v>
      </c>
      <c r="O113" s="28">
        <v>0</v>
      </c>
      <c r="P113" s="626">
        <f>SUM(D113:O113)</f>
        <v>46</v>
      </c>
      <c r="Q113" s="636">
        <f>AVERAGE(D113:O113)</f>
        <v>3.8333333333333335</v>
      </c>
    </row>
    <row r="114" spans="1:19" ht="30" x14ac:dyDescent="0.25">
      <c r="A114" s="853"/>
      <c r="B114" s="850"/>
      <c r="C114" s="631" t="s">
        <v>159</v>
      </c>
      <c r="D114" s="565">
        <v>1</v>
      </c>
      <c r="E114" s="400">
        <v>0</v>
      </c>
      <c r="F114" s="399">
        <v>0</v>
      </c>
      <c r="G114" s="399">
        <v>3</v>
      </c>
      <c r="H114" s="399">
        <v>27</v>
      </c>
      <c r="I114" s="399">
        <v>3</v>
      </c>
      <c r="J114" s="566">
        <v>14</v>
      </c>
      <c r="K114" s="625">
        <v>3</v>
      </c>
      <c r="L114" s="399">
        <v>5</v>
      </c>
      <c r="M114" s="399">
        <v>7</v>
      </c>
      <c r="N114" s="399">
        <v>0</v>
      </c>
      <c r="O114" s="625">
        <v>12</v>
      </c>
      <c r="P114" s="395"/>
      <c r="Q114" s="174"/>
    </row>
    <row r="115" spans="1:19" ht="30" x14ac:dyDescent="0.25">
      <c r="A115" s="853"/>
      <c r="B115" s="850"/>
      <c r="C115" s="269" t="s">
        <v>160</v>
      </c>
      <c r="D115" s="565">
        <v>265</v>
      </c>
      <c r="E115" s="400">
        <v>278</v>
      </c>
      <c r="F115" s="400">
        <v>170</v>
      </c>
      <c r="G115" s="400">
        <v>188</v>
      </c>
      <c r="H115" s="400">
        <v>140</v>
      </c>
      <c r="I115" s="400">
        <v>102</v>
      </c>
      <c r="J115" s="400">
        <v>133</v>
      </c>
      <c r="K115" s="694">
        <v>114</v>
      </c>
      <c r="L115" s="400">
        <v>117</v>
      </c>
      <c r="M115" s="399">
        <v>99</v>
      </c>
      <c r="N115" s="399">
        <v>184</v>
      </c>
      <c r="O115" s="704">
        <v>0</v>
      </c>
      <c r="P115" s="395">
        <f>SUM(D115:O115)</f>
        <v>1790</v>
      </c>
      <c r="Q115" s="174">
        <f>AVERAGE(D115:O115)</f>
        <v>149.16666666666666</v>
      </c>
    </row>
    <row r="116" spans="1:19" ht="30.75" thickBot="1" x14ac:dyDescent="0.3">
      <c r="A116" s="853"/>
      <c r="B116" s="851"/>
      <c r="C116" s="632" t="s">
        <v>161</v>
      </c>
      <c r="D116" s="567"/>
      <c r="E116" s="568"/>
      <c r="F116" s="568">
        <v>104</v>
      </c>
      <c r="G116" s="568">
        <v>202</v>
      </c>
      <c r="H116" s="568">
        <v>183</v>
      </c>
      <c r="I116" s="568">
        <v>172</v>
      </c>
      <c r="J116" s="568">
        <v>149</v>
      </c>
      <c r="K116" s="695">
        <v>221</v>
      </c>
      <c r="L116" s="568">
        <v>180</v>
      </c>
      <c r="M116" s="23">
        <v>176</v>
      </c>
      <c r="N116" s="23">
        <v>190</v>
      </c>
      <c r="O116" s="705">
        <v>269</v>
      </c>
      <c r="P116" s="268"/>
      <c r="Q116" s="637"/>
    </row>
    <row r="117" spans="1:19" x14ac:dyDescent="0.25">
      <c r="A117" s="853"/>
      <c r="B117" s="849" t="s">
        <v>162</v>
      </c>
      <c r="C117" s="225" t="s">
        <v>104</v>
      </c>
      <c r="D117" s="569">
        <v>25</v>
      </c>
      <c r="E117" s="570">
        <v>21</v>
      </c>
      <c r="F117" s="571">
        <v>34</v>
      </c>
      <c r="G117" s="572">
        <v>35</v>
      </c>
      <c r="H117" s="572">
        <v>55</v>
      </c>
      <c r="I117" s="572">
        <v>39</v>
      </c>
      <c r="J117" s="573">
        <v>18</v>
      </c>
      <c r="K117" s="378">
        <v>36</v>
      </c>
      <c r="L117" s="633">
        <v>14</v>
      </c>
      <c r="M117" s="572">
        <v>15</v>
      </c>
      <c r="N117" s="572">
        <v>7</v>
      </c>
      <c r="O117" s="803">
        <v>9</v>
      </c>
      <c r="P117" s="634">
        <f t="shared" ref="P117:P123" si="13">SUM(D117:O117)</f>
        <v>308</v>
      </c>
      <c r="Q117" s="635">
        <f>SUM(P117/P115)</f>
        <v>0.17206703910614526</v>
      </c>
    </row>
    <row r="118" spans="1:19" x14ac:dyDescent="0.25">
      <c r="A118" s="853"/>
      <c r="B118" s="850"/>
      <c r="C118" s="226" t="s">
        <v>90</v>
      </c>
      <c r="D118" s="574">
        <v>26</v>
      </c>
      <c r="E118" s="396">
        <v>28</v>
      </c>
      <c r="F118" s="397">
        <v>10</v>
      </c>
      <c r="G118" s="399">
        <v>43</v>
      </c>
      <c r="H118" s="399">
        <v>32</v>
      </c>
      <c r="I118" s="399">
        <v>15</v>
      </c>
      <c r="J118" s="566">
        <v>22</v>
      </c>
      <c r="K118" s="625">
        <v>25</v>
      </c>
      <c r="L118" s="407">
        <v>14</v>
      </c>
      <c r="M118" s="399">
        <v>14</v>
      </c>
      <c r="N118" s="399">
        <v>10</v>
      </c>
      <c r="O118" s="704">
        <v>20</v>
      </c>
      <c r="P118" s="395">
        <f t="shared" si="13"/>
        <v>259</v>
      </c>
      <c r="Q118" s="394">
        <f>+SUM(P118/P115)</f>
        <v>0.14469273743016758</v>
      </c>
    </row>
    <row r="119" spans="1:19" x14ac:dyDescent="0.25">
      <c r="A119" s="853"/>
      <c r="B119" s="850"/>
      <c r="C119" s="226" t="s">
        <v>105</v>
      </c>
      <c r="D119" s="574">
        <v>0</v>
      </c>
      <c r="E119" s="396">
        <v>0</v>
      </c>
      <c r="F119" s="397">
        <v>0</v>
      </c>
      <c r="G119" s="399">
        <v>0</v>
      </c>
      <c r="H119" s="399">
        <v>0</v>
      </c>
      <c r="I119" s="399">
        <v>0</v>
      </c>
      <c r="J119" s="566">
        <v>0</v>
      </c>
      <c r="K119" s="625">
        <v>0</v>
      </c>
      <c r="L119" s="407">
        <v>0</v>
      </c>
      <c r="M119" s="399">
        <v>0</v>
      </c>
      <c r="N119" s="399">
        <v>0</v>
      </c>
      <c r="O119" s="704">
        <v>0</v>
      </c>
      <c r="P119" s="395">
        <f t="shared" si="13"/>
        <v>0</v>
      </c>
      <c r="Q119" s="394">
        <f>SUM(P119/P115)</f>
        <v>0</v>
      </c>
    </row>
    <row r="120" spans="1:19" x14ac:dyDescent="0.25">
      <c r="A120" s="853"/>
      <c r="B120" s="850"/>
      <c r="C120" s="226" t="s">
        <v>0</v>
      </c>
      <c r="D120" s="574">
        <v>78</v>
      </c>
      <c r="E120" s="396">
        <v>60</v>
      </c>
      <c r="F120" s="397">
        <v>60</v>
      </c>
      <c r="G120" s="399">
        <v>77</v>
      </c>
      <c r="H120" s="399">
        <v>74</v>
      </c>
      <c r="I120" s="399">
        <v>62</v>
      </c>
      <c r="J120" s="566">
        <v>54</v>
      </c>
      <c r="K120" s="625">
        <v>72</v>
      </c>
      <c r="L120" s="407">
        <v>90</v>
      </c>
      <c r="M120" s="399">
        <v>50</v>
      </c>
      <c r="N120" s="399">
        <v>141</v>
      </c>
      <c r="O120" s="704">
        <v>69</v>
      </c>
      <c r="P120" s="395">
        <f t="shared" si="13"/>
        <v>887</v>
      </c>
      <c r="Q120" s="394">
        <f>SUM(P120/P115)</f>
        <v>0.49553072625698324</v>
      </c>
    </row>
    <row r="121" spans="1:19" x14ac:dyDescent="0.25">
      <c r="A121" s="853"/>
      <c r="B121" s="850"/>
      <c r="C121" s="226" t="s">
        <v>71</v>
      </c>
      <c r="D121" s="574">
        <v>24</v>
      </c>
      <c r="E121" s="396">
        <v>43</v>
      </c>
      <c r="F121" s="397">
        <v>49</v>
      </c>
      <c r="G121" s="399">
        <v>89</v>
      </c>
      <c r="H121" s="399">
        <v>43</v>
      </c>
      <c r="I121" s="399">
        <v>53</v>
      </c>
      <c r="J121" s="566">
        <v>43</v>
      </c>
      <c r="K121" s="625">
        <v>51</v>
      </c>
      <c r="L121" s="407">
        <v>57</v>
      </c>
      <c r="M121" s="399">
        <v>60</v>
      </c>
      <c r="N121" s="399">
        <v>80</v>
      </c>
      <c r="O121" s="704">
        <v>32</v>
      </c>
      <c r="P121" s="395">
        <f t="shared" si="13"/>
        <v>624</v>
      </c>
      <c r="Q121" s="394">
        <f>SUM(P121/P115)</f>
        <v>0.34860335195530728</v>
      </c>
    </row>
    <row r="122" spans="1:19" x14ac:dyDescent="0.25">
      <c r="A122" s="853"/>
      <c r="B122" s="850"/>
      <c r="C122" s="226" t="s">
        <v>59</v>
      </c>
      <c r="D122" s="574">
        <v>11</v>
      </c>
      <c r="E122" s="396">
        <v>13</v>
      </c>
      <c r="F122" s="397">
        <v>12</v>
      </c>
      <c r="G122" s="399"/>
      <c r="H122" s="399"/>
      <c r="I122" s="399">
        <v>3</v>
      </c>
      <c r="J122" s="566"/>
      <c r="K122" s="625"/>
      <c r="L122" s="407"/>
      <c r="M122" s="399"/>
      <c r="N122" s="399"/>
      <c r="O122" s="704">
        <v>2</v>
      </c>
      <c r="P122" s="395">
        <f t="shared" si="13"/>
        <v>41</v>
      </c>
      <c r="Q122" s="394">
        <f>SUM(P122/P115)</f>
        <v>2.2905027932960894E-2</v>
      </c>
    </row>
    <row r="123" spans="1:19" x14ac:dyDescent="0.25">
      <c r="A123" s="853"/>
      <c r="B123" s="850"/>
      <c r="C123" s="226" t="s">
        <v>106</v>
      </c>
      <c r="D123" s="574">
        <v>19</v>
      </c>
      <c r="E123" s="396">
        <v>19</v>
      </c>
      <c r="F123" s="397">
        <v>21</v>
      </c>
      <c r="G123" s="399">
        <v>34</v>
      </c>
      <c r="H123" s="399">
        <v>18</v>
      </c>
      <c r="I123" s="399">
        <v>13</v>
      </c>
      <c r="J123" s="566">
        <v>24</v>
      </c>
      <c r="K123" s="625">
        <v>21</v>
      </c>
      <c r="L123" s="407">
        <v>11</v>
      </c>
      <c r="M123" s="399">
        <v>24</v>
      </c>
      <c r="N123" s="399">
        <v>8</v>
      </c>
      <c r="O123" s="704">
        <v>12</v>
      </c>
      <c r="P123" s="395">
        <f t="shared" si="13"/>
        <v>224</v>
      </c>
      <c r="Q123" s="394">
        <f>SUM(P123/P115)</f>
        <v>0.12513966480446928</v>
      </c>
    </row>
    <row r="124" spans="1:19" x14ac:dyDescent="0.25">
      <c r="A124" s="853"/>
      <c r="B124" s="850"/>
      <c r="C124" s="226" t="s">
        <v>183</v>
      </c>
      <c r="D124" s="574"/>
      <c r="E124" s="396"/>
      <c r="F124" s="397"/>
      <c r="G124" s="399"/>
      <c r="H124" s="399"/>
      <c r="I124" s="399"/>
      <c r="J124" s="566">
        <v>1</v>
      </c>
      <c r="K124" s="625">
        <v>0</v>
      </c>
      <c r="L124" s="407">
        <v>2</v>
      </c>
      <c r="M124" s="399">
        <v>0</v>
      </c>
      <c r="N124" s="399">
        <v>2</v>
      </c>
      <c r="O124" s="704">
        <v>1</v>
      </c>
      <c r="P124" s="395"/>
      <c r="Q124" s="394"/>
    </row>
    <row r="125" spans="1:19" s="393" customFormat="1" x14ac:dyDescent="0.25">
      <c r="A125" s="853"/>
      <c r="B125" s="850"/>
      <c r="C125" s="226" t="s">
        <v>107</v>
      </c>
      <c r="D125" s="574">
        <v>21</v>
      </c>
      <c r="E125" s="396">
        <v>25</v>
      </c>
      <c r="F125" s="397">
        <v>28</v>
      </c>
      <c r="G125" s="399">
        <v>23</v>
      </c>
      <c r="H125" s="399">
        <v>16</v>
      </c>
      <c r="I125" s="399">
        <v>7</v>
      </c>
      <c r="J125" s="566">
        <v>20</v>
      </c>
      <c r="K125" s="625">
        <v>21</v>
      </c>
      <c r="L125" s="407">
        <v>17</v>
      </c>
      <c r="M125" s="399">
        <v>9</v>
      </c>
      <c r="N125" s="399">
        <v>12</v>
      </c>
      <c r="O125" s="704">
        <v>7</v>
      </c>
      <c r="P125" s="395">
        <f>SUM(D125:O125)</f>
        <v>206</v>
      </c>
      <c r="Q125" s="394">
        <f>SUM(P125/P115)</f>
        <v>0.11508379888268157</v>
      </c>
      <c r="R125"/>
      <c r="S125"/>
    </row>
    <row r="126" spans="1:19" x14ac:dyDescent="0.25">
      <c r="A126" s="853"/>
      <c r="B126" s="850"/>
      <c r="C126" s="226" t="s">
        <v>108</v>
      </c>
      <c r="D126" s="574">
        <v>9</v>
      </c>
      <c r="E126" s="396">
        <v>19</v>
      </c>
      <c r="F126" s="397">
        <v>13</v>
      </c>
      <c r="G126" s="399">
        <v>30</v>
      </c>
      <c r="H126" s="399">
        <v>15</v>
      </c>
      <c r="I126" s="399">
        <v>14</v>
      </c>
      <c r="J126" s="566">
        <v>21</v>
      </c>
      <c r="K126" s="625">
        <v>9</v>
      </c>
      <c r="L126" s="407">
        <v>6</v>
      </c>
      <c r="M126" s="399">
        <v>7</v>
      </c>
      <c r="N126" s="399">
        <v>11</v>
      </c>
      <c r="O126" s="704">
        <v>8</v>
      </c>
      <c r="P126" s="395">
        <f>SUM(D126:O126)</f>
        <v>162</v>
      </c>
      <c r="Q126" s="394">
        <f>SUM(P126/P115)</f>
        <v>9.0502793296089387E-2</v>
      </c>
      <c r="S126" s="393"/>
    </row>
    <row r="127" spans="1:19" x14ac:dyDescent="0.25">
      <c r="A127" s="853"/>
      <c r="B127" s="850"/>
      <c r="C127" s="226" t="s">
        <v>103</v>
      </c>
      <c r="D127" s="574">
        <v>48</v>
      </c>
      <c r="E127" s="396">
        <v>48</v>
      </c>
      <c r="F127" s="397">
        <v>43</v>
      </c>
      <c r="G127" s="399">
        <v>47</v>
      </c>
      <c r="H127" s="399">
        <v>48</v>
      </c>
      <c r="I127" s="399">
        <v>52</v>
      </c>
      <c r="J127" s="566">
        <v>46</v>
      </c>
      <c r="K127" s="625">
        <v>50</v>
      </c>
      <c r="L127" s="407">
        <v>45</v>
      </c>
      <c r="M127" s="399">
        <v>65</v>
      </c>
      <c r="N127" s="399">
        <v>70</v>
      </c>
      <c r="O127" s="704">
        <v>56</v>
      </c>
      <c r="P127" s="395">
        <f>SUM(D127:O127)</f>
        <v>618</v>
      </c>
      <c r="Q127" s="394">
        <f>SUM(P127/P115)</f>
        <v>0.34525139664804472</v>
      </c>
      <c r="R127" s="393"/>
    </row>
    <row r="128" spans="1:19" x14ac:dyDescent="0.25">
      <c r="A128" s="853"/>
      <c r="B128" s="850"/>
      <c r="C128" s="226" t="s">
        <v>184</v>
      </c>
      <c r="D128" s="574"/>
      <c r="E128" s="396"/>
      <c r="F128" s="397"/>
      <c r="G128" s="399"/>
      <c r="H128" s="399"/>
      <c r="I128" s="399"/>
      <c r="J128" s="566">
        <v>6</v>
      </c>
      <c r="K128" s="625">
        <v>36</v>
      </c>
      <c r="L128" s="407">
        <v>30</v>
      </c>
      <c r="M128" s="399">
        <v>21</v>
      </c>
      <c r="N128" s="399">
        <v>25</v>
      </c>
      <c r="O128" s="704">
        <v>52</v>
      </c>
      <c r="P128" s="395"/>
      <c r="Q128" s="394"/>
    </row>
    <row r="129" spans="1:127" x14ac:dyDescent="0.25">
      <c r="A129" s="853"/>
      <c r="B129" s="850"/>
      <c r="C129" s="226" t="s">
        <v>109</v>
      </c>
      <c r="D129" s="574">
        <v>3</v>
      </c>
      <c r="E129" s="396">
        <v>4</v>
      </c>
      <c r="F129" s="397">
        <v>1</v>
      </c>
      <c r="G129" s="399">
        <v>8</v>
      </c>
      <c r="H129" s="399">
        <v>8</v>
      </c>
      <c r="I129" s="399">
        <v>3</v>
      </c>
      <c r="J129" s="566">
        <v>12</v>
      </c>
      <c r="K129" s="625">
        <v>5</v>
      </c>
      <c r="L129" s="407">
        <v>7</v>
      </c>
      <c r="M129" s="399">
        <v>7</v>
      </c>
      <c r="N129" s="399">
        <v>5</v>
      </c>
      <c r="O129" s="704">
        <v>1</v>
      </c>
      <c r="P129" s="395">
        <f t="shared" ref="P129:P135" si="14">SUM(D129:O129)</f>
        <v>64</v>
      </c>
      <c r="Q129" s="394">
        <f>SUM(P129/P115)</f>
        <v>3.5754189944134075E-2</v>
      </c>
    </row>
    <row r="130" spans="1:127" ht="15.75" thickBot="1" x14ac:dyDescent="0.3">
      <c r="A130" s="853"/>
      <c r="B130" s="851"/>
      <c r="C130" s="582" t="s">
        <v>110</v>
      </c>
      <c r="D130" s="575">
        <v>1</v>
      </c>
      <c r="E130" s="576">
        <v>0</v>
      </c>
      <c r="F130" s="583">
        <v>3</v>
      </c>
      <c r="G130" s="404">
        <v>4</v>
      </c>
      <c r="H130" s="404">
        <v>14</v>
      </c>
      <c r="I130" s="404">
        <v>13</v>
      </c>
      <c r="J130" s="584">
        <v>15</v>
      </c>
      <c r="K130" s="199">
        <v>9</v>
      </c>
      <c r="L130" s="198">
        <v>4</v>
      </c>
      <c r="M130" s="404">
        <v>3</v>
      </c>
      <c r="N130" s="404">
        <v>3</v>
      </c>
      <c r="O130" s="804">
        <v>0</v>
      </c>
      <c r="P130" s="585">
        <f t="shared" si="14"/>
        <v>69</v>
      </c>
      <c r="Q130" s="586">
        <f>SUM(P130/P115)</f>
        <v>3.8547486033519554E-2</v>
      </c>
    </row>
    <row r="131" spans="1:127" x14ac:dyDescent="0.25">
      <c r="A131" s="853"/>
      <c r="B131" s="849" t="s">
        <v>180</v>
      </c>
      <c r="C131" s="593" t="s">
        <v>111</v>
      </c>
      <c r="D131" s="587">
        <v>0.97</v>
      </c>
      <c r="E131" s="588">
        <v>0.87</v>
      </c>
      <c r="F131" s="589">
        <v>0.98</v>
      </c>
      <c r="G131" s="590">
        <v>0.94</v>
      </c>
      <c r="H131" s="590">
        <v>0.92500000000000004</v>
      </c>
      <c r="I131" s="589">
        <v>0.99</v>
      </c>
      <c r="J131" s="591">
        <v>0.91</v>
      </c>
      <c r="K131" s="696">
        <v>0.93</v>
      </c>
      <c r="L131" s="590">
        <v>0.98</v>
      </c>
      <c r="M131" s="589">
        <v>0.98</v>
      </c>
      <c r="N131" s="401">
        <v>93.3</v>
      </c>
      <c r="O131" s="805">
        <v>84.8</v>
      </c>
      <c r="P131" s="270">
        <f t="shared" si="14"/>
        <v>187.57499999999999</v>
      </c>
      <c r="Q131" s="595">
        <f>AVERAGE(D131:O131)</f>
        <v>15.63125</v>
      </c>
    </row>
    <row r="132" spans="1:127" x14ac:dyDescent="0.25">
      <c r="A132" s="853"/>
      <c r="B132" s="850"/>
      <c r="C132" s="175" t="s">
        <v>112</v>
      </c>
      <c r="D132" s="574">
        <v>12</v>
      </c>
      <c r="E132" s="396">
        <v>12</v>
      </c>
      <c r="F132" s="399">
        <v>14</v>
      </c>
      <c r="G132" s="399">
        <v>17.399999999999999</v>
      </c>
      <c r="H132" s="399">
        <v>14.9</v>
      </c>
      <c r="I132" s="399">
        <v>13.9</v>
      </c>
      <c r="J132" s="577">
        <v>12.2</v>
      </c>
      <c r="K132" s="625">
        <v>14.2</v>
      </c>
      <c r="L132" s="407">
        <v>15.3</v>
      </c>
      <c r="M132" s="399">
        <v>12.2</v>
      </c>
      <c r="N132" s="399">
        <v>15.8</v>
      </c>
      <c r="O132" s="704">
        <v>11.4</v>
      </c>
      <c r="P132" s="395">
        <f t="shared" si="14"/>
        <v>165.3</v>
      </c>
      <c r="Q132" s="596">
        <f>AVERAGE(D132:O132)</f>
        <v>13.775</v>
      </c>
    </row>
    <row r="133" spans="1:127" x14ac:dyDescent="0.25">
      <c r="A133" s="853"/>
      <c r="B133" s="850"/>
      <c r="C133" s="175" t="s">
        <v>113</v>
      </c>
      <c r="D133" s="574">
        <v>260</v>
      </c>
      <c r="E133" s="396">
        <v>554</v>
      </c>
      <c r="F133" s="399">
        <v>932</v>
      </c>
      <c r="G133" s="399">
        <v>523</v>
      </c>
      <c r="H133" s="399">
        <v>360</v>
      </c>
      <c r="I133" s="399">
        <v>407</v>
      </c>
      <c r="J133" s="566">
        <v>149</v>
      </c>
      <c r="K133" s="211">
        <v>152</v>
      </c>
      <c r="L133" s="407">
        <v>387</v>
      </c>
      <c r="M133" s="399">
        <v>254</v>
      </c>
      <c r="N133" s="399">
        <v>311</v>
      </c>
      <c r="O133" s="704">
        <v>599</v>
      </c>
      <c r="P133" s="395">
        <f t="shared" si="14"/>
        <v>4888</v>
      </c>
      <c r="Q133" s="112">
        <f>SUM(P133/60)</f>
        <v>81.466666666666669</v>
      </c>
    </row>
    <row r="134" spans="1:127" x14ac:dyDescent="0.25">
      <c r="A134" s="853"/>
      <c r="B134" s="850"/>
      <c r="C134" s="175" t="s">
        <v>114</v>
      </c>
      <c r="D134" s="574">
        <v>660</v>
      </c>
      <c r="E134" s="396">
        <v>1260</v>
      </c>
      <c r="F134" s="399">
        <v>956</v>
      </c>
      <c r="G134" s="399">
        <v>980</v>
      </c>
      <c r="H134" s="399">
        <v>621</v>
      </c>
      <c r="I134" s="399">
        <v>971</v>
      </c>
      <c r="J134" s="566">
        <v>1350</v>
      </c>
      <c r="K134" s="211">
        <v>1437</v>
      </c>
      <c r="L134" s="407">
        <v>907</v>
      </c>
      <c r="M134" s="399">
        <v>709</v>
      </c>
      <c r="N134" s="399">
        <v>480</v>
      </c>
      <c r="O134" s="704">
        <v>1160</v>
      </c>
      <c r="P134" s="395">
        <f t="shared" si="14"/>
        <v>11491</v>
      </c>
      <c r="Q134" s="112">
        <f>SUM(P134/60)</f>
        <v>191.51666666666668</v>
      </c>
    </row>
    <row r="135" spans="1:127" x14ac:dyDescent="0.25">
      <c r="A135" s="853"/>
      <c r="B135" s="850"/>
      <c r="C135" s="175" t="s">
        <v>120</v>
      </c>
      <c r="D135" s="574">
        <v>19</v>
      </c>
      <c r="E135" s="396">
        <v>22</v>
      </c>
      <c r="F135" s="399">
        <v>436</v>
      </c>
      <c r="G135" s="399">
        <v>18</v>
      </c>
      <c r="H135" s="399">
        <v>20</v>
      </c>
      <c r="I135" s="399">
        <v>35</v>
      </c>
      <c r="J135" s="566">
        <v>385</v>
      </c>
      <c r="K135" s="211">
        <v>126</v>
      </c>
      <c r="L135" s="407">
        <v>135</v>
      </c>
      <c r="M135" s="399">
        <v>244</v>
      </c>
      <c r="N135" s="399">
        <v>159</v>
      </c>
      <c r="O135" s="704">
        <v>360</v>
      </c>
      <c r="P135" s="395">
        <f t="shared" si="14"/>
        <v>1959</v>
      </c>
      <c r="Q135" s="112">
        <f>SUM(P135/60)</f>
        <v>32.65</v>
      </c>
      <c r="R135" s="163"/>
    </row>
    <row r="136" spans="1:127" x14ac:dyDescent="0.25">
      <c r="A136" s="853"/>
      <c r="B136" s="850"/>
      <c r="C136" s="594" t="s">
        <v>115</v>
      </c>
      <c r="D136" s="597">
        <v>0.98</v>
      </c>
      <c r="E136" s="502">
        <v>0.99</v>
      </c>
      <c r="F136" s="399"/>
      <c r="G136" s="97">
        <v>0.99399999999999999</v>
      </c>
      <c r="H136" s="97">
        <v>0.99399999999999999</v>
      </c>
      <c r="I136" s="97">
        <v>0.99299999999999999</v>
      </c>
      <c r="J136" s="578">
        <v>0.99</v>
      </c>
      <c r="K136" s="697">
        <v>0.99</v>
      </c>
      <c r="L136" s="109">
        <v>0.99</v>
      </c>
      <c r="M136" s="97">
        <v>0.99</v>
      </c>
      <c r="N136" s="782">
        <v>0.92</v>
      </c>
      <c r="O136" s="806">
        <v>0.99</v>
      </c>
      <c r="P136" s="119"/>
      <c r="Q136" s="111">
        <f>AVERAGE(D136:O136)</f>
        <v>0.98372727272727289</v>
      </c>
    </row>
    <row r="137" spans="1:127" s="179" customFormat="1" ht="15.75" thickBot="1" x14ac:dyDescent="0.3">
      <c r="A137" s="853"/>
      <c r="B137" s="850"/>
      <c r="C137" s="175" t="s">
        <v>116</v>
      </c>
      <c r="D137" s="579"/>
      <c r="E137" s="315"/>
      <c r="F137" s="315"/>
      <c r="G137" s="14"/>
      <c r="H137" s="407"/>
      <c r="I137" s="407"/>
      <c r="J137" s="14"/>
      <c r="K137" s="704"/>
      <c r="L137" s="14"/>
      <c r="M137" s="14"/>
      <c r="N137" s="399"/>
      <c r="O137" s="704"/>
      <c r="P137" s="108"/>
      <c r="Q137" s="98"/>
      <c r="R137" s="429"/>
      <c r="S137" s="429"/>
      <c r="T137" s="429"/>
      <c r="U137" s="429"/>
      <c r="V137" s="429"/>
      <c r="W137" s="429"/>
      <c r="X137" s="429"/>
      <c r="Y137" s="429"/>
      <c r="Z137" s="429"/>
      <c r="AA137" s="429"/>
      <c r="AB137" s="429"/>
      <c r="AC137" s="429"/>
      <c r="AD137" s="429"/>
      <c r="AE137" s="429"/>
      <c r="AF137" s="429"/>
      <c r="AG137" s="429"/>
      <c r="AH137" s="429"/>
      <c r="AI137" s="429"/>
      <c r="AJ137" s="429"/>
      <c r="AK137" s="429"/>
      <c r="AL137" s="429"/>
      <c r="AM137" s="429"/>
      <c r="AN137" s="429"/>
      <c r="AO137" s="429"/>
      <c r="AP137" s="429"/>
      <c r="AQ137" s="429"/>
      <c r="AR137" s="429"/>
      <c r="AS137" s="429"/>
      <c r="AT137" s="429"/>
      <c r="AU137" s="429"/>
      <c r="AV137" s="429"/>
      <c r="AW137" s="429"/>
      <c r="AX137" s="429"/>
      <c r="AY137" s="429"/>
      <c r="AZ137" s="429"/>
      <c r="BA137" s="429"/>
      <c r="BB137" s="429"/>
      <c r="BC137" s="429"/>
      <c r="BD137" s="429"/>
      <c r="BE137" s="429"/>
      <c r="BF137" s="429"/>
      <c r="BG137" s="429"/>
      <c r="BH137" s="429"/>
      <c r="BI137" s="429"/>
      <c r="BJ137" s="429"/>
      <c r="BK137" s="429"/>
      <c r="BL137" s="429"/>
      <c r="BM137" s="429"/>
      <c r="BN137" s="429"/>
      <c r="BO137" s="429"/>
      <c r="BP137" s="429"/>
      <c r="BQ137" s="429"/>
      <c r="BR137" s="429"/>
      <c r="BS137" s="429"/>
      <c r="BT137" s="429"/>
      <c r="BU137" s="429"/>
      <c r="BV137" s="429"/>
      <c r="BW137" s="429"/>
      <c r="BX137" s="429"/>
      <c r="BY137" s="429"/>
      <c r="BZ137" s="429"/>
      <c r="CA137" s="429"/>
      <c r="CB137" s="429"/>
      <c r="CC137" s="429"/>
      <c r="CD137" s="429"/>
      <c r="CE137" s="429"/>
      <c r="CF137" s="429"/>
      <c r="CG137" s="429"/>
      <c r="CH137" s="429"/>
      <c r="CI137" s="429"/>
      <c r="CJ137" s="429"/>
      <c r="CK137" s="429"/>
      <c r="CL137" s="429"/>
      <c r="CM137" s="429"/>
      <c r="CN137" s="429"/>
      <c r="CO137" s="429"/>
      <c r="CP137" s="429"/>
      <c r="CQ137" s="429"/>
      <c r="CR137" s="429"/>
      <c r="CS137" s="429"/>
      <c r="CT137" s="429"/>
      <c r="CU137" s="429"/>
      <c r="CV137" s="429"/>
      <c r="CW137" s="429"/>
      <c r="CX137" s="429"/>
      <c r="CY137" s="429"/>
      <c r="CZ137" s="429"/>
      <c r="DA137" s="429"/>
      <c r="DB137" s="429"/>
      <c r="DC137" s="429"/>
      <c r="DD137" s="429"/>
      <c r="DE137" s="429"/>
      <c r="DF137" s="429"/>
      <c r="DG137" s="429"/>
      <c r="DH137" s="429"/>
      <c r="DI137" s="429"/>
      <c r="DJ137" s="429"/>
      <c r="DK137" s="429"/>
      <c r="DL137" s="429"/>
      <c r="DM137" s="429"/>
      <c r="DN137" s="429"/>
      <c r="DO137" s="429"/>
      <c r="DP137" s="429"/>
      <c r="DQ137" s="429"/>
      <c r="DR137" s="429"/>
      <c r="DS137" s="429"/>
      <c r="DT137" s="429"/>
      <c r="DU137" s="429"/>
      <c r="DV137" s="429"/>
      <c r="DW137" s="429"/>
    </row>
    <row r="138" spans="1:127" s="178" customFormat="1" x14ac:dyDescent="0.25">
      <c r="A138" s="853"/>
      <c r="B138" s="850"/>
      <c r="C138" s="175" t="s">
        <v>117</v>
      </c>
      <c r="D138" s="579"/>
      <c r="E138" s="315"/>
      <c r="F138" s="315"/>
      <c r="G138" s="14"/>
      <c r="H138" s="407"/>
      <c r="I138" s="407"/>
      <c r="J138" s="14"/>
      <c r="K138" s="704"/>
      <c r="L138" s="14"/>
      <c r="M138" s="14"/>
      <c r="N138" s="399"/>
      <c r="O138" s="704"/>
      <c r="P138" s="108"/>
      <c r="Q138" s="98"/>
      <c r="R138" s="429"/>
      <c r="S138" s="429"/>
      <c r="T138" s="600"/>
      <c r="U138" s="600"/>
      <c r="V138" s="600"/>
      <c r="W138" s="600"/>
      <c r="X138" s="600"/>
      <c r="Y138" s="600"/>
      <c r="Z138" s="600"/>
      <c r="AA138" s="600"/>
      <c r="AB138" s="600"/>
      <c r="AC138" s="600"/>
      <c r="AD138" s="600"/>
      <c r="AE138" s="600"/>
      <c r="AF138" s="600"/>
      <c r="AG138" s="600"/>
      <c r="AH138" s="600"/>
      <c r="AI138" s="600"/>
      <c r="AJ138" s="600"/>
      <c r="AK138" s="600"/>
      <c r="AL138" s="600"/>
      <c r="AM138" s="600"/>
      <c r="AN138" s="600"/>
      <c r="AO138" s="600"/>
      <c r="AP138" s="600"/>
      <c r="AQ138" s="600"/>
      <c r="AR138" s="600"/>
      <c r="AS138" s="600"/>
      <c r="AT138" s="600"/>
      <c r="AU138" s="600"/>
      <c r="AV138" s="600"/>
      <c r="AW138" s="600"/>
      <c r="AX138" s="600"/>
      <c r="AY138" s="600"/>
      <c r="AZ138" s="600"/>
      <c r="BA138" s="600"/>
      <c r="BB138" s="600"/>
      <c r="BC138" s="600"/>
      <c r="BD138" s="600"/>
      <c r="BE138" s="600"/>
      <c r="BF138" s="600"/>
      <c r="BG138" s="600"/>
      <c r="BH138" s="600"/>
      <c r="BI138" s="600"/>
      <c r="BJ138" s="600"/>
      <c r="BK138" s="600"/>
      <c r="BL138" s="600"/>
      <c r="BM138" s="600"/>
      <c r="BN138" s="600"/>
      <c r="BO138" s="600"/>
      <c r="BP138" s="600"/>
      <c r="BQ138" s="600"/>
      <c r="BR138" s="600"/>
      <c r="BS138" s="600"/>
      <c r="BT138" s="600"/>
      <c r="BU138" s="600"/>
      <c r="BV138" s="600"/>
      <c r="BW138" s="600"/>
      <c r="BX138" s="600"/>
      <c r="BY138" s="600"/>
      <c r="BZ138" s="600"/>
      <c r="CA138" s="600"/>
      <c r="CB138" s="600"/>
      <c r="CC138" s="600"/>
      <c r="CD138" s="600"/>
      <c r="CE138" s="600"/>
      <c r="CF138" s="600"/>
      <c r="CG138" s="600"/>
      <c r="CH138" s="600"/>
      <c r="CI138" s="600"/>
      <c r="CJ138" s="600"/>
      <c r="CK138" s="600"/>
      <c r="CL138" s="600"/>
      <c r="CM138" s="600"/>
      <c r="CN138" s="600"/>
      <c r="CO138" s="600"/>
      <c r="CP138" s="600"/>
      <c r="CQ138" s="600"/>
      <c r="CR138" s="600"/>
      <c r="CS138" s="600"/>
      <c r="CT138" s="600"/>
      <c r="CU138" s="600"/>
      <c r="CV138" s="600"/>
      <c r="CW138" s="600"/>
      <c r="CX138" s="600"/>
      <c r="CY138" s="600"/>
      <c r="CZ138" s="600"/>
      <c r="DA138" s="600"/>
      <c r="DB138" s="600"/>
      <c r="DC138" s="600"/>
      <c r="DD138" s="600"/>
      <c r="DE138" s="600"/>
      <c r="DF138" s="600"/>
      <c r="DG138" s="600"/>
      <c r="DH138" s="600"/>
      <c r="DI138" s="600"/>
      <c r="DJ138" s="600"/>
      <c r="DK138" s="600"/>
      <c r="DL138" s="600"/>
      <c r="DM138" s="600"/>
      <c r="DN138" s="600"/>
      <c r="DO138" s="600"/>
      <c r="DP138" s="600"/>
      <c r="DQ138" s="600"/>
      <c r="DR138" s="600"/>
      <c r="DS138" s="600"/>
      <c r="DT138" s="600"/>
      <c r="DU138" s="600"/>
      <c r="DV138" s="600"/>
      <c r="DW138" s="600"/>
    </row>
    <row r="139" spans="1:127" x14ac:dyDescent="0.25">
      <c r="A139" s="853"/>
      <c r="B139" s="850"/>
      <c r="C139" s="175" t="s">
        <v>118</v>
      </c>
      <c r="D139" s="579"/>
      <c r="E139" s="315"/>
      <c r="F139" s="315"/>
      <c r="G139" s="14"/>
      <c r="H139" s="407"/>
      <c r="I139" s="407"/>
      <c r="J139" s="14"/>
      <c r="K139" s="704"/>
      <c r="L139" s="14"/>
      <c r="M139" s="14"/>
      <c r="N139" s="399"/>
      <c r="O139" s="704"/>
      <c r="P139" s="108"/>
      <c r="Q139" s="98"/>
      <c r="R139" s="429"/>
      <c r="S139" s="600"/>
      <c r="T139" s="429"/>
      <c r="U139" s="429"/>
      <c r="V139" s="429"/>
      <c r="W139" s="429"/>
      <c r="X139" s="429"/>
      <c r="Y139" s="429"/>
      <c r="Z139" s="429"/>
      <c r="AA139" s="429"/>
      <c r="AB139" s="429"/>
      <c r="AC139" s="429"/>
      <c r="AD139" s="429"/>
      <c r="AE139" s="429"/>
      <c r="AF139" s="429"/>
      <c r="AG139" s="429"/>
      <c r="AH139" s="429"/>
      <c r="AI139" s="429"/>
      <c r="AJ139" s="429"/>
      <c r="AK139" s="429"/>
      <c r="AL139" s="429"/>
      <c r="AM139" s="429"/>
      <c r="AN139" s="429"/>
      <c r="AO139" s="429"/>
      <c r="AP139" s="429"/>
      <c r="AQ139" s="429"/>
      <c r="AR139" s="429"/>
      <c r="AS139" s="429"/>
      <c r="AT139" s="429"/>
      <c r="AU139" s="429"/>
      <c r="AV139" s="429"/>
      <c r="AW139" s="429"/>
      <c r="AX139" s="429"/>
      <c r="AY139" s="429"/>
      <c r="AZ139" s="429"/>
      <c r="BA139" s="429"/>
      <c r="BB139" s="429"/>
      <c r="BC139" s="429"/>
      <c r="BD139" s="429"/>
      <c r="BE139" s="429"/>
      <c r="BF139" s="429"/>
      <c r="BG139" s="429"/>
      <c r="BH139" s="429"/>
      <c r="BI139" s="429"/>
      <c r="BJ139" s="429"/>
      <c r="BK139" s="429"/>
      <c r="BL139" s="429"/>
      <c r="BM139" s="429"/>
      <c r="BN139" s="429"/>
      <c r="BO139" s="429"/>
      <c r="BP139" s="429"/>
      <c r="BQ139" s="429"/>
      <c r="BR139" s="429"/>
      <c r="BS139" s="429"/>
      <c r="BT139" s="429"/>
      <c r="BU139" s="429"/>
      <c r="BV139" s="429"/>
      <c r="BW139" s="429"/>
      <c r="BX139" s="429"/>
      <c r="BY139" s="429"/>
      <c r="BZ139" s="429"/>
      <c r="CA139" s="429"/>
      <c r="CB139" s="429"/>
      <c r="CC139" s="429"/>
      <c r="CD139" s="429"/>
      <c r="CE139" s="429"/>
      <c r="CF139" s="429"/>
      <c r="CG139" s="429"/>
      <c r="CH139" s="429"/>
      <c r="CI139" s="429"/>
      <c r="CJ139" s="429"/>
      <c r="CK139" s="429"/>
      <c r="CL139" s="429"/>
      <c r="CM139" s="429"/>
      <c r="CN139" s="429"/>
      <c r="CO139" s="429"/>
      <c r="CP139" s="429"/>
      <c r="CQ139" s="429"/>
      <c r="CR139" s="429"/>
      <c r="CS139" s="429"/>
      <c r="CT139" s="429"/>
      <c r="CU139" s="429"/>
      <c r="CV139" s="429"/>
      <c r="CW139" s="429"/>
      <c r="CX139" s="429"/>
      <c r="CY139" s="429"/>
      <c r="CZ139" s="429"/>
      <c r="DA139" s="429"/>
      <c r="DB139" s="429"/>
      <c r="DC139" s="429"/>
      <c r="DD139" s="429"/>
      <c r="DE139" s="429"/>
      <c r="DF139" s="429"/>
      <c r="DG139" s="429"/>
      <c r="DH139" s="429"/>
      <c r="DI139" s="429"/>
      <c r="DJ139" s="429"/>
      <c r="DK139" s="429"/>
      <c r="DL139" s="429"/>
      <c r="DM139" s="429"/>
      <c r="DN139" s="429"/>
      <c r="DO139" s="429"/>
      <c r="DP139" s="429"/>
      <c r="DQ139" s="429"/>
      <c r="DR139" s="429"/>
      <c r="DS139" s="429"/>
      <c r="DT139" s="429"/>
      <c r="DU139" s="429"/>
      <c r="DV139" s="429"/>
      <c r="DW139" s="429"/>
    </row>
    <row r="140" spans="1:127" ht="15.75" thickBot="1" x14ac:dyDescent="0.3">
      <c r="A140" s="854"/>
      <c r="B140" s="851"/>
      <c r="C140" s="176" t="s">
        <v>119</v>
      </c>
      <c r="D140" s="580"/>
      <c r="E140" s="581"/>
      <c r="F140" s="581"/>
      <c r="G140" s="146"/>
      <c r="H140" s="408"/>
      <c r="I140" s="408"/>
      <c r="J140" s="146"/>
      <c r="K140" s="705"/>
      <c r="L140" s="146"/>
      <c r="M140" s="146"/>
      <c r="N140" s="23"/>
      <c r="O140" s="705"/>
      <c r="P140" s="113"/>
      <c r="Q140" s="99"/>
      <c r="R140" s="600"/>
      <c r="S140" s="429"/>
      <c r="T140" s="429"/>
      <c r="U140" s="429"/>
      <c r="V140" s="429"/>
      <c r="W140" s="429"/>
      <c r="X140" s="429"/>
      <c r="Y140" s="429"/>
      <c r="Z140" s="429"/>
      <c r="AA140" s="429"/>
      <c r="AB140" s="429"/>
      <c r="AC140" s="429"/>
      <c r="AD140" s="429"/>
      <c r="AE140" s="429"/>
      <c r="AF140" s="429"/>
      <c r="AG140" s="429"/>
      <c r="AH140" s="429"/>
      <c r="AI140" s="429"/>
      <c r="AJ140" s="429"/>
      <c r="AK140" s="429"/>
      <c r="AL140" s="429"/>
      <c r="AM140" s="429"/>
      <c r="AN140" s="429"/>
      <c r="AO140" s="429"/>
      <c r="AP140" s="429"/>
      <c r="AQ140" s="429"/>
      <c r="AR140" s="429"/>
      <c r="AS140" s="429"/>
      <c r="AT140" s="429"/>
      <c r="AU140" s="429"/>
      <c r="AV140" s="429"/>
      <c r="AW140" s="429"/>
      <c r="AX140" s="429"/>
      <c r="AY140" s="429"/>
      <c r="AZ140" s="429"/>
      <c r="BA140" s="429"/>
      <c r="BB140" s="429"/>
      <c r="BC140" s="429"/>
      <c r="BD140" s="429"/>
      <c r="BE140" s="429"/>
      <c r="BF140" s="429"/>
      <c r="BG140" s="429"/>
      <c r="BH140" s="429"/>
      <c r="BI140" s="429"/>
      <c r="BJ140" s="429"/>
      <c r="BK140" s="429"/>
      <c r="BL140" s="429"/>
      <c r="BM140" s="429"/>
      <c r="BN140" s="429"/>
      <c r="BO140" s="429"/>
      <c r="BP140" s="429"/>
      <c r="BQ140" s="429"/>
      <c r="BR140" s="429"/>
      <c r="BS140" s="429"/>
      <c r="BT140" s="429"/>
      <c r="BU140" s="429"/>
      <c r="BV140" s="429"/>
      <c r="BW140" s="429"/>
      <c r="BX140" s="429"/>
      <c r="BY140" s="429"/>
      <c r="BZ140" s="429"/>
      <c r="CA140" s="429"/>
      <c r="CB140" s="429"/>
      <c r="CC140" s="429"/>
      <c r="CD140" s="429"/>
      <c r="CE140" s="429"/>
      <c r="CF140" s="429"/>
      <c r="CG140" s="429"/>
      <c r="CH140" s="429"/>
      <c r="CI140" s="429"/>
      <c r="CJ140" s="429"/>
      <c r="CK140" s="429"/>
      <c r="CL140" s="429"/>
      <c r="CM140" s="429"/>
      <c r="CN140" s="429"/>
      <c r="CO140" s="429"/>
      <c r="CP140" s="429"/>
      <c r="CQ140" s="429"/>
      <c r="CR140" s="429"/>
      <c r="CS140" s="429"/>
      <c r="CT140" s="429"/>
      <c r="CU140" s="429"/>
      <c r="CV140" s="429"/>
      <c r="CW140" s="429"/>
      <c r="CX140" s="429"/>
      <c r="CY140" s="429"/>
      <c r="CZ140" s="429"/>
      <c r="DA140" s="429"/>
      <c r="DB140" s="429"/>
      <c r="DC140" s="429"/>
      <c r="DD140" s="429"/>
      <c r="DE140" s="429"/>
      <c r="DF140" s="429"/>
      <c r="DG140" s="429"/>
      <c r="DH140" s="429"/>
      <c r="DI140" s="429"/>
      <c r="DJ140" s="429"/>
      <c r="DK140" s="429"/>
      <c r="DL140" s="429"/>
      <c r="DM140" s="429"/>
      <c r="DN140" s="429"/>
      <c r="DO140" s="429"/>
      <c r="DP140" s="429"/>
      <c r="DQ140" s="429"/>
      <c r="DR140" s="429"/>
      <c r="DS140" s="429"/>
      <c r="DT140" s="429"/>
      <c r="DU140" s="429"/>
      <c r="DV140" s="429"/>
      <c r="DW140" s="429"/>
    </row>
    <row r="141" spans="1:127" ht="31.5" customHeight="1" x14ac:dyDescent="0.25">
      <c r="A141" s="855" t="s">
        <v>108</v>
      </c>
      <c r="B141" s="857"/>
      <c r="C141" s="192" t="s">
        <v>141</v>
      </c>
      <c r="D141" s="309">
        <v>0.98</v>
      </c>
      <c r="E141" s="309">
        <v>0.98</v>
      </c>
      <c r="F141" s="309">
        <v>0.93</v>
      </c>
      <c r="G141" s="316">
        <v>0.94</v>
      </c>
      <c r="H141" s="412">
        <v>0.97</v>
      </c>
      <c r="I141" s="412">
        <v>0.97</v>
      </c>
      <c r="J141" s="412">
        <v>0.96</v>
      </c>
      <c r="K141" s="698">
        <v>0.95</v>
      </c>
      <c r="L141" s="732">
        <v>0.96</v>
      </c>
      <c r="M141" s="759">
        <v>0.95</v>
      </c>
      <c r="N141" s="759">
        <v>0.95</v>
      </c>
      <c r="O141" s="810">
        <v>0.96</v>
      </c>
      <c r="P141" s="607"/>
      <c r="Q141" s="608"/>
    </row>
    <row r="142" spans="1:127" ht="15.75" customHeight="1" thickBot="1" x14ac:dyDescent="0.3">
      <c r="A142" s="856"/>
      <c r="B142" s="858"/>
      <c r="C142" s="601" t="s">
        <v>142</v>
      </c>
      <c r="D142" s="310">
        <v>0.17</v>
      </c>
      <c r="E142" s="310">
        <v>0.18</v>
      </c>
      <c r="F142" s="310">
        <v>0.2</v>
      </c>
      <c r="G142" s="317">
        <v>0.2</v>
      </c>
      <c r="H142" s="413">
        <v>0.17</v>
      </c>
      <c r="I142" s="413">
        <v>0.18</v>
      </c>
      <c r="J142" s="413">
        <v>0.14000000000000001</v>
      </c>
      <c r="K142" s="699">
        <v>0.18</v>
      </c>
      <c r="L142" s="733">
        <v>0.19</v>
      </c>
      <c r="M142" s="609">
        <v>0.2</v>
      </c>
      <c r="N142" s="610">
        <v>0.19</v>
      </c>
      <c r="O142" s="811">
        <v>0.17</v>
      </c>
      <c r="P142" s="611"/>
      <c r="Q142" s="185"/>
    </row>
    <row r="143" spans="1:127" x14ac:dyDescent="0.25">
      <c r="A143" s="856"/>
      <c r="B143" s="859" t="s">
        <v>214</v>
      </c>
      <c r="C143" s="602" t="s">
        <v>138</v>
      </c>
      <c r="D143" s="612">
        <v>39</v>
      </c>
      <c r="E143" s="503">
        <v>41</v>
      </c>
      <c r="F143" s="504">
        <v>46</v>
      </c>
      <c r="G143" s="505">
        <v>46</v>
      </c>
      <c r="H143" s="506">
        <v>40</v>
      </c>
      <c r="I143" s="506">
        <v>42</v>
      </c>
      <c r="J143" s="506">
        <v>33</v>
      </c>
      <c r="K143" s="706">
        <v>41</v>
      </c>
      <c r="L143" s="506">
        <v>44</v>
      </c>
      <c r="M143" s="763">
        <v>49</v>
      </c>
      <c r="N143" s="783">
        <v>44</v>
      </c>
      <c r="O143" s="613">
        <v>39</v>
      </c>
      <c r="P143" s="613"/>
      <c r="Q143" s="184"/>
    </row>
    <row r="144" spans="1:127" x14ac:dyDescent="0.25">
      <c r="A144" s="856"/>
      <c r="B144" s="860"/>
      <c r="C144" s="175" t="s">
        <v>90</v>
      </c>
      <c r="D144" s="346">
        <v>1</v>
      </c>
      <c r="E144" s="311">
        <v>2</v>
      </c>
      <c r="F144" s="312">
        <v>2</v>
      </c>
      <c r="G144" s="187">
        <v>2</v>
      </c>
      <c r="H144" s="409">
        <v>2</v>
      </c>
      <c r="I144" s="409">
        <v>1</v>
      </c>
      <c r="J144" s="409">
        <v>1</v>
      </c>
      <c r="K144" s="701">
        <v>1</v>
      </c>
      <c r="L144" s="734">
        <v>1</v>
      </c>
      <c r="M144" s="599">
        <v>3</v>
      </c>
      <c r="N144" s="599">
        <v>2</v>
      </c>
      <c r="O144" s="599">
        <v>2</v>
      </c>
      <c r="P144" s="599"/>
      <c r="Q144" s="614"/>
    </row>
    <row r="145" spans="1:19" x14ac:dyDescent="0.25">
      <c r="A145" s="856"/>
      <c r="B145" s="860"/>
      <c r="C145" s="175" t="s">
        <v>0</v>
      </c>
      <c r="D145" s="346">
        <v>32</v>
      </c>
      <c r="E145" s="311">
        <v>34</v>
      </c>
      <c r="F145" s="312">
        <v>31</v>
      </c>
      <c r="G145" s="187">
        <v>31</v>
      </c>
      <c r="H145" s="409">
        <v>25</v>
      </c>
      <c r="I145" s="409">
        <v>32</v>
      </c>
      <c r="J145" s="409">
        <v>25</v>
      </c>
      <c r="K145" s="701">
        <v>28</v>
      </c>
      <c r="L145" s="409">
        <v>28</v>
      </c>
      <c r="M145" s="14">
        <v>29</v>
      </c>
      <c r="N145" s="14">
        <v>25</v>
      </c>
      <c r="O145" s="14">
        <v>23</v>
      </c>
      <c r="P145" s="14"/>
      <c r="Q145" s="148"/>
    </row>
    <row r="146" spans="1:19" x14ac:dyDescent="0.25">
      <c r="A146" s="856"/>
      <c r="B146" s="860"/>
      <c r="C146" s="175" t="s">
        <v>139</v>
      </c>
      <c r="D146" s="346">
        <v>1</v>
      </c>
      <c r="E146" s="311">
        <v>2</v>
      </c>
      <c r="F146" s="312">
        <v>6</v>
      </c>
      <c r="G146" s="187">
        <v>5</v>
      </c>
      <c r="H146" s="409">
        <v>0</v>
      </c>
      <c r="I146" s="409">
        <v>0</v>
      </c>
      <c r="J146" s="409">
        <v>0</v>
      </c>
      <c r="K146" s="701">
        <v>0</v>
      </c>
      <c r="L146" s="409">
        <v>0</v>
      </c>
      <c r="M146" s="14">
        <v>0</v>
      </c>
      <c r="N146" s="14">
        <v>0</v>
      </c>
      <c r="O146" s="14">
        <v>0</v>
      </c>
      <c r="P146" s="14"/>
      <c r="Q146" s="148"/>
    </row>
    <row r="147" spans="1:19" x14ac:dyDescent="0.25">
      <c r="A147" s="856"/>
      <c r="B147" s="860"/>
      <c r="C147" s="175" t="s">
        <v>143</v>
      </c>
      <c r="D147" s="346">
        <v>3</v>
      </c>
      <c r="E147" s="311">
        <v>1</v>
      </c>
      <c r="F147" s="312">
        <v>3</v>
      </c>
      <c r="G147" s="187">
        <v>2</v>
      </c>
      <c r="H147" s="409">
        <v>2</v>
      </c>
      <c r="I147" s="409">
        <v>1</v>
      </c>
      <c r="J147" s="409">
        <v>1</v>
      </c>
      <c r="K147" s="701">
        <v>0</v>
      </c>
      <c r="L147" s="409">
        <v>3</v>
      </c>
      <c r="M147" s="14">
        <v>5</v>
      </c>
      <c r="N147" s="14">
        <v>4</v>
      </c>
      <c r="O147" s="14">
        <v>1</v>
      </c>
      <c r="P147" s="14"/>
      <c r="Q147" s="148"/>
    </row>
    <row r="148" spans="1:19" x14ac:dyDescent="0.25">
      <c r="A148" s="856"/>
      <c r="B148" s="860"/>
      <c r="C148" s="175" t="s">
        <v>137</v>
      </c>
      <c r="D148" s="346">
        <v>0</v>
      </c>
      <c r="E148" s="311">
        <v>0</v>
      </c>
      <c r="F148" s="312">
        <v>0</v>
      </c>
      <c r="G148" s="187">
        <v>0</v>
      </c>
      <c r="H148" s="409">
        <v>0</v>
      </c>
      <c r="I148" s="409">
        <v>0</v>
      </c>
      <c r="J148" s="409">
        <v>0</v>
      </c>
      <c r="K148" s="701">
        <v>0</v>
      </c>
      <c r="L148" s="409">
        <v>0</v>
      </c>
      <c r="M148" s="14">
        <v>0</v>
      </c>
      <c r="N148" s="14">
        <v>0</v>
      </c>
      <c r="O148" s="14">
        <v>0</v>
      </c>
      <c r="P148" s="14"/>
      <c r="Q148" s="148"/>
    </row>
    <row r="149" spans="1:19" s="178" customFormat="1" ht="15.75" customHeight="1" x14ac:dyDescent="0.25">
      <c r="A149" s="856"/>
      <c r="B149" s="860"/>
      <c r="C149" s="175" t="s">
        <v>106</v>
      </c>
      <c r="D149" s="346">
        <v>1</v>
      </c>
      <c r="E149" s="311">
        <v>1</v>
      </c>
      <c r="F149" s="312">
        <v>1</v>
      </c>
      <c r="G149" s="187">
        <v>2</v>
      </c>
      <c r="H149" s="409">
        <v>2</v>
      </c>
      <c r="I149" s="409">
        <v>2</v>
      </c>
      <c r="J149" s="409">
        <v>2</v>
      </c>
      <c r="K149" s="701">
        <v>2</v>
      </c>
      <c r="L149" s="409">
        <v>1</v>
      </c>
      <c r="M149" s="14">
        <v>1</v>
      </c>
      <c r="N149" s="14">
        <v>1</v>
      </c>
      <c r="O149" s="14">
        <v>1</v>
      </c>
      <c r="P149" s="14"/>
      <c r="Q149" s="148"/>
      <c r="R149"/>
      <c r="S149"/>
    </row>
    <row r="150" spans="1:19" s="178" customFormat="1" ht="15.75" customHeight="1" x14ac:dyDescent="0.25">
      <c r="A150" s="856"/>
      <c r="B150" s="860"/>
      <c r="C150" s="175" t="s">
        <v>107</v>
      </c>
      <c r="D150" s="346">
        <v>1</v>
      </c>
      <c r="E150" s="311">
        <v>1</v>
      </c>
      <c r="F150" s="312">
        <v>2</v>
      </c>
      <c r="G150" s="187">
        <v>2</v>
      </c>
      <c r="H150" s="409">
        <v>1</v>
      </c>
      <c r="I150" s="409">
        <v>1</v>
      </c>
      <c r="J150" s="409">
        <v>0</v>
      </c>
      <c r="K150" s="701">
        <v>0</v>
      </c>
      <c r="L150" s="409">
        <v>1</v>
      </c>
      <c r="M150" s="14">
        <v>1</v>
      </c>
      <c r="N150" s="14">
        <v>1</v>
      </c>
      <c r="O150" s="14">
        <v>1</v>
      </c>
      <c r="P150" s="14"/>
      <c r="Q150" s="148"/>
      <c r="R150"/>
    </row>
    <row r="151" spans="1:19" s="178" customFormat="1" ht="15.75" customHeight="1" x14ac:dyDescent="0.25">
      <c r="A151" s="856"/>
      <c r="B151" s="860"/>
      <c r="C151" s="175" t="s">
        <v>108</v>
      </c>
      <c r="D151" s="346">
        <v>0</v>
      </c>
      <c r="E151" s="311">
        <v>0</v>
      </c>
      <c r="F151" s="312">
        <v>0</v>
      </c>
      <c r="G151" s="187">
        <v>0</v>
      </c>
      <c r="H151" s="409">
        <v>0</v>
      </c>
      <c r="I151" s="409">
        <v>0</v>
      </c>
      <c r="J151" s="409">
        <v>0</v>
      </c>
      <c r="K151" s="701">
        <v>0</v>
      </c>
      <c r="L151" s="409">
        <v>1</v>
      </c>
      <c r="M151" s="14">
        <v>1</v>
      </c>
      <c r="N151" s="14">
        <v>1</v>
      </c>
      <c r="O151" s="14">
        <v>1</v>
      </c>
      <c r="P151" s="14"/>
      <c r="Q151" s="148"/>
    </row>
    <row r="152" spans="1:19" s="178" customFormat="1" ht="15.75" customHeight="1" x14ac:dyDescent="0.25">
      <c r="A152" s="856"/>
      <c r="B152" s="860"/>
      <c r="C152" s="175" t="s">
        <v>103</v>
      </c>
      <c r="D152" s="346">
        <v>0</v>
      </c>
      <c r="E152" s="311">
        <v>0</v>
      </c>
      <c r="F152" s="312">
        <v>0</v>
      </c>
      <c r="G152" s="187">
        <v>0</v>
      </c>
      <c r="H152" s="409">
        <v>0</v>
      </c>
      <c r="I152" s="409">
        <v>0</v>
      </c>
      <c r="J152" s="409">
        <v>0</v>
      </c>
      <c r="K152" s="701">
        <v>0</v>
      </c>
      <c r="L152" s="409">
        <v>0</v>
      </c>
      <c r="M152" s="14">
        <v>0</v>
      </c>
      <c r="N152" s="14">
        <v>1</v>
      </c>
      <c r="O152" s="14">
        <v>1</v>
      </c>
      <c r="P152" s="14"/>
      <c r="Q152" s="148"/>
    </row>
    <row r="153" spans="1:19" s="178" customFormat="1" ht="15.75" customHeight="1" x14ac:dyDescent="0.25">
      <c r="A153" s="856"/>
      <c r="B153" s="860"/>
      <c r="C153" s="175" t="s">
        <v>109</v>
      </c>
      <c r="D153" s="346">
        <v>0</v>
      </c>
      <c r="E153" s="311">
        <v>0</v>
      </c>
      <c r="F153" s="312">
        <v>1</v>
      </c>
      <c r="G153" s="187">
        <v>2</v>
      </c>
      <c r="H153" s="409">
        <v>2</v>
      </c>
      <c r="I153" s="409">
        <v>0</v>
      </c>
      <c r="J153" s="409">
        <v>0</v>
      </c>
      <c r="K153" s="701">
        <v>0</v>
      </c>
      <c r="L153" s="409">
        <v>0</v>
      </c>
      <c r="M153" s="14">
        <v>0</v>
      </c>
      <c r="N153" s="14">
        <v>0</v>
      </c>
      <c r="O153" s="14">
        <v>0</v>
      </c>
      <c r="P153" s="14"/>
      <c r="Q153" s="148"/>
    </row>
    <row r="154" spans="1:19" x14ac:dyDescent="0.25">
      <c r="A154" s="856"/>
      <c r="B154" s="860"/>
      <c r="C154" s="175" t="s">
        <v>182</v>
      </c>
      <c r="D154" s="346"/>
      <c r="E154" s="311"/>
      <c r="F154" s="312"/>
      <c r="G154" s="187"/>
      <c r="H154" s="409">
        <v>4</v>
      </c>
      <c r="I154" s="409">
        <v>5</v>
      </c>
      <c r="J154" s="409">
        <v>4</v>
      </c>
      <c r="K154" s="701">
        <v>4</v>
      </c>
      <c r="L154" s="409">
        <v>5</v>
      </c>
      <c r="M154" s="14">
        <v>5</v>
      </c>
      <c r="N154" s="14">
        <v>2</v>
      </c>
      <c r="O154" s="14">
        <v>2</v>
      </c>
      <c r="P154" s="14"/>
      <c r="Q154" s="148"/>
      <c r="R154" s="178"/>
      <c r="S154" s="178"/>
    </row>
    <row r="155" spans="1:19" ht="15.75" customHeight="1" x14ac:dyDescent="0.25">
      <c r="A155" s="856"/>
      <c r="B155" s="860"/>
      <c r="C155" s="175" t="s">
        <v>183</v>
      </c>
      <c r="D155" s="346"/>
      <c r="E155" s="311"/>
      <c r="F155" s="312"/>
      <c r="G155" s="187"/>
      <c r="H155" s="409">
        <v>0</v>
      </c>
      <c r="I155" s="409">
        <v>0</v>
      </c>
      <c r="J155" s="409">
        <v>0</v>
      </c>
      <c r="K155" s="701">
        <v>0</v>
      </c>
      <c r="L155" s="409">
        <v>0</v>
      </c>
      <c r="M155" s="14">
        <v>0</v>
      </c>
      <c r="N155" s="14">
        <v>0</v>
      </c>
      <c r="O155" s="14">
        <v>0</v>
      </c>
      <c r="P155" s="14"/>
      <c r="Q155" s="148"/>
      <c r="R155" s="178"/>
    </row>
    <row r="156" spans="1:19" ht="15.75" customHeight="1" x14ac:dyDescent="0.25">
      <c r="A156" s="856"/>
      <c r="B156" s="860"/>
      <c r="C156" s="175" t="s">
        <v>190</v>
      </c>
      <c r="D156" s="346"/>
      <c r="E156" s="311"/>
      <c r="F156" s="312"/>
      <c r="G156" s="187"/>
      <c r="H156" s="409">
        <v>2</v>
      </c>
      <c r="I156" s="409">
        <v>0</v>
      </c>
      <c r="J156" s="409">
        <v>0</v>
      </c>
      <c r="K156" s="701">
        <v>0</v>
      </c>
      <c r="L156" s="409">
        <v>0</v>
      </c>
      <c r="M156" s="14">
        <v>0</v>
      </c>
      <c r="N156" s="14">
        <v>0</v>
      </c>
      <c r="O156" s="14">
        <v>0</v>
      </c>
      <c r="P156" s="14"/>
      <c r="Q156" s="148"/>
    </row>
    <row r="157" spans="1:19" ht="15.75" thickBot="1" x14ac:dyDescent="0.3">
      <c r="A157" s="856"/>
      <c r="B157" s="861"/>
      <c r="C157" s="176" t="s">
        <v>184</v>
      </c>
      <c r="D157" s="615"/>
      <c r="E157" s="365"/>
      <c r="F157" s="194"/>
      <c r="G157" s="194"/>
      <c r="H157" s="188">
        <v>0</v>
      </c>
      <c r="I157" s="188">
        <v>0</v>
      </c>
      <c r="J157" s="188">
        <v>0</v>
      </c>
      <c r="K157" s="702">
        <v>6</v>
      </c>
      <c r="L157" s="188">
        <v>4</v>
      </c>
      <c r="M157" s="157">
        <v>4</v>
      </c>
      <c r="N157" s="157">
        <v>7</v>
      </c>
      <c r="O157" s="157">
        <v>7</v>
      </c>
      <c r="P157" s="157"/>
      <c r="Q157" s="616"/>
    </row>
    <row r="158" spans="1:19" x14ac:dyDescent="0.25">
      <c r="A158" s="856"/>
      <c r="B158" s="859" t="s">
        <v>215</v>
      </c>
      <c r="C158" s="598" t="s">
        <v>138</v>
      </c>
      <c r="D158" s="343">
        <v>89</v>
      </c>
      <c r="E158" s="344">
        <v>51</v>
      </c>
      <c r="F158" s="345">
        <v>38</v>
      </c>
      <c r="G158" s="189">
        <v>134</v>
      </c>
      <c r="H158" s="410">
        <v>114</v>
      </c>
      <c r="I158" s="410">
        <v>77</v>
      </c>
      <c r="J158" s="410">
        <v>109</v>
      </c>
      <c r="K158" s="700">
        <v>118</v>
      </c>
      <c r="L158" s="410">
        <v>122</v>
      </c>
      <c r="M158" s="145">
        <v>85</v>
      </c>
      <c r="N158" s="145">
        <v>127</v>
      </c>
      <c r="O158" s="812">
        <v>53</v>
      </c>
      <c r="P158" s="145"/>
      <c r="Q158" s="181"/>
    </row>
    <row r="159" spans="1:19" x14ac:dyDescent="0.25">
      <c r="A159" s="856"/>
      <c r="B159" s="860"/>
      <c r="C159" s="175" t="s">
        <v>90</v>
      </c>
      <c r="D159" s="346">
        <v>0</v>
      </c>
      <c r="E159" s="311">
        <v>0</v>
      </c>
      <c r="F159" s="312">
        <v>0</v>
      </c>
      <c r="G159" s="187">
        <v>75</v>
      </c>
      <c r="H159" s="409">
        <v>104</v>
      </c>
      <c r="I159" s="409">
        <v>0</v>
      </c>
      <c r="J159" s="409">
        <v>0</v>
      </c>
      <c r="K159" s="701">
        <v>0</v>
      </c>
      <c r="L159" s="409">
        <v>0</v>
      </c>
      <c r="M159" s="14">
        <v>139</v>
      </c>
      <c r="N159" s="14">
        <v>0</v>
      </c>
      <c r="O159" s="813">
        <v>0</v>
      </c>
      <c r="P159" s="14"/>
      <c r="Q159" s="148"/>
    </row>
    <row r="160" spans="1:19" x14ac:dyDescent="0.25">
      <c r="A160" s="856"/>
      <c r="B160" s="860"/>
      <c r="C160" s="175" t="s">
        <v>0</v>
      </c>
      <c r="D160" s="346">
        <v>104</v>
      </c>
      <c r="E160" s="311">
        <v>51</v>
      </c>
      <c r="F160" s="312">
        <v>0</v>
      </c>
      <c r="G160" s="187">
        <v>84</v>
      </c>
      <c r="H160" s="409">
        <v>150</v>
      </c>
      <c r="I160" s="409">
        <v>0</v>
      </c>
      <c r="J160" s="409">
        <v>130</v>
      </c>
      <c r="K160" s="701">
        <v>118</v>
      </c>
      <c r="L160" s="409">
        <v>116</v>
      </c>
      <c r="M160" s="14">
        <v>31</v>
      </c>
      <c r="N160" s="14">
        <v>151</v>
      </c>
      <c r="O160" s="813">
        <v>53</v>
      </c>
      <c r="P160" s="14"/>
      <c r="Q160" s="148"/>
    </row>
    <row r="161" spans="1:17" x14ac:dyDescent="0.25">
      <c r="A161" s="856"/>
      <c r="B161" s="860"/>
      <c r="C161" s="175" t="s">
        <v>139</v>
      </c>
      <c r="D161" s="346">
        <v>0</v>
      </c>
      <c r="E161" s="311">
        <v>0</v>
      </c>
      <c r="F161" s="312">
        <v>27</v>
      </c>
      <c r="G161" s="187">
        <v>45</v>
      </c>
      <c r="H161" s="409">
        <v>0</v>
      </c>
      <c r="I161" s="409">
        <v>0</v>
      </c>
      <c r="J161" s="409">
        <v>0</v>
      </c>
      <c r="K161" s="701">
        <v>0</v>
      </c>
      <c r="L161" s="409">
        <v>0</v>
      </c>
      <c r="M161" s="14">
        <v>0</v>
      </c>
      <c r="N161" s="14">
        <v>0</v>
      </c>
      <c r="O161" s="813">
        <v>0</v>
      </c>
      <c r="P161" s="14"/>
      <c r="Q161" s="148"/>
    </row>
    <row r="162" spans="1:17" x14ac:dyDescent="0.25">
      <c r="A162" s="856"/>
      <c r="B162" s="860"/>
      <c r="C162" s="175" t="s">
        <v>143</v>
      </c>
      <c r="D162" s="346">
        <v>21</v>
      </c>
      <c r="E162" s="311">
        <v>0</v>
      </c>
      <c r="F162" s="312">
        <v>44</v>
      </c>
      <c r="G162" s="187">
        <v>38</v>
      </c>
      <c r="H162" s="409">
        <v>0</v>
      </c>
      <c r="I162" s="409">
        <v>54</v>
      </c>
      <c r="J162" s="409">
        <v>31</v>
      </c>
      <c r="K162" s="701">
        <v>0</v>
      </c>
      <c r="L162" s="409">
        <v>0</v>
      </c>
      <c r="M162" s="14">
        <v>0</v>
      </c>
      <c r="N162" s="14">
        <v>45</v>
      </c>
      <c r="O162" s="813">
        <v>0</v>
      </c>
      <c r="P162" s="14"/>
      <c r="Q162" s="148"/>
    </row>
    <row r="163" spans="1:17" x14ac:dyDescent="0.25">
      <c r="A163" s="856"/>
      <c r="B163" s="860"/>
      <c r="C163" s="175" t="s">
        <v>137</v>
      </c>
      <c r="D163" s="346">
        <v>0</v>
      </c>
      <c r="E163" s="311">
        <v>0</v>
      </c>
      <c r="F163" s="312">
        <v>0</v>
      </c>
      <c r="G163" s="187">
        <v>0</v>
      </c>
      <c r="H163" s="409">
        <v>0</v>
      </c>
      <c r="I163" s="409">
        <v>0</v>
      </c>
      <c r="J163" s="409">
        <v>0</v>
      </c>
      <c r="K163" s="701">
        <v>0</v>
      </c>
      <c r="L163" s="409">
        <v>0</v>
      </c>
      <c r="M163" s="14">
        <v>0</v>
      </c>
      <c r="N163" s="14">
        <v>0</v>
      </c>
      <c r="O163" s="813">
        <v>0</v>
      </c>
      <c r="P163" s="14"/>
      <c r="Q163" s="148"/>
    </row>
    <row r="164" spans="1:17" ht="15" customHeight="1" x14ac:dyDescent="0.25">
      <c r="A164" s="856"/>
      <c r="B164" s="860"/>
      <c r="C164" s="175" t="s">
        <v>106</v>
      </c>
      <c r="D164" s="346">
        <v>0</v>
      </c>
      <c r="E164" s="311">
        <v>0</v>
      </c>
      <c r="F164" s="312">
        <v>0</v>
      </c>
      <c r="G164" s="187">
        <v>0</v>
      </c>
      <c r="H164" s="409">
        <v>0</v>
      </c>
      <c r="I164" s="409">
        <v>0</v>
      </c>
      <c r="J164" s="409">
        <v>0</v>
      </c>
      <c r="K164" s="701">
        <v>0</v>
      </c>
      <c r="L164" s="409">
        <v>159</v>
      </c>
      <c r="M164" s="14">
        <v>0</v>
      </c>
      <c r="N164" s="14">
        <v>0</v>
      </c>
      <c r="O164" s="813">
        <v>0</v>
      </c>
      <c r="P164" s="14"/>
      <c r="Q164" s="148"/>
    </row>
    <row r="165" spans="1:17" ht="15.75" customHeight="1" x14ac:dyDescent="0.25">
      <c r="A165" s="856"/>
      <c r="B165" s="860"/>
      <c r="C165" s="175" t="s">
        <v>107</v>
      </c>
      <c r="D165" s="346">
        <v>0</v>
      </c>
      <c r="E165" s="311">
        <v>0</v>
      </c>
      <c r="F165" s="312">
        <v>0</v>
      </c>
      <c r="G165" s="187">
        <v>852</v>
      </c>
      <c r="H165" s="409">
        <v>0</v>
      </c>
      <c r="I165" s="409">
        <v>0</v>
      </c>
      <c r="J165" s="409">
        <v>124</v>
      </c>
      <c r="K165" s="701">
        <v>0</v>
      </c>
      <c r="L165" s="409">
        <v>0</v>
      </c>
      <c r="M165" s="14">
        <v>0</v>
      </c>
      <c r="N165" s="14">
        <v>0</v>
      </c>
      <c r="O165" s="813">
        <v>0</v>
      </c>
      <c r="P165" s="14"/>
      <c r="Q165" s="148"/>
    </row>
    <row r="166" spans="1:17" ht="15.75" customHeight="1" x14ac:dyDescent="0.25">
      <c r="A166" s="856"/>
      <c r="B166" s="860"/>
      <c r="C166" s="175" t="s">
        <v>108</v>
      </c>
      <c r="D166" s="346">
        <v>0</v>
      </c>
      <c r="E166" s="311">
        <v>0</v>
      </c>
      <c r="F166" s="312">
        <v>0</v>
      </c>
      <c r="G166" s="187">
        <v>0</v>
      </c>
      <c r="H166" s="409">
        <v>0</v>
      </c>
      <c r="I166" s="409">
        <v>0</v>
      </c>
      <c r="J166" s="409">
        <v>0</v>
      </c>
      <c r="K166" s="701">
        <v>0</v>
      </c>
      <c r="L166" s="409">
        <v>0</v>
      </c>
      <c r="M166" s="14">
        <v>0</v>
      </c>
      <c r="N166" s="14">
        <v>0</v>
      </c>
      <c r="O166" s="813">
        <v>0</v>
      </c>
      <c r="P166" s="14"/>
      <c r="Q166" s="148"/>
    </row>
    <row r="167" spans="1:17" ht="15.75" customHeight="1" x14ac:dyDescent="0.25">
      <c r="A167" s="856"/>
      <c r="B167" s="860"/>
      <c r="C167" s="175" t="s">
        <v>103</v>
      </c>
      <c r="D167" s="346">
        <v>0</v>
      </c>
      <c r="E167" s="311">
        <v>0</v>
      </c>
      <c r="F167" s="312">
        <v>0</v>
      </c>
      <c r="G167" s="187">
        <v>0</v>
      </c>
      <c r="H167" s="409">
        <v>0</v>
      </c>
      <c r="I167" s="409">
        <v>0</v>
      </c>
      <c r="J167" s="409">
        <v>0</v>
      </c>
      <c r="K167" s="701">
        <v>0</v>
      </c>
      <c r="L167" s="409">
        <v>0</v>
      </c>
      <c r="M167" s="14">
        <v>0</v>
      </c>
      <c r="N167" s="14">
        <v>0</v>
      </c>
      <c r="O167" s="813">
        <v>0</v>
      </c>
      <c r="P167" s="14"/>
      <c r="Q167" s="148"/>
    </row>
    <row r="168" spans="1:17" ht="15.75" customHeight="1" x14ac:dyDescent="0.25">
      <c r="A168" s="856"/>
      <c r="B168" s="860"/>
      <c r="C168" s="175" t="s">
        <v>109</v>
      </c>
      <c r="D168" s="346">
        <v>0</v>
      </c>
      <c r="E168" s="311">
        <v>0</v>
      </c>
      <c r="F168" s="312">
        <v>0</v>
      </c>
      <c r="G168" s="187">
        <v>0</v>
      </c>
      <c r="H168" s="409">
        <v>0</v>
      </c>
      <c r="I168" s="409">
        <v>83</v>
      </c>
      <c r="J168" s="409">
        <v>0</v>
      </c>
      <c r="K168" s="701">
        <v>0</v>
      </c>
      <c r="L168" s="409">
        <v>0</v>
      </c>
      <c r="M168" s="14">
        <v>0</v>
      </c>
      <c r="N168" s="14">
        <v>0</v>
      </c>
      <c r="O168" s="813">
        <v>0</v>
      </c>
      <c r="P168" s="14"/>
      <c r="Q168" s="148"/>
    </row>
    <row r="169" spans="1:17" ht="15.75" customHeight="1" x14ac:dyDescent="0.25">
      <c r="A169" s="856"/>
      <c r="B169" s="860"/>
      <c r="C169" s="175" t="s">
        <v>182</v>
      </c>
      <c r="D169" s="346"/>
      <c r="E169" s="311"/>
      <c r="F169" s="312"/>
      <c r="G169" s="187"/>
      <c r="H169" s="409">
        <v>0</v>
      </c>
      <c r="I169" s="409">
        <v>85</v>
      </c>
      <c r="J169" s="409">
        <v>0</v>
      </c>
      <c r="K169" s="701">
        <v>0</v>
      </c>
      <c r="L169" s="409">
        <v>0</v>
      </c>
      <c r="M169" s="14">
        <v>0</v>
      </c>
      <c r="N169" s="14">
        <v>0</v>
      </c>
      <c r="O169" s="813">
        <v>0</v>
      </c>
      <c r="P169" s="14"/>
      <c r="Q169" s="148"/>
    </row>
    <row r="170" spans="1:17" ht="15.75" customHeight="1" x14ac:dyDescent="0.25">
      <c r="A170" s="856"/>
      <c r="B170" s="860"/>
      <c r="C170" s="175" t="s">
        <v>183</v>
      </c>
      <c r="D170" s="346"/>
      <c r="E170" s="311"/>
      <c r="F170" s="312"/>
      <c r="G170" s="187"/>
      <c r="H170" s="409">
        <v>0</v>
      </c>
      <c r="I170" s="409">
        <v>0</v>
      </c>
      <c r="J170" s="409">
        <v>0</v>
      </c>
      <c r="K170" s="701">
        <v>0</v>
      </c>
      <c r="L170" s="409">
        <v>0</v>
      </c>
      <c r="M170" s="14">
        <v>0</v>
      </c>
      <c r="N170" s="14">
        <v>0</v>
      </c>
      <c r="O170" s="813">
        <v>0</v>
      </c>
      <c r="P170" s="14"/>
      <c r="Q170" s="148"/>
    </row>
    <row r="171" spans="1:17" ht="15.75" customHeight="1" x14ac:dyDescent="0.25">
      <c r="A171" s="856"/>
      <c r="B171" s="860"/>
      <c r="C171" s="175" t="s">
        <v>190</v>
      </c>
      <c r="D171" s="346"/>
      <c r="E171" s="311"/>
      <c r="F171" s="312"/>
      <c r="G171" s="187"/>
      <c r="H171" s="409">
        <v>83</v>
      </c>
      <c r="I171" s="409">
        <v>0</v>
      </c>
      <c r="J171" s="409">
        <v>0</v>
      </c>
      <c r="K171" s="701">
        <v>0</v>
      </c>
      <c r="L171" s="409">
        <v>0</v>
      </c>
      <c r="M171" s="14">
        <v>0</v>
      </c>
      <c r="N171" s="14">
        <v>0</v>
      </c>
      <c r="O171" s="813">
        <v>0</v>
      </c>
      <c r="P171" s="14"/>
      <c r="Q171" s="148"/>
    </row>
    <row r="172" spans="1:17" ht="15.75" customHeight="1" thickBot="1" x14ac:dyDescent="0.3">
      <c r="A172" s="856"/>
      <c r="B172" s="861"/>
      <c r="C172" s="176" t="s">
        <v>184</v>
      </c>
      <c r="D172" s="347"/>
      <c r="E172" s="348"/>
      <c r="F172" s="349"/>
      <c r="G172" s="190"/>
      <c r="H172" s="411">
        <v>0</v>
      </c>
      <c r="I172" s="411">
        <v>0</v>
      </c>
      <c r="J172" s="411">
        <v>0</v>
      </c>
      <c r="K172" s="702">
        <v>0</v>
      </c>
      <c r="L172" s="411">
        <v>0</v>
      </c>
      <c r="M172" s="146">
        <v>0</v>
      </c>
      <c r="N172" s="146">
        <v>0</v>
      </c>
      <c r="O172" s="814">
        <v>0</v>
      </c>
      <c r="P172" s="146"/>
      <c r="Q172" s="149"/>
    </row>
    <row r="173" spans="1:17" x14ac:dyDescent="0.25">
      <c r="A173" s="856"/>
      <c r="B173" s="859" t="s">
        <v>216</v>
      </c>
      <c r="C173" s="532" t="s">
        <v>138</v>
      </c>
      <c r="D173" s="617">
        <v>251</v>
      </c>
      <c r="E173" s="603">
        <v>254</v>
      </c>
      <c r="F173" s="604">
        <v>258</v>
      </c>
      <c r="G173" s="605">
        <v>263</v>
      </c>
      <c r="H173" s="606">
        <v>256</v>
      </c>
      <c r="I173" s="606">
        <v>256</v>
      </c>
      <c r="J173" s="606">
        <v>260</v>
      </c>
      <c r="K173" s="706">
        <v>263</v>
      </c>
      <c r="L173" s="506">
        <v>264</v>
      </c>
      <c r="M173" s="507">
        <v>260</v>
      </c>
      <c r="N173" s="507">
        <v>264</v>
      </c>
      <c r="O173" s="507">
        <v>258</v>
      </c>
      <c r="P173" s="507"/>
      <c r="Q173" s="508"/>
    </row>
    <row r="174" spans="1:17" x14ac:dyDescent="0.25">
      <c r="A174" s="856"/>
      <c r="B174" s="860"/>
      <c r="C174" s="342" t="s">
        <v>90</v>
      </c>
      <c r="D174" s="340">
        <v>13</v>
      </c>
      <c r="E174" s="311">
        <v>13</v>
      </c>
      <c r="F174" s="312">
        <v>13</v>
      </c>
      <c r="G174" s="187">
        <v>14</v>
      </c>
      <c r="H174" s="409">
        <v>14</v>
      </c>
      <c r="I174" s="409">
        <v>13</v>
      </c>
      <c r="J174" s="409">
        <v>13</v>
      </c>
      <c r="K174" s="701">
        <v>13</v>
      </c>
      <c r="L174" s="409">
        <v>12</v>
      </c>
      <c r="M174" s="14">
        <v>12</v>
      </c>
      <c r="N174" s="14">
        <v>11</v>
      </c>
      <c r="O174" s="14">
        <v>12</v>
      </c>
      <c r="P174" s="14"/>
      <c r="Q174" s="148"/>
    </row>
    <row r="175" spans="1:17" x14ac:dyDescent="0.25">
      <c r="A175" s="856"/>
      <c r="B175" s="860"/>
      <c r="C175" s="342" t="s">
        <v>0</v>
      </c>
      <c r="D175" s="340">
        <v>133</v>
      </c>
      <c r="E175" s="311">
        <v>135</v>
      </c>
      <c r="F175" s="312">
        <v>135</v>
      </c>
      <c r="G175" s="187">
        <v>138</v>
      </c>
      <c r="H175" s="409">
        <v>130</v>
      </c>
      <c r="I175" s="409">
        <v>129</v>
      </c>
      <c r="J175" s="409">
        <v>132</v>
      </c>
      <c r="K175" s="701">
        <v>135</v>
      </c>
      <c r="L175" s="409">
        <v>139</v>
      </c>
      <c r="M175" s="14">
        <v>136</v>
      </c>
      <c r="N175" s="14">
        <v>138</v>
      </c>
      <c r="O175" s="14">
        <v>132</v>
      </c>
      <c r="P175" s="14"/>
      <c r="Q175" s="148"/>
    </row>
    <row r="176" spans="1:17" x14ac:dyDescent="0.25">
      <c r="A176" s="856"/>
      <c r="B176" s="860"/>
      <c r="C176" s="342" t="s">
        <v>139</v>
      </c>
      <c r="D176" s="340">
        <v>8</v>
      </c>
      <c r="E176" s="311">
        <v>9</v>
      </c>
      <c r="F176" s="312">
        <v>11</v>
      </c>
      <c r="G176" s="187">
        <v>14</v>
      </c>
      <c r="H176" s="409">
        <v>6</v>
      </c>
      <c r="I176" s="409">
        <v>5</v>
      </c>
      <c r="J176" s="409">
        <v>5</v>
      </c>
      <c r="K176" s="701">
        <v>5</v>
      </c>
      <c r="L176" s="409">
        <v>5</v>
      </c>
      <c r="M176" s="14">
        <v>5</v>
      </c>
      <c r="N176" s="14">
        <v>5</v>
      </c>
      <c r="O176" s="14">
        <v>5</v>
      </c>
      <c r="P176" s="14"/>
      <c r="Q176" s="148"/>
    </row>
    <row r="177" spans="1:17" x14ac:dyDescent="0.25">
      <c r="A177" s="856"/>
      <c r="B177" s="860"/>
      <c r="C177" s="342" t="s">
        <v>143</v>
      </c>
      <c r="D177" s="340">
        <v>48</v>
      </c>
      <c r="E177" s="311">
        <v>48</v>
      </c>
      <c r="F177" s="312">
        <v>50</v>
      </c>
      <c r="G177" s="187">
        <v>48</v>
      </c>
      <c r="H177" s="409">
        <v>48</v>
      </c>
      <c r="I177" s="409">
        <v>47</v>
      </c>
      <c r="J177" s="409">
        <v>48</v>
      </c>
      <c r="K177" s="701">
        <v>47</v>
      </c>
      <c r="L177" s="409">
        <v>44</v>
      </c>
      <c r="M177" s="14">
        <v>44</v>
      </c>
      <c r="N177" s="14">
        <v>46</v>
      </c>
      <c r="O177" s="14">
        <v>46</v>
      </c>
      <c r="P177" s="14"/>
      <c r="Q177" s="148"/>
    </row>
    <row r="178" spans="1:17" x14ac:dyDescent="0.25">
      <c r="A178" s="856"/>
      <c r="B178" s="860"/>
      <c r="C178" s="342" t="s">
        <v>137</v>
      </c>
      <c r="D178" s="340">
        <v>1</v>
      </c>
      <c r="E178" s="311">
        <v>1</v>
      </c>
      <c r="F178" s="312">
        <v>1</v>
      </c>
      <c r="G178" s="187">
        <v>1</v>
      </c>
      <c r="H178" s="409">
        <v>1</v>
      </c>
      <c r="I178" s="409">
        <v>1</v>
      </c>
      <c r="J178" s="409">
        <v>1</v>
      </c>
      <c r="K178" s="701">
        <v>1</v>
      </c>
      <c r="L178" s="409">
        <v>1</v>
      </c>
      <c r="M178" s="14">
        <v>1</v>
      </c>
      <c r="N178" s="14">
        <v>1</v>
      </c>
      <c r="O178" s="14">
        <v>1</v>
      </c>
      <c r="P178" s="14"/>
      <c r="Q178" s="148"/>
    </row>
    <row r="179" spans="1:17" x14ac:dyDescent="0.25">
      <c r="A179" s="856"/>
      <c r="B179" s="860"/>
      <c r="C179" s="342" t="s">
        <v>106</v>
      </c>
      <c r="D179" s="340">
        <v>10</v>
      </c>
      <c r="E179" s="311">
        <v>10</v>
      </c>
      <c r="F179" s="312">
        <v>10</v>
      </c>
      <c r="G179" s="187">
        <v>9</v>
      </c>
      <c r="H179" s="409">
        <v>9</v>
      </c>
      <c r="I179" s="409">
        <v>9</v>
      </c>
      <c r="J179" s="409">
        <v>9</v>
      </c>
      <c r="K179" s="701">
        <v>9</v>
      </c>
      <c r="L179" s="409">
        <v>10</v>
      </c>
      <c r="M179" s="14">
        <v>10</v>
      </c>
      <c r="N179" s="14">
        <v>9</v>
      </c>
      <c r="O179" s="14">
        <v>9</v>
      </c>
      <c r="P179" s="14"/>
      <c r="Q179" s="148"/>
    </row>
    <row r="180" spans="1:17" x14ac:dyDescent="0.25">
      <c r="A180" s="856"/>
      <c r="B180" s="860"/>
      <c r="C180" s="342" t="s">
        <v>107</v>
      </c>
      <c r="D180" s="340">
        <v>18</v>
      </c>
      <c r="E180" s="311">
        <v>18</v>
      </c>
      <c r="F180" s="312">
        <v>18</v>
      </c>
      <c r="G180" s="187">
        <v>19</v>
      </c>
      <c r="H180" s="409">
        <v>19</v>
      </c>
      <c r="I180" s="409">
        <v>19</v>
      </c>
      <c r="J180" s="409">
        <v>19</v>
      </c>
      <c r="K180" s="701">
        <v>20</v>
      </c>
      <c r="L180" s="409">
        <v>19</v>
      </c>
      <c r="M180" s="14">
        <v>18</v>
      </c>
      <c r="N180" s="14">
        <v>18</v>
      </c>
      <c r="O180" s="14">
        <v>18</v>
      </c>
      <c r="P180" s="14"/>
      <c r="Q180" s="148"/>
    </row>
    <row r="181" spans="1:17" x14ac:dyDescent="0.25">
      <c r="A181" s="856"/>
      <c r="B181" s="860"/>
      <c r="C181" s="342" t="s">
        <v>108</v>
      </c>
      <c r="D181" s="340">
        <v>5</v>
      </c>
      <c r="E181" s="311">
        <v>5</v>
      </c>
      <c r="F181" s="312">
        <v>5</v>
      </c>
      <c r="G181" s="187">
        <v>5</v>
      </c>
      <c r="H181" s="409">
        <v>5</v>
      </c>
      <c r="I181" s="409">
        <v>5</v>
      </c>
      <c r="J181" s="409">
        <v>5</v>
      </c>
      <c r="K181" s="701">
        <v>5</v>
      </c>
      <c r="L181" s="409">
        <v>5</v>
      </c>
      <c r="M181" s="14">
        <v>5</v>
      </c>
      <c r="N181" s="14">
        <v>5</v>
      </c>
      <c r="O181" s="14">
        <v>5</v>
      </c>
      <c r="P181" s="14"/>
      <c r="Q181" s="148"/>
    </row>
    <row r="182" spans="1:17" x14ac:dyDescent="0.25">
      <c r="A182" s="856"/>
      <c r="B182" s="860"/>
      <c r="C182" s="342" t="s">
        <v>103</v>
      </c>
      <c r="D182" s="340">
        <v>6</v>
      </c>
      <c r="E182" s="311">
        <v>6</v>
      </c>
      <c r="F182" s="312">
        <v>6</v>
      </c>
      <c r="G182" s="187">
        <v>6</v>
      </c>
      <c r="H182" s="409">
        <v>6</v>
      </c>
      <c r="I182" s="409">
        <v>7</v>
      </c>
      <c r="J182" s="409">
        <v>7</v>
      </c>
      <c r="K182" s="701">
        <v>7</v>
      </c>
      <c r="L182" s="409">
        <v>7</v>
      </c>
      <c r="M182" s="14">
        <v>7</v>
      </c>
      <c r="N182" s="14">
        <v>7</v>
      </c>
      <c r="O182" s="14">
        <v>7</v>
      </c>
      <c r="P182" s="14"/>
      <c r="Q182" s="148"/>
    </row>
    <row r="183" spans="1:17" ht="15.75" customHeight="1" x14ac:dyDescent="0.25">
      <c r="A183" s="856"/>
      <c r="B183" s="860"/>
      <c r="C183" s="342" t="s">
        <v>109</v>
      </c>
      <c r="D183" s="340">
        <v>9</v>
      </c>
      <c r="E183" s="311">
        <v>9</v>
      </c>
      <c r="F183" s="312">
        <v>9</v>
      </c>
      <c r="G183" s="187">
        <v>9</v>
      </c>
      <c r="H183" s="409">
        <v>8</v>
      </c>
      <c r="I183" s="409">
        <v>10</v>
      </c>
      <c r="J183" s="409">
        <v>10</v>
      </c>
      <c r="K183" s="701">
        <v>10</v>
      </c>
      <c r="L183" s="409">
        <v>10</v>
      </c>
      <c r="M183" s="14">
        <v>12</v>
      </c>
      <c r="N183" s="14">
        <v>12</v>
      </c>
      <c r="O183" s="14">
        <v>12</v>
      </c>
      <c r="P183" s="14"/>
      <c r="Q183" s="148"/>
    </row>
    <row r="184" spans="1:17" x14ac:dyDescent="0.25">
      <c r="A184" s="856"/>
      <c r="B184" s="860"/>
      <c r="C184" s="342" t="s">
        <v>182</v>
      </c>
      <c r="D184" s="340"/>
      <c r="E184" s="311"/>
      <c r="F184" s="312"/>
      <c r="G184" s="187"/>
      <c r="H184" s="409">
        <v>4</v>
      </c>
      <c r="I184" s="409">
        <v>5</v>
      </c>
      <c r="J184" s="409">
        <v>5</v>
      </c>
      <c r="K184" s="701">
        <v>5</v>
      </c>
      <c r="L184" s="409">
        <v>5</v>
      </c>
      <c r="M184" s="14">
        <v>5</v>
      </c>
      <c r="N184" s="14">
        <v>6</v>
      </c>
      <c r="O184" s="14">
        <v>6</v>
      </c>
      <c r="P184" s="14"/>
      <c r="Q184" s="148"/>
    </row>
    <row r="185" spans="1:17" ht="15.75" customHeight="1" x14ac:dyDescent="0.25">
      <c r="A185" s="856"/>
      <c r="B185" s="860"/>
      <c r="C185" s="342" t="s">
        <v>183</v>
      </c>
      <c r="D185" s="340"/>
      <c r="E185" s="311"/>
      <c r="F185" s="312"/>
      <c r="G185" s="187"/>
      <c r="H185" s="409">
        <v>1</v>
      </c>
      <c r="I185" s="409">
        <v>1</v>
      </c>
      <c r="J185" s="409">
        <v>1</v>
      </c>
      <c r="K185" s="701">
        <v>1</v>
      </c>
      <c r="L185" s="409">
        <v>1</v>
      </c>
      <c r="M185" s="14"/>
      <c r="N185" s="14">
        <v>1</v>
      </c>
      <c r="O185" s="14">
        <v>0</v>
      </c>
      <c r="P185" s="14"/>
      <c r="Q185" s="148"/>
    </row>
    <row r="186" spans="1:17" ht="15.75" customHeight="1" x14ac:dyDescent="0.25">
      <c r="A186" s="856"/>
      <c r="B186" s="860"/>
      <c r="C186" s="342" t="s">
        <v>190</v>
      </c>
      <c r="D186" s="340"/>
      <c r="E186" s="311"/>
      <c r="F186" s="312"/>
      <c r="G186" s="187"/>
      <c r="H186" s="409">
        <v>4</v>
      </c>
      <c r="I186" s="409">
        <v>4</v>
      </c>
      <c r="J186" s="409">
        <v>4</v>
      </c>
      <c r="K186" s="701">
        <v>4</v>
      </c>
      <c r="L186" s="409">
        <v>3</v>
      </c>
      <c r="M186" s="14">
        <v>3</v>
      </c>
      <c r="N186" s="14">
        <v>3</v>
      </c>
      <c r="O186" s="14">
        <v>3</v>
      </c>
      <c r="P186" s="14"/>
      <c r="Q186" s="148"/>
    </row>
    <row r="187" spans="1:17" ht="15.75" customHeight="1" thickBot="1" x14ac:dyDescent="0.3">
      <c r="A187" s="856"/>
      <c r="B187" s="861"/>
      <c r="C187" s="364" t="s">
        <v>184</v>
      </c>
      <c r="D187" s="517"/>
      <c r="E187" s="348"/>
      <c r="F187" s="349"/>
      <c r="G187" s="190"/>
      <c r="H187" s="411">
        <v>1</v>
      </c>
      <c r="I187" s="411">
        <v>1</v>
      </c>
      <c r="J187" s="411">
        <v>1</v>
      </c>
      <c r="K187" s="702">
        <v>1</v>
      </c>
      <c r="L187" s="411">
        <v>1</v>
      </c>
      <c r="M187" s="146">
        <v>2</v>
      </c>
      <c r="N187" s="146">
        <v>2</v>
      </c>
      <c r="O187" s="146">
        <v>2</v>
      </c>
      <c r="P187" s="146"/>
      <c r="Q187" s="149"/>
    </row>
    <row r="188" spans="1:17" x14ac:dyDescent="0.25">
      <c r="A188" s="856"/>
      <c r="B188" s="862" t="s">
        <v>217</v>
      </c>
      <c r="C188" s="532" t="s">
        <v>138</v>
      </c>
      <c r="D188" s="518">
        <v>0.01</v>
      </c>
      <c r="E188" s="509">
        <v>0.01</v>
      </c>
      <c r="F188" s="510">
        <v>0.04</v>
      </c>
      <c r="G188" s="511">
        <v>0.03</v>
      </c>
      <c r="H188" s="512">
        <v>0.02</v>
      </c>
      <c r="I188" s="512">
        <v>0.02</v>
      </c>
      <c r="J188" s="512">
        <v>0.02</v>
      </c>
      <c r="K188" s="707">
        <v>0.02</v>
      </c>
      <c r="L188" s="512">
        <v>0.02</v>
      </c>
      <c r="M188" s="760">
        <v>0.02</v>
      </c>
      <c r="N188" s="760">
        <v>0.02</v>
      </c>
      <c r="O188" s="815">
        <v>0.02</v>
      </c>
      <c r="P188" s="507"/>
      <c r="Q188" s="508"/>
    </row>
    <row r="189" spans="1:17" x14ac:dyDescent="0.25">
      <c r="A189" s="856"/>
      <c r="B189" s="863"/>
      <c r="C189" s="342" t="s">
        <v>90</v>
      </c>
      <c r="D189" s="519">
        <v>0</v>
      </c>
      <c r="E189" s="313">
        <v>0</v>
      </c>
      <c r="F189" s="314">
        <v>0</v>
      </c>
      <c r="G189" s="318">
        <v>0</v>
      </c>
      <c r="H189" s="415">
        <v>0.08</v>
      </c>
      <c r="I189" s="415">
        <v>0.08</v>
      </c>
      <c r="J189" s="415">
        <v>0.08</v>
      </c>
      <c r="K189" s="708">
        <v>0.08</v>
      </c>
      <c r="L189" s="415">
        <v>0.08</v>
      </c>
      <c r="M189" s="761">
        <v>0</v>
      </c>
      <c r="N189" s="761">
        <v>0</v>
      </c>
      <c r="O189" s="809">
        <v>0</v>
      </c>
      <c r="P189" s="14"/>
      <c r="Q189" s="148"/>
    </row>
    <row r="190" spans="1:17" x14ac:dyDescent="0.25">
      <c r="A190" s="856"/>
      <c r="B190" s="863"/>
      <c r="C190" s="342" t="s">
        <v>0</v>
      </c>
      <c r="D190" s="519">
        <v>0.03</v>
      </c>
      <c r="E190" s="313">
        <v>0.03</v>
      </c>
      <c r="F190" s="314">
        <v>0.04</v>
      </c>
      <c r="G190" s="318">
        <v>0.05</v>
      </c>
      <c r="H190" s="415">
        <v>0.03</v>
      </c>
      <c r="I190" s="415">
        <v>0.03</v>
      </c>
      <c r="J190" s="415">
        <v>0.03</v>
      </c>
      <c r="K190" s="708">
        <v>0.03</v>
      </c>
      <c r="L190" s="415">
        <v>0.02</v>
      </c>
      <c r="M190" s="761">
        <v>0.03</v>
      </c>
      <c r="N190" s="761">
        <v>0.06</v>
      </c>
      <c r="O190" s="809">
        <v>0.02</v>
      </c>
      <c r="P190" s="14"/>
      <c r="Q190" s="148"/>
    </row>
    <row r="191" spans="1:17" x14ac:dyDescent="0.25">
      <c r="A191" s="856"/>
      <c r="B191" s="863"/>
      <c r="C191" s="342" t="s">
        <v>139</v>
      </c>
      <c r="D191" s="519">
        <v>0</v>
      </c>
      <c r="E191" s="313">
        <v>0</v>
      </c>
      <c r="F191" s="314">
        <v>0.2</v>
      </c>
      <c r="G191" s="318">
        <v>0</v>
      </c>
      <c r="H191" s="415">
        <v>0</v>
      </c>
      <c r="I191" s="415">
        <v>0</v>
      </c>
      <c r="J191" s="415">
        <v>0</v>
      </c>
      <c r="K191" s="708">
        <v>0</v>
      </c>
      <c r="L191" s="415">
        <v>0</v>
      </c>
      <c r="M191" s="761">
        <v>0</v>
      </c>
      <c r="N191" s="761">
        <v>0</v>
      </c>
      <c r="O191" s="809">
        <v>0</v>
      </c>
      <c r="P191" s="14"/>
      <c r="Q191" s="148"/>
    </row>
    <row r="192" spans="1:17" x14ac:dyDescent="0.25">
      <c r="A192" s="856"/>
      <c r="B192" s="863"/>
      <c r="C192" s="342" t="s">
        <v>143</v>
      </c>
      <c r="D192" s="519">
        <v>0</v>
      </c>
      <c r="E192" s="313">
        <v>0</v>
      </c>
      <c r="F192" s="314">
        <v>0.06</v>
      </c>
      <c r="G192" s="318">
        <v>0</v>
      </c>
      <c r="H192" s="415">
        <v>0</v>
      </c>
      <c r="I192" s="415">
        <v>0.02</v>
      </c>
      <c r="J192" s="415">
        <v>0</v>
      </c>
      <c r="K192" s="708">
        <v>0.02</v>
      </c>
      <c r="L192" s="415">
        <v>0.04</v>
      </c>
      <c r="M192" s="761">
        <v>0.02</v>
      </c>
      <c r="N192" s="761">
        <v>0</v>
      </c>
      <c r="O192" s="809">
        <v>0</v>
      </c>
      <c r="P192" s="14"/>
      <c r="Q192" s="148"/>
    </row>
    <row r="193" spans="1:17" x14ac:dyDescent="0.25">
      <c r="A193" s="856"/>
      <c r="B193" s="863"/>
      <c r="C193" s="342" t="s">
        <v>137</v>
      </c>
      <c r="D193" s="519">
        <v>0</v>
      </c>
      <c r="E193" s="313">
        <v>0</v>
      </c>
      <c r="F193" s="314">
        <v>0</v>
      </c>
      <c r="G193" s="318">
        <v>0</v>
      </c>
      <c r="H193" s="415">
        <v>0</v>
      </c>
      <c r="I193" s="415">
        <v>0</v>
      </c>
      <c r="J193" s="415">
        <v>0</v>
      </c>
      <c r="K193" s="708">
        <v>0</v>
      </c>
      <c r="L193" s="415">
        <v>0</v>
      </c>
      <c r="M193" s="761">
        <v>0</v>
      </c>
      <c r="N193" s="761">
        <v>0</v>
      </c>
      <c r="O193" s="809">
        <v>0</v>
      </c>
      <c r="P193" s="14"/>
      <c r="Q193" s="148"/>
    </row>
    <row r="194" spans="1:17" x14ac:dyDescent="0.25">
      <c r="A194" s="856"/>
      <c r="B194" s="863"/>
      <c r="C194" s="342" t="s">
        <v>106</v>
      </c>
      <c r="D194" s="519">
        <v>0</v>
      </c>
      <c r="E194" s="313">
        <v>0</v>
      </c>
      <c r="F194" s="314">
        <v>0</v>
      </c>
      <c r="G194" s="318">
        <v>0.16</v>
      </c>
      <c r="H194" s="415">
        <v>0</v>
      </c>
      <c r="I194" s="415">
        <v>0</v>
      </c>
      <c r="J194" s="415">
        <v>0</v>
      </c>
      <c r="K194" s="708">
        <v>0</v>
      </c>
      <c r="L194" s="415">
        <v>0</v>
      </c>
      <c r="M194" s="761">
        <v>0.16</v>
      </c>
      <c r="N194" s="761">
        <v>0</v>
      </c>
      <c r="O194" s="809">
        <v>0</v>
      </c>
      <c r="P194" s="14"/>
      <c r="Q194" s="148"/>
    </row>
    <row r="195" spans="1:17" x14ac:dyDescent="0.25">
      <c r="A195" s="856"/>
      <c r="B195" s="863"/>
      <c r="C195" s="342" t="s">
        <v>107</v>
      </c>
      <c r="D195" s="519">
        <v>0</v>
      </c>
      <c r="E195" s="313">
        <v>0</v>
      </c>
      <c r="F195" s="314">
        <v>0</v>
      </c>
      <c r="G195" s="318">
        <v>0</v>
      </c>
      <c r="H195" s="415">
        <v>0</v>
      </c>
      <c r="I195" s="415">
        <v>0</v>
      </c>
      <c r="J195" s="415">
        <v>0</v>
      </c>
      <c r="K195" s="708">
        <v>0</v>
      </c>
      <c r="L195" s="415">
        <v>0</v>
      </c>
      <c r="M195" s="761">
        <v>0</v>
      </c>
      <c r="N195" s="761">
        <v>0</v>
      </c>
      <c r="O195" s="809">
        <v>0.05</v>
      </c>
      <c r="P195" s="14"/>
      <c r="Q195" s="148"/>
    </row>
    <row r="196" spans="1:17" x14ac:dyDescent="0.25">
      <c r="A196" s="856"/>
      <c r="B196" s="863"/>
      <c r="C196" s="342" t="s">
        <v>108</v>
      </c>
      <c r="D196" s="519">
        <v>0</v>
      </c>
      <c r="E196" s="313">
        <v>0</v>
      </c>
      <c r="F196" s="314">
        <v>0</v>
      </c>
      <c r="G196" s="318">
        <v>0</v>
      </c>
      <c r="H196" s="415">
        <v>0</v>
      </c>
      <c r="I196" s="415">
        <v>0</v>
      </c>
      <c r="J196" s="415">
        <v>0</v>
      </c>
      <c r="K196" s="708">
        <v>0</v>
      </c>
      <c r="L196" s="415">
        <v>0</v>
      </c>
      <c r="M196" s="761">
        <v>0</v>
      </c>
      <c r="N196" s="761">
        <v>0</v>
      </c>
      <c r="O196" s="809">
        <v>0</v>
      </c>
      <c r="P196" s="14"/>
      <c r="Q196" s="148"/>
    </row>
    <row r="197" spans="1:17" x14ac:dyDescent="0.25">
      <c r="A197" s="856"/>
      <c r="B197" s="863"/>
      <c r="C197" s="342" t="s">
        <v>103</v>
      </c>
      <c r="D197" s="519">
        <v>0</v>
      </c>
      <c r="E197" s="313">
        <v>0</v>
      </c>
      <c r="F197" s="314">
        <v>0</v>
      </c>
      <c r="G197" s="318">
        <v>0</v>
      </c>
      <c r="H197" s="415">
        <v>0</v>
      </c>
      <c r="I197" s="415">
        <v>0</v>
      </c>
      <c r="J197" s="415">
        <v>0</v>
      </c>
      <c r="K197" s="708">
        <v>0</v>
      </c>
      <c r="L197" s="415">
        <v>0</v>
      </c>
      <c r="M197" s="761">
        <v>0</v>
      </c>
      <c r="N197" s="761">
        <v>0</v>
      </c>
      <c r="O197" s="809">
        <v>0.17</v>
      </c>
      <c r="P197" s="14"/>
      <c r="Q197" s="148"/>
    </row>
    <row r="198" spans="1:17" x14ac:dyDescent="0.25">
      <c r="A198" s="856"/>
      <c r="B198" s="863"/>
      <c r="C198" s="342" t="s">
        <v>109</v>
      </c>
      <c r="D198" s="519">
        <v>0</v>
      </c>
      <c r="E198" s="313">
        <v>0</v>
      </c>
      <c r="F198" s="314">
        <v>0</v>
      </c>
      <c r="G198" s="318">
        <v>0.13</v>
      </c>
      <c r="H198" s="415">
        <v>0</v>
      </c>
      <c r="I198" s="415">
        <v>0</v>
      </c>
      <c r="J198" s="415">
        <v>0</v>
      </c>
      <c r="K198" s="708">
        <v>0</v>
      </c>
      <c r="L198" s="415">
        <v>0</v>
      </c>
      <c r="M198" s="761">
        <v>0</v>
      </c>
      <c r="N198" s="761">
        <v>0</v>
      </c>
      <c r="O198" s="809">
        <v>0</v>
      </c>
      <c r="P198" s="14"/>
      <c r="Q198" s="148"/>
    </row>
    <row r="199" spans="1:17" x14ac:dyDescent="0.25">
      <c r="A199" s="856"/>
      <c r="B199" s="863"/>
      <c r="C199" s="342" t="s">
        <v>182</v>
      </c>
      <c r="D199" s="520"/>
      <c r="E199" s="338"/>
      <c r="F199" s="193"/>
      <c r="G199" s="193"/>
      <c r="H199" s="416">
        <v>0</v>
      </c>
      <c r="I199" s="416">
        <v>0</v>
      </c>
      <c r="J199" s="416">
        <v>0</v>
      </c>
      <c r="K199" s="708">
        <v>0</v>
      </c>
      <c r="L199" s="415">
        <v>0</v>
      </c>
      <c r="M199" s="761">
        <v>0</v>
      </c>
      <c r="N199" s="761">
        <v>0</v>
      </c>
      <c r="O199" s="809">
        <v>0</v>
      </c>
      <c r="P199" s="14"/>
      <c r="Q199" s="148"/>
    </row>
    <row r="200" spans="1:17" x14ac:dyDescent="0.25">
      <c r="A200" s="856"/>
      <c r="B200" s="863"/>
      <c r="C200" s="342" t="s">
        <v>183</v>
      </c>
      <c r="D200" s="520"/>
      <c r="E200" s="338"/>
      <c r="F200" s="193"/>
      <c r="G200" s="193"/>
      <c r="H200" s="416">
        <v>0</v>
      </c>
      <c r="I200" s="416">
        <v>0</v>
      </c>
      <c r="J200" s="416">
        <v>0</v>
      </c>
      <c r="K200" s="708">
        <v>0</v>
      </c>
      <c r="L200" s="415">
        <v>0</v>
      </c>
      <c r="M200" s="761">
        <v>0</v>
      </c>
      <c r="N200" s="761">
        <v>0</v>
      </c>
      <c r="O200" s="809">
        <v>0</v>
      </c>
      <c r="P200" s="14"/>
      <c r="Q200" s="148"/>
    </row>
    <row r="201" spans="1:17" x14ac:dyDescent="0.25">
      <c r="A201" s="856"/>
      <c r="B201" s="863"/>
      <c r="C201" s="342" t="s">
        <v>190</v>
      </c>
      <c r="D201" s="520"/>
      <c r="E201" s="338"/>
      <c r="F201" s="193"/>
      <c r="G201" s="193"/>
      <c r="H201" s="416">
        <v>0</v>
      </c>
      <c r="I201" s="416">
        <v>0</v>
      </c>
      <c r="J201" s="416">
        <v>0</v>
      </c>
      <c r="K201" s="708">
        <v>0.32</v>
      </c>
      <c r="L201" s="415">
        <v>0</v>
      </c>
      <c r="M201" s="761">
        <v>0</v>
      </c>
      <c r="N201" s="761">
        <v>0</v>
      </c>
      <c r="O201" s="809">
        <v>0</v>
      </c>
      <c r="P201" s="14"/>
      <c r="Q201" s="148"/>
    </row>
    <row r="202" spans="1:17" ht="15.75" thickBot="1" x14ac:dyDescent="0.3">
      <c r="A202" s="856"/>
      <c r="B202" s="864"/>
      <c r="C202" s="364" t="s">
        <v>184</v>
      </c>
      <c r="D202" s="521"/>
      <c r="E202" s="350"/>
      <c r="F202" s="195"/>
      <c r="G202" s="195"/>
      <c r="H202" s="417">
        <v>0</v>
      </c>
      <c r="I202" s="417">
        <v>0</v>
      </c>
      <c r="J202" s="417">
        <v>0</v>
      </c>
      <c r="K202" s="709">
        <v>0</v>
      </c>
      <c r="L202" s="735">
        <v>0</v>
      </c>
      <c r="M202" s="762">
        <v>0</v>
      </c>
      <c r="N202" s="762">
        <v>0</v>
      </c>
      <c r="O202" s="816">
        <v>0</v>
      </c>
      <c r="P202" s="146"/>
      <c r="Q202" s="149"/>
    </row>
    <row r="203" spans="1:17" x14ac:dyDescent="0.25">
      <c r="B203" s="429"/>
    </row>
    <row r="204" spans="1:17" x14ac:dyDescent="0.25">
      <c r="B204" s="429"/>
    </row>
    <row r="205" spans="1:17" x14ac:dyDescent="0.25">
      <c r="B205" s="429"/>
    </row>
    <row r="206" spans="1:17" x14ac:dyDescent="0.25">
      <c r="B206" s="429"/>
    </row>
    <row r="207" spans="1:17" x14ac:dyDescent="0.25">
      <c r="B207" s="429"/>
    </row>
    <row r="208" spans="1:17" x14ac:dyDescent="0.25">
      <c r="B208" s="429"/>
    </row>
    <row r="209" spans="2:2" x14ac:dyDescent="0.25">
      <c r="B209" s="429"/>
    </row>
    <row r="210" spans="2:2" x14ac:dyDescent="0.25">
      <c r="B210" s="429"/>
    </row>
    <row r="211" spans="2:2" x14ac:dyDescent="0.25">
      <c r="B211" s="429"/>
    </row>
    <row r="212" spans="2:2" x14ac:dyDescent="0.25">
      <c r="B212" s="429"/>
    </row>
    <row r="213" spans="2:2" x14ac:dyDescent="0.25">
      <c r="B213" s="429"/>
    </row>
    <row r="214" spans="2:2" x14ac:dyDescent="0.25">
      <c r="B214" s="429"/>
    </row>
    <row r="215" spans="2:2" x14ac:dyDescent="0.25">
      <c r="B215" s="429"/>
    </row>
    <row r="216" spans="2:2" x14ac:dyDescent="0.25">
      <c r="B216" s="429"/>
    </row>
    <row r="217" spans="2:2" x14ac:dyDescent="0.25">
      <c r="B217" s="429"/>
    </row>
    <row r="218" spans="2:2" x14ac:dyDescent="0.25">
      <c r="B218" s="429"/>
    </row>
    <row r="219" spans="2:2" x14ac:dyDescent="0.25">
      <c r="B219" s="429"/>
    </row>
    <row r="220" spans="2:2" x14ac:dyDescent="0.25">
      <c r="B220" s="429"/>
    </row>
    <row r="221" spans="2:2" x14ac:dyDescent="0.25">
      <c r="B221" s="429"/>
    </row>
    <row r="222" spans="2:2" x14ac:dyDescent="0.25">
      <c r="B222" s="429"/>
    </row>
    <row r="223" spans="2:2" x14ac:dyDescent="0.25">
      <c r="B223" s="429"/>
    </row>
    <row r="224" spans="2:2" x14ac:dyDescent="0.25">
      <c r="B224" s="429"/>
    </row>
    <row r="225" spans="2:2" x14ac:dyDescent="0.25">
      <c r="B225" s="429"/>
    </row>
    <row r="226" spans="2:2" x14ac:dyDescent="0.25">
      <c r="B226" s="429"/>
    </row>
    <row r="227" spans="2:2" x14ac:dyDescent="0.25">
      <c r="B227" s="429"/>
    </row>
    <row r="228" spans="2:2" x14ac:dyDescent="0.25">
      <c r="B228" s="429"/>
    </row>
    <row r="229" spans="2:2" x14ac:dyDescent="0.25">
      <c r="B229" s="429"/>
    </row>
    <row r="230" spans="2:2" x14ac:dyDescent="0.25">
      <c r="B230" s="429"/>
    </row>
    <row r="231" spans="2:2" x14ac:dyDescent="0.25">
      <c r="B231" s="429"/>
    </row>
    <row r="232" spans="2:2" x14ac:dyDescent="0.25">
      <c r="B232" s="429"/>
    </row>
    <row r="233" spans="2:2" x14ac:dyDescent="0.25">
      <c r="B233" s="429"/>
    </row>
    <row r="234" spans="2:2" x14ac:dyDescent="0.25">
      <c r="B234" s="429"/>
    </row>
    <row r="235" spans="2:2" x14ac:dyDescent="0.25">
      <c r="B235" s="429"/>
    </row>
    <row r="236" spans="2:2" x14ac:dyDescent="0.25">
      <c r="B236" s="429"/>
    </row>
    <row r="237" spans="2:2" x14ac:dyDescent="0.25">
      <c r="B237" s="429"/>
    </row>
    <row r="238" spans="2:2" x14ac:dyDescent="0.25">
      <c r="B238" s="429"/>
    </row>
    <row r="239" spans="2:2" x14ac:dyDescent="0.25">
      <c r="B239" s="429"/>
    </row>
    <row r="240" spans="2:2" x14ac:dyDescent="0.25">
      <c r="B240" s="429"/>
    </row>
    <row r="241" spans="2:2" x14ac:dyDescent="0.25">
      <c r="B241" s="429"/>
    </row>
    <row r="242" spans="2:2" x14ac:dyDescent="0.25">
      <c r="B242" s="429"/>
    </row>
    <row r="243" spans="2:2" x14ac:dyDescent="0.25">
      <c r="B243" s="429"/>
    </row>
    <row r="244" spans="2:2" x14ac:dyDescent="0.25">
      <c r="B244" s="429"/>
    </row>
    <row r="245" spans="2:2" x14ac:dyDescent="0.25">
      <c r="B245" s="429"/>
    </row>
    <row r="246" spans="2:2" x14ac:dyDescent="0.25">
      <c r="B246" s="429"/>
    </row>
    <row r="247" spans="2:2" x14ac:dyDescent="0.25">
      <c r="B247" s="429"/>
    </row>
    <row r="248" spans="2:2" x14ac:dyDescent="0.25">
      <c r="B248" s="429"/>
    </row>
    <row r="249" spans="2:2" x14ac:dyDescent="0.25">
      <c r="B249" s="429"/>
    </row>
    <row r="250" spans="2:2" x14ac:dyDescent="0.25">
      <c r="B250" s="429"/>
    </row>
    <row r="251" spans="2:2" x14ac:dyDescent="0.25">
      <c r="B251" s="429"/>
    </row>
    <row r="252" spans="2:2" x14ac:dyDescent="0.25">
      <c r="B252" s="429"/>
    </row>
    <row r="253" spans="2:2" x14ac:dyDescent="0.25">
      <c r="B253" s="429"/>
    </row>
    <row r="254" spans="2:2" x14ac:dyDescent="0.25">
      <c r="B254" s="429"/>
    </row>
    <row r="255" spans="2:2" x14ac:dyDescent="0.25">
      <c r="B255" s="429"/>
    </row>
    <row r="256" spans="2:2" x14ac:dyDescent="0.25">
      <c r="B256" s="429"/>
    </row>
    <row r="257" spans="2:2" x14ac:dyDescent="0.25">
      <c r="B257" s="429"/>
    </row>
    <row r="258" spans="2:2" x14ac:dyDescent="0.25">
      <c r="B258" s="429"/>
    </row>
    <row r="259" spans="2:2" x14ac:dyDescent="0.25">
      <c r="B259" s="429"/>
    </row>
    <row r="260" spans="2:2" x14ac:dyDescent="0.25">
      <c r="B260" s="429"/>
    </row>
    <row r="261" spans="2:2" x14ac:dyDescent="0.25">
      <c r="B261" s="429"/>
    </row>
    <row r="262" spans="2:2" x14ac:dyDescent="0.25">
      <c r="B262" s="429"/>
    </row>
    <row r="263" spans="2:2" x14ac:dyDescent="0.25">
      <c r="B263" s="429"/>
    </row>
    <row r="264" spans="2:2" x14ac:dyDescent="0.25">
      <c r="B264" s="429"/>
    </row>
    <row r="265" spans="2:2" x14ac:dyDescent="0.25">
      <c r="B265" s="429"/>
    </row>
    <row r="266" spans="2:2" x14ac:dyDescent="0.25">
      <c r="B266" s="429"/>
    </row>
    <row r="267" spans="2:2" x14ac:dyDescent="0.25">
      <c r="B267" s="429"/>
    </row>
    <row r="268" spans="2:2" x14ac:dyDescent="0.25">
      <c r="B268" s="429"/>
    </row>
    <row r="269" spans="2:2" x14ac:dyDescent="0.25">
      <c r="B269" s="429"/>
    </row>
    <row r="270" spans="2:2" x14ac:dyDescent="0.25">
      <c r="B270" s="429"/>
    </row>
    <row r="271" spans="2:2" x14ac:dyDescent="0.25">
      <c r="B271" s="429"/>
    </row>
    <row r="272" spans="2:2" x14ac:dyDescent="0.25">
      <c r="B272" s="429"/>
    </row>
    <row r="273" spans="2:2" x14ac:dyDescent="0.25">
      <c r="B273" s="429"/>
    </row>
    <row r="274" spans="2:2" x14ac:dyDescent="0.25">
      <c r="B274" s="429"/>
    </row>
    <row r="275" spans="2:2" x14ac:dyDescent="0.25">
      <c r="B275" s="429"/>
    </row>
    <row r="276" spans="2:2" x14ac:dyDescent="0.25">
      <c r="B276" s="429"/>
    </row>
    <row r="277" spans="2:2" x14ac:dyDescent="0.25">
      <c r="B277" s="429"/>
    </row>
    <row r="278" spans="2:2" x14ac:dyDescent="0.25">
      <c r="B278" s="429"/>
    </row>
    <row r="279" spans="2:2" x14ac:dyDescent="0.25">
      <c r="B279" s="429"/>
    </row>
    <row r="280" spans="2:2" x14ac:dyDescent="0.25">
      <c r="B280" s="429"/>
    </row>
    <row r="281" spans="2:2" x14ac:dyDescent="0.25">
      <c r="B281" s="429"/>
    </row>
    <row r="282" spans="2:2" x14ac:dyDescent="0.25">
      <c r="B282" s="429"/>
    </row>
    <row r="283" spans="2:2" x14ac:dyDescent="0.25">
      <c r="B283" s="429"/>
    </row>
    <row r="284" spans="2:2" x14ac:dyDescent="0.25">
      <c r="B284" s="429"/>
    </row>
    <row r="285" spans="2:2" x14ac:dyDescent="0.25">
      <c r="B285" s="429"/>
    </row>
    <row r="286" spans="2:2" x14ac:dyDescent="0.25">
      <c r="B286" s="429"/>
    </row>
    <row r="287" spans="2:2" x14ac:dyDescent="0.25">
      <c r="B287" s="429"/>
    </row>
    <row r="288" spans="2:2" x14ac:dyDescent="0.25">
      <c r="B288" s="429"/>
    </row>
    <row r="289" spans="2:2" x14ac:dyDescent="0.25">
      <c r="B289" s="429"/>
    </row>
    <row r="290" spans="2:2" x14ac:dyDescent="0.25">
      <c r="B290" s="429"/>
    </row>
    <row r="291" spans="2:2" x14ac:dyDescent="0.25">
      <c r="B291" s="429"/>
    </row>
    <row r="292" spans="2:2" x14ac:dyDescent="0.25">
      <c r="B292" s="429"/>
    </row>
    <row r="293" spans="2:2" x14ac:dyDescent="0.25">
      <c r="B293" s="429"/>
    </row>
    <row r="294" spans="2:2" x14ac:dyDescent="0.25">
      <c r="B294" s="429"/>
    </row>
    <row r="295" spans="2:2" x14ac:dyDescent="0.25">
      <c r="B295" s="429"/>
    </row>
    <row r="296" spans="2:2" x14ac:dyDescent="0.25">
      <c r="B296" s="429"/>
    </row>
    <row r="297" spans="2:2" x14ac:dyDescent="0.25">
      <c r="B297" s="429"/>
    </row>
    <row r="298" spans="2:2" x14ac:dyDescent="0.25">
      <c r="B298" s="429"/>
    </row>
    <row r="299" spans="2:2" x14ac:dyDescent="0.25">
      <c r="B299" s="429"/>
    </row>
    <row r="300" spans="2:2" x14ac:dyDescent="0.25">
      <c r="B300" s="429"/>
    </row>
    <row r="301" spans="2:2" x14ac:dyDescent="0.25">
      <c r="B301" s="429"/>
    </row>
    <row r="302" spans="2:2" x14ac:dyDescent="0.25">
      <c r="B302" s="429"/>
    </row>
    <row r="303" spans="2:2" x14ac:dyDescent="0.25">
      <c r="B303" s="429"/>
    </row>
    <row r="304" spans="2:2" x14ac:dyDescent="0.25">
      <c r="B304" s="429"/>
    </row>
    <row r="305" spans="2:2" x14ac:dyDescent="0.25">
      <c r="B305" s="429"/>
    </row>
    <row r="306" spans="2:2" x14ac:dyDescent="0.25">
      <c r="B306" s="429"/>
    </row>
    <row r="307" spans="2:2" x14ac:dyDescent="0.25">
      <c r="B307" s="429"/>
    </row>
    <row r="308" spans="2:2" x14ac:dyDescent="0.25">
      <c r="B308" s="429"/>
    </row>
    <row r="309" spans="2:2" x14ac:dyDescent="0.25">
      <c r="B309" s="429"/>
    </row>
    <row r="310" spans="2:2" x14ac:dyDescent="0.25">
      <c r="B310" s="429"/>
    </row>
    <row r="311" spans="2:2" x14ac:dyDescent="0.25">
      <c r="B311" s="429"/>
    </row>
    <row r="312" spans="2:2" x14ac:dyDescent="0.25">
      <c r="B312" s="429"/>
    </row>
    <row r="313" spans="2:2" x14ac:dyDescent="0.25">
      <c r="B313" s="429"/>
    </row>
    <row r="314" spans="2:2" x14ac:dyDescent="0.25">
      <c r="B314" s="429"/>
    </row>
    <row r="315" spans="2:2" x14ac:dyDescent="0.25">
      <c r="B315" s="429"/>
    </row>
    <row r="316" spans="2:2" x14ac:dyDescent="0.25">
      <c r="B316" s="429"/>
    </row>
    <row r="317" spans="2:2" x14ac:dyDescent="0.25">
      <c r="B317" s="429"/>
    </row>
    <row r="318" spans="2:2" x14ac:dyDescent="0.25">
      <c r="B318" s="429"/>
    </row>
    <row r="319" spans="2:2" x14ac:dyDescent="0.25">
      <c r="B319" s="429"/>
    </row>
    <row r="320" spans="2:2" x14ac:dyDescent="0.25">
      <c r="B320" s="429"/>
    </row>
    <row r="321" spans="2:2" x14ac:dyDescent="0.25">
      <c r="B321" s="429"/>
    </row>
    <row r="322" spans="2:2" x14ac:dyDescent="0.25">
      <c r="B322" s="429"/>
    </row>
    <row r="323" spans="2:2" x14ac:dyDescent="0.25">
      <c r="B323" s="429"/>
    </row>
    <row r="324" spans="2:2" x14ac:dyDescent="0.25">
      <c r="B324" s="429"/>
    </row>
    <row r="325" spans="2:2" x14ac:dyDescent="0.25">
      <c r="B325" s="429"/>
    </row>
    <row r="326" spans="2:2" x14ac:dyDescent="0.25">
      <c r="B326" s="429"/>
    </row>
    <row r="327" spans="2:2" x14ac:dyDescent="0.25">
      <c r="B327" s="429"/>
    </row>
    <row r="328" spans="2:2" x14ac:dyDescent="0.25">
      <c r="B328" s="429"/>
    </row>
    <row r="329" spans="2:2" x14ac:dyDescent="0.25">
      <c r="B329" s="429"/>
    </row>
    <row r="330" spans="2:2" x14ac:dyDescent="0.25">
      <c r="B330" s="429"/>
    </row>
    <row r="331" spans="2:2" x14ac:dyDescent="0.25">
      <c r="B331" s="429"/>
    </row>
    <row r="332" spans="2:2" x14ac:dyDescent="0.25">
      <c r="B332" s="429"/>
    </row>
    <row r="333" spans="2:2" x14ac:dyDescent="0.25">
      <c r="B333" s="429"/>
    </row>
    <row r="334" spans="2:2" x14ac:dyDescent="0.25">
      <c r="B334" s="429"/>
    </row>
    <row r="335" spans="2:2" x14ac:dyDescent="0.25">
      <c r="B335" s="429"/>
    </row>
    <row r="336" spans="2:2" x14ac:dyDescent="0.25">
      <c r="B336" s="429"/>
    </row>
    <row r="337" spans="2:2" x14ac:dyDescent="0.25">
      <c r="B337" s="429"/>
    </row>
    <row r="338" spans="2:2" x14ac:dyDescent="0.25">
      <c r="B338" s="429"/>
    </row>
    <row r="339" spans="2:2" x14ac:dyDescent="0.25">
      <c r="B339" s="429"/>
    </row>
    <row r="340" spans="2:2" x14ac:dyDescent="0.25">
      <c r="B340" s="429"/>
    </row>
    <row r="341" spans="2:2" x14ac:dyDescent="0.25">
      <c r="B341" s="429"/>
    </row>
    <row r="342" spans="2:2" x14ac:dyDescent="0.25">
      <c r="B342" s="429"/>
    </row>
    <row r="343" spans="2:2" x14ac:dyDescent="0.25">
      <c r="B343" s="429"/>
    </row>
    <row r="344" spans="2:2" x14ac:dyDescent="0.25">
      <c r="B344" s="429"/>
    </row>
    <row r="345" spans="2:2" x14ac:dyDescent="0.25">
      <c r="B345" s="429"/>
    </row>
    <row r="346" spans="2:2" x14ac:dyDescent="0.25">
      <c r="B346" s="429"/>
    </row>
    <row r="347" spans="2:2" x14ac:dyDescent="0.25">
      <c r="B347" s="429"/>
    </row>
    <row r="348" spans="2:2" x14ac:dyDescent="0.25">
      <c r="B348" s="429"/>
    </row>
    <row r="349" spans="2:2" x14ac:dyDescent="0.25">
      <c r="B349" s="429"/>
    </row>
    <row r="350" spans="2:2" x14ac:dyDescent="0.25">
      <c r="B350" s="429"/>
    </row>
    <row r="351" spans="2:2" x14ac:dyDescent="0.25">
      <c r="B351" s="429"/>
    </row>
    <row r="352" spans="2:2" x14ac:dyDescent="0.25">
      <c r="B352" s="429"/>
    </row>
    <row r="353" spans="2:2" x14ac:dyDescent="0.25">
      <c r="B353" s="429"/>
    </row>
    <row r="354" spans="2:2" x14ac:dyDescent="0.25">
      <c r="B354" s="429"/>
    </row>
    <row r="355" spans="2:2" x14ac:dyDescent="0.25">
      <c r="B355" s="429"/>
    </row>
    <row r="356" spans="2:2" x14ac:dyDescent="0.25">
      <c r="B356" s="429"/>
    </row>
    <row r="357" spans="2:2" x14ac:dyDescent="0.25">
      <c r="B357" s="429"/>
    </row>
    <row r="358" spans="2:2" x14ac:dyDescent="0.25">
      <c r="B358" s="429"/>
    </row>
    <row r="359" spans="2:2" x14ac:dyDescent="0.25">
      <c r="B359" s="429"/>
    </row>
    <row r="360" spans="2:2" x14ac:dyDescent="0.25">
      <c r="B360" s="429"/>
    </row>
    <row r="361" spans="2:2" x14ac:dyDescent="0.25">
      <c r="B361" s="429"/>
    </row>
    <row r="362" spans="2:2" x14ac:dyDescent="0.25">
      <c r="B362" s="429"/>
    </row>
    <row r="363" spans="2:2" x14ac:dyDescent="0.25">
      <c r="B363" s="429"/>
    </row>
    <row r="364" spans="2:2" x14ac:dyDescent="0.25">
      <c r="B364" s="429"/>
    </row>
    <row r="365" spans="2:2" x14ac:dyDescent="0.25">
      <c r="B365" s="429"/>
    </row>
    <row r="366" spans="2:2" x14ac:dyDescent="0.25">
      <c r="B366" s="429"/>
    </row>
    <row r="367" spans="2:2" x14ac:dyDescent="0.25">
      <c r="B367" s="429"/>
    </row>
    <row r="368" spans="2:2" x14ac:dyDescent="0.25">
      <c r="B368" s="429"/>
    </row>
    <row r="369" spans="2:2" x14ac:dyDescent="0.25">
      <c r="B369" s="429"/>
    </row>
    <row r="370" spans="2:2" x14ac:dyDescent="0.25">
      <c r="B370" s="429"/>
    </row>
    <row r="371" spans="2:2" x14ac:dyDescent="0.25">
      <c r="B371" s="429"/>
    </row>
    <row r="372" spans="2:2" x14ac:dyDescent="0.25">
      <c r="B372" s="429"/>
    </row>
    <row r="373" spans="2:2" x14ac:dyDescent="0.25">
      <c r="B373" s="429"/>
    </row>
    <row r="374" spans="2:2" x14ac:dyDescent="0.25">
      <c r="B374" s="429"/>
    </row>
    <row r="375" spans="2:2" x14ac:dyDescent="0.25">
      <c r="B375" s="429"/>
    </row>
    <row r="376" spans="2:2" x14ac:dyDescent="0.25">
      <c r="B376" s="429"/>
    </row>
    <row r="377" spans="2:2" x14ac:dyDescent="0.25">
      <c r="B377" s="429"/>
    </row>
    <row r="378" spans="2:2" x14ac:dyDescent="0.25">
      <c r="B378" s="429"/>
    </row>
    <row r="379" spans="2:2" x14ac:dyDescent="0.25">
      <c r="B379" s="429"/>
    </row>
    <row r="380" spans="2:2" x14ac:dyDescent="0.25">
      <c r="B380" s="429"/>
    </row>
    <row r="381" spans="2:2" x14ac:dyDescent="0.25">
      <c r="B381" s="429"/>
    </row>
    <row r="382" spans="2:2" x14ac:dyDescent="0.25">
      <c r="B382" s="429"/>
    </row>
    <row r="383" spans="2:2" x14ac:dyDescent="0.25">
      <c r="B383" s="429"/>
    </row>
    <row r="384" spans="2:2" x14ac:dyDescent="0.25">
      <c r="B384" s="429"/>
    </row>
    <row r="385" spans="2:2" x14ac:dyDescent="0.25">
      <c r="B385" s="429"/>
    </row>
    <row r="386" spans="2:2" x14ac:dyDescent="0.25">
      <c r="B386" s="429"/>
    </row>
    <row r="387" spans="2:2" x14ac:dyDescent="0.25">
      <c r="B387" s="429"/>
    </row>
    <row r="388" spans="2:2" x14ac:dyDescent="0.25">
      <c r="B388" s="429"/>
    </row>
    <row r="389" spans="2:2" x14ac:dyDescent="0.25">
      <c r="B389" s="429"/>
    </row>
    <row r="390" spans="2:2" x14ac:dyDescent="0.25">
      <c r="B390" s="429"/>
    </row>
    <row r="391" spans="2:2" x14ac:dyDescent="0.25">
      <c r="B391" s="429"/>
    </row>
  </sheetData>
  <sortState xmlns:xlrd2="http://schemas.microsoft.com/office/spreadsheetml/2017/richdata2" ref="C143:C151">
    <sortCondition ref="C142:C151"/>
  </sortState>
  <mergeCells count="29">
    <mergeCell ref="A141:A202"/>
    <mergeCell ref="B141:B142"/>
    <mergeCell ref="B143:B157"/>
    <mergeCell ref="B158:B172"/>
    <mergeCell ref="B173:B187"/>
    <mergeCell ref="B188:B202"/>
    <mergeCell ref="A111:A112"/>
    <mergeCell ref="B111:B112"/>
    <mergeCell ref="B113:B116"/>
    <mergeCell ref="A113:A140"/>
    <mergeCell ref="B117:B130"/>
    <mergeCell ref="B131:B140"/>
    <mergeCell ref="A108:A110"/>
    <mergeCell ref="B108:B110"/>
    <mergeCell ref="A91:A103"/>
    <mergeCell ref="B91:B103"/>
    <mergeCell ref="A104:A107"/>
    <mergeCell ref="B104:B107"/>
    <mergeCell ref="B83:B90"/>
    <mergeCell ref="B64:B80"/>
    <mergeCell ref="B81:B82"/>
    <mergeCell ref="B42:B48"/>
    <mergeCell ref="A42:A82"/>
    <mergeCell ref="A83:A90"/>
    <mergeCell ref="A1:A24"/>
    <mergeCell ref="B2:B24"/>
    <mergeCell ref="A25:A41"/>
    <mergeCell ref="B25:B41"/>
    <mergeCell ref="B49:B6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4D2E-7F8F-4726-B4B3-4E56CDD9F397}">
  <dimension ref="A2:Q4"/>
  <sheetViews>
    <sheetView workbookViewId="0">
      <selection activeCell="H27" sqref="H27"/>
    </sheetView>
  </sheetViews>
  <sheetFormatPr defaultRowHeight="15" x14ac:dyDescent="0.25"/>
  <cols>
    <col min="1" max="1" width="3.85546875" bestFit="1" customWidth="1"/>
    <col min="3" max="3" width="65.42578125" customWidth="1"/>
  </cols>
  <sheetData>
    <row r="2" spans="1:17" ht="15.75" thickBot="1" x14ac:dyDescent="0.3">
      <c r="D2" s="2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5" t="s">
        <v>10</v>
      </c>
      <c r="M2" s="4" t="s">
        <v>11</v>
      </c>
      <c r="N2" s="6" t="s">
        <v>12</v>
      </c>
      <c r="O2" s="5" t="s">
        <v>13</v>
      </c>
      <c r="P2" s="64" t="s">
        <v>14</v>
      </c>
    </row>
    <row r="3" spans="1:17" ht="15.75" thickBot="1" x14ac:dyDescent="0.3">
      <c r="A3" s="867" t="s">
        <v>99</v>
      </c>
      <c r="B3" s="847"/>
      <c r="C3" s="102" t="s">
        <v>196</v>
      </c>
      <c r="D3" s="114" t="str">
        <f>+'FY24 KPIs'!D111</f>
        <v>N/A</v>
      </c>
      <c r="E3" s="114">
        <f>+'FY24 KPIs'!E111</f>
        <v>25</v>
      </c>
      <c r="F3" s="114">
        <f>+'FY24 KPIs'!F111</f>
        <v>23</v>
      </c>
      <c r="G3" s="114">
        <f>+'FY24 KPIs'!G111</f>
        <v>15</v>
      </c>
      <c r="H3" s="114">
        <f>+'FY24 KPIs'!H111</f>
        <v>14</v>
      </c>
      <c r="I3" s="114">
        <f>+'FY24 KPIs'!I111</f>
        <v>13</v>
      </c>
      <c r="J3" s="114">
        <f>+'FY24 KPIs'!J111</f>
        <v>18</v>
      </c>
      <c r="K3" s="114">
        <f>+'FY24 KPIs'!K111</f>
        <v>15</v>
      </c>
      <c r="L3" s="114">
        <f>+'FY24 KPIs'!L111</f>
        <v>16</v>
      </c>
      <c r="M3" s="114">
        <f>+'FY24 KPIs'!M111</f>
        <v>14</v>
      </c>
      <c r="N3" s="114">
        <f>+'FY24 KPIs'!N111</f>
        <v>15</v>
      </c>
      <c r="O3" s="114">
        <f>+'FY24 KPIs'!O111</f>
        <v>15</v>
      </c>
      <c r="P3" s="51">
        <f>AVERAGE(E3:O3)</f>
        <v>16.636363636363637</v>
      </c>
      <c r="Q3" s="104">
        <f>SUM(10/P3)</f>
        <v>0.60109289617486339</v>
      </c>
    </row>
    <row r="4" spans="1:17" x14ac:dyDescent="0.25">
      <c r="A4" s="868"/>
      <c r="B4" s="869"/>
      <c r="C4" s="103" t="s">
        <v>197</v>
      </c>
      <c r="D4" s="114">
        <f>+'FY24 KPIs'!D112</f>
        <v>0</v>
      </c>
      <c r="E4" s="114">
        <f>+'FY24 KPIs'!E112</f>
        <v>2</v>
      </c>
      <c r="F4" s="114">
        <f>+'FY24 KPIs'!F112</f>
        <v>0</v>
      </c>
      <c r="G4" s="114">
        <f>+'FY24 KPIs'!G112</f>
        <v>0</v>
      </c>
      <c r="H4" s="114">
        <f>+'FY24 KPIs'!H112</f>
        <v>2</v>
      </c>
      <c r="I4" s="114">
        <f>+'FY24 KPIs'!I112</f>
        <v>0</v>
      </c>
      <c r="J4" s="114">
        <f>+'FY24 KPIs'!J112</f>
        <v>0</v>
      </c>
      <c r="K4" s="114">
        <f>+'FY24 KPIs'!K112</f>
        <v>0</v>
      </c>
      <c r="L4" s="114">
        <f>+'FY24 KPIs'!L112</f>
        <v>0</v>
      </c>
      <c r="M4" s="114">
        <f>+'FY24 KPIs'!M112</f>
        <v>0</v>
      </c>
      <c r="N4" s="114">
        <f>+'FY24 KPIs'!N112</f>
        <v>18</v>
      </c>
      <c r="O4" s="114">
        <f>+'FY24 KPIs'!O112</f>
        <v>0</v>
      </c>
      <c r="P4" s="40">
        <f t="shared" ref="P4" si="0">SUM(D4:O4)</f>
        <v>22</v>
      </c>
      <c r="Q4" s="39">
        <f>SUM(P4/25)</f>
        <v>0.88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AD20-7D6F-4DE7-B6F9-55456FCB6F50}">
  <dimension ref="A2:R30"/>
  <sheetViews>
    <sheetView topLeftCell="A24" workbookViewId="0">
      <selection activeCell="H61" sqref="H61"/>
    </sheetView>
  </sheetViews>
  <sheetFormatPr defaultRowHeight="15" x14ac:dyDescent="0.25"/>
  <cols>
    <col min="3" max="3" width="73.85546875" bestFit="1" customWidth="1"/>
    <col min="17" max="17" width="9.5703125" bestFit="1" customWidth="1"/>
  </cols>
  <sheetData>
    <row r="2" spans="1:17" ht="15.75" thickBot="1" x14ac:dyDescent="0.3">
      <c r="D2" s="2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5" t="s">
        <v>10</v>
      </c>
      <c r="M2" s="4" t="s">
        <v>11</v>
      </c>
      <c r="N2" s="6" t="s">
        <v>12</v>
      </c>
      <c r="O2" s="5" t="s">
        <v>13</v>
      </c>
      <c r="P2" s="64" t="s">
        <v>14</v>
      </c>
      <c r="Q2" s="5" t="s">
        <v>15</v>
      </c>
    </row>
    <row r="3" spans="1:17" ht="30.75" thickBot="1" x14ac:dyDescent="0.3">
      <c r="A3" s="853" t="s">
        <v>103</v>
      </c>
      <c r="B3" s="105"/>
      <c r="C3" s="630" t="s">
        <v>158</v>
      </c>
      <c r="D3" s="563">
        <v>4</v>
      </c>
      <c r="E3" s="136">
        <v>1</v>
      </c>
      <c r="F3" s="401">
        <v>1</v>
      </c>
      <c r="G3" s="401">
        <v>3</v>
      </c>
      <c r="H3" s="401">
        <v>17</v>
      </c>
      <c r="I3" s="401">
        <v>2</v>
      </c>
      <c r="J3" s="564">
        <v>11</v>
      </c>
      <c r="K3" s="28">
        <v>2</v>
      </c>
      <c r="L3" s="401">
        <v>1</v>
      </c>
      <c r="M3" s="382">
        <f>+'FY24 KPIs'!L113</f>
        <v>1</v>
      </c>
      <c r="N3" s="382">
        <f>+'FY24 KPIs'!N113</f>
        <v>3</v>
      </c>
      <c r="O3" s="382">
        <f>+'FY24 KPIs'!O113</f>
        <v>0</v>
      </c>
      <c r="P3" s="116">
        <f t="shared" ref="P3:P21" si="0">SUM(D3:O3)</f>
        <v>46</v>
      </c>
      <c r="Q3" s="117">
        <f>AVERAGE(D3:O3)</f>
        <v>3.8333333333333335</v>
      </c>
    </row>
    <row r="4" spans="1:17" ht="30.75" thickBot="1" x14ac:dyDescent="0.3">
      <c r="A4" s="853"/>
      <c r="B4" s="105"/>
      <c r="C4" s="631" t="s">
        <v>159</v>
      </c>
      <c r="D4" s="565">
        <v>1</v>
      </c>
      <c r="E4" s="400">
        <v>0</v>
      </c>
      <c r="F4" s="399">
        <v>0</v>
      </c>
      <c r="G4" s="399">
        <v>3</v>
      </c>
      <c r="H4" s="399">
        <v>27</v>
      </c>
      <c r="I4" s="399">
        <v>3</v>
      </c>
      <c r="J4" s="566">
        <v>14</v>
      </c>
      <c r="K4" s="625">
        <v>3</v>
      </c>
      <c r="L4" s="399">
        <v>5</v>
      </c>
      <c r="M4" s="382">
        <f>+'FY24 KPIs'!L114</f>
        <v>5</v>
      </c>
      <c r="N4" s="382">
        <f>+'FY24 KPIs'!N114</f>
        <v>0</v>
      </c>
      <c r="O4" s="382">
        <f>+'FY24 KPIs'!O114</f>
        <v>12</v>
      </c>
      <c r="P4" s="118">
        <f t="shared" si="0"/>
        <v>73</v>
      </c>
      <c r="Q4" s="120">
        <f>AVERAGE(D4:O4)</f>
        <v>6.083333333333333</v>
      </c>
    </row>
    <row r="5" spans="1:17" ht="30.75" thickBot="1" x14ac:dyDescent="0.3">
      <c r="A5" s="853"/>
      <c r="B5" s="105"/>
      <c r="C5" s="269" t="s">
        <v>160</v>
      </c>
      <c r="D5" s="565">
        <v>265</v>
      </c>
      <c r="E5" s="400">
        <v>278</v>
      </c>
      <c r="F5" s="400">
        <v>170</v>
      </c>
      <c r="G5" s="400">
        <v>188</v>
      </c>
      <c r="H5" s="400">
        <v>140</v>
      </c>
      <c r="I5" s="400">
        <v>102</v>
      </c>
      <c r="J5" s="400">
        <v>133</v>
      </c>
      <c r="K5" s="694">
        <v>114</v>
      </c>
      <c r="L5" s="400">
        <v>117</v>
      </c>
      <c r="M5" s="382">
        <f>+'FY24 KPIs'!L115</f>
        <v>117</v>
      </c>
      <c r="N5" s="382">
        <f>+'FY24 KPIs'!N115</f>
        <v>184</v>
      </c>
      <c r="O5" s="382">
        <f>+'FY24 KPIs'!O115</f>
        <v>0</v>
      </c>
      <c r="P5" s="118">
        <f t="shared" si="0"/>
        <v>1808</v>
      </c>
      <c r="Q5" s="110">
        <f>SUM(P5/P4)</f>
        <v>24.767123287671232</v>
      </c>
    </row>
    <row r="6" spans="1:17" ht="30.75" thickBot="1" x14ac:dyDescent="0.3">
      <c r="A6" s="853"/>
      <c r="B6" s="105"/>
      <c r="C6" s="632" t="s">
        <v>161</v>
      </c>
      <c r="D6" s="567"/>
      <c r="E6" s="568"/>
      <c r="F6" s="568">
        <v>104</v>
      </c>
      <c r="G6" s="568">
        <v>202</v>
      </c>
      <c r="H6" s="568">
        <v>183</v>
      </c>
      <c r="I6" s="568">
        <v>172</v>
      </c>
      <c r="J6" s="568">
        <v>149</v>
      </c>
      <c r="K6" s="695">
        <v>221</v>
      </c>
      <c r="L6" s="568">
        <v>180</v>
      </c>
      <c r="M6" s="382">
        <f>+'FY24 KPIs'!L116</f>
        <v>180</v>
      </c>
      <c r="N6" s="382">
        <f>+'FY24 KPIs'!N116</f>
        <v>190</v>
      </c>
      <c r="O6" s="382">
        <f>+'FY24 KPIs'!O116</f>
        <v>269</v>
      </c>
      <c r="P6" s="118">
        <f t="shared" si="0"/>
        <v>1850</v>
      </c>
      <c r="Q6" s="110">
        <f>+SUM(P6/P4)</f>
        <v>25.342465753424658</v>
      </c>
    </row>
    <row r="7" spans="1:17" ht="15.75" thickBot="1" x14ac:dyDescent="0.3">
      <c r="A7" s="853"/>
      <c r="B7" s="105"/>
      <c r="C7" s="225" t="s">
        <v>104</v>
      </c>
      <c r="D7" s="569">
        <v>25</v>
      </c>
      <c r="E7" s="570">
        <v>21</v>
      </c>
      <c r="F7" s="571">
        <v>34</v>
      </c>
      <c r="G7" s="572">
        <v>35</v>
      </c>
      <c r="H7" s="572">
        <v>55</v>
      </c>
      <c r="I7" s="572">
        <v>39</v>
      </c>
      <c r="J7" s="573">
        <v>18</v>
      </c>
      <c r="K7" s="378">
        <v>36</v>
      </c>
      <c r="L7" s="633">
        <v>14</v>
      </c>
      <c r="M7" s="382">
        <f>+'FY24 KPIs'!L117</f>
        <v>14</v>
      </c>
      <c r="N7" s="382">
        <f>+'FY24 KPIs'!M117</f>
        <v>15</v>
      </c>
      <c r="O7" s="382">
        <f>+'FY24 KPIs'!N117</f>
        <v>7</v>
      </c>
      <c r="P7" s="118">
        <f t="shared" si="0"/>
        <v>313</v>
      </c>
      <c r="Q7" s="110"/>
    </row>
    <row r="8" spans="1:17" ht="15.75" thickBot="1" x14ac:dyDescent="0.3">
      <c r="A8" s="853"/>
      <c r="B8" s="105"/>
      <c r="C8" s="226" t="s">
        <v>90</v>
      </c>
      <c r="D8" s="574">
        <v>26</v>
      </c>
      <c r="E8" s="396">
        <v>28</v>
      </c>
      <c r="F8" s="397">
        <v>10</v>
      </c>
      <c r="G8" s="399">
        <v>43</v>
      </c>
      <c r="H8" s="399">
        <v>32</v>
      </c>
      <c r="I8" s="399">
        <v>15</v>
      </c>
      <c r="J8" s="566">
        <v>22</v>
      </c>
      <c r="K8" s="625">
        <v>25</v>
      </c>
      <c r="L8" s="407">
        <v>14</v>
      </c>
      <c r="M8" s="382">
        <f>+'FY24 KPIs'!L118</f>
        <v>14</v>
      </c>
      <c r="N8" s="382">
        <f>+'FY24 KPIs'!M118</f>
        <v>14</v>
      </c>
      <c r="O8" s="382">
        <f>+'FY24 KPIs'!N118</f>
        <v>10</v>
      </c>
      <c r="P8" s="118">
        <f t="shared" si="0"/>
        <v>253</v>
      </c>
      <c r="Q8" s="110"/>
    </row>
    <row r="9" spans="1:17" ht="15.75" thickBot="1" x14ac:dyDescent="0.3">
      <c r="A9" s="853"/>
      <c r="B9" s="105"/>
      <c r="C9" s="226" t="s">
        <v>105</v>
      </c>
      <c r="D9" s="574">
        <v>0</v>
      </c>
      <c r="E9" s="396">
        <v>0</v>
      </c>
      <c r="F9" s="397">
        <v>0</v>
      </c>
      <c r="G9" s="399">
        <v>0</v>
      </c>
      <c r="H9" s="399">
        <v>0</v>
      </c>
      <c r="I9" s="399">
        <v>0</v>
      </c>
      <c r="J9" s="566">
        <v>0</v>
      </c>
      <c r="K9" s="625">
        <v>0</v>
      </c>
      <c r="L9" s="407">
        <v>0</v>
      </c>
      <c r="M9" s="382">
        <f>+'FY24 KPIs'!L119</f>
        <v>0</v>
      </c>
      <c r="N9" s="382">
        <f>+'FY24 KPIs'!M119</f>
        <v>0</v>
      </c>
      <c r="O9" s="382">
        <f>+'FY24 KPIs'!N119</f>
        <v>0</v>
      </c>
      <c r="P9" s="118">
        <f t="shared" si="0"/>
        <v>0</v>
      </c>
      <c r="Q9" s="110"/>
    </row>
    <row r="10" spans="1:17" ht="15.75" thickBot="1" x14ac:dyDescent="0.3">
      <c r="A10" s="853"/>
      <c r="B10" s="105"/>
      <c r="C10" s="226" t="s">
        <v>0</v>
      </c>
      <c r="D10" s="574">
        <v>78</v>
      </c>
      <c r="E10" s="396">
        <v>60</v>
      </c>
      <c r="F10" s="397">
        <v>60</v>
      </c>
      <c r="G10" s="399">
        <v>77</v>
      </c>
      <c r="H10" s="399">
        <v>74</v>
      </c>
      <c r="I10" s="399">
        <v>62</v>
      </c>
      <c r="J10" s="566">
        <v>54</v>
      </c>
      <c r="K10" s="625">
        <v>72</v>
      </c>
      <c r="L10" s="407">
        <v>90</v>
      </c>
      <c r="M10" s="382">
        <f>+'FY24 KPIs'!L120</f>
        <v>90</v>
      </c>
      <c r="N10" s="382">
        <f>+'FY24 KPIs'!M120</f>
        <v>50</v>
      </c>
      <c r="O10" s="382">
        <f>+'FY24 KPIs'!N120</f>
        <v>141</v>
      </c>
      <c r="P10" s="118">
        <f t="shared" si="0"/>
        <v>908</v>
      </c>
      <c r="Q10" s="110"/>
    </row>
    <row r="11" spans="1:17" ht="15.75" thickBot="1" x14ac:dyDescent="0.3">
      <c r="A11" s="853"/>
      <c r="B11" s="105"/>
      <c r="C11" s="226" t="s">
        <v>71</v>
      </c>
      <c r="D11" s="574">
        <v>24</v>
      </c>
      <c r="E11" s="396">
        <v>43</v>
      </c>
      <c r="F11" s="397">
        <v>49</v>
      </c>
      <c r="G11" s="399">
        <v>89</v>
      </c>
      <c r="H11" s="399">
        <v>43</v>
      </c>
      <c r="I11" s="399">
        <v>53</v>
      </c>
      <c r="J11" s="566">
        <v>43</v>
      </c>
      <c r="K11" s="625">
        <v>51</v>
      </c>
      <c r="L11" s="407">
        <v>57</v>
      </c>
      <c r="M11" s="382">
        <f>+'FY24 KPIs'!L121</f>
        <v>57</v>
      </c>
      <c r="N11" s="382">
        <f>+'FY24 KPIs'!M121</f>
        <v>60</v>
      </c>
      <c r="O11" s="382">
        <f>+'FY24 KPIs'!N121</f>
        <v>80</v>
      </c>
      <c r="P11" s="118">
        <f t="shared" si="0"/>
        <v>649</v>
      </c>
      <c r="Q11" s="110"/>
    </row>
    <row r="12" spans="1:17" ht="15.75" thickBot="1" x14ac:dyDescent="0.3">
      <c r="A12" s="853"/>
      <c r="B12" s="105"/>
      <c r="C12" s="226" t="s">
        <v>59</v>
      </c>
      <c r="D12" s="574">
        <v>11</v>
      </c>
      <c r="E12" s="396">
        <v>13</v>
      </c>
      <c r="F12" s="397">
        <v>12</v>
      </c>
      <c r="G12" s="399">
        <v>0</v>
      </c>
      <c r="H12" s="399">
        <v>0</v>
      </c>
      <c r="I12" s="399">
        <v>3</v>
      </c>
      <c r="J12" s="566">
        <v>0</v>
      </c>
      <c r="K12" s="625">
        <v>0</v>
      </c>
      <c r="L12" s="407">
        <v>0</v>
      </c>
      <c r="M12" s="382">
        <f>+'FY24 KPIs'!L122</f>
        <v>0</v>
      </c>
      <c r="N12" s="382">
        <f>+'FY24 KPIs'!M122</f>
        <v>0</v>
      </c>
      <c r="O12" s="382">
        <f>+'FY24 KPIs'!N122</f>
        <v>0</v>
      </c>
      <c r="P12" s="118">
        <f t="shared" si="0"/>
        <v>39</v>
      </c>
      <c r="Q12" s="110"/>
    </row>
    <row r="13" spans="1:17" ht="15.75" thickBot="1" x14ac:dyDescent="0.3">
      <c r="A13" s="853"/>
      <c r="B13" s="105"/>
      <c r="C13" s="226" t="s">
        <v>106</v>
      </c>
      <c r="D13" s="574">
        <v>19</v>
      </c>
      <c r="E13" s="396">
        <v>19</v>
      </c>
      <c r="F13" s="397">
        <v>21</v>
      </c>
      <c r="G13" s="399">
        <v>34</v>
      </c>
      <c r="H13" s="399">
        <v>18</v>
      </c>
      <c r="I13" s="399">
        <v>13</v>
      </c>
      <c r="J13" s="566">
        <v>24</v>
      </c>
      <c r="K13" s="625">
        <v>21</v>
      </c>
      <c r="L13" s="407">
        <v>11</v>
      </c>
      <c r="M13" s="382">
        <f>+'FY24 KPIs'!L123</f>
        <v>11</v>
      </c>
      <c r="N13" s="382">
        <f>+'FY24 KPIs'!M123</f>
        <v>24</v>
      </c>
      <c r="O13" s="382">
        <f>+'FY24 KPIs'!N123</f>
        <v>8</v>
      </c>
      <c r="P13" s="118">
        <f t="shared" si="0"/>
        <v>223</v>
      </c>
      <c r="Q13" s="110"/>
    </row>
    <row r="14" spans="1:17" ht="15.75" thickBot="1" x14ac:dyDescent="0.3">
      <c r="A14" s="853"/>
      <c r="B14" s="105"/>
      <c r="C14" s="226" t="s">
        <v>183</v>
      </c>
      <c r="D14" s="574"/>
      <c r="E14" s="396"/>
      <c r="F14" s="397"/>
      <c r="G14" s="399"/>
      <c r="H14" s="399"/>
      <c r="I14" s="399"/>
      <c r="J14" s="566">
        <v>1</v>
      </c>
      <c r="K14" s="625">
        <v>0</v>
      </c>
      <c r="L14" s="407">
        <v>2</v>
      </c>
      <c r="M14" s="382">
        <f>+'FY24 KPIs'!L124</f>
        <v>2</v>
      </c>
      <c r="N14" s="382">
        <f>+'FY24 KPIs'!M124</f>
        <v>0</v>
      </c>
      <c r="O14" s="382">
        <f>+'FY24 KPIs'!N124</f>
        <v>2</v>
      </c>
      <c r="P14" s="118">
        <f t="shared" si="0"/>
        <v>7</v>
      </c>
      <c r="Q14" s="110"/>
    </row>
    <row r="15" spans="1:17" ht="15.75" thickBot="1" x14ac:dyDescent="0.3">
      <c r="A15" s="853"/>
      <c r="B15" s="105"/>
      <c r="C15" s="226" t="s">
        <v>107</v>
      </c>
      <c r="D15" s="574">
        <v>21</v>
      </c>
      <c r="E15" s="396">
        <v>25</v>
      </c>
      <c r="F15" s="397">
        <v>28</v>
      </c>
      <c r="G15" s="399">
        <v>23</v>
      </c>
      <c r="H15" s="399">
        <v>16</v>
      </c>
      <c r="I15" s="399">
        <v>7</v>
      </c>
      <c r="J15" s="566">
        <v>20</v>
      </c>
      <c r="K15" s="625">
        <v>21</v>
      </c>
      <c r="L15" s="407">
        <v>17</v>
      </c>
      <c r="M15" s="382">
        <f>+'FY24 KPIs'!L125</f>
        <v>17</v>
      </c>
      <c r="N15" s="382">
        <f>+'FY24 KPIs'!M125</f>
        <v>9</v>
      </c>
      <c r="O15" s="382">
        <f>+'FY24 KPIs'!N125</f>
        <v>12</v>
      </c>
      <c r="P15" s="118">
        <f t="shared" si="0"/>
        <v>216</v>
      </c>
      <c r="Q15" s="110"/>
    </row>
    <row r="16" spans="1:17" ht="15.75" thickBot="1" x14ac:dyDescent="0.3">
      <c r="A16" s="853"/>
      <c r="B16" s="105"/>
      <c r="C16" s="226" t="s">
        <v>108</v>
      </c>
      <c r="D16" s="574">
        <v>9</v>
      </c>
      <c r="E16" s="396">
        <v>19</v>
      </c>
      <c r="F16" s="397">
        <v>13</v>
      </c>
      <c r="G16" s="399">
        <v>30</v>
      </c>
      <c r="H16" s="399">
        <v>15</v>
      </c>
      <c r="I16" s="399">
        <v>14</v>
      </c>
      <c r="J16" s="566">
        <v>21</v>
      </c>
      <c r="K16" s="625">
        <v>9</v>
      </c>
      <c r="L16" s="407">
        <v>6</v>
      </c>
      <c r="M16" s="382">
        <f>+'FY24 KPIs'!L126</f>
        <v>6</v>
      </c>
      <c r="N16" s="382">
        <f>+'FY24 KPIs'!M126</f>
        <v>7</v>
      </c>
      <c r="O16" s="382">
        <f>+'FY24 KPIs'!N126</f>
        <v>11</v>
      </c>
      <c r="P16" s="118">
        <f t="shared" si="0"/>
        <v>160</v>
      </c>
      <c r="Q16" s="110"/>
    </row>
    <row r="17" spans="1:18" ht="15.75" thickBot="1" x14ac:dyDescent="0.3">
      <c r="A17" s="853"/>
      <c r="B17" s="105"/>
      <c r="C17" s="226" t="s">
        <v>103</v>
      </c>
      <c r="D17" s="574">
        <v>48</v>
      </c>
      <c r="E17" s="396">
        <v>48</v>
      </c>
      <c r="F17" s="397">
        <v>43</v>
      </c>
      <c r="G17" s="399">
        <v>47</v>
      </c>
      <c r="H17" s="399">
        <v>48</v>
      </c>
      <c r="I17" s="399">
        <v>52</v>
      </c>
      <c r="J17" s="566">
        <v>46</v>
      </c>
      <c r="K17" s="625">
        <v>50</v>
      </c>
      <c r="L17" s="407">
        <v>45</v>
      </c>
      <c r="M17" s="382">
        <f>+'FY24 KPIs'!L127</f>
        <v>45</v>
      </c>
      <c r="N17" s="382">
        <f>+'FY24 KPIs'!M127</f>
        <v>65</v>
      </c>
      <c r="O17" s="382">
        <f>+'FY24 KPIs'!N127</f>
        <v>70</v>
      </c>
      <c r="P17" s="118">
        <f t="shared" si="0"/>
        <v>607</v>
      </c>
      <c r="Q17" s="111"/>
    </row>
    <row r="18" spans="1:18" ht="15.75" thickBot="1" x14ac:dyDescent="0.3">
      <c r="A18" s="853"/>
      <c r="B18" s="105"/>
      <c r="C18" s="226" t="s">
        <v>184</v>
      </c>
      <c r="D18" s="574"/>
      <c r="E18" s="396"/>
      <c r="F18" s="397"/>
      <c r="G18" s="399"/>
      <c r="H18" s="399"/>
      <c r="I18" s="399"/>
      <c r="J18" s="566">
        <v>6</v>
      </c>
      <c r="K18" s="625">
        <v>36</v>
      </c>
      <c r="L18" s="407">
        <v>30</v>
      </c>
      <c r="M18" s="382">
        <f>+'FY24 KPIs'!L128</f>
        <v>30</v>
      </c>
      <c r="N18" s="382">
        <f>+'FY24 KPIs'!M128</f>
        <v>21</v>
      </c>
      <c r="O18" s="382">
        <f>+'FY24 KPIs'!N128</f>
        <v>25</v>
      </c>
      <c r="P18" s="118">
        <f t="shared" si="0"/>
        <v>148</v>
      </c>
      <c r="Q18" s="120"/>
    </row>
    <row r="19" spans="1:18" ht="15.75" thickBot="1" x14ac:dyDescent="0.3">
      <c r="A19" s="853"/>
      <c r="B19" s="105"/>
      <c r="C19" s="226" t="s">
        <v>109</v>
      </c>
      <c r="D19" s="574">
        <v>3</v>
      </c>
      <c r="E19" s="396">
        <v>4</v>
      </c>
      <c r="F19" s="397">
        <v>1</v>
      </c>
      <c r="G19" s="399">
        <v>8</v>
      </c>
      <c r="H19" s="399">
        <v>8</v>
      </c>
      <c r="I19" s="399">
        <v>3</v>
      </c>
      <c r="J19" s="566">
        <v>12</v>
      </c>
      <c r="K19" s="625">
        <v>5</v>
      </c>
      <c r="L19" s="407">
        <v>7</v>
      </c>
      <c r="M19" s="382">
        <f>+'FY24 KPIs'!L129</f>
        <v>7</v>
      </c>
      <c r="N19" s="382">
        <f>+'FY24 KPIs'!M129</f>
        <v>7</v>
      </c>
      <c r="O19" s="382">
        <f>+'FY24 KPIs'!N129</f>
        <v>5</v>
      </c>
      <c r="P19" s="395">
        <f t="shared" si="0"/>
        <v>70</v>
      </c>
      <c r="Q19" s="112"/>
    </row>
    <row r="20" spans="1:18" ht="15.75" thickBot="1" x14ac:dyDescent="0.3">
      <c r="A20" s="853"/>
      <c r="B20" s="105"/>
      <c r="C20" s="582" t="s">
        <v>110</v>
      </c>
      <c r="D20" s="575">
        <v>1</v>
      </c>
      <c r="E20" s="576">
        <v>0</v>
      </c>
      <c r="F20" s="583">
        <v>3</v>
      </c>
      <c r="G20" s="404">
        <v>4</v>
      </c>
      <c r="H20" s="404">
        <v>14</v>
      </c>
      <c r="I20" s="404">
        <v>13</v>
      </c>
      <c r="J20" s="584">
        <v>15</v>
      </c>
      <c r="K20" s="199">
        <v>9</v>
      </c>
      <c r="L20" s="198">
        <v>4</v>
      </c>
      <c r="M20" s="382">
        <f>+'FY24 KPIs'!L130</f>
        <v>4</v>
      </c>
      <c r="N20" s="382">
        <f>+'FY24 KPIs'!M130</f>
        <v>3</v>
      </c>
      <c r="O20" s="382">
        <f>+'FY24 KPIs'!N130</f>
        <v>3</v>
      </c>
      <c r="P20" s="118">
        <f t="shared" si="0"/>
        <v>73</v>
      </c>
      <c r="Q20" s="112"/>
    </row>
    <row r="21" spans="1:18" ht="30.75" thickBot="1" x14ac:dyDescent="0.3">
      <c r="A21" s="853"/>
      <c r="B21" s="105"/>
      <c r="C21" s="593" t="s">
        <v>111</v>
      </c>
      <c r="D21" s="587">
        <v>0.97</v>
      </c>
      <c r="E21" s="588">
        <v>0.87</v>
      </c>
      <c r="F21" s="589">
        <v>0.98</v>
      </c>
      <c r="G21" s="590">
        <v>0.94</v>
      </c>
      <c r="H21" s="590">
        <v>0.92500000000000004</v>
      </c>
      <c r="I21" s="589">
        <v>0.99</v>
      </c>
      <c r="J21" s="591">
        <v>0.91</v>
      </c>
      <c r="K21" s="696">
        <v>0.93</v>
      </c>
      <c r="L21" s="590">
        <v>0.98</v>
      </c>
      <c r="M21" s="379">
        <f>+'FY24 KPIs'!L131</f>
        <v>0.98</v>
      </c>
      <c r="N21" s="379">
        <f>+'FY24 KPIs'!M131</f>
        <v>0.98</v>
      </c>
      <c r="O21" s="379">
        <f>+'FY24 KPIs'!N131</f>
        <v>93.3</v>
      </c>
      <c r="P21" s="118">
        <f t="shared" si="0"/>
        <v>103.755</v>
      </c>
      <c r="Q21" s="112">
        <f>SUM(P21/60)</f>
        <v>1.72925</v>
      </c>
      <c r="R21" t="s">
        <v>198</v>
      </c>
    </row>
    <row r="22" spans="1:18" ht="15.75" thickBot="1" x14ac:dyDescent="0.3">
      <c r="A22" s="853"/>
      <c r="B22" s="105"/>
      <c r="C22" s="175" t="s">
        <v>112</v>
      </c>
      <c r="D22" s="574">
        <v>12</v>
      </c>
      <c r="E22" s="396">
        <v>12</v>
      </c>
      <c r="F22" s="399">
        <v>14</v>
      </c>
      <c r="G22" s="399">
        <v>17.399999999999999</v>
      </c>
      <c r="H22" s="399">
        <v>14.9</v>
      </c>
      <c r="I22" s="399">
        <v>13.9</v>
      </c>
      <c r="J22" s="577">
        <v>12.2</v>
      </c>
      <c r="K22" s="625">
        <v>14.2</v>
      </c>
      <c r="L22" s="407">
        <v>15.3</v>
      </c>
      <c r="M22" s="382">
        <f>+'FY24 KPIs'!L132</f>
        <v>15.3</v>
      </c>
      <c r="N22" s="382">
        <f>+'FY24 KPIs'!M132</f>
        <v>12.2</v>
      </c>
      <c r="O22" s="382">
        <f>+'FY24 KPIs'!N132</f>
        <v>15.8</v>
      </c>
      <c r="P22" s="385">
        <f>AVERAGE(D22:O22)</f>
        <v>14.100000000000001</v>
      </c>
      <c r="Q22" s="386">
        <f>AVERAGE(D22:O22)/60</f>
        <v>0.23500000000000001</v>
      </c>
      <c r="R22" t="s">
        <v>198</v>
      </c>
    </row>
    <row r="23" spans="1:18" ht="15.75" thickBot="1" x14ac:dyDescent="0.3">
      <c r="A23" s="853"/>
      <c r="B23" s="105"/>
      <c r="C23" s="175" t="s">
        <v>113</v>
      </c>
      <c r="D23" s="574">
        <v>260</v>
      </c>
      <c r="E23" s="396">
        <v>554</v>
      </c>
      <c r="F23" s="399">
        <v>932</v>
      </c>
      <c r="G23" s="399">
        <v>523</v>
      </c>
      <c r="H23" s="399">
        <v>360</v>
      </c>
      <c r="I23" s="399">
        <v>407</v>
      </c>
      <c r="J23" s="566">
        <v>149</v>
      </c>
      <c r="K23" s="211">
        <v>152</v>
      </c>
      <c r="L23" s="407">
        <v>387</v>
      </c>
      <c r="M23" s="382">
        <f>+'FY24 KPIs'!L133</f>
        <v>387</v>
      </c>
      <c r="N23" s="382">
        <f>+'FY24 KPIs'!M133</f>
        <v>254</v>
      </c>
      <c r="O23" s="382">
        <f>+'FY24 KPIs'!N133</f>
        <v>311</v>
      </c>
      <c r="P23" s="108">
        <f t="shared" ref="P23:P26" si="1">AVERAGE(D23:O23)</f>
        <v>389.66666666666669</v>
      </c>
      <c r="Q23" s="386">
        <f>AVERAGE(D23:O23)/60</f>
        <v>6.4944444444444445</v>
      </c>
      <c r="R23" t="s">
        <v>198</v>
      </c>
    </row>
    <row r="24" spans="1:18" ht="15.75" thickBot="1" x14ac:dyDescent="0.3">
      <c r="A24" s="853"/>
      <c r="B24" s="105"/>
      <c r="C24" s="175" t="s">
        <v>114</v>
      </c>
      <c r="D24" s="574">
        <v>660</v>
      </c>
      <c r="E24" s="396">
        <v>1260</v>
      </c>
      <c r="F24" s="399">
        <v>956</v>
      </c>
      <c r="G24" s="399">
        <v>980</v>
      </c>
      <c r="H24" s="399">
        <v>621</v>
      </c>
      <c r="I24" s="399">
        <v>971</v>
      </c>
      <c r="J24" s="566">
        <v>1350</v>
      </c>
      <c r="K24" s="211">
        <v>1437</v>
      </c>
      <c r="L24" s="407">
        <v>907</v>
      </c>
      <c r="M24" s="382">
        <f>+'FY24 KPIs'!L134</f>
        <v>907</v>
      </c>
      <c r="N24" s="382">
        <f>+'FY24 KPIs'!M134</f>
        <v>709</v>
      </c>
      <c r="O24" s="382">
        <f>+'FY24 KPIs'!N134</f>
        <v>480</v>
      </c>
      <c r="P24" s="385">
        <f>AVERAGE(D24:O24)</f>
        <v>936.5</v>
      </c>
      <c r="Q24" s="386">
        <f>AVERAGE(D24:O24)/60</f>
        <v>15.608333333333333</v>
      </c>
    </row>
    <row r="25" spans="1:18" ht="15.75" thickBot="1" x14ac:dyDescent="0.3">
      <c r="A25" s="853"/>
      <c r="B25" s="105"/>
      <c r="C25" s="175" t="s">
        <v>120</v>
      </c>
      <c r="D25" s="574">
        <v>19</v>
      </c>
      <c r="E25" s="396">
        <v>22</v>
      </c>
      <c r="F25" s="399">
        <v>436</v>
      </c>
      <c r="G25" s="399">
        <v>18</v>
      </c>
      <c r="H25" s="399">
        <v>20</v>
      </c>
      <c r="I25" s="399">
        <v>35</v>
      </c>
      <c r="J25" s="566">
        <v>385</v>
      </c>
      <c r="K25" s="211">
        <v>126</v>
      </c>
      <c r="L25" s="407">
        <v>135</v>
      </c>
      <c r="M25" s="382">
        <f>+'FY24 KPIs'!L135</f>
        <v>135</v>
      </c>
      <c r="N25" s="382">
        <f>+'FY24 KPIs'!M135</f>
        <v>244</v>
      </c>
      <c r="O25" s="382">
        <f>+'FY24 KPIs'!N135</f>
        <v>159</v>
      </c>
      <c r="P25" s="108">
        <f t="shared" si="1"/>
        <v>144.5</v>
      </c>
      <c r="Q25" s="386">
        <f>AVERAGE(D25:O25)/60</f>
        <v>2.4083333333333332</v>
      </c>
    </row>
    <row r="26" spans="1:18" ht="15.75" thickBot="1" x14ac:dyDescent="0.3">
      <c r="A26" s="854"/>
      <c r="B26" s="106"/>
      <c r="C26" s="594" t="s">
        <v>115</v>
      </c>
      <c r="D26" s="597">
        <v>0.98</v>
      </c>
      <c r="E26" s="502">
        <v>0.99</v>
      </c>
      <c r="F26" s="399"/>
      <c r="G26" s="97">
        <v>0.99399999999999999</v>
      </c>
      <c r="H26" s="97">
        <v>0.99399999999999999</v>
      </c>
      <c r="I26" s="97">
        <v>0.99299999999999999</v>
      </c>
      <c r="J26" s="578">
        <v>0.99</v>
      </c>
      <c r="K26" s="697">
        <v>0.99</v>
      </c>
      <c r="L26" s="109">
        <v>0.99</v>
      </c>
      <c r="M26" s="379">
        <f>+'FY24 KPIs'!L136</f>
        <v>0.99</v>
      </c>
      <c r="N26" s="379">
        <f>+'FY24 KPIs'!M136</f>
        <v>0.99</v>
      </c>
      <c r="O26" s="379">
        <f>+'FY24 KPIs'!N136</f>
        <v>0.92</v>
      </c>
      <c r="P26" s="739">
        <f t="shared" si="1"/>
        <v>0.98372727272727289</v>
      </c>
      <c r="Q26" s="99"/>
    </row>
    <row r="27" spans="1:18" x14ac:dyDescent="0.25">
      <c r="C27" s="175" t="s">
        <v>116</v>
      </c>
      <c r="D27" s="579"/>
      <c r="E27" s="315"/>
      <c r="F27" s="315"/>
      <c r="G27" s="14"/>
      <c r="H27" s="407"/>
      <c r="I27" s="407"/>
      <c r="J27" s="14"/>
      <c r="K27" s="704"/>
      <c r="L27" s="14"/>
    </row>
    <row r="28" spans="1:18" x14ac:dyDescent="0.25">
      <c r="C28" s="175" t="s">
        <v>117</v>
      </c>
      <c r="D28" s="579"/>
      <c r="E28" s="315"/>
      <c r="F28" s="315"/>
      <c r="G28" s="14"/>
      <c r="H28" s="407"/>
      <c r="I28" s="407"/>
      <c r="J28" s="14"/>
      <c r="K28" s="704"/>
      <c r="L28" s="14"/>
    </row>
    <row r="29" spans="1:18" x14ac:dyDescent="0.25">
      <c r="C29" s="175" t="s">
        <v>118</v>
      </c>
      <c r="D29" s="579"/>
      <c r="E29" s="315"/>
      <c r="F29" s="315"/>
      <c r="G29" s="14"/>
      <c r="H29" s="407"/>
      <c r="I29" s="407"/>
      <c r="J29" s="14"/>
      <c r="K29" s="704"/>
      <c r="L29" s="14"/>
    </row>
    <row r="30" spans="1:18" ht="15.75" thickBot="1" x14ac:dyDescent="0.3">
      <c r="C30" s="176" t="s">
        <v>119</v>
      </c>
      <c r="D30" s="580"/>
      <c r="E30" s="581"/>
      <c r="F30" s="581"/>
      <c r="G30" s="146"/>
      <c r="H30" s="408"/>
      <c r="I30" s="408"/>
      <c r="J30" s="146"/>
      <c r="K30" s="705"/>
      <c r="L30" s="146"/>
      <c r="P30">
        <f>SUM(P7:P20)</f>
        <v>3666</v>
      </c>
    </row>
  </sheetData>
  <mergeCells count="1">
    <mergeCell ref="A3:A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E5B-5CB6-43E0-9809-D306AAD3EA63}">
  <dimension ref="A1:AA63"/>
  <sheetViews>
    <sheetView topLeftCell="A7" workbookViewId="0">
      <selection activeCell="Q64" sqref="Q64"/>
    </sheetView>
  </sheetViews>
  <sheetFormatPr defaultRowHeight="21" x14ac:dyDescent="0.35"/>
  <cols>
    <col min="1" max="1" width="9.140625" style="182"/>
    <col min="2" max="2" width="13" style="182" customWidth="1"/>
    <col min="3" max="3" width="49.28515625" bestFit="1" customWidth="1"/>
    <col min="4" max="4" width="7.5703125" style="191" bestFit="1" customWidth="1"/>
    <col min="5" max="5" width="4.7109375" style="191" bestFit="1" customWidth="1"/>
    <col min="6" max="6" width="4.5703125" style="191" bestFit="1" customWidth="1"/>
    <col min="7" max="7" width="5.85546875" style="191" bestFit="1" customWidth="1"/>
    <col min="8" max="10" width="8" style="191" bestFit="1" customWidth="1"/>
    <col min="11" max="12" width="8" bestFit="1" customWidth="1"/>
    <col min="13" max="13" width="8.140625" bestFit="1" customWidth="1"/>
    <col min="14" max="15" width="7.140625" bestFit="1" customWidth="1"/>
    <col min="16" max="16" width="6.140625" bestFit="1" customWidth="1"/>
    <col min="17" max="17" width="9.42578125" bestFit="1" customWidth="1"/>
    <col min="19" max="19" width="14.5703125" bestFit="1" customWidth="1"/>
  </cols>
  <sheetData>
    <row r="1" spans="1:17" ht="21.75" thickBot="1" x14ac:dyDescent="0.4">
      <c r="D1" s="196" t="s">
        <v>2</v>
      </c>
      <c r="E1" s="196" t="s">
        <v>3</v>
      </c>
      <c r="F1" s="196" t="s">
        <v>4</v>
      </c>
      <c r="G1" s="197" t="s">
        <v>5</v>
      </c>
      <c r="H1" s="197" t="s">
        <v>6</v>
      </c>
      <c r="I1" s="197" t="s">
        <v>7</v>
      </c>
      <c r="J1" s="197" t="s">
        <v>8</v>
      </c>
      <c r="K1" s="137" t="s">
        <v>9</v>
      </c>
      <c r="L1" s="198" t="s">
        <v>10</v>
      </c>
      <c r="M1" s="137" t="s">
        <v>11</v>
      </c>
      <c r="N1" s="199" t="s">
        <v>12</v>
      </c>
      <c r="O1" s="198" t="s">
        <v>13</v>
      </c>
      <c r="P1" s="198" t="s">
        <v>14</v>
      </c>
      <c r="Q1" s="5" t="s">
        <v>15</v>
      </c>
    </row>
    <row r="2" spans="1:17" ht="21" customHeight="1" thickBot="1" x14ac:dyDescent="0.3">
      <c r="A2" s="855" t="s">
        <v>108</v>
      </c>
      <c r="B2" s="857"/>
      <c r="C2" s="192" t="s">
        <v>141</v>
      </c>
      <c r="D2" s="309">
        <v>0.98</v>
      </c>
      <c r="E2" s="309">
        <v>0.98</v>
      </c>
      <c r="F2" s="309">
        <v>0.93</v>
      </c>
      <c r="G2" s="316">
        <v>0.94</v>
      </c>
      <c r="H2" s="412">
        <v>0.97</v>
      </c>
      <c r="I2" s="412">
        <v>0.97</v>
      </c>
      <c r="J2" s="412">
        <v>0.96</v>
      </c>
      <c r="K2" s="698">
        <v>0.95</v>
      </c>
      <c r="L2" s="732">
        <v>0.96</v>
      </c>
      <c r="M2" s="732">
        <f>+'FY24 KPIs'!M141</f>
        <v>0.95</v>
      </c>
      <c r="N2" s="732">
        <f>+'FY24 KPIs'!N141</f>
        <v>0.95</v>
      </c>
      <c r="O2" s="732">
        <f>+'FY24 KPIs'!O141</f>
        <v>0.96</v>
      </c>
      <c r="P2" s="201">
        <f>+'FY24 KPIs'!P142</f>
        <v>0</v>
      </c>
      <c r="Q2" s="184">
        <f>+'FY24 KPIs'!Q142</f>
        <v>0</v>
      </c>
    </row>
    <row r="3" spans="1:17" ht="21.75" customHeight="1" thickBot="1" x14ac:dyDescent="0.3">
      <c r="A3" s="856"/>
      <c r="B3" s="858"/>
      <c r="C3" s="176" t="s">
        <v>142</v>
      </c>
      <c r="D3" s="310">
        <v>0.17</v>
      </c>
      <c r="E3" s="310">
        <v>0.18</v>
      </c>
      <c r="F3" s="310">
        <v>0.2</v>
      </c>
      <c r="G3" s="317">
        <v>0.2</v>
      </c>
      <c r="H3" s="413">
        <v>0.17</v>
      </c>
      <c r="I3" s="413">
        <v>0.18</v>
      </c>
      <c r="J3" s="413">
        <v>0.14000000000000001</v>
      </c>
      <c r="K3" s="699">
        <v>0.18</v>
      </c>
      <c r="L3" s="733">
        <v>0.19</v>
      </c>
      <c r="M3" s="512">
        <f>+'FY24 KPIs'!M142</f>
        <v>0.2</v>
      </c>
      <c r="N3" s="512">
        <f>+'FY24 KPIs'!N142</f>
        <v>0.19</v>
      </c>
      <c r="O3" s="512">
        <f>+'FY24 KPIs'!O142</f>
        <v>0.17</v>
      </c>
      <c r="P3" s="201">
        <f>+'FY24 KPIs'!P143</f>
        <v>0</v>
      </c>
      <c r="Q3" s="185">
        <f>+'FY24 KPIs'!Q143</f>
        <v>0</v>
      </c>
    </row>
    <row r="4" spans="1:17" ht="15.75" customHeight="1" thickBot="1" x14ac:dyDescent="0.3">
      <c r="A4" s="856"/>
      <c r="B4" s="870" t="s">
        <v>146</v>
      </c>
      <c r="C4" s="183" t="s">
        <v>138</v>
      </c>
      <c r="D4" s="612">
        <v>39</v>
      </c>
      <c r="E4" s="503">
        <v>41</v>
      </c>
      <c r="F4" s="504">
        <v>46</v>
      </c>
      <c r="G4" s="505">
        <v>46</v>
      </c>
      <c r="H4" s="506">
        <v>40</v>
      </c>
      <c r="I4" s="506">
        <v>42</v>
      </c>
      <c r="J4" s="506">
        <v>33</v>
      </c>
      <c r="K4" s="706">
        <v>41</v>
      </c>
      <c r="L4" s="506">
        <v>44</v>
      </c>
      <c r="M4" s="788">
        <f>+'FY24 KPIs'!M143</f>
        <v>49</v>
      </c>
      <c r="N4" s="788">
        <f>+'FY24 KPIs'!N143</f>
        <v>44</v>
      </c>
      <c r="O4" s="788">
        <f>+'FY24 KPIs'!O143</f>
        <v>39</v>
      </c>
      <c r="P4" s="202">
        <f>SUM(P5:P14)</f>
        <v>0</v>
      </c>
      <c r="Q4" s="202">
        <f>SUM(Q5:Q14)</f>
        <v>0</v>
      </c>
    </row>
    <row r="5" spans="1:17" ht="15.75" thickBot="1" x14ac:dyDescent="0.3">
      <c r="A5" s="856"/>
      <c r="B5" s="871"/>
      <c r="C5" s="341" t="s">
        <v>90</v>
      </c>
      <c r="D5" s="346">
        <v>1</v>
      </c>
      <c r="E5" s="311">
        <v>2</v>
      </c>
      <c r="F5" s="312">
        <v>2</v>
      </c>
      <c r="G5" s="187">
        <v>2</v>
      </c>
      <c r="H5" s="409">
        <v>2</v>
      </c>
      <c r="I5" s="409">
        <v>1</v>
      </c>
      <c r="J5" s="409">
        <v>1</v>
      </c>
      <c r="K5" s="701">
        <v>1</v>
      </c>
      <c r="L5" s="734">
        <v>1</v>
      </c>
      <c r="M5" s="789">
        <f>+'FY24 KPIs'!M144</f>
        <v>3</v>
      </c>
      <c r="N5" s="789">
        <f>+'FY24 KPIs'!N144</f>
        <v>2</v>
      </c>
      <c r="O5" s="789">
        <f>+'FY24 KPIs'!O144</f>
        <v>2</v>
      </c>
      <c r="P5" s="200">
        <f>+'FY24 KPIs'!P145</f>
        <v>0</v>
      </c>
      <c r="Q5" s="180"/>
    </row>
    <row r="6" spans="1:17" ht="15.75" thickBot="1" x14ac:dyDescent="0.3">
      <c r="A6" s="856"/>
      <c r="B6" s="871"/>
      <c r="C6" s="342" t="s">
        <v>0</v>
      </c>
      <c r="D6" s="346">
        <v>32</v>
      </c>
      <c r="E6" s="311">
        <v>34</v>
      </c>
      <c r="F6" s="312">
        <v>31</v>
      </c>
      <c r="G6" s="187">
        <v>31</v>
      </c>
      <c r="H6" s="409">
        <v>25</v>
      </c>
      <c r="I6" s="409">
        <v>32</v>
      </c>
      <c r="J6" s="409">
        <v>25</v>
      </c>
      <c r="K6" s="701">
        <v>28</v>
      </c>
      <c r="L6" s="409">
        <v>28</v>
      </c>
      <c r="M6" s="789">
        <f>+'FY24 KPIs'!M145</f>
        <v>29</v>
      </c>
      <c r="N6" s="789">
        <f>+'FY24 KPIs'!N145</f>
        <v>25</v>
      </c>
      <c r="O6" s="789">
        <f>+'FY24 KPIs'!O145</f>
        <v>23</v>
      </c>
      <c r="P6" s="200">
        <f>+'FY24 KPIs'!P146</f>
        <v>0</v>
      </c>
      <c r="Q6" s="14"/>
    </row>
    <row r="7" spans="1:17" ht="15.75" thickBot="1" x14ac:dyDescent="0.3">
      <c r="A7" s="856"/>
      <c r="B7" s="871"/>
      <c r="C7" s="342" t="s">
        <v>139</v>
      </c>
      <c r="D7" s="346">
        <v>1</v>
      </c>
      <c r="E7" s="311">
        <v>2</v>
      </c>
      <c r="F7" s="312">
        <v>6</v>
      </c>
      <c r="G7" s="187">
        <v>5</v>
      </c>
      <c r="H7" s="409">
        <v>0</v>
      </c>
      <c r="I7" s="409">
        <v>0</v>
      </c>
      <c r="J7" s="409">
        <v>0</v>
      </c>
      <c r="K7" s="701">
        <v>0</v>
      </c>
      <c r="L7" s="409">
        <v>0</v>
      </c>
      <c r="M7" s="789">
        <f>+'FY24 KPIs'!M146</f>
        <v>0</v>
      </c>
      <c r="N7" s="789">
        <f>+'FY24 KPIs'!N146</f>
        <v>0</v>
      </c>
      <c r="O7" s="789">
        <f>+'FY24 KPIs'!O146</f>
        <v>0</v>
      </c>
      <c r="P7" s="200">
        <f>+'FY24 KPIs'!P147</f>
        <v>0</v>
      </c>
      <c r="Q7" s="14"/>
    </row>
    <row r="8" spans="1:17" ht="15.75" thickBot="1" x14ac:dyDescent="0.3">
      <c r="A8" s="856"/>
      <c r="B8" s="871"/>
      <c r="C8" s="342" t="s">
        <v>143</v>
      </c>
      <c r="D8" s="346">
        <v>3</v>
      </c>
      <c r="E8" s="311">
        <v>1</v>
      </c>
      <c r="F8" s="312">
        <v>3</v>
      </c>
      <c r="G8" s="187">
        <v>2</v>
      </c>
      <c r="H8" s="409">
        <v>2</v>
      </c>
      <c r="I8" s="409">
        <v>1</v>
      </c>
      <c r="J8" s="409">
        <v>1</v>
      </c>
      <c r="K8" s="701">
        <v>0</v>
      </c>
      <c r="L8" s="409">
        <v>3</v>
      </c>
      <c r="M8" s="789">
        <f>+'FY24 KPIs'!M147</f>
        <v>5</v>
      </c>
      <c r="N8" s="789">
        <f>+'FY24 KPIs'!N147</f>
        <v>4</v>
      </c>
      <c r="O8" s="789">
        <f>+'FY24 KPIs'!O147</f>
        <v>1</v>
      </c>
      <c r="P8" s="200">
        <f>+'FY24 KPIs'!P148</f>
        <v>0</v>
      </c>
      <c r="Q8" s="14"/>
    </row>
    <row r="9" spans="1:17" ht="15.75" thickBot="1" x14ac:dyDescent="0.3">
      <c r="A9" s="856"/>
      <c r="B9" s="871"/>
      <c r="C9" s="342" t="s">
        <v>137</v>
      </c>
      <c r="D9" s="346">
        <v>0</v>
      </c>
      <c r="E9" s="311">
        <v>0</v>
      </c>
      <c r="F9" s="312">
        <v>0</v>
      </c>
      <c r="G9" s="187">
        <v>0</v>
      </c>
      <c r="H9" s="409">
        <v>0</v>
      </c>
      <c r="I9" s="409">
        <v>0</v>
      </c>
      <c r="J9" s="409">
        <v>0</v>
      </c>
      <c r="K9" s="701">
        <v>0</v>
      </c>
      <c r="L9" s="409">
        <v>0</v>
      </c>
      <c r="M9" s="789">
        <f>+'FY24 KPIs'!M148</f>
        <v>0</v>
      </c>
      <c r="N9" s="789">
        <f>+'FY24 KPIs'!N148</f>
        <v>0</v>
      </c>
      <c r="O9" s="789">
        <f>+'FY24 KPIs'!O148</f>
        <v>0</v>
      </c>
      <c r="P9" s="200">
        <f>+'FY24 KPIs'!P149</f>
        <v>0</v>
      </c>
      <c r="Q9" s="14"/>
    </row>
    <row r="10" spans="1:17" ht="15.75" thickBot="1" x14ac:dyDescent="0.3">
      <c r="A10" s="856"/>
      <c r="B10" s="871"/>
      <c r="C10" s="342" t="s">
        <v>106</v>
      </c>
      <c r="D10" s="346">
        <v>1</v>
      </c>
      <c r="E10" s="311">
        <v>1</v>
      </c>
      <c r="F10" s="312">
        <v>1</v>
      </c>
      <c r="G10" s="187">
        <v>2</v>
      </c>
      <c r="H10" s="409">
        <v>2</v>
      </c>
      <c r="I10" s="409">
        <v>2</v>
      </c>
      <c r="J10" s="409">
        <v>2</v>
      </c>
      <c r="K10" s="701">
        <v>2</v>
      </c>
      <c r="L10" s="409">
        <v>1</v>
      </c>
      <c r="M10" s="789">
        <f>+'FY24 KPIs'!M149</f>
        <v>1</v>
      </c>
      <c r="N10" s="789">
        <f>+'FY24 KPIs'!N149</f>
        <v>1</v>
      </c>
      <c r="O10" s="789">
        <f>+'FY24 KPIs'!O149</f>
        <v>1</v>
      </c>
      <c r="P10" s="200">
        <f>+'FY24 KPIs'!P150</f>
        <v>0</v>
      </c>
      <c r="Q10" s="14"/>
    </row>
    <row r="11" spans="1:17" ht="15.75" thickBot="1" x14ac:dyDescent="0.3">
      <c r="A11" s="856"/>
      <c r="B11" s="871"/>
      <c r="C11" s="342" t="s">
        <v>107</v>
      </c>
      <c r="D11" s="346">
        <v>1</v>
      </c>
      <c r="E11" s="311">
        <v>1</v>
      </c>
      <c r="F11" s="312">
        <v>2</v>
      </c>
      <c r="G11" s="187">
        <v>2</v>
      </c>
      <c r="H11" s="409">
        <v>1</v>
      </c>
      <c r="I11" s="409">
        <v>1</v>
      </c>
      <c r="J11" s="409">
        <v>0</v>
      </c>
      <c r="K11" s="701">
        <v>0</v>
      </c>
      <c r="L11" s="409">
        <v>1</v>
      </c>
      <c r="M11" s="789">
        <f>+'FY24 KPIs'!M150</f>
        <v>1</v>
      </c>
      <c r="N11" s="789">
        <f>+'FY24 KPIs'!N150</f>
        <v>1</v>
      </c>
      <c r="O11" s="789">
        <f>+'FY24 KPIs'!O150</f>
        <v>1</v>
      </c>
      <c r="P11" s="200">
        <f>+'FY24 KPIs'!P151</f>
        <v>0</v>
      </c>
      <c r="Q11" s="14"/>
    </row>
    <row r="12" spans="1:17" ht="15.75" thickBot="1" x14ac:dyDescent="0.3">
      <c r="A12" s="856"/>
      <c r="B12" s="871"/>
      <c r="C12" s="342" t="s">
        <v>108</v>
      </c>
      <c r="D12" s="346">
        <v>0</v>
      </c>
      <c r="E12" s="311">
        <v>0</v>
      </c>
      <c r="F12" s="312">
        <v>0</v>
      </c>
      <c r="G12" s="187">
        <v>0</v>
      </c>
      <c r="H12" s="409">
        <v>0</v>
      </c>
      <c r="I12" s="409">
        <v>0</v>
      </c>
      <c r="J12" s="409">
        <v>0</v>
      </c>
      <c r="K12" s="701">
        <v>0</v>
      </c>
      <c r="L12" s="409">
        <v>1</v>
      </c>
      <c r="M12" s="789">
        <f>+'FY24 KPIs'!M151</f>
        <v>1</v>
      </c>
      <c r="N12" s="789">
        <f>+'FY24 KPIs'!N151</f>
        <v>1</v>
      </c>
      <c r="O12" s="789">
        <f>+'FY24 KPIs'!O151</f>
        <v>1</v>
      </c>
      <c r="P12" s="200">
        <f>+'FY24 KPIs'!P152</f>
        <v>0</v>
      </c>
      <c r="Q12" s="14"/>
    </row>
    <row r="13" spans="1:17" ht="15.75" thickBot="1" x14ac:dyDescent="0.3">
      <c r="A13" s="856"/>
      <c r="B13" s="871"/>
      <c r="C13" s="342" t="s">
        <v>103</v>
      </c>
      <c r="D13" s="346">
        <v>0</v>
      </c>
      <c r="E13" s="311">
        <v>0</v>
      </c>
      <c r="F13" s="312">
        <v>0</v>
      </c>
      <c r="G13" s="187">
        <v>0</v>
      </c>
      <c r="H13" s="409">
        <v>0</v>
      </c>
      <c r="I13" s="409">
        <v>0</v>
      </c>
      <c r="J13" s="409">
        <v>0</v>
      </c>
      <c r="K13" s="701">
        <v>0</v>
      </c>
      <c r="L13" s="409">
        <v>0</v>
      </c>
      <c r="M13" s="789">
        <f>+'FY24 KPIs'!M152</f>
        <v>0</v>
      </c>
      <c r="N13" s="789">
        <f>+'FY24 KPIs'!N152</f>
        <v>1</v>
      </c>
      <c r="O13" s="789">
        <f>+'FY24 KPIs'!O152</f>
        <v>1</v>
      </c>
      <c r="P13" s="200">
        <f>+'FY24 KPIs'!P153</f>
        <v>0</v>
      </c>
      <c r="Q13" s="14"/>
    </row>
    <row r="14" spans="1:17" ht="15.75" thickBot="1" x14ac:dyDescent="0.3">
      <c r="A14" s="856"/>
      <c r="B14" s="871"/>
      <c r="C14" s="342" t="s">
        <v>109</v>
      </c>
      <c r="D14" s="346">
        <v>0</v>
      </c>
      <c r="E14" s="311">
        <v>0</v>
      </c>
      <c r="F14" s="312">
        <v>1</v>
      </c>
      <c r="G14" s="187">
        <v>2</v>
      </c>
      <c r="H14" s="409">
        <v>2</v>
      </c>
      <c r="I14" s="409">
        <v>0</v>
      </c>
      <c r="J14" s="409">
        <v>0</v>
      </c>
      <c r="K14" s="701">
        <v>0</v>
      </c>
      <c r="L14" s="409">
        <v>0</v>
      </c>
      <c r="M14" s="789">
        <f>+'FY24 KPIs'!M153</f>
        <v>0</v>
      </c>
      <c r="N14" s="789">
        <f>+'FY24 KPIs'!N153</f>
        <v>0</v>
      </c>
      <c r="O14" s="789">
        <f>+'FY24 KPIs'!O153</f>
        <v>0</v>
      </c>
      <c r="P14" s="200">
        <f>+'FY24 KPIs'!P158</f>
        <v>0</v>
      </c>
      <c r="Q14" s="157"/>
    </row>
    <row r="15" spans="1:17" ht="15.75" customHeight="1" thickBot="1" x14ac:dyDescent="0.3">
      <c r="A15" s="856"/>
      <c r="B15" s="871"/>
      <c r="C15" s="342" t="s">
        <v>182</v>
      </c>
      <c r="D15" s="346"/>
      <c r="E15" s="311"/>
      <c r="F15" s="312"/>
      <c r="G15" s="187"/>
      <c r="H15" s="409">
        <v>4</v>
      </c>
      <c r="I15" s="409">
        <v>5</v>
      </c>
      <c r="J15" s="409">
        <v>4</v>
      </c>
      <c r="K15" s="701">
        <v>4</v>
      </c>
      <c r="L15" s="409">
        <v>5</v>
      </c>
      <c r="M15" s="789">
        <f>+'FY24 KPIs'!M154</f>
        <v>5</v>
      </c>
      <c r="N15" s="789">
        <f>+'FY24 KPIs'!N154</f>
        <v>2</v>
      </c>
      <c r="O15" s="789">
        <f>+'FY24 KPIs'!O154</f>
        <v>2</v>
      </c>
      <c r="P15" s="202">
        <f>SUM(P16:P25)</f>
        <v>0</v>
      </c>
      <c r="Q15" s="202">
        <f>SUM(Q16:Q25)</f>
        <v>0</v>
      </c>
    </row>
    <row r="16" spans="1:17" ht="15.75" thickBot="1" x14ac:dyDescent="0.3">
      <c r="A16" s="856"/>
      <c r="B16" s="871"/>
      <c r="C16" s="342" t="s">
        <v>183</v>
      </c>
      <c r="D16" s="346"/>
      <c r="E16" s="311"/>
      <c r="F16" s="312"/>
      <c r="G16" s="187"/>
      <c r="H16" s="409">
        <v>0</v>
      </c>
      <c r="I16" s="409">
        <v>0</v>
      </c>
      <c r="J16" s="409">
        <v>0</v>
      </c>
      <c r="K16" s="701">
        <v>0</v>
      </c>
      <c r="L16" s="409">
        <v>0</v>
      </c>
      <c r="M16" s="789">
        <f>+'FY24 KPIs'!M155</f>
        <v>0</v>
      </c>
      <c r="N16" s="789">
        <f>+'FY24 KPIs'!N155</f>
        <v>0</v>
      </c>
      <c r="O16" s="789">
        <f>+'FY24 KPIs'!O155</f>
        <v>0</v>
      </c>
      <c r="P16" s="200">
        <f>+'FY24 KPIs'!P160</f>
        <v>0</v>
      </c>
      <c r="Q16" s="200">
        <f>+'FY24 KPIs'!Q160</f>
        <v>0</v>
      </c>
    </row>
    <row r="17" spans="1:27" ht="15.75" thickBot="1" x14ac:dyDescent="0.3">
      <c r="A17" s="856"/>
      <c r="B17" s="871"/>
      <c r="C17" s="363" t="s">
        <v>190</v>
      </c>
      <c r="D17" s="346"/>
      <c r="E17" s="311"/>
      <c r="F17" s="312"/>
      <c r="G17" s="187"/>
      <c r="H17" s="409">
        <v>2</v>
      </c>
      <c r="I17" s="409">
        <v>0</v>
      </c>
      <c r="J17" s="409">
        <v>0</v>
      </c>
      <c r="K17" s="701">
        <v>0</v>
      </c>
      <c r="L17" s="409">
        <v>0</v>
      </c>
      <c r="M17" s="789">
        <f>+'FY24 KPIs'!M156</f>
        <v>0</v>
      </c>
      <c r="N17" s="789">
        <f>+'FY24 KPIs'!N156</f>
        <v>0</v>
      </c>
      <c r="O17" s="789">
        <f>+'FY24 KPIs'!O156</f>
        <v>0</v>
      </c>
      <c r="P17" s="200">
        <f>+'FY24 KPIs'!P161</f>
        <v>0</v>
      </c>
      <c r="Q17" s="200">
        <f>+'FY24 KPIs'!Q161</f>
        <v>0</v>
      </c>
      <c r="T17" t="s">
        <v>6</v>
      </c>
      <c r="U17" t="s">
        <v>7</v>
      </c>
      <c r="V17" t="s">
        <v>8</v>
      </c>
      <c r="W17" t="s">
        <v>9</v>
      </c>
      <c r="X17" t="s">
        <v>10</v>
      </c>
      <c r="Y17" t="s">
        <v>144</v>
      </c>
      <c r="Z17" t="s">
        <v>12</v>
      </c>
      <c r="AA17" t="s">
        <v>13</v>
      </c>
    </row>
    <row r="18" spans="1:27" ht="15.75" thickBot="1" x14ac:dyDescent="0.3">
      <c r="A18" s="856"/>
      <c r="B18" s="871"/>
      <c r="C18" s="364" t="s">
        <v>184</v>
      </c>
      <c r="D18" s="615"/>
      <c r="E18" s="365"/>
      <c r="F18" s="194"/>
      <c r="G18" s="194"/>
      <c r="H18" s="188">
        <v>0</v>
      </c>
      <c r="I18" s="188">
        <v>0</v>
      </c>
      <c r="J18" s="188">
        <v>0</v>
      </c>
      <c r="K18" s="702">
        <v>6</v>
      </c>
      <c r="L18" s="188">
        <v>4</v>
      </c>
      <c r="M18" s="789">
        <f>+'FY24 KPIs'!M157</f>
        <v>4</v>
      </c>
      <c r="N18" s="789">
        <f>+'FY24 KPIs'!N157</f>
        <v>7</v>
      </c>
      <c r="O18" s="789">
        <f>+'FY24 KPIs'!O157</f>
        <v>7</v>
      </c>
      <c r="P18" s="200">
        <f>+'FY24 KPIs'!P162</f>
        <v>0</v>
      </c>
      <c r="Q18" s="200">
        <f>+'FY24 KPIs'!Q162</f>
        <v>0</v>
      </c>
      <c r="S18" t="s">
        <v>136</v>
      </c>
      <c r="T18">
        <f t="shared" ref="T18:AA18" si="0">+H4</f>
        <v>40</v>
      </c>
      <c r="U18">
        <f t="shared" si="0"/>
        <v>42</v>
      </c>
      <c r="V18">
        <f t="shared" si="0"/>
        <v>33</v>
      </c>
      <c r="W18">
        <f t="shared" si="0"/>
        <v>41</v>
      </c>
      <c r="X18">
        <f t="shared" si="0"/>
        <v>44</v>
      </c>
      <c r="Y18">
        <f t="shared" si="0"/>
        <v>49</v>
      </c>
      <c r="Z18">
        <f t="shared" si="0"/>
        <v>44</v>
      </c>
      <c r="AA18">
        <f t="shared" si="0"/>
        <v>39</v>
      </c>
    </row>
    <row r="19" spans="1:27" ht="15.75" customHeight="1" thickBot="1" x14ac:dyDescent="0.3">
      <c r="A19" s="856"/>
      <c r="B19" s="859" t="s">
        <v>185</v>
      </c>
      <c r="C19" s="337" t="s">
        <v>138</v>
      </c>
      <c r="D19" s="343">
        <v>89</v>
      </c>
      <c r="E19" s="344">
        <v>51</v>
      </c>
      <c r="F19" s="345">
        <v>38</v>
      </c>
      <c r="G19" s="189">
        <v>134</v>
      </c>
      <c r="H19" s="410">
        <v>114</v>
      </c>
      <c r="I19" s="410">
        <v>77</v>
      </c>
      <c r="J19" s="410">
        <v>109</v>
      </c>
      <c r="K19" s="700">
        <v>118</v>
      </c>
      <c r="L19" s="410">
        <v>122</v>
      </c>
      <c r="M19" s="788">
        <f>+'FY24 KPIs'!M158</f>
        <v>85</v>
      </c>
      <c r="N19" s="788">
        <f>+'FY24 KPIs'!N158</f>
        <v>127</v>
      </c>
      <c r="O19" s="788">
        <f>+'FY24 KPIs'!O158</f>
        <v>53</v>
      </c>
      <c r="P19" s="200">
        <f>+'FY24 KPIs'!P163</f>
        <v>0</v>
      </c>
      <c r="Q19" s="200">
        <f>+'FY24 KPIs'!Q163</f>
        <v>0</v>
      </c>
      <c r="S19" t="s">
        <v>140</v>
      </c>
      <c r="T19">
        <f>+H26</f>
        <v>0</v>
      </c>
      <c r="U19">
        <f t="shared" ref="U19:AA19" si="1">+I26</f>
        <v>0</v>
      </c>
      <c r="V19">
        <f t="shared" si="1"/>
        <v>124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</row>
    <row r="20" spans="1:27" ht="15.75" thickBot="1" x14ac:dyDescent="0.3">
      <c r="A20" s="856"/>
      <c r="B20" s="860"/>
      <c r="C20" s="341" t="s">
        <v>90</v>
      </c>
      <c r="D20" s="346">
        <v>0</v>
      </c>
      <c r="E20" s="311">
        <v>0</v>
      </c>
      <c r="F20" s="312">
        <v>0</v>
      </c>
      <c r="G20" s="187">
        <v>75</v>
      </c>
      <c r="H20" s="409">
        <v>104</v>
      </c>
      <c r="I20" s="409">
        <v>0</v>
      </c>
      <c r="J20" s="409">
        <v>0</v>
      </c>
      <c r="K20" s="701">
        <v>0</v>
      </c>
      <c r="L20" s="409">
        <v>0</v>
      </c>
      <c r="M20" s="789">
        <f>+'FY24 KPIs'!M159</f>
        <v>139</v>
      </c>
      <c r="N20" s="789">
        <f>+'FY24 KPIs'!N159</f>
        <v>0</v>
      </c>
      <c r="O20" s="789">
        <f>+'FY24 KPIs'!O159</f>
        <v>0</v>
      </c>
      <c r="P20" s="200">
        <f>+'FY24 KPIs'!P164</f>
        <v>0</v>
      </c>
      <c r="Q20" s="200">
        <f>+'FY24 KPIs'!Q164</f>
        <v>0</v>
      </c>
      <c r="S20" t="s">
        <v>145</v>
      </c>
      <c r="T20">
        <f>SUM(T18:T19)</f>
        <v>40</v>
      </c>
      <c r="U20">
        <f t="shared" ref="U20:AA20" si="2">SUM(U18:U19)</f>
        <v>42</v>
      </c>
      <c r="V20">
        <f t="shared" si="2"/>
        <v>157</v>
      </c>
      <c r="W20">
        <f t="shared" si="2"/>
        <v>41</v>
      </c>
      <c r="X20">
        <f t="shared" si="2"/>
        <v>44</v>
      </c>
      <c r="Y20">
        <f t="shared" si="2"/>
        <v>49</v>
      </c>
      <c r="Z20">
        <f t="shared" si="2"/>
        <v>44</v>
      </c>
      <c r="AA20">
        <f t="shared" si="2"/>
        <v>39</v>
      </c>
    </row>
    <row r="21" spans="1:27" ht="15.75" thickBot="1" x14ac:dyDescent="0.3">
      <c r="A21" s="856"/>
      <c r="B21" s="860"/>
      <c r="C21" s="342" t="s">
        <v>0</v>
      </c>
      <c r="D21" s="346">
        <v>104</v>
      </c>
      <c r="E21" s="311">
        <v>51</v>
      </c>
      <c r="F21" s="312">
        <v>0</v>
      </c>
      <c r="G21" s="187">
        <v>84</v>
      </c>
      <c r="H21" s="409">
        <v>150</v>
      </c>
      <c r="I21" s="409">
        <v>0</v>
      </c>
      <c r="J21" s="409">
        <v>130</v>
      </c>
      <c r="K21" s="701">
        <v>118</v>
      </c>
      <c r="L21" s="409">
        <v>116</v>
      </c>
      <c r="M21" s="789">
        <f>+'FY24 KPIs'!M160</f>
        <v>31</v>
      </c>
      <c r="N21" s="789">
        <f>+'FY24 KPIs'!N160</f>
        <v>151</v>
      </c>
      <c r="O21" s="789">
        <f>+'FY24 KPIs'!O160</f>
        <v>53</v>
      </c>
      <c r="P21" s="200">
        <f>+'FY24 KPIs'!P165</f>
        <v>0</v>
      </c>
      <c r="Q21" s="200">
        <f>+'FY24 KPIs'!Q165</f>
        <v>0</v>
      </c>
    </row>
    <row r="22" spans="1:27" ht="15.75" thickBot="1" x14ac:dyDescent="0.3">
      <c r="A22" s="856"/>
      <c r="B22" s="860"/>
      <c r="C22" s="342" t="s">
        <v>139</v>
      </c>
      <c r="D22" s="346">
        <v>0</v>
      </c>
      <c r="E22" s="311">
        <v>0</v>
      </c>
      <c r="F22" s="312">
        <v>27</v>
      </c>
      <c r="G22" s="187">
        <v>45</v>
      </c>
      <c r="H22" s="409">
        <v>0</v>
      </c>
      <c r="I22" s="409">
        <v>0</v>
      </c>
      <c r="J22" s="409">
        <v>0</v>
      </c>
      <c r="K22" s="701">
        <v>0</v>
      </c>
      <c r="L22" s="409">
        <v>0</v>
      </c>
      <c r="M22" s="789">
        <f>+'FY24 KPIs'!M161</f>
        <v>0</v>
      </c>
      <c r="N22" s="789">
        <f>+'FY24 KPIs'!N161</f>
        <v>0</v>
      </c>
      <c r="O22" s="789">
        <f>+'FY24 KPIs'!O161</f>
        <v>0</v>
      </c>
      <c r="P22" s="200">
        <f>+'FY24 KPIs'!P166</f>
        <v>0</v>
      </c>
      <c r="Q22" s="200">
        <f>+'FY24 KPIs'!Q166</f>
        <v>0</v>
      </c>
    </row>
    <row r="23" spans="1:27" ht="15.75" thickBot="1" x14ac:dyDescent="0.3">
      <c r="A23" s="856"/>
      <c r="B23" s="860"/>
      <c r="C23" s="342" t="s">
        <v>143</v>
      </c>
      <c r="D23" s="346">
        <v>21</v>
      </c>
      <c r="E23" s="311">
        <v>0</v>
      </c>
      <c r="F23" s="312">
        <v>44</v>
      </c>
      <c r="G23" s="187">
        <v>38</v>
      </c>
      <c r="H23" s="409">
        <v>0</v>
      </c>
      <c r="I23" s="409">
        <v>54</v>
      </c>
      <c r="J23" s="409">
        <v>31</v>
      </c>
      <c r="K23" s="701">
        <v>0</v>
      </c>
      <c r="L23" s="409">
        <v>0</v>
      </c>
      <c r="M23" s="789">
        <f>+'FY24 KPIs'!M162</f>
        <v>0</v>
      </c>
      <c r="N23" s="789">
        <f>+'FY24 KPIs'!N162</f>
        <v>45</v>
      </c>
      <c r="O23" s="789">
        <f>+'FY24 KPIs'!O162</f>
        <v>0</v>
      </c>
      <c r="P23" s="200">
        <f>+'FY24 KPIs'!P167</f>
        <v>0</v>
      </c>
      <c r="Q23" s="200">
        <f>+'FY24 KPIs'!Q167</f>
        <v>0</v>
      </c>
    </row>
    <row r="24" spans="1:27" ht="15.75" thickBot="1" x14ac:dyDescent="0.3">
      <c r="A24" s="856"/>
      <c r="B24" s="860"/>
      <c r="C24" s="342" t="s">
        <v>137</v>
      </c>
      <c r="D24" s="346">
        <v>0</v>
      </c>
      <c r="E24" s="311">
        <v>0</v>
      </c>
      <c r="F24" s="312">
        <v>0</v>
      </c>
      <c r="G24" s="187">
        <v>0</v>
      </c>
      <c r="H24" s="409">
        <v>0</v>
      </c>
      <c r="I24" s="409">
        <v>0</v>
      </c>
      <c r="J24" s="409">
        <v>0</v>
      </c>
      <c r="K24" s="701">
        <v>0</v>
      </c>
      <c r="L24" s="409">
        <v>0</v>
      </c>
      <c r="M24" s="789">
        <f>+'FY24 KPIs'!M163</f>
        <v>0</v>
      </c>
      <c r="N24" s="789">
        <f>+'FY24 KPIs'!N163</f>
        <v>0</v>
      </c>
      <c r="O24" s="789">
        <f>+'FY24 KPIs'!O163</f>
        <v>0</v>
      </c>
      <c r="P24" s="200">
        <f>+'FY24 KPIs'!P168</f>
        <v>0</v>
      </c>
      <c r="Q24" s="200">
        <f>+'FY24 KPIs'!Q168</f>
        <v>0</v>
      </c>
    </row>
    <row r="25" spans="1:27" ht="15.75" thickBot="1" x14ac:dyDescent="0.3">
      <c r="A25" s="856"/>
      <c r="B25" s="860"/>
      <c r="C25" s="342" t="s">
        <v>106</v>
      </c>
      <c r="D25" s="346">
        <v>0</v>
      </c>
      <c r="E25" s="311">
        <v>0</v>
      </c>
      <c r="F25" s="312">
        <v>0</v>
      </c>
      <c r="G25" s="187">
        <v>0</v>
      </c>
      <c r="H25" s="409">
        <v>0</v>
      </c>
      <c r="I25" s="409">
        <v>0</v>
      </c>
      <c r="J25" s="409">
        <v>0</v>
      </c>
      <c r="K25" s="701">
        <v>0</v>
      </c>
      <c r="L25" s="409">
        <v>159</v>
      </c>
      <c r="M25" s="789">
        <f>+'FY24 KPIs'!M164</f>
        <v>0</v>
      </c>
      <c r="N25" s="789">
        <f>+'FY24 KPIs'!N164</f>
        <v>0</v>
      </c>
      <c r="O25" s="789">
        <f>+'FY24 KPIs'!O164</f>
        <v>0</v>
      </c>
      <c r="P25" s="200">
        <f>+'FY24 KPIs'!P169</f>
        <v>0</v>
      </c>
      <c r="Q25" s="200">
        <f>+'FY24 KPIs'!Q169</f>
        <v>0</v>
      </c>
    </row>
    <row r="26" spans="1:27" ht="15.75" customHeight="1" thickBot="1" x14ac:dyDescent="0.3">
      <c r="A26" s="856"/>
      <c r="B26" s="860"/>
      <c r="C26" s="342" t="s">
        <v>107</v>
      </c>
      <c r="D26" s="346">
        <v>0</v>
      </c>
      <c r="E26" s="311">
        <v>0</v>
      </c>
      <c r="F26" s="312">
        <v>0</v>
      </c>
      <c r="G26" s="187">
        <v>852</v>
      </c>
      <c r="H26" s="409">
        <v>0</v>
      </c>
      <c r="I26" s="409">
        <v>0</v>
      </c>
      <c r="J26" s="409">
        <v>124</v>
      </c>
      <c r="K26" s="701">
        <v>0</v>
      </c>
      <c r="L26" s="409">
        <v>0</v>
      </c>
      <c r="M26" s="789">
        <f>+'FY24 KPIs'!M165</f>
        <v>0</v>
      </c>
      <c r="N26" s="789">
        <f>+'FY24 KPIs'!N165</f>
        <v>0</v>
      </c>
      <c r="O26" s="789">
        <f>+'FY24 KPIs'!O165</f>
        <v>0</v>
      </c>
      <c r="P26" s="202">
        <f>SUM(P27:P36)</f>
        <v>0</v>
      </c>
      <c r="Q26" s="202">
        <f t="shared" ref="Q26" si="3">SUM(Q27:Q36)</f>
        <v>0</v>
      </c>
    </row>
    <row r="27" spans="1:27" ht="15.75" thickBot="1" x14ac:dyDescent="0.3">
      <c r="A27" s="856"/>
      <c r="B27" s="860"/>
      <c r="C27" s="342" t="s">
        <v>108</v>
      </c>
      <c r="D27" s="346">
        <v>0</v>
      </c>
      <c r="E27" s="311">
        <v>0</v>
      </c>
      <c r="F27" s="312">
        <v>0</v>
      </c>
      <c r="G27" s="187">
        <v>0</v>
      </c>
      <c r="H27" s="409">
        <v>0</v>
      </c>
      <c r="I27" s="409">
        <v>0</v>
      </c>
      <c r="J27" s="409">
        <v>0</v>
      </c>
      <c r="K27" s="701">
        <v>0</v>
      </c>
      <c r="L27" s="409">
        <v>0</v>
      </c>
      <c r="M27" s="789">
        <f>+'FY24 KPIs'!M166</f>
        <v>0</v>
      </c>
      <c r="N27" s="789">
        <f>+'FY24 KPIs'!N166</f>
        <v>0</v>
      </c>
      <c r="O27" s="789">
        <f>+'FY24 KPIs'!O166</f>
        <v>0</v>
      </c>
      <c r="P27" s="200">
        <f>+'FY24 KPIs'!P173</f>
        <v>0</v>
      </c>
      <c r="Q27" s="200">
        <f>+'FY24 KPIs'!Q173</f>
        <v>0</v>
      </c>
    </row>
    <row r="28" spans="1:27" ht="15.75" thickBot="1" x14ac:dyDescent="0.3">
      <c r="A28" s="856"/>
      <c r="B28" s="860"/>
      <c r="C28" s="342" t="s">
        <v>103</v>
      </c>
      <c r="D28" s="346">
        <v>0</v>
      </c>
      <c r="E28" s="311">
        <v>0</v>
      </c>
      <c r="F28" s="312">
        <v>0</v>
      </c>
      <c r="G28" s="187">
        <v>0</v>
      </c>
      <c r="H28" s="409">
        <v>0</v>
      </c>
      <c r="I28" s="409">
        <v>0</v>
      </c>
      <c r="J28" s="409">
        <v>0</v>
      </c>
      <c r="K28" s="701">
        <v>0</v>
      </c>
      <c r="L28" s="409">
        <v>0</v>
      </c>
      <c r="M28" s="789">
        <f>+'FY24 KPIs'!M167</f>
        <v>0</v>
      </c>
      <c r="N28" s="789">
        <f>+'FY24 KPIs'!N167</f>
        <v>0</v>
      </c>
      <c r="O28" s="789">
        <f>+'FY24 KPIs'!O167</f>
        <v>0</v>
      </c>
      <c r="P28" s="200">
        <f>+'FY24 KPIs'!P174</f>
        <v>0</v>
      </c>
      <c r="Q28" s="200">
        <f>+'FY24 KPIs'!Q174</f>
        <v>0</v>
      </c>
    </row>
    <row r="29" spans="1:27" ht="15.75" thickBot="1" x14ac:dyDescent="0.3">
      <c r="A29" s="856"/>
      <c r="B29" s="860"/>
      <c r="C29" s="342" t="s">
        <v>109</v>
      </c>
      <c r="D29" s="346">
        <v>0</v>
      </c>
      <c r="E29" s="311">
        <v>0</v>
      </c>
      <c r="F29" s="312">
        <v>0</v>
      </c>
      <c r="G29" s="187">
        <v>0</v>
      </c>
      <c r="H29" s="409">
        <v>0</v>
      </c>
      <c r="I29" s="409">
        <v>83</v>
      </c>
      <c r="J29" s="409">
        <v>0</v>
      </c>
      <c r="K29" s="701">
        <v>0</v>
      </c>
      <c r="L29" s="409">
        <v>0</v>
      </c>
      <c r="M29" s="789">
        <f>+'FY24 KPIs'!M168</f>
        <v>0</v>
      </c>
      <c r="N29" s="789">
        <f>+'FY24 KPIs'!N168</f>
        <v>0</v>
      </c>
      <c r="O29" s="789">
        <f>+'FY24 KPIs'!O168</f>
        <v>0</v>
      </c>
      <c r="P29" s="200">
        <f>+'FY24 KPIs'!P175</f>
        <v>0</v>
      </c>
      <c r="Q29" s="200">
        <f>+'FY24 KPIs'!Q175</f>
        <v>0</v>
      </c>
    </row>
    <row r="30" spans="1:27" ht="15.75" thickBot="1" x14ac:dyDescent="0.3">
      <c r="A30" s="856"/>
      <c r="B30" s="860"/>
      <c r="C30" s="342" t="s">
        <v>182</v>
      </c>
      <c r="D30" s="346"/>
      <c r="E30" s="311"/>
      <c r="F30" s="312"/>
      <c r="G30" s="187"/>
      <c r="H30" s="409">
        <v>0</v>
      </c>
      <c r="I30" s="409">
        <v>85</v>
      </c>
      <c r="J30" s="409">
        <v>0</v>
      </c>
      <c r="K30" s="701">
        <v>0</v>
      </c>
      <c r="L30" s="409">
        <v>0</v>
      </c>
      <c r="M30" s="789">
        <f>+'FY24 KPIs'!M169</f>
        <v>0</v>
      </c>
      <c r="N30" s="789">
        <f>+'FY24 KPIs'!N169</f>
        <v>0</v>
      </c>
      <c r="O30" s="789">
        <f>+'FY24 KPIs'!O169</f>
        <v>0</v>
      </c>
      <c r="P30" s="200">
        <f>+'FY24 KPIs'!P176</f>
        <v>0</v>
      </c>
      <c r="Q30" s="200">
        <f>+'FY24 KPIs'!Q176</f>
        <v>0</v>
      </c>
    </row>
    <row r="31" spans="1:27" ht="15.75" thickBot="1" x14ac:dyDescent="0.3">
      <c r="A31" s="856"/>
      <c r="B31" s="860"/>
      <c r="C31" s="342" t="s">
        <v>183</v>
      </c>
      <c r="D31" s="346"/>
      <c r="E31" s="311"/>
      <c r="F31" s="312"/>
      <c r="G31" s="187"/>
      <c r="H31" s="409">
        <v>0</v>
      </c>
      <c r="I31" s="409">
        <v>0</v>
      </c>
      <c r="J31" s="409">
        <v>0</v>
      </c>
      <c r="K31" s="701">
        <v>0</v>
      </c>
      <c r="L31" s="409">
        <v>0</v>
      </c>
      <c r="M31" s="789">
        <f>+'FY24 KPIs'!M170</f>
        <v>0</v>
      </c>
      <c r="N31" s="789">
        <f>+'FY24 KPIs'!N170</f>
        <v>0</v>
      </c>
      <c r="O31" s="789">
        <f>+'FY24 KPIs'!O170</f>
        <v>0</v>
      </c>
      <c r="P31" s="200">
        <f>+'FY24 KPIs'!P177</f>
        <v>0</v>
      </c>
      <c r="Q31" s="200">
        <f>+'FY24 KPIs'!Q177</f>
        <v>0</v>
      </c>
    </row>
    <row r="32" spans="1:27" ht="15.75" thickBot="1" x14ac:dyDescent="0.3">
      <c r="A32" s="856"/>
      <c r="B32" s="860"/>
      <c r="C32" s="363" t="s">
        <v>190</v>
      </c>
      <c r="D32" s="346"/>
      <c r="E32" s="311"/>
      <c r="F32" s="312"/>
      <c r="G32" s="187"/>
      <c r="H32" s="409">
        <v>83</v>
      </c>
      <c r="I32" s="409">
        <v>0</v>
      </c>
      <c r="J32" s="409">
        <v>0</v>
      </c>
      <c r="K32" s="701">
        <v>0</v>
      </c>
      <c r="L32" s="409">
        <v>0</v>
      </c>
      <c r="M32" s="789">
        <f>+'FY24 KPIs'!M171</f>
        <v>0</v>
      </c>
      <c r="N32" s="789">
        <f>+'FY24 KPIs'!N171</f>
        <v>0</v>
      </c>
      <c r="O32" s="789">
        <f>+'FY24 KPIs'!O171</f>
        <v>0</v>
      </c>
      <c r="P32" s="200">
        <f>+'FY24 KPIs'!P178</f>
        <v>0</v>
      </c>
      <c r="Q32" s="200">
        <f>+'FY24 KPIs'!Q178</f>
        <v>0</v>
      </c>
    </row>
    <row r="33" spans="1:17" ht="15.75" thickBot="1" x14ac:dyDescent="0.3">
      <c r="A33" s="856"/>
      <c r="B33" s="861"/>
      <c r="C33" s="364" t="s">
        <v>184</v>
      </c>
      <c r="D33" s="347"/>
      <c r="E33" s="348"/>
      <c r="F33" s="349"/>
      <c r="G33" s="190"/>
      <c r="H33" s="411">
        <v>0</v>
      </c>
      <c r="I33" s="411">
        <v>0</v>
      </c>
      <c r="J33" s="411">
        <v>0</v>
      </c>
      <c r="K33" s="702">
        <v>0</v>
      </c>
      <c r="L33" s="411">
        <v>0</v>
      </c>
      <c r="M33" s="789">
        <f>+'FY24 KPIs'!M172</f>
        <v>0</v>
      </c>
      <c r="N33" s="789">
        <f>+'FY24 KPIs'!N172</f>
        <v>0</v>
      </c>
      <c r="O33" s="789">
        <f>+'FY24 KPIs'!O172</f>
        <v>0</v>
      </c>
      <c r="P33" s="200">
        <f>+'FY24 KPIs'!P179</f>
        <v>0</v>
      </c>
      <c r="Q33" s="200">
        <f>+'FY24 KPIs'!Q179</f>
        <v>0</v>
      </c>
    </row>
    <row r="34" spans="1:17" ht="15.75" customHeight="1" thickBot="1" x14ac:dyDescent="0.3">
      <c r="A34" s="856"/>
      <c r="B34" s="859" t="s">
        <v>186</v>
      </c>
      <c r="C34" s="339" t="s">
        <v>138</v>
      </c>
      <c r="D34" s="617">
        <v>251</v>
      </c>
      <c r="E34" s="603">
        <v>254</v>
      </c>
      <c r="F34" s="604">
        <v>258</v>
      </c>
      <c r="G34" s="605">
        <v>263</v>
      </c>
      <c r="H34" s="606">
        <v>256</v>
      </c>
      <c r="I34" s="606">
        <v>256</v>
      </c>
      <c r="J34" s="606">
        <v>260</v>
      </c>
      <c r="K34" s="706">
        <v>263</v>
      </c>
      <c r="L34" s="506">
        <v>264</v>
      </c>
      <c r="M34" s="788">
        <f>+'FY24 KPIs'!M173</f>
        <v>260</v>
      </c>
      <c r="N34" s="788">
        <f>+'FY24 KPIs'!N173</f>
        <v>264</v>
      </c>
      <c r="O34" s="788">
        <f>+'FY24 KPIs'!O173</f>
        <v>258</v>
      </c>
      <c r="P34" s="200">
        <f>+'FY24 KPIs'!P180</f>
        <v>0</v>
      </c>
      <c r="Q34" s="200">
        <f>+'FY24 KPIs'!Q180</f>
        <v>0</v>
      </c>
    </row>
    <row r="35" spans="1:17" ht="15.75" thickBot="1" x14ac:dyDescent="0.3">
      <c r="A35" s="856"/>
      <c r="B35" s="872"/>
      <c r="C35" s="186" t="s">
        <v>90</v>
      </c>
      <c r="D35" s="340">
        <v>13</v>
      </c>
      <c r="E35" s="311">
        <v>13</v>
      </c>
      <c r="F35" s="312">
        <v>13</v>
      </c>
      <c r="G35" s="187">
        <v>14</v>
      </c>
      <c r="H35" s="409">
        <v>14</v>
      </c>
      <c r="I35" s="409">
        <v>13</v>
      </c>
      <c r="J35" s="409">
        <v>13</v>
      </c>
      <c r="K35" s="701">
        <v>13</v>
      </c>
      <c r="L35" s="409">
        <v>12</v>
      </c>
      <c r="M35" s="789">
        <f>+'FY24 KPIs'!M174</f>
        <v>12</v>
      </c>
      <c r="N35" s="789">
        <f>+'FY24 KPIs'!N174</f>
        <v>11</v>
      </c>
      <c r="O35" s="789">
        <f>+'FY24 KPIs'!O174</f>
        <v>12</v>
      </c>
      <c r="P35" s="200">
        <f>+'FY24 KPIs'!P181</f>
        <v>0</v>
      </c>
      <c r="Q35" s="200">
        <f>+'FY24 KPIs'!Q181</f>
        <v>0</v>
      </c>
    </row>
    <row r="36" spans="1:17" ht="15.75" thickBot="1" x14ac:dyDescent="0.3">
      <c r="A36" s="856"/>
      <c r="B36" s="872"/>
      <c r="C36" s="175" t="s">
        <v>0</v>
      </c>
      <c r="D36" s="340">
        <v>133</v>
      </c>
      <c r="E36" s="311">
        <v>135</v>
      </c>
      <c r="F36" s="312">
        <v>135</v>
      </c>
      <c r="G36" s="187">
        <v>138</v>
      </c>
      <c r="H36" s="409">
        <v>130</v>
      </c>
      <c r="I36" s="409">
        <v>129</v>
      </c>
      <c r="J36" s="409">
        <v>132</v>
      </c>
      <c r="K36" s="701">
        <v>135</v>
      </c>
      <c r="L36" s="409">
        <v>139</v>
      </c>
      <c r="M36" s="789">
        <f>+'FY24 KPIs'!M175</f>
        <v>136</v>
      </c>
      <c r="N36" s="789">
        <f>+'FY24 KPIs'!N175</f>
        <v>138</v>
      </c>
      <c r="O36" s="789">
        <f>+'FY24 KPIs'!O175</f>
        <v>132</v>
      </c>
      <c r="P36" s="200">
        <f>+'FY24 KPIs'!P182</f>
        <v>0</v>
      </c>
      <c r="Q36" s="200">
        <f>+'FY24 KPIs'!Q182</f>
        <v>0</v>
      </c>
    </row>
    <row r="37" spans="1:17" ht="15" customHeight="1" thickBot="1" x14ac:dyDescent="0.3">
      <c r="A37" s="856"/>
      <c r="B37" s="872"/>
      <c r="C37" s="175" t="s">
        <v>139</v>
      </c>
      <c r="D37" s="340">
        <v>8</v>
      </c>
      <c r="E37" s="311">
        <v>9</v>
      </c>
      <c r="F37" s="312">
        <v>11</v>
      </c>
      <c r="G37" s="187">
        <v>14</v>
      </c>
      <c r="H37" s="409">
        <v>6</v>
      </c>
      <c r="I37" s="409">
        <v>5</v>
      </c>
      <c r="J37" s="409">
        <v>5</v>
      </c>
      <c r="K37" s="701">
        <v>5</v>
      </c>
      <c r="L37" s="409">
        <v>5</v>
      </c>
      <c r="M37" s="789">
        <f>+'FY24 KPIs'!M176</f>
        <v>5</v>
      </c>
      <c r="N37" s="789">
        <f>+'FY24 KPIs'!N176</f>
        <v>5</v>
      </c>
      <c r="O37" s="789">
        <f>+'FY24 KPIs'!O176</f>
        <v>5</v>
      </c>
      <c r="P37" s="203">
        <f>+'FY24 KPIs'!P186</f>
        <v>0</v>
      </c>
      <c r="Q37" s="203">
        <f>+'FY24 KPIs'!Q186</f>
        <v>0</v>
      </c>
    </row>
    <row r="38" spans="1:17" ht="15.75" customHeight="1" thickBot="1" x14ac:dyDescent="0.3">
      <c r="A38" s="856"/>
      <c r="B38" s="872"/>
      <c r="C38" s="175" t="s">
        <v>143</v>
      </c>
      <c r="D38" s="340">
        <v>48</v>
      </c>
      <c r="E38" s="311">
        <v>48</v>
      </c>
      <c r="F38" s="312">
        <v>50</v>
      </c>
      <c r="G38" s="187">
        <v>48</v>
      </c>
      <c r="H38" s="409">
        <v>48</v>
      </c>
      <c r="I38" s="409">
        <v>47</v>
      </c>
      <c r="J38" s="409">
        <v>48</v>
      </c>
      <c r="K38" s="701">
        <v>47</v>
      </c>
      <c r="L38" s="409">
        <v>44</v>
      </c>
      <c r="M38" s="789">
        <f>+'FY24 KPIs'!M177</f>
        <v>44</v>
      </c>
      <c r="N38" s="789">
        <f>+'FY24 KPIs'!N177</f>
        <v>46</v>
      </c>
      <c r="O38" s="789">
        <f>+'FY24 KPIs'!O177</f>
        <v>46</v>
      </c>
      <c r="P38" s="200">
        <f>+'FY24 KPIs'!P187</f>
        <v>0</v>
      </c>
      <c r="Q38" s="200">
        <f>+'FY24 KPIs'!Q187</f>
        <v>0</v>
      </c>
    </row>
    <row r="39" spans="1:17" ht="15.75" thickBot="1" x14ac:dyDescent="0.3">
      <c r="A39" s="856"/>
      <c r="B39" s="872"/>
      <c r="C39" s="175" t="s">
        <v>137</v>
      </c>
      <c r="D39" s="340">
        <v>1</v>
      </c>
      <c r="E39" s="311">
        <v>1</v>
      </c>
      <c r="F39" s="312">
        <v>1</v>
      </c>
      <c r="G39" s="187">
        <v>1</v>
      </c>
      <c r="H39" s="409">
        <v>1</v>
      </c>
      <c r="I39" s="409">
        <v>1</v>
      </c>
      <c r="J39" s="409">
        <v>1</v>
      </c>
      <c r="K39" s="701">
        <v>1</v>
      </c>
      <c r="L39" s="409">
        <v>1</v>
      </c>
      <c r="M39" s="789">
        <f>+'FY24 KPIs'!M178</f>
        <v>1</v>
      </c>
      <c r="N39" s="789">
        <f>+'FY24 KPIs'!N178</f>
        <v>1</v>
      </c>
      <c r="O39" s="789">
        <f>+'FY24 KPIs'!O178</f>
        <v>1</v>
      </c>
      <c r="P39" s="200">
        <f>+'FY24 KPIs'!P188</f>
        <v>0</v>
      </c>
      <c r="Q39" s="200">
        <f>+'FY24 KPIs'!Q188</f>
        <v>0</v>
      </c>
    </row>
    <row r="40" spans="1:17" ht="15.75" thickBot="1" x14ac:dyDescent="0.3">
      <c r="A40" s="856"/>
      <c r="B40" s="872"/>
      <c r="C40" s="175" t="s">
        <v>106</v>
      </c>
      <c r="D40" s="340">
        <v>10</v>
      </c>
      <c r="E40" s="311">
        <v>10</v>
      </c>
      <c r="F40" s="312">
        <v>10</v>
      </c>
      <c r="G40" s="187">
        <v>9</v>
      </c>
      <c r="H40" s="409">
        <v>9</v>
      </c>
      <c r="I40" s="409">
        <v>9</v>
      </c>
      <c r="J40" s="409">
        <v>9</v>
      </c>
      <c r="K40" s="701">
        <v>9</v>
      </c>
      <c r="L40" s="409">
        <v>10</v>
      </c>
      <c r="M40" s="789">
        <f>+'FY24 KPIs'!M179</f>
        <v>10</v>
      </c>
      <c r="N40" s="789">
        <f>+'FY24 KPIs'!N179</f>
        <v>9</v>
      </c>
      <c r="O40" s="789">
        <f>+'FY24 KPIs'!O179</f>
        <v>9</v>
      </c>
      <c r="P40" s="200">
        <f>+'FY24 KPIs'!P189</f>
        <v>0</v>
      </c>
      <c r="Q40" s="200">
        <f>+'FY24 KPIs'!Q189</f>
        <v>0</v>
      </c>
    </row>
    <row r="41" spans="1:17" ht="15.75" thickBot="1" x14ac:dyDescent="0.3">
      <c r="A41" s="856"/>
      <c r="B41" s="872"/>
      <c r="C41" s="175" t="s">
        <v>107</v>
      </c>
      <c r="D41" s="340">
        <v>18</v>
      </c>
      <c r="E41" s="311">
        <v>18</v>
      </c>
      <c r="F41" s="312">
        <v>18</v>
      </c>
      <c r="G41" s="187">
        <v>19</v>
      </c>
      <c r="H41" s="409">
        <v>19</v>
      </c>
      <c r="I41" s="409">
        <v>19</v>
      </c>
      <c r="J41" s="409">
        <v>19</v>
      </c>
      <c r="K41" s="701">
        <v>20</v>
      </c>
      <c r="L41" s="409">
        <v>19</v>
      </c>
      <c r="M41" s="789">
        <f>+'FY24 KPIs'!M180</f>
        <v>18</v>
      </c>
      <c r="N41" s="789">
        <f>+'FY24 KPIs'!N180</f>
        <v>18</v>
      </c>
      <c r="O41" s="789">
        <f>+'FY24 KPIs'!O180</f>
        <v>18</v>
      </c>
      <c r="P41" s="200">
        <f>+'FY24 KPIs'!P190</f>
        <v>0</v>
      </c>
      <c r="Q41" s="200">
        <f>+'FY24 KPIs'!Q190</f>
        <v>0</v>
      </c>
    </row>
    <row r="42" spans="1:17" ht="15.75" thickBot="1" x14ac:dyDescent="0.3">
      <c r="A42" s="856"/>
      <c r="B42" s="872"/>
      <c r="C42" s="175" t="s">
        <v>108</v>
      </c>
      <c r="D42" s="340">
        <v>5</v>
      </c>
      <c r="E42" s="311">
        <v>5</v>
      </c>
      <c r="F42" s="312">
        <v>5</v>
      </c>
      <c r="G42" s="187">
        <v>5</v>
      </c>
      <c r="H42" s="409">
        <v>5</v>
      </c>
      <c r="I42" s="409">
        <v>5</v>
      </c>
      <c r="J42" s="409">
        <v>5</v>
      </c>
      <c r="K42" s="701">
        <v>5</v>
      </c>
      <c r="L42" s="409">
        <v>5</v>
      </c>
      <c r="M42" s="789">
        <f>+'FY24 KPIs'!M181</f>
        <v>5</v>
      </c>
      <c r="N42" s="789">
        <f>+'FY24 KPIs'!N181</f>
        <v>5</v>
      </c>
      <c r="O42" s="789">
        <f>+'FY24 KPIs'!O181</f>
        <v>5</v>
      </c>
      <c r="P42" s="200">
        <f>+'FY24 KPIs'!P191</f>
        <v>0</v>
      </c>
      <c r="Q42" s="200">
        <f>+'FY24 KPIs'!Q191</f>
        <v>0</v>
      </c>
    </row>
    <row r="43" spans="1:17" ht="15.75" thickBot="1" x14ac:dyDescent="0.3">
      <c r="A43" s="856"/>
      <c r="B43" s="872"/>
      <c r="C43" s="175" t="s">
        <v>103</v>
      </c>
      <c r="D43" s="340">
        <v>6</v>
      </c>
      <c r="E43" s="311">
        <v>6</v>
      </c>
      <c r="F43" s="312">
        <v>6</v>
      </c>
      <c r="G43" s="187">
        <v>6</v>
      </c>
      <c r="H43" s="409">
        <v>6</v>
      </c>
      <c r="I43" s="409">
        <v>7</v>
      </c>
      <c r="J43" s="409">
        <v>7</v>
      </c>
      <c r="K43" s="701">
        <v>7</v>
      </c>
      <c r="L43" s="409">
        <v>7</v>
      </c>
      <c r="M43" s="789">
        <f>+'FY24 KPIs'!M182</f>
        <v>7</v>
      </c>
      <c r="N43" s="789">
        <f>+'FY24 KPIs'!N182</f>
        <v>7</v>
      </c>
      <c r="O43" s="789">
        <f>+'FY24 KPIs'!O182</f>
        <v>7</v>
      </c>
      <c r="P43" s="200">
        <f>+'FY24 KPIs'!P192</f>
        <v>0</v>
      </c>
      <c r="Q43" s="200">
        <f>+'FY24 KPIs'!Q192</f>
        <v>0</v>
      </c>
    </row>
    <row r="44" spans="1:17" ht="15.75" thickBot="1" x14ac:dyDescent="0.3">
      <c r="A44" s="856"/>
      <c r="B44" s="872"/>
      <c r="C44" s="175" t="s">
        <v>109</v>
      </c>
      <c r="D44" s="340">
        <v>9</v>
      </c>
      <c r="E44" s="311">
        <v>9</v>
      </c>
      <c r="F44" s="312">
        <v>9</v>
      </c>
      <c r="G44" s="187">
        <v>9</v>
      </c>
      <c r="H44" s="409">
        <v>8</v>
      </c>
      <c r="I44" s="409">
        <v>10</v>
      </c>
      <c r="J44" s="409">
        <v>10</v>
      </c>
      <c r="K44" s="701">
        <v>10</v>
      </c>
      <c r="L44" s="409">
        <v>10</v>
      </c>
      <c r="M44" s="789">
        <f>+'FY24 KPIs'!M183</f>
        <v>12</v>
      </c>
      <c r="N44" s="789">
        <f>+'FY24 KPIs'!N183</f>
        <v>12</v>
      </c>
      <c r="O44" s="789">
        <f>+'FY24 KPIs'!O183</f>
        <v>12</v>
      </c>
      <c r="P44" s="200">
        <f>+'FY24 KPIs'!P193</f>
        <v>0</v>
      </c>
      <c r="Q44" s="200">
        <f>+'FY24 KPIs'!Q193</f>
        <v>0</v>
      </c>
    </row>
    <row r="45" spans="1:17" ht="15.75" thickBot="1" x14ac:dyDescent="0.3">
      <c r="A45" s="856"/>
      <c r="B45" s="872"/>
      <c r="C45" s="175" t="s">
        <v>182</v>
      </c>
      <c r="D45" s="340"/>
      <c r="E45" s="311"/>
      <c r="F45" s="312"/>
      <c r="G45" s="187"/>
      <c r="H45" s="409">
        <v>4</v>
      </c>
      <c r="I45" s="409">
        <v>5</v>
      </c>
      <c r="J45" s="409">
        <v>5</v>
      </c>
      <c r="K45" s="701">
        <v>5</v>
      </c>
      <c r="L45" s="409">
        <v>5</v>
      </c>
      <c r="M45" s="789">
        <f>+'FY24 KPIs'!M184</f>
        <v>5</v>
      </c>
      <c r="N45" s="789">
        <f>+'FY24 KPIs'!N184</f>
        <v>6</v>
      </c>
      <c r="O45" s="789">
        <f>+'FY24 KPIs'!O184</f>
        <v>6</v>
      </c>
      <c r="P45" s="200">
        <f>+'FY24 KPIs'!P194</f>
        <v>0</v>
      </c>
      <c r="Q45" s="200">
        <f>+'FY24 KPIs'!Q194</f>
        <v>0</v>
      </c>
    </row>
    <row r="46" spans="1:17" ht="15.75" thickBot="1" x14ac:dyDescent="0.3">
      <c r="A46" s="856"/>
      <c r="B46" s="872"/>
      <c r="C46" s="175" t="s">
        <v>183</v>
      </c>
      <c r="D46" s="340"/>
      <c r="E46" s="311"/>
      <c r="F46" s="312"/>
      <c r="G46" s="187"/>
      <c r="H46" s="409">
        <v>1</v>
      </c>
      <c r="I46" s="409">
        <v>1</v>
      </c>
      <c r="J46" s="409">
        <v>1</v>
      </c>
      <c r="K46" s="701">
        <v>1</v>
      </c>
      <c r="L46" s="409">
        <v>1</v>
      </c>
      <c r="M46" s="789">
        <f>+'FY24 KPIs'!M185</f>
        <v>0</v>
      </c>
      <c r="N46" s="789">
        <f>+'FY24 KPIs'!N185</f>
        <v>1</v>
      </c>
      <c r="O46" s="789">
        <f>+'FY24 KPIs'!O185</f>
        <v>0</v>
      </c>
      <c r="P46" s="200">
        <f>+'FY24 KPIs'!P195</f>
        <v>0</v>
      </c>
      <c r="Q46" s="200">
        <f>+'FY24 KPIs'!Q195</f>
        <v>0</v>
      </c>
    </row>
    <row r="47" spans="1:17" ht="15.75" thickBot="1" x14ac:dyDescent="0.3">
      <c r="A47" s="856"/>
      <c r="B47" s="872"/>
      <c r="C47" s="177" t="s">
        <v>190</v>
      </c>
      <c r="D47" s="340"/>
      <c r="E47" s="311"/>
      <c r="F47" s="312"/>
      <c r="G47" s="187"/>
      <c r="H47" s="409">
        <v>4</v>
      </c>
      <c r="I47" s="409">
        <v>4</v>
      </c>
      <c r="J47" s="409">
        <v>4</v>
      </c>
      <c r="K47" s="701">
        <v>4</v>
      </c>
      <c r="L47" s="409">
        <v>3</v>
      </c>
      <c r="M47" s="789">
        <f>+'FY24 KPIs'!M186</f>
        <v>3</v>
      </c>
      <c r="N47" s="789">
        <f>+'FY24 KPIs'!N186</f>
        <v>3</v>
      </c>
      <c r="O47" s="789">
        <f>+'FY24 KPIs'!O186</f>
        <v>3</v>
      </c>
      <c r="P47" s="200">
        <f>+'FY24 KPIs'!P196</f>
        <v>0</v>
      </c>
      <c r="Q47" s="200">
        <f>+'FY24 KPIs'!Q196</f>
        <v>0</v>
      </c>
    </row>
    <row r="48" spans="1:17" ht="15.75" thickBot="1" x14ac:dyDescent="0.3">
      <c r="A48" s="856"/>
      <c r="B48" s="873"/>
      <c r="C48" s="176" t="s">
        <v>184</v>
      </c>
      <c r="D48" s="517"/>
      <c r="E48" s="348"/>
      <c r="F48" s="349"/>
      <c r="G48" s="190"/>
      <c r="H48" s="411">
        <v>1</v>
      </c>
      <c r="I48" s="411">
        <v>1</v>
      </c>
      <c r="J48" s="411">
        <v>1</v>
      </c>
      <c r="K48" s="702">
        <v>1</v>
      </c>
      <c r="L48" s="411">
        <v>1</v>
      </c>
      <c r="M48" s="789">
        <f>+'FY24 KPIs'!M187</f>
        <v>2</v>
      </c>
      <c r="N48" s="789">
        <f>+'FY24 KPIs'!N187</f>
        <v>2</v>
      </c>
      <c r="O48" s="789">
        <f>+'FY24 KPIs'!O187</f>
        <v>2</v>
      </c>
    </row>
    <row r="49" spans="1:15" ht="15.75" customHeight="1" thickBot="1" x14ac:dyDescent="0.3">
      <c r="A49" s="856"/>
      <c r="B49" s="862" t="s">
        <v>187</v>
      </c>
      <c r="C49" s="339" t="s">
        <v>138</v>
      </c>
      <c r="D49" s="518">
        <v>0.01</v>
      </c>
      <c r="E49" s="509">
        <v>0.01</v>
      </c>
      <c r="F49" s="510">
        <v>0.04</v>
      </c>
      <c r="G49" s="511">
        <v>0.03</v>
      </c>
      <c r="H49" s="512">
        <v>0.02</v>
      </c>
      <c r="I49" s="512">
        <v>0.02</v>
      </c>
      <c r="J49" s="512">
        <v>0.02</v>
      </c>
      <c r="K49" s="707">
        <v>0.02</v>
      </c>
      <c r="L49" s="512">
        <v>0.02</v>
      </c>
      <c r="M49" s="876">
        <f>+'FY24 KPIs'!M188</f>
        <v>0.02</v>
      </c>
      <c r="N49" s="876">
        <f>+'FY24 KPIs'!N188</f>
        <v>0.02</v>
      </c>
      <c r="O49" s="876">
        <f>+'FY24 KPIs'!O188</f>
        <v>0.02</v>
      </c>
    </row>
    <row r="50" spans="1:15" ht="15.75" thickBot="1" x14ac:dyDescent="0.3">
      <c r="A50" s="856"/>
      <c r="B50" s="874"/>
      <c r="C50" s="186" t="s">
        <v>90</v>
      </c>
      <c r="D50" s="519">
        <v>0</v>
      </c>
      <c r="E50" s="313">
        <v>0</v>
      </c>
      <c r="F50" s="314">
        <v>0</v>
      </c>
      <c r="G50" s="318">
        <v>0</v>
      </c>
      <c r="H50" s="415">
        <v>0.08</v>
      </c>
      <c r="I50" s="415">
        <v>0.08</v>
      </c>
      <c r="J50" s="415">
        <v>0.08</v>
      </c>
      <c r="K50" s="708">
        <v>0.08</v>
      </c>
      <c r="L50" s="415">
        <v>0.08</v>
      </c>
      <c r="M50" s="876">
        <f>+'FY24 KPIs'!M189</f>
        <v>0</v>
      </c>
      <c r="N50" s="876">
        <f>+'FY24 KPIs'!N189</f>
        <v>0</v>
      </c>
      <c r="O50" s="876">
        <f>+'FY24 KPIs'!O189</f>
        <v>0</v>
      </c>
    </row>
    <row r="51" spans="1:15" ht="15.75" thickBot="1" x14ac:dyDescent="0.3">
      <c r="A51" s="856"/>
      <c r="B51" s="874"/>
      <c r="C51" s="175" t="s">
        <v>0</v>
      </c>
      <c r="D51" s="519">
        <v>0.03</v>
      </c>
      <c r="E51" s="313">
        <v>0.03</v>
      </c>
      <c r="F51" s="314">
        <v>0.04</v>
      </c>
      <c r="G51" s="318">
        <v>0.05</v>
      </c>
      <c r="H51" s="415">
        <v>0.03</v>
      </c>
      <c r="I51" s="415">
        <v>0.03</v>
      </c>
      <c r="J51" s="415">
        <v>0.03</v>
      </c>
      <c r="K51" s="708">
        <v>0.03</v>
      </c>
      <c r="L51" s="415">
        <v>0.02</v>
      </c>
      <c r="M51" s="876">
        <f>+'FY24 KPIs'!M190</f>
        <v>0.03</v>
      </c>
      <c r="N51" s="876">
        <f>+'FY24 KPIs'!N190</f>
        <v>0.06</v>
      </c>
      <c r="O51" s="876">
        <f>+'FY24 KPIs'!O190</f>
        <v>0.02</v>
      </c>
    </row>
    <row r="52" spans="1:15" ht="15.75" thickBot="1" x14ac:dyDescent="0.3">
      <c r="A52" s="856"/>
      <c r="B52" s="874"/>
      <c r="C52" s="175" t="s">
        <v>139</v>
      </c>
      <c r="D52" s="519">
        <v>0</v>
      </c>
      <c r="E52" s="313">
        <v>0</v>
      </c>
      <c r="F52" s="314">
        <v>0.2</v>
      </c>
      <c r="G52" s="318">
        <v>0</v>
      </c>
      <c r="H52" s="415">
        <v>0</v>
      </c>
      <c r="I52" s="415">
        <v>0</v>
      </c>
      <c r="J52" s="415">
        <v>0</v>
      </c>
      <c r="K52" s="708">
        <v>0</v>
      </c>
      <c r="L52" s="415">
        <v>0</v>
      </c>
      <c r="M52" s="876">
        <f>+'FY24 KPIs'!M191</f>
        <v>0</v>
      </c>
      <c r="N52" s="876">
        <f>+'FY24 KPIs'!N191</f>
        <v>0</v>
      </c>
      <c r="O52" s="876">
        <f>+'FY24 KPIs'!O191</f>
        <v>0</v>
      </c>
    </row>
    <row r="53" spans="1:15" ht="15.75" thickBot="1" x14ac:dyDescent="0.3">
      <c r="A53" s="856"/>
      <c r="B53" s="874"/>
      <c r="C53" s="175" t="s">
        <v>143</v>
      </c>
      <c r="D53" s="519">
        <v>0</v>
      </c>
      <c r="E53" s="313">
        <v>0</v>
      </c>
      <c r="F53" s="314">
        <v>0.06</v>
      </c>
      <c r="G53" s="318">
        <v>0</v>
      </c>
      <c r="H53" s="415">
        <v>0</v>
      </c>
      <c r="I53" s="415">
        <v>0.02</v>
      </c>
      <c r="J53" s="415">
        <v>0</v>
      </c>
      <c r="K53" s="708">
        <v>0.02</v>
      </c>
      <c r="L53" s="415">
        <v>0.04</v>
      </c>
      <c r="M53" s="876">
        <f>+'FY24 KPIs'!M192</f>
        <v>0.02</v>
      </c>
      <c r="N53" s="876">
        <f>+'FY24 KPIs'!N192</f>
        <v>0</v>
      </c>
      <c r="O53" s="876">
        <f>+'FY24 KPIs'!O192</f>
        <v>0</v>
      </c>
    </row>
    <row r="54" spans="1:15" ht="15.75" thickBot="1" x14ac:dyDescent="0.3">
      <c r="A54" s="856"/>
      <c r="B54" s="874"/>
      <c r="C54" s="175" t="s">
        <v>137</v>
      </c>
      <c r="D54" s="519">
        <v>0</v>
      </c>
      <c r="E54" s="313">
        <v>0</v>
      </c>
      <c r="F54" s="314">
        <v>0</v>
      </c>
      <c r="G54" s="318">
        <v>0</v>
      </c>
      <c r="H54" s="415">
        <v>0</v>
      </c>
      <c r="I54" s="415">
        <v>0</v>
      </c>
      <c r="J54" s="415">
        <v>0</v>
      </c>
      <c r="K54" s="708">
        <v>0</v>
      </c>
      <c r="L54" s="415">
        <v>0</v>
      </c>
      <c r="M54" s="876">
        <f>+'FY24 KPIs'!M193</f>
        <v>0</v>
      </c>
      <c r="N54" s="876">
        <f>+'FY24 KPIs'!N193</f>
        <v>0</v>
      </c>
      <c r="O54" s="876">
        <f>+'FY24 KPIs'!O193</f>
        <v>0</v>
      </c>
    </row>
    <row r="55" spans="1:15" ht="15.75" thickBot="1" x14ac:dyDescent="0.3">
      <c r="A55" s="856"/>
      <c r="B55" s="874"/>
      <c r="C55" s="175" t="s">
        <v>106</v>
      </c>
      <c r="D55" s="519">
        <v>0</v>
      </c>
      <c r="E55" s="313">
        <v>0</v>
      </c>
      <c r="F55" s="314">
        <v>0</v>
      </c>
      <c r="G55" s="318">
        <v>0.16</v>
      </c>
      <c r="H55" s="415">
        <v>0</v>
      </c>
      <c r="I55" s="415">
        <v>0</v>
      </c>
      <c r="J55" s="415">
        <v>0</v>
      </c>
      <c r="K55" s="708">
        <v>0</v>
      </c>
      <c r="L55" s="415">
        <v>0</v>
      </c>
      <c r="M55" s="876">
        <f>+'FY24 KPIs'!M194</f>
        <v>0.16</v>
      </c>
      <c r="N55" s="876">
        <f>+'FY24 KPIs'!N194</f>
        <v>0</v>
      </c>
      <c r="O55" s="876">
        <f>+'FY24 KPIs'!O194</f>
        <v>0</v>
      </c>
    </row>
    <row r="56" spans="1:15" ht="15.75" thickBot="1" x14ac:dyDescent="0.3">
      <c r="A56" s="856"/>
      <c r="B56" s="874"/>
      <c r="C56" s="175" t="s">
        <v>107</v>
      </c>
      <c r="D56" s="519">
        <v>0</v>
      </c>
      <c r="E56" s="313">
        <v>0</v>
      </c>
      <c r="F56" s="314">
        <v>0</v>
      </c>
      <c r="G56" s="318">
        <v>0</v>
      </c>
      <c r="H56" s="415">
        <v>0</v>
      </c>
      <c r="I56" s="415">
        <v>0</v>
      </c>
      <c r="J56" s="415">
        <v>0</v>
      </c>
      <c r="K56" s="708">
        <v>0</v>
      </c>
      <c r="L56" s="415">
        <v>0</v>
      </c>
      <c r="M56" s="876">
        <f>+'FY24 KPIs'!M195</f>
        <v>0</v>
      </c>
      <c r="N56" s="876">
        <f>+'FY24 KPIs'!N195</f>
        <v>0</v>
      </c>
      <c r="O56" s="876">
        <f>+'FY24 KPIs'!O195</f>
        <v>0.05</v>
      </c>
    </row>
    <row r="57" spans="1:15" ht="15.75" thickBot="1" x14ac:dyDescent="0.3">
      <c r="A57" s="856"/>
      <c r="B57" s="874"/>
      <c r="C57" s="175" t="s">
        <v>108</v>
      </c>
      <c r="D57" s="519">
        <v>0</v>
      </c>
      <c r="E57" s="313">
        <v>0</v>
      </c>
      <c r="F57" s="314">
        <v>0</v>
      </c>
      <c r="G57" s="318">
        <v>0</v>
      </c>
      <c r="H57" s="415">
        <v>0</v>
      </c>
      <c r="I57" s="415">
        <v>0</v>
      </c>
      <c r="J57" s="415">
        <v>0</v>
      </c>
      <c r="K57" s="708">
        <v>0</v>
      </c>
      <c r="L57" s="415">
        <v>0</v>
      </c>
      <c r="M57" s="876">
        <f>+'FY24 KPIs'!M196</f>
        <v>0</v>
      </c>
      <c r="N57" s="876">
        <f>+'FY24 KPIs'!N196</f>
        <v>0</v>
      </c>
      <c r="O57" s="876">
        <f>+'FY24 KPIs'!O196</f>
        <v>0</v>
      </c>
    </row>
    <row r="58" spans="1:15" ht="15.75" thickBot="1" x14ac:dyDescent="0.3">
      <c r="A58" s="856"/>
      <c r="B58" s="874"/>
      <c r="C58" s="175" t="s">
        <v>103</v>
      </c>
      <c r="D58" s="519">
        <v>0</v>
      </c>
      <c r="E58" s="313">
        <v>0</v>
      </c>
      <c r="F58" s="314">
        <v>0</v>
      </c>
      <c r="G58" s="318">
        <v>0</v>
      </c>
      <c r="H58" s="415">
        <v>0</v>
      </c>
      <c r="I58" s="415">
        <v>0</v>
      </c>
      <c r="J58" s="415">
        <v>0</v>
      </c>
      <c r="K58" s="708">
        <v>0</v>
      </c>
      <c r="L58" s="415">
        <v>0</v>
      </c>
      <c r="M58" s="876">
        <f>+'FY24 KPIs'!M197</f>
        <v>0</v>
      </c>
      <c r="N58" s="876">
        <f>+'FY24 KPIs'!N197</f>
        <v>0</v>
      </c>
      <c r="O58" s="876">
        <f>+'FY24 KPIs'!O197</f>
        <v>0.17</v>
      </c>
    </row>
    <row r="59" spans="1:15" ht="15.75" thickBot="1" x14ac:dyDescent="0.3">
      <c r="A59" s="856"/>
      <c r="B59" s="874"/>
      <c r="C59" s="175" t="s">
        <v>109</v>
      </c>
      <c r="D59" s="519">
        <v>0</v>
      </c>
      <c r="E59" s="313">
        <v>0</v>
      </c>
      <c r="F59" s="314">
        <v>0</v>
      </c>
      <c r="G59" s="318">
        <v>0.13</v>
      </c>
      <c r="H59" s="415">
        <v>0</v>
      </c>
      <c r="I59" s="415">
        <v>0</v>
      </c>
      <c r="J59" s="415">
        <v>0</v>
      </c>
      <c r="K59" s="708">
        <v>0</v>
      </c>
      <c r="L59" s="415">
        <v>0</v>
      </c>
      <c r="M59" s="876">
        <f>+'FY24 KPIs'!M198</f>
        <v>0</v>
      </c>
      <c r="N59" s="876">
        <f>+'FY24 KPIs'!N198</f>
        <v>0</v>
      </c>
      <c r="O59" s="876">
        <f>+'FY24 KPIs'!O198</f>
        <v>0</v>
      </c>
    </row>
    <row r="60" spans="1:15" ht="15.75" thickBot="1" x14ac:dyDescent="0.3">
      <c r="A60" s="856"/>
      <c r="B60" s="874"/>
      <c r="C60" s="175" t="s">
        <v>182</v>
      </c>
      <c r="D60" s="520"/>
      <c r="E60" s="338"/>
      <c r="F60" s="193"/>
      <c r="G60" s="193"/>
      <c r="H60" s="416">
        <v>0</v>
      </c>
      <c r="I60" s="416">
        <v>0</v>
      </c>
      <c r="J60" s="416">
        <v>0</v>
      </c>
      <c r="K60" s="708">
        <v>0</v>
      </c>
      <c r="L60" s="415">
        <v>0</v>
      </c>
      <c r="M60" s="876">
        <f>+'FY24 KPIs'!M199</f>
        <v>0</v>
      </c>
      <c r="N60" s="876">
        <f>+'FY24 KPIs'!N199</f>
        <v>0</v>
      </c>
      <c r="O60" s="876">
        <f>+'FY24 KPIs'!O199</f>
        <v>0</v>
      </c>
    </row>
    <row r="61" spans="1:15" ht="15.75" thickBot="1" x14ac:dyDescent="0.3">
      <c r="A61" s="856"/>
      <c r="B61" s="874"/>
      <c r="C61" s="175" t="s">
        <v>183</v>
      </c>
      <c r="D61" s="520"/>
      <c r="E61" s="338"/>
      <c r="F61" s="193"/>
      <c r="G61" s="193"/>
      <c r="H61" s="416">
        <v>0</v>
      </c>
      <c r="I61" s="416">
        <v>0</v>
      </c>
      <c r="J61" s="416">
        <v>0</v>
      </c>
      <c r="K61" s="708">
        <v>0</v>
      </c>
      <c r="L61" s="415">
        <v>0</v>
      </c>
      <c r="M61" s="876">
        <f>+'FY24 KPIs'!M200</f>
        <v>0</v>
      </c>
      <c r="N61" s="876">
        <f>+'FY24 KPIs'!N200</f>
        <v>0</v>
      </c>
      <c r="O61" s="876">
        <f>+'FY24 KPIs'!O200</f>
        <v>0</v>
      </c>
    </row>
    <row r="62" spans="1:15" ht="15.75" thickBot="1" x14ac:dyDescent="0.3">
      <c r="A62" s="856"/>
      <c r="B62" s="874"/>
      <c r="C62" s="177" t="s">
        <v>190</v>
      </c>
      <c r="D62" s="520"/>
      <c r="E62" s="338"/>
      <c r="F62" s="193"/>
      <c r="G62" s="193"/>
      <c r="H62" s="416">
        <v>0</v>
      </c>
      <c r="I62" s="416">
        <v>0</v>
      </c>
      <c r="J62" s="416">
        <v>0</v>
      </c>
      <c r="K62" s="708">
        <v>0.32</v>
      </c>
      <c r="L62" s="415">
        <v>0</v>
      </c>
      <c r="M62" s="876">
        <f>+'FY24 KPIs'!M201</f>
        <v>0</v>
      </c>
      <c r="N62" s="876">
        <f>+'FY24 KPIs'!N201</f>
        <v>0</v>
      </c>
      <c r="O62" s="876">
        <f>+'FY24 KPIs'!O201</f>
        <v>0</v>
      </c>
    </row>
    <row r="63" spans="1:15" ht="15.75" thickBot="1" x14ac:dyDescent="0.3">
      <c r="A63" s="856"/>
      <c r="B63" s="875"/>
      <c r="C63" s="176" t="s">
        <v>184</v>
      </c>
      <c r="D63" s="521"/>
      <c r="E63" s="350"/>
      <c r="F63" s="195"/>
      <c r="G63" s="195"/>
      <c r="H63" s="417">
        <v>0</v>
      </c>
      <c r="I63" s="417">
        <v>0</v>
      </c>
      <c r="J63" s="417">
        <v>0</v>
      </c>
      <c r="K63" s="709">
        <v>0</v>
      </c>
      <c r="L63" s="735">
        <v>0</v>
      </c>
      <c r="M63" s="876">
        <f>+'FY24 KPIs'!M202</f>
        <v>0</v>
      </c>
      <c r="N63" s="876">
        <f>+'FY24 KPIs'!N202</f>
        <v>0</v>
      </c>
      <c r="O63" s="876">
        <f>+'FY24 KPIs'!O202</f>
        <v>0</v>
      </c>
    </row>
  </sheetData>
  <mergeCells count="6">
    <mergeCell ref="B2:B3"/>
    <mergeCell ref="A2:A63"/>
    <mergeCell ref="B4:B18"/>
    <mergeCell ref="B19:B33"/>
    <mergeCell ref="B34:B48"/>
    <mergeCell ref="B49:B6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5FA2-B9EA-492F-A6DD-B983BC963443}">
  <dimension ref="A1:O37"/>
  <sheetViews>
    <sheetView workbookViewId="0">
      <selection activeCell="N21" sqref="N21"/>
    </sheetView>
  </sheetViews>
  <sheetFormatPr defaultRowHeight="15" x14ac:dyDescent="0.25"/>
  <cols>
    <col min="1" max="1" width="77.7109375" bestFit="1" customWidth="1"/>
    <col min="2" max="3" width="9.5703125" bestFit="1" customWidth="1"/>
    <col min="4" max="4" width="12.7109375" bestFit="1" customWidth="1"/>
    <col min="5" max="6" width="12" bestFit="1" customWidth="1"/>
    <col min="7" max="7" width="11" bestFit="1" customWidth="1"/>
    <col min="8" max="10" width="12" bestFit="1" customWidth="1"/>
    <col min="11" max="11" width="11" bestFit="1" customWidth="1"/>
    <col min="13" max="13" width="12" bestFit="1" customWidth="1"/>
    <col min="14" max="14" width="11.5703125" bestFit="1" customWidth="1"/>
  </cols>
  <sheetData>
    <row r="1" spans="1:14" ht="15.75" thickBot="1" x14ac:dyDescent="0.3"/>
    <row r="2" spans="1:14" ht="15.75" thickBot="1" x14ac:dyDescent="0.3">
      <c r="A2" s="132" t="s">
        <v>122</v>
      </c>
    </row>
    <row r="3" spans="1:14" x14ac:dyDescent="0.25"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5" t="s">
        <v>10</v>
      </c>
      <c r="K3" s="4" t="s">
        <v>11</v>
      </c>
      <c r="L3" s="6" t="s">
        <v>12</v>
      </c>
      <c r="M3" s="5" t="s">
        <v>13</v>
      </c>
      <c r="N3" s="64" t="s">
        <v>14</v>
      </c>
    </row>
    <row r="4" spans="1:14" x14ac:dyDescent="0.25">
      <c r="A4" s="31" t="s">
        <v>57</v>
      </c>
      <c r="B4">
        <f>+'FY24 KPIs'!D35</f>
        <v>0</v>
      </c>
      <c r="C4">
        <f>+'FY24 KPIs'!E35</f>
        <v>0</v>
      </c>
      <c r="D4">
        <f>+'FY24 KPIs'!F35</f>
        <v>0</v>
      </c>
      <c r="E4">
        <f>+'FY24 KPIs'!G35</f>
        <v>6</v>
      </c>
      <c r="F4">
        <f>+'FY24 KPIs'!H35</f>
        <v>0</v>
      </c>
      <c r="G4">
        <f>+'FY24 KPIs'!I35</f>
        <v>0</v>
      </c>
      <c r="H4">
        <f>+'FY24 KPIs'!J35</f>
        <v>0</v>
      </c>
      <c r="I4">
        <v>0</v>
      </c>
      <c r="J4">
        <f>+'FY24 KPIs'!L35</f>
        <v>0</v>
      </c>
      <c r="K4">
        <f>+'FY24 KPIs'!M35</f>
        <v>0</v>
      </c>
      <c r="L4">
        <f>+'FY24 KPIs'!N35</f>
        <v>0</v>
      </c>
      <c r="M4">
        <f>+'FY24 KPIs'!O35</f>
        <v>0</v>
      </c>
      <c r="N4">
        <f>+'FY24 KPIs'!P35</f>
        <v>6</v>
      </c>
    </row>
    <row r="5" spans="1:14" x14ac:dyDescent="0.25">
      <c r="A5" s="33" t="s">
        <v>58</v>
      </c>
      <c r="B5" t="e">
        <f>+'FY24 KPIs'!#REF!</f>
        <v>#REF!</v>
      </c>
      <c r="C5" t="e">
        <f>+'FY24 KPIs'!#REF!</f>
        <v>#REF!</v>
      </c>
      <c r="D5">
        <v>15</v>
      </c>
      <c r="E5" t="e">
        <f>+'FY24 KPIs'!#REF!</f>
        <v>#REF!</v>
      </c>
      <c r="F5" t="e">
        <f>+'FY24 KPIs'!#REF!</f>
        <v>#REF!</v>
      </c>
      <c r="G5" t="e">
        <f>+'FY24 KPIs'!#REF!</f>
        <v>#REF!</v>
      </c>
      <c r="H5" t="e">
        <f>+'FY24 KPIs'!#REF!</f>
        <v>#REF!</v>
      </c>
      <c r="I5">
        <v>15</v>
      </c>
      <c r="J5" t="e">
        <f>+'FY24 KPIs'!#REF!</f>
        <v>#REF!</v>
      </c>
      <c r="K5" t="e">
        <f>+'FY24 KPIs'!#REF!</f>
        <v>#REF!</v>
      </c>
      <c r="L5" t="e">
        <f>+'FY24 KPIs'!#REF!</f>
        <v>#REF!</v>
      </c>
      <c r="M5" t="e">
        <f>+'FY24 KPIs'!#REF!</f>
        <v>#REF!</v>
      </c>
      <c r="N5" t="e">
        <f>SUM(B5:M5)</f>
        <v>#REF!</v>
      </c>
    </row>
    <row r="6" spans="1:14" x14ac:dyDescent="0.25">
      <c r="A6" s="32" t="s">
        <v>42</v>
      </c>
      <c r="B6" t="e">
        <f>+'FY24 KPIs'!#REF!</f>
        <v>#REF!</v>
      </c>
      <c r="C6" t="e">
        <f>+'FY24 KPIs'!#REF!</f>
        <v>#REF!</v>
      </c>
      <c r="D6" t="e">
        <f>+'FY24 KPIs'!#REF!</f>
        <v>#REF!</v>
      </c>
      <c r="E6" t="e">
        <f>+'FY24 KPIs'!#REF!</f>
        <v>#REF!</v>
      </c>
      <c r="F6" t="e">
        <f>+'FY24 KPIs'!#REF!</f>
        <v>#REF!</v>
      </c>
      <c r="G6" t="e">
        <f>+'FY24 KPIs'!#REF!</f>
        <v>#REF!</v>
      </c>
      <c r="H6" t="e">
        <f>+'FY24 KPIs'!#REF!</f>
        <v>#REF!</v>
      </c>
      <c r="I6" t="e">
        <f>+'FY24 KPIs'!#REF!</f>
        <v>#REF!</v>
      </c>
      <c r="J6" t="e">
        <f>+'FY24 KPIs'!#REF!</f>
        <v>#REF!</v>
      </c>
      <c r="K6" t="e">
        <f>+'FY24 KPIs'!#REF!</f>
        <v>#REF!</v>
      </c>
      <c r="L6" t="e">
        <f>+'FY24 KPIs'!#REF!</f>
        <v>#REF!</v>
      </c>
      <c r="M6" t="e">
        <f>+'FY24 KPIs'!#REF!</f>
        <v>#REF!</v>
      </c>
      <c r="N6" t="e">
        <f>+'FY24 KPIs'!#REF!</f>
        <v>#REF!</v>
      </c>
    </row>
    <row r="7" spans="1:14" x14ac:dyDescent="0.25">
      <c r="A7" s="32" t="s">
        <v>43</v>
      </c>
      <c r="B7" t="e">
        <f>+'FY24 KPIs'!#REF!</f>
        <v>#REF!</v>
      </c>
      <c r="C7" t="e">
        <f>+'FY24 KPIs'!#REF!</f>
        <v>#REF!</v>
      </c>
      <c r="D7" t="e">
        <f>+'FY24 KPIs'!#REF!</f>
        <v>#REF!</v>
      </c>
      <c r="E7" t="e">
        <f>+'FY24 KPIs'!#REF!</f>
        <v>#REF!</v>
      </c>
      <c r="F7" t="e">
        <f>+'FY24 KPIs'!#REF!</f>
        <v>#REF!</v>
      </c>
      <c r="G7" t="e">
        <f>+'FY24 KPIs'!#REF!</f>
        <v>#REF!</v>
      </c>
      <c r="H7" t="e">
        <f>+'FY24 KPIs'!#REF!</f>
        <v>#REF!</v>
      </c>
      <c r="I7" t="e">
        <f>+'FY24 KPIs'!#REF!</f>
        <v>#REF!</v>
      </c>
      <c r="J7" t="e">
        <f>+'FY24 KPIs'!#REF!</f>
        <v>#REF!</v>
      </c>
      <c r="K7" t="e">
        <f>+'FY24 KPIs'!#REF!</f>
        <v>#REF!</v>
      </c>
      <c r="L7" t="e">
        <f>+'FY24 KPIs'!#REF!</f>
        <v>#REF!</v>
      </c>
      <c r="M7" t="e">
        <f>+'FY24 KPIs'!#REF!</f>
        <v>#REF!</v>
      </c>
      <c r="N7" t="e">
        <f>+'FY24 KPIs'!#REF!</f>
        <v>#REF!</v>
      </c>
    </row>
    <row r="8" spans="1:14" x14ac:dyDescent="0.25">
      <c r="A8" s="32" t="s">
        <v>44</v>
      </c>
      <c r="B8" t="e">
        <f>+'FY24 KPIs'!#REF!</f>
        <v>#REF!</v>
      </c>
      <c r="C8" t="e">
        <f>+'FY24 KPIs'!#REF!</f>
        <v>#REF!</v>
      </c>
      <c r="D8" t="e">
        <f>+'FY24 KPIs'!#REF!</f>
        <v>#REF!</v>
      </c>
      <c r="E8" t="e">
        <f>+'FY24 KPIs'!#REF!</f>
        <v>#REF!</v>
      </c>
      <c r="F8" t="e">
        <f>+'FY24 KPIs'!#REF!</f>
        <v>#REF!</v>
      </c>
      <c r="G8" t="e">
        <f>+'FY24 KPIs'!#REF!</f>
        <v>#REF!</v>
      </c>
      <c r="H8" t="e">
        <f>+'FY24 KPIs'!#REF!</f>
        <v>#REF!</v>
      </c>
      <c r="I8" t="e">
        <f>+'FY24 KPIs'!#REF!</f>
        <v>#REF!</v>
      </c>
      <c r="J8" t="e">
        <f>+'FY24 KPIs'!#REF!</f>
        <v>#REF!</v>
      </c>
      <c r="K8" t="e">
        <f>+'FY24 KPIs'!#REF!</f>
        <v>#REF!</v>
      </c>
      <c r="L8" t="e">
        <f>+'FY24 KPIs'!#REF!</f>
        <v>#REF!</v>
      </c>
      <c r="M8" t="e">
        <f>+'FY24 KPIs'!#REF!</f>
        <v>#REF!</v>
      </c>
      <c r="N8" t="e">
        <f>+'FY24 KPIs'!#REF!</f>
        <v>#REF!</v>
      </c>
    </row>
    <row r="9" spans="1:14" x14ac:dyDescent="0.25">
      <c r="A9" s="32" t="s">
        <v>45</v>
      </c>
      <c r="B9" t="e">
        <f>+'FY24 KPIs'!#REF!</f>
        <v>#REF!</v>
      </c>
      <c r="C9" t="e">
        <f>+'FY24 KPIs'!#REF!</f>
        <v>#REF!</v>
      </c>
      <c r="D9" t="e">
        <f>+'FY24 KPIs'!#REF!</f>
        <v>#REF!</v>
      </c>
      <c r="E9" t="e">
        <f>+'FY24 KPIs'!#REF!</f>
        <v>#REF!</v>
      </c>
      <c r="F9" t="e">
        <f>+'FY24 KPIs'!#REF!</f>
        <v>#REF!</v>
      </c>
      <c r="G9" t="e">
        <f>+'FY24 KPIs'!#REF!</f>
        <v>#REF!</v>
      </c>
      <c r="H9" t="e">
        <f>+'FY24 KPIs'!#REF!</f>
        <v>#REF!</v>
      </c>
      <c r="I9" t="e">
        <f>+'FY24 KPIs'!#REF!</f>
        <v>#REF!</v>
      </c>
      <c r="J9" t="e">
        <f>+'FY24 KPIs'!#REF!</f>
        <v>#REF!</v>
      </c>
      <c r="K9" t="e">
        <f>+'FY24 KPIs'!#REF!</f>
        <v>#REF!</v>
      </c>
      <c r="L9" t="e">
        <f>+'FY24 KPIs'!#REF!</f>
        <v>#REF!</v>
      </c>
      <c r="M9" t="e">
        <f>+'FY24 KPIs'!#REF!</f>
        <v>#REF!</v>
      </c>
      <c r="N9" t="e">
        <f>+'FY24 KPIs'!#REF!</f>
        <v>#REF!</v>
      </c>
    </row>
    <row r="10" spans="1:14" x14ac:dyDescent="0.25">
      <c r="A10" s="32" t="s">
        <v>46</v>
      </c>
      <c r="B10" t="e">
        <f>+'FY24 KPIs'!#REF!</f>
        <v>#REF!</v>
      </c>
      <c r="C10" t="e">
        <f>+'FY24 KPIs'!#REF!</f>
        <v>#REF!</v>
      </c>
      <c r="D10" t="e">
        <f>+'FY24 KPIs'!#REF!</f>
        <v>#REF!</v>
      </c>
      <c r="E10" t="e">
        <f>+'FY24 KPIs'!#REF!</f>
        <v>#REF!</v>
      </c>
      <c r="F10" t="e">
        <f>+'FY24 KPIs'!#REF!</f>
        <v>#REF!</v>
      </c>
      <c r="G10" t="e">
        <f>+'FY24 KPIs'!#REF!</f>
        <v>#REF!</v>
      </c>
      <c r="H10" t="e">
        <f>+'FY24 KPIs'!#REF!</f>
        <v>#REF!</v>
      </c>
      <c r="I10" t="e">
        <f>+'FY24 KPIs'!#REF!</f>
        <v>#REF!</v>
      </c>
      <c r="J10" t="e">
        <f>+'FY24 KPIs'!#REF!</f>
        <v>#REF!</v>
      </c>
      <c r="K10" t="e">
        <f>+'FY24 KPIs'!#REF!</f>
        <v>#REF!</v>
      </c>
      <c r="L10" t="e">
        <f>+'FY24 KPIs'!#REF!</f>
        <v>#REF!</v>
      </c>
      <c r="M10" t="e">
        <f>+'FY24 KPIs'!#REF!</f>
        <v>#REF!</v>
      </c>
      <c r="N10" t="e">
        <f>+'FY24 KPIs'!#REF!</f>
        <v>#REF!</v>
      </c>
    </row>
    <row r="11" spans="1:14" x14ac:dyDescent="0.25">
      <c r="A11" s="32" t="s">
        <v>47</v>
      </c>
      <c r="B11" t="e">
        <f>+'FY24 KPIs'!#REF!</f>
        <v>#REF!</v>
      </c>
      <c r="C11" t="e">
        <f>+'FY24 KPIs'!#REF!</f>
        <v>#REF!</v>
      </c>
      <c r="D11" t="e">
        <f>+'FY24 KPIs'!#REF!</f>
        <v>#REF!</v>
      </c>
      <c r="E11" t="e">
        <f>+'FY24 KPIs'!#REF!</f>
        <v>#REF!</v>
      </c>
      <c r="F11" t="e">
        <f>+'FY24 KPIs'!#REF!</f>
        <v>#REF!</v>
      </c>
      <c r="G11" t="e">
        <f>+'FY24 KPIs'!#REF!</f>
        <v>#REF!</v>
      </c>
      <c r="H11" t="e">
        <f>+'FY24 KPIs'!#REF!</f>
        <v>#REF!</v>
      </c>
      <c r="I11" t="e">
        <f>+'FY24 KPIs'!#REF!</f>
        <v>#REF!</v>
      </c>
      <c r="J11" t="e">
        <f>+'FY24 KPIs'!#REF!</f>
        <v>#REF!</v>
      </c>
      <c r="K11" t="e">
        <f>+'FY24 KPIs'!#REF!</f>
        <v>#REF!</v>
      </c>
      <c r="L11" t="e">
        <f>+'FY24 KPIs'!#REF!</f>
        <v>#REF!</v>
      </c>
      <c r="M11" t="e">
        <f>+'FY24 KPIs'!#REF!</f>
        <v>#REF!</v>
      </c>
      <c r="N11" t="e">
        <f>+'FY24 KPIs'!#REF!</f>
        <v>#REF!</v>
      </c>
    </row>
    <row r="12" spans="1:14" x14ac:dyDescent="0.25">
      <c r="A12" s="32" t="s">
        <v>48</v>
      </c>
      <c r="B12" t="e">
        <f>+'FY24 KPIs'!#REF!</f>
        <v>#REF!</v>
      </c>
      <c r="C12" t="e">
        <f>+'FY24 KPIs'!#REF!</f>
        <v>#REF!</v>
      </c>
      <c r="D12" t="e">
        <f>+'FY24 KPIs'!#REF!</f>
        <v>#REF!</v>
      </c>
      <c r="E12" t="e">
        <f>+'FY24 KPIs'!#REF!</f>
        <v>#REF!</v>
      </c>
      <c r="F12" t="e">
        <f>+'FY24 KPIs'!#REF!</f>
        <v>#REF!</v>
      </c>
      <c r="G12" t="e">
        <f>+'FY24 KPIs'!#REF!</f>
        <v>#REF!</v>
      </c>
      <c r="H12" t="e">
        <f>+'FY24 KPIs'!#REF!</f>
        <v>#REF!</v>
      </c>
      <c r="I12" t="e">
        <f>+'FY24 KPIs'!#REF!</f>
        <v>#REF!</v>
      </c>
      <c r="J12" t="e">
        <f>+'FY24 KPIs'!#REF!</f>
        <v>#REF!</v>
      </c>
      <c r="K12" t="e">
        <f>+'FY24 KPIs'!#REF!</f>
        <v>#REF!</v>
      </c>
      <c r="L12" t="e">
        <f>+'FY24 KPIs'!#REF!</f>
        <v>#REF!</v>
      </c>
      <c r="M12" t="e">
        <f>+'FY24 KPIs'!#REF!</f>
        <v>#REF!</v>
      </c>
      <c r="N12" t="e">
        <f>+'FY24 KPIs'!#REF!</f>
        <v>#REF!</v>
      </c>
    </row>
    <row r="13" spans="1:14" ht="15.75" thickBot="1" x14ac:dyDescent="0.3"/>
    <row r="14" spans="1:14" ht="15.75" thickBot="1" x14ac:dyDescent="0.3">
      <c r="A14" s="134" t="s">
        <v>123</v>
      </c>
      <c r="B14" s="2" t="s">
        <v>2</v>
      </c>
      <c r="C14" s="3" t="s">
        <v>3</v>
      </c>
      <c r="D14" s="3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5" t="s">
        <v>10</v>
      </c>
      <c r="K14" s="4" t="s">
        <v>11</v>
      </c>
      <c r="L14" s="6" t="s">
        <v>12</v>
      </c>
      <c r="M14" s="5" t="s">
        <v>13</v>
      </c>
      <c r="N14" s="64" t="s">
        <v>14</v>
      </c>
    </row>
    <row r="15" spans="1:14" x14ac:dyDescent="0.25">
      <c r="A15" s="133" t="s">
        <v>30</v>
      </c>
      <c r="B15" s="17">
        <f>+'FY24 KPIs'!D20</f>
        <v>0</v>
      </c>
      <c r="C15" s="17">
        <f>+'FY24 KPIs'!E20</f>
        <v>0</v>
      </c>
      <c r="D15" s="17">
        <f>+'FY24 KPIs'!F20</f>
        <v>0</v>
      </c>
      <c r="E15" s="17">
        <f>+'FY24 KPIs'!G20</f>
        <v>0</v>
      </c>
      <c r="F15" s="17">
        <f>+'FY24 KPIs'!H20</f>
        <v>0</v>
      </c>
      <c r="G15" s="17">
        <f>+'FY24 KPIs'!I20</f>
        <v>0</v>
      </c>
      <c r="H15" s="17">
        <f>+'FY24 KPIs'!J20</f>
        <v>0</v>
      </c>
      <c r="I15" s="17">
        <f>+'FY24 KPIs'!K20</f>
        <v>0</v>
      </c>
      <c r="J15" s="17">
        <f>+'FY24 KPIs'!L20</f>
        <v>0</v>
      </c>
      <c r="K15" s="17">
        <f>+'FY24 KPIs'!M20</f>
        <v>0</v>
      </c>
      <c r="L15" s="17">
        <f>+'FY24 KPIs'!N20</f>
        <v>0</v>
      </c>
      <c r="M15" s="17">
        <f>+'FY24 KPIs'!O20</f>
        <v>0</v>
      </c>
      <c r="N15" s="17">
        <f>+'FY24 KPIs'!P20</f>
        <v>0</v>
      </c>
    </row>
    <row r="16" spans="1:14" ht="15.75" thickBot="1" x14ac:dyDescent="0.3">
      <c r="A16" s="127"/>
      <c r="B16" s="128"/>
      <c r="C16" s="128"/>
      <c r="D16" s="128"/>
      <c r="E16" s="129"/>
      <c r="F16" s="129"/>
      <c r="G16" s="129"/>
      <c r="H16" s="129"/>
      <c r="I16" s="129"/>
      <c r="J16" s="122"/>
      <c r="K16" s="130"/>
      <c r="L16" s="130"/>
      <c r="M16" s="122"/>
    </row>
    <row r="17" spans="1:15" ht="15.75" thickBot="1" x14ac:dyDescent="0.3">
      <c r="A17" s="132" t="s">
        <v>125</v>
      </c>
      <c r="B17" s="2" t="s">
        <v>2</v>
      </c>
      <c r="C17" s="3" t="s">
        <v>3</v>
      </c>
      <c r="D17" s="3" t="s">
        <v>4</v>
      </c>
      <c r="E17" s="4" t="s">
        <v>5</v>
      </c>
      <c r="F17" s="4" t="s">
        <v>6</v>
      </c>
      <c r="G17" s="4" t="s">
        <v>7</v>
      </c>
      <c r="H17" s="4" t="s">
        <v>8</v>
      </c>
      <c r="I17" s="4" t="s">
        <v>9</v>
      </c>
      <c r="J17" s="5" t="s">
        <v>10</v>
      </c>
      <c r="K17" s="4" t="s">
        <v>11</v>
      </c>
      <c r="L17" s="6" t="s">
        <v>12</v>
      </c>
      <c r="M17" s="5" t="s">
        <v>13</v>
      </c>
      <c r="N17" s="64" t="s">
        <v>14</v>
      </c>
    </row>
    <row r="18" spans="1:15" x14ac:dyDescent="0.25">
      <c r="A18" t="str">
        <f>+'FY24 KPIs'!C64</f>
        <v># Families Newly Enrolled in Whole Family Program (month)</v>
      </c>
      <c r="B18" s="14">
        <f>+'FY24 KPIs'!D64</f>
        <v>20</v>
      </c>
      <c r="C18" s="14">
        <f>+'FY24 KPIs'!E64</f>
        <v>17</v>
      </c>
      <c r="D18" s="14">
        <f>+'FY24 KPIs'!F64</f>
        <v>8</v>
      </c>
      <c r="E18" s="14">
        <f>+'FY24 KPIs'!G64</f>
        <v>14</v>
      </c>
      <c r="F18" s="14">
        <f>+'FY24 KPIs'!H64</f>
        <v>10</v>
      </c>
      <c r="G18" s="14">
        <f>+'FY24 KPIs'!I64</f>
        <v>22</v>
      </c>
      <c r="H18" s="14">
        <f>+'FY24 KPIs'!J64</f>
        <v>14</v>
      </c>
      <c r="I18" s="14">
        <f>+'FY24 KPIs'!K64</f>
        <v>21</v>
      </c>
      <c r="J18" s="14">
        <f>+'FY24 KPIs'!L64</f>
        <v>5</v>
      </c>
      <c r="K18" s="14">
        <f>+'FY24 KPIs'!M64</f>
        <v>7</v>
      </c>
      <c r="L18" s="14">
        <f>+'FY24 KPIs'!N64</f>
        <v>19</v>
      </c>
      <c r="M18" s="14">
        <f>+'FY24 KPIs'!O64</f>
        <v>13</v>
      </c>
      <c r="N18" s="14">
        <f>SUM(B18:M18)</f>
        <v>170</v>
      </c>
    </row>
    <row r="19" spans="1:15" x14ac:dyDescent="0.25">
      <c r="A19" t="str">
        <f>+'FY24 KPIs'!C68</f>
        <v># Adult Caregivers Newly Enrolled (month)</v>
      </c>
      <c r="B19" s="14">
        <f>+'FY24 KPIs'!D68</f>
        <v>12</v>
      </c>
      <c r="C19" s="14">
        <f>+'FY24 KPIs'!E68</f>
        <v>7</v>
      </c>
      <c r="D19" s="14">
        <f>+'FY24 KPIs'!F68</f>
        <v>11</v>
      </c>
      <c r="E19" s="14">
        <f>+'FY24 KPIs'!G68</f>
        <v>11</v>
      </c>
      <c r="F19" s="14">
        <f>+'FY24 KPIs'!H68</f>
        <v>15</v>
      </c>
      <c r="G19" s="14">
        <f>+'FY24 KPIs'!I68</f>
        <v>30</v>
      </c>
      <c r="H19" s="14">
        <f>+'FY24 KPIs'!J68</f>
        <v>16</v>
      </c>
      <c r="I19" s="14">
        <f>+'FY24 KPIs'!K68</f>
        <v>33</v>
      </c>
      <c r="J19" s="14">
        <f>+'FY24 KPIs'!L68</f>
        <v>6</v>
      </c>
      <c r="K19" s="14">
        <f>+'FY24 KPIs'!M68</f>
        <v>12</v>
      </c>
      <c r="L19" s="14">
        <f>+'FY24 KPIs'!N68</f>
        <v>24</v>
      </c>
      <c r="M19" s="14">
        <f>+'FY24 KPIs'!O68</f>
        <v>23</v>
      </c>
      <c r="N19" s="14">
        <f>SUM(B19:M19)</f>
        <v>200</v>
      </c>
    </row>
    <row r="20" spans="1:15" x14ac:dyDescent="0.25">
      <c r="A20" t="str">
        <f>+'FY24 KPIs'!C69</f>
        <v># Minor Dependent Children Newly Enrolled (month)</v>
      </c>
      <c r="B20" s="14">
        <f>+'FY24 KPIs'!D69</f>
        <v>14</v>
      </c>
      <c r="C20" s="14">
        <f>+'FY24 KPIs'!E69</f>
        <v>9</v>
      </c>
      <c r="D20" s="14">
        <f>+'FY24 KPIs'!F69</f>
        <v>21</v>
      </c>
      <c r="E20" s="14">
        <f>+'FY24 KPIs'!G69</f>
        <v>19</v>
      </c>
      <c r="F20" s="14">
        <f>+'FY24 KPIs'!H69</f>
        <v>6</v>
      </c>
      <c r="G20" s="14">
        <f>+'FY24 KPIs'!I69</f>
        <v>25</v>
      </c>
      <c r="H20" s="14">
        <f>+'FY24 KPIs'!J69</f>
        <v>8</v>
      </c>
      <c r="I20" s="14">
        <f>+'FY24 KPIs'!K69</f>
        <v>17</v>
      </c>
      <c r="J20" s="14">
        <f>+'FY24 KPIs'!L69</f>
        <v>8</v>
      </c>
      <c r="K20" s="14">
        <f>+'FY24 KPIs'!M69</f>
        <v>13</v>
      </c>
      <c r="L20" s="14">
        <f>+'FY24 KPIs'!N69</f>
        <v>19</v>
      </c>
      <c r="M20" s="14">
        <f>+'FY24 KPIs'!O69</f>
        <v>17</v>
      </c>
      <c r="N20" s="14">
        <f>SUM(B20:M20)</f>
        <v>176</v>
      </c>
    </row>
    <row r="21" spans="1:15" x14ac:dyDescent="0.25">
      <c r="A21" s="131" t="s">
        <v>126</v>
      </c>
      <c r="B21" s="14">
        <f t="shared" ref="B21:M21" si="0">SUM(B19:B20)</f>
        <v>26</v>
      </c>
      <c r="C21" s="14">
        <f t="shared" si="0"/>
        <v>16</v>
      </c>
      <c r="D21" s="14">
        <f t="shared" si="0"/>
        <v>32</v>
      </c>
      <c r="E21" s="14">
        <f t="shared" si="0"/>
        <v>30</v>
      </c>
      <c r="F21" s="14">
        <f t="shared" si="0"/>
        <v>21</v>
      </c>
      <c r="G21" s="14">
        <f t="shared" si="0"/>
        <v>55</v>
      </c>
      <c r="H21" s="14">
        <f t="shared" si="0"/>
        <v>24</v>
      </c>
      <c r="I21" s="14">
        <f t="shared" si="0"/>
        <v>50</v>
      </c>
      <c r="J21" s="14">
        <f t="shared" si="0"/>
        <v>14</v>
      </c>
      <c r="K21" s="14">
        <f t="shared" si="0"/>
        <v>25</v>
      </c>
      <c r="L21" s="14">
        <f t="shared" si="0"/>
        <v>43</v>
      </c>
      <c r="M21" s="14">
        <f t="shared" si="0"/>
        <v>40</v>
      </c>
      <c r="N21" s="14">
        <f>SUM(B21:M21)</f>
        <v>376</v>
      </c>
    </row>
    <row r="22" spans="1:15" ht="15.75" thickBot="1" x14ac:dyDescent="0.3"/>
    <row r="23" spans="1:15" ht="15.75" thickBot="1" x14ac:dyDescent="0.3">
      <c r="A23" s="132"/>
    </row>
    <row r="24" spans="1:15" ht="15.75" thickBot="1" x14ac:dyDescent="0.3">
      <c r="B24" s="2" t="s">
        <v>2</v>
      </c>
      <c r="C24" s="3" t="s">
        <v>3</v>
      </c>
      <c r="D24" s="3" t="s">
        <v>4</v>
      </c>
      <c r="E24" s="375" t="s">
        <v>5</v>
      </c>
      <c r="F24" s="375" t="s">
        <v>6</v>
      </c>
      <c r="G24" s="375" t="s">
        <v>7</v>
      </c>
      <c r="H24" s="375" t="s">
        <v>8</v>
      </c>
      <c r="I24" s="375" t="s">
        <v>9</v>
      </c>
      <c r="J24" s="5" t="s">
        <v>10</v>
      </c>
      <c r="K24" s="375" t="s">
        <v>11</v>
      </c>
      <c r="L24" s="6" t="s">
        <v>12</v>
      </c>
      <c r="M24" s="5" t="s">
        <v>13</v>
      </c>
      <c r="N24" s="164">
        <f t="shared" ref="N24" si="1">SUM(B24:M24)</f>
        <v>0</v>
      </c>
      <c r="O24" s="165">
        <f>SUM(N24/600)</f>
        <v>0</v>
      </c>
    </row>
    <row r="25" spans="1:15" ht="15.75" thickBot="1" x14ac:dyDescent="0.3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167"/>
      <c r="O25" s="168"/>
    </row>
    <row r="26" spans="1:15" ht="15.75" thickBot="1" x14ac:dyDescent="0.3">
      <c r="A26" s="52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167"/>
      <c r="O26" s="169"/>
    </row>
    <row r="27" spans="1:15" ht="15.75" thickBot="1" x14ac:dyDescent="0.3">
      <c r="A27" s="52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167"/>
      <c r="O27" s="169"/>
    </row>
    <row r="28" spans="1:15" ht="15.75" thickBot="1" x14ac:dyDescent="0.3">
      <c r="A28" s="52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167"/>
      <c r="O28" s="169"/>
    </row>
    <row r="29" spans="1:15" ht="15.75" thickBot="1" x14ac:dyDescent="0.3">
      <c r="A29" s="52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167"/>
      <c r="O29" s="169"/>
    </row>
    <row r="30" spans="1:15" ht="15.75" thickBot="1" x14ac:dyDescent="0.3">
      <c r="A30" s="52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167"/>
      <c r="O30" s="169"/>
    </row>
    <row r="31" spans="1:15" ht="15.75" thickBot="1" x14ac:dyDescent="0.3">
      <c r="A31" s="52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387"/>
      <c r="O31" s="169"/>
    </row>
    <row r="32" spans="1:15" ht="15.75" thickBot="1" x14ac:dyDescent="0.3">
      <c r="A32" s="52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167"/>
      <c r="O32" s="169"/>
    </row>
    <row r="33" spans="1:15" ht="15.75" thickBot="1" x14ac:dyDescent="0.3">
      <c r="A33" s="52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167"/>
      <c r="O33" s="168"/>
    </row>
    <row r="34" spans="1:15" ht="15.75" thickBot="1" x14ac:dyDescent="0.3">
      <c r="A34" s="52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167"/>
      <c r="O34" s="166"/>
    </row>
    <row r="35" spans="1:15" ht="15.75" thickBot="1" x14ac:dyDescent="0.3">
      <c r="A35" s="52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167"/>
    </row>
    <row r="36" spans="1:15" ht="15.75" thickBot="1" x14ac:dyDescent="0.3">
      <c r="A36" s="359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167"/>
    </row>
    <row r="37" spans="1:15" ht="15.75" thickBot="1" x14ac:dyDescent="0.3">
      <c r="A37" s="362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16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110A-FB3A-41EF-B0DA-9CE4A58A1E02}">
  <dimension ref="A1:M26"/>
  <sheetViews>
    <sheetView tabSelected="1" topLeftCell="A39" workbookViewId="0">
      <selection activeCell="A33" sqref="A33"/>
    </sheetView>
  </sheetViews>
  <sheetFormatPr defaultRowHeight="15" x14ac:dyDescent="0.25"/>
  <cols>
    <col min="1" max="1" width="38.5703125" bestFit="1" customWidth="1"/>
  </cols>
  <sheetData>
    <row r="1" spans="1:13" x14ac:dyDescent="0.25">
      <c r="A1" t="s">
        <v>226</v>
      </c>
    </row>
    <row r="4" spans="1:13" x14ac:dyDescent="0.25">
      <c r="B4" s="719" t="s">
        <v>227</v>
      </c>
      <c r="C4" s="719" t="s">
        <v>3</v>
      </c>
      <c r="D4" s="719" t="s">
        <v>4</v>
      </c>
      <c r="E4" s="719" t="s">
        <v>5</v>
      </c>
      <c r="F4" s="719" t="s">
        <v>6</v>
      </c>
      <c r="G4" s="719" t="s">
        <v>7</v>
      </c>
      <c r="H4" s="719" t="s">
        <v>8</v>
      </c>
      <c r="I4" s="719" t="s">
        <v>9</v>
      </c>
      <c r="J4" s="719" t="s">
        <v>10</v>
      </c>
      <c r="K4" s="719" t="s">
        <v>144</v>
      </c>
      <c r="L4" s="719" t="s">
        <v>12</v>
      </c>
      <c r="M4" s="719" t="s">
        <v>13</v>
      </c>
    </row>
    <row r="5" spans="1:13" x14ac:dyDescent="0.25">
      <c r="A5" s="713" t="s">
        <v>233</v>
      </c>
      <c r="B5">
        <f>+'Children''s '!$B$5</f>
        <v>34</v>
      </c>
      <c r="C5">
        <f>+'Children''s '!$C$5</f>
        <v>36</v>
      </c>
      <c r="D5" s="393">
        <f>+'Children''s '!$D$5</f>
        <v>36</v>
      </c>
      <c r="E5" s="393">
        <f>+'Children''s '!$E$5</f>
        <v>39</v>
      </c>
      <c r="F5" s="393">
        <f>+'Children''s '!$F$5</f>
        <v>38</v>
      </c>
      <c r="G5" s="393">
        <f>+'Children''s '!$G$5</f>
        <v>26</v>
      </c>
      <c r="H5" s="393">
        <f>+'Children''s '!$H$5</f>
        <v>30</v>
      </c>
      <c r="I5" s="393">
        <f>+'Children''s '!$I$5</f>
        <v>39</v>
      </c>
      <c r="J5" s="393">
        <f>+'Children''s '!$J$5</f>
        <v>11</v>
      </c>
      <c r="K5" s="393">
        <f>+'Children''s '!$K$5</f>
        <v>5</v>
      </c>
      <c r="L5" s="393">
        <f>+'Children''s '!$L$5</f>
        <v>24</v>
      </c>
      <c r="M5" s="393">
        <f>+'Children''s '!$M$5</f>
        <v>30</v>
      </c>
    </row>
    <row r="6" spans="1:13" x14ac:dyDescent="0.25">
      <c r="A6" s="713" t="s">
        <v>234</v>
      </c>
      <c r="B6">
        <f>+'FY24 KPIs'!D10</f>
        <v>32</v>
      </c>
      <c r="C6">
        <f>+'Children''s '!$C$6</f>
        <v>42</v>
      </c>
      <c r="D6">
        <f>+'Children''s '!$D$6</f>
        <v>42</v>
      </c>
      <c r="E6">
        <f>+'Children''s '!$E$6</f>
        <v>43</v>
      </c>
      <c r="F6">
        <f>+'Children''s '!$F$6</f>
        <v>43</v>
      </c>
      <c r="G6">
        <f>+'Children''s '!$G$6</f>
        <v>36</v>
      </c>
      <c r="H6">
        <f>+'Children''s '!$H$6</f>
        <v>35</v>
      </c>
      <c r="I6">
        <f>+'Children''s '!$I$6</f>
        <v>26</v>
      </c>
      <c r="J6">
        <f>+'Children''s '!$J$6</f>
        <v>13</v>
      </c>
      <c r="K6">
        <f>+'Children''s '!$K$6</f>
        <v>14</v>
      </c>
      <c r="L6">
        <f>+'Children''s '!$L$6</f>
        <v>43</v>
      </c>
      <c r="M6">
        <f>+'Children''s '!$M$6</f>
        <v>36</v>
      </c>
    </row>
    <row r="8" spans="1:13" x14ac:dyDescent="0.25">
      <c r="A8" s="713" t="s">
        <v>235</v>
      </c>
      <c r="B8">
        <f>+'Children''s '!B10</f>
        <v>49</v>
      </c>
      <c r="C8">
        <f>+'Children''s '!C10</f>
        <v>51</v>
      </c>
      <c r="D8">
        <f>+'Children''s '!D10</f>
        <v>53</v>
      </c>
      <c r="E8">
        <f>+'Children''s '!E10</f>
        <v>52</v>
      </c>
      <c r="F8">
        <f>+'Children''s '!F10</f>
        <v>51</v>
      </c>
      <c r="G8">
        <f>+'Children''s '!G10</f>
        <v>31</v>
      </c>
      <c r="H8">
        <f>+'Children''s '!H10</f>
        <v>38</v>
      </c>
      <c r="I8">
        <f>+'Children''s '!I10</f>
        <v>41</v>
      </c>
      <c r="J8">
        <f>+'Children''s '!J10</f>
        <v>37</v>
      </c>
      <c r="K8">
        <f>+'Children''s '!K10</f>
        <v>39</v>
      </c>
      <c r="L8">
        <f>+'Children''s '!L10</f>
        <v>52</v>
      </c>
      <c r="M8">
        <f>+'Children''s '!M10</f>
        <v>41</v>
      </c>
    </row>
    <row r="9" spans="1:13" x14ac:dyDescent="0.25">
      <c r="A9" s="713" t="s">
        <v>236</v>
      </c>
      <c r="B9">
        <f>+'Children''s '!B11</f>
        <v>32</v>
      </c>
      <c r="C9">
        <f>+'Children''s '!C11</f>
        <v>37</v>
      </c>
      <c r="D9">
        <f>+'Children''s '!D11</f>
        <v>36</v>
      </c>
      <c r="E9">
        <f>+'Children''s '!E11</f>
        <v>35</v>
      </c>
      <c r="F9">
        <f>+'Children''s '!F11</f>
        <v>32</v>
      </c>
      <c r="G9">
        <f>+'Children''s '!G11</f>
        <v>31</v>
      </c>
      <c r="H9">
        <f>+'Children''s '!H11</f>
        <v>32</v>
      </c>
      <c r="I9">
        <f>+'Children''s '!I11</f>
        <v>32</v>
      </c>
      <c r="J9">
        <f>+'Children''s '!J11</f>
        <v>32</v>
      </c>
      <c r="K9">
        <f>+'Children''s '!K11</f>
        <v>32</v>
      </c>
      <c r="L9">
        <f>+'Children''s '!L11</f>
        <v>51</v>
      </c>
      <c r="M9">
        <f>+'Children''s '!M11</f>
        <v>52</v>
      </c>
    </row>
    <row r="11" spans="1:13" x14ac:dyDescent="0.25">
      <c r="A11" s="451" t="s">
        <v>201</v>
      </c>
      <c r="B11">
        <f>+'FY24 KPIs'!D28</f>
        <v>0</v>
      </c>
      <c r="C11">
        <f>+'FY24 KPIs'!E28</f>
        <v>0</v>
      </c>
      <c r="D11">
        <f>+'FY24 KPIs'!F28</f>
        <v>0</v>
      </c>
      <c r="E11">
        <f>+'FY24 KPIs'!G28</f>
        <v>0</v>
      </c>
      <c r="F11">
        <f>+'FY24 KPIs'!H28</f>
        <v>0</v>
      </c>
      <c r="G11">
        <f>+'FY24 KPIs'!I28</f>
        <v>0</v>
      </c>
      <c r="H11">
        <f>+'FY24 KPIs'!J28</f>
        <v>0</v>
      </c>
      <c r="I11">
        <f>+'FY24 KPIs'!K28</f>
        <v>85</v>
      </c>
      <c r="J11">
        <f>+'FY24 KPIs'!L28</f>
        <v>136</v>
      </c>
      <c r="K11">
        <f>+'FY24 KPIs'!M28</f>
        <v>149</v>
      </c>
      <c r="L11">
        <f>+'FY24 KPIs'!N28</f>
        <v>170</v>
      </c>
      <c r="M11">
        <f>+'FY24 KPIs'!O28</f>
        <v>186</v>
      </c>
    </row>
    <row r="12" spans="1:13" x14ac:dyDescent="0.25">
      <c r="A12" s="451" t="s">
        <v>202</v>
      </c>
      <c r="B12">
        <f>+'FY24 KPIs'!D31</f>
        <v>0</v>
      </c>
      <c r="C12">
        <f>+'FY24 KPIs'!E31</f>
        <v>0</v>
      </c>
      <c r="D12">
        <f>+'FY24 KPIs'!F31</f>
        <v>0</v>
      </c>
      <c r="E12">
        <f>+'FY24 KPIs'!G31</f>
        <v>0</v>
      </c>
      <c r="F12">
        <f>+'FY24 KPIs'!H31</f>
        <v>0</v>
      </c>
      <c r="G12">
        <f>+'FY24 KPIs'!I31</f>
        <v>0</v>
      </c>
      <c r="H12">
        <f>+'FY24 KPIs'!J31</f>
        <v>0</v>
      </c>
      <c r="I12">
        <f>+'FY24 KPIs'!K31</f>
        <v>80</v>
      </c>
      <c r="J12">
        <f>+'FY24 KPIs'!L31</f>
        <v>44</v>
      </c>
      <c r="K12">
        <f>+'FY24 KPIs'!M31</f>
        <v>55</v>
      </c>
      <c r="L12">
        <f>+'FY24 KPIs'!N31</f>
        <v>68</v>
      </c>
      <c r="M12">
        <f>+'FY24 KPIs'!O31</f>
        <v>79</v>
      </c>
    </row>
    <row r="13" spans="1:13" x14ac:dyDescent="0.25">
      <c r="A13" s="451" t="s">
        <v>203</v>
      </c>
      <c r="B13">
        <f>+'FY24 KPIs'!D33</f>
        <v>0</v>
      </c>
      <c r="C13">
        <f>+'FY24 KPIs'!E33</f>
        <v>0</v>
      </c>
      <c r="D13">
        <f>+'FY24 KPIs'!F33</f>
        <v>0</v>
      </c>
      <c r="E13">
        <f>+'FY24 KPIs'!G33</f>
        <v>0</v>
      </c>
      <c r="F13">
        <f>+'FY24 KPIs'!H33</f>
        <v>0</v>
      </c>
      <c r="G13">
        <f>+'FY24 KPIs'!I33</f>
        <v>0</v>
      </c>
      <c r="H13">
        <f>+'FY24 KPIs'!J33</f>
        <v>0</v>
      </c>
      <c r="I13">
        <f>+'FY24 KPIs'!K33</f>
        <v>448</v>
      </c>
      <c r="J13">
        <f>+'FY24 KPIs'!L33</f>
        <v>490</v>
      </c>
      <c r="K13">
        <f>+'FY24 KPIs'!M33</f>
        <v>497</v>
      </c>
      <c r="L13">
        <f>+'FY24 KPIs'!N33</f>
        <v>523</v>
      </c>
      <c r="M13">
        <f>+'FY24 KPIs'!O33</f>
        <v>554</v>
      </c>
    </row>
    <row r="14" spans="1:13" x14ac:dyDescent="0.25">
      <c r="A14" s="714"/>
    </row>
    <row r="15" spans="1:13" ht="15.75" thickBot="1" x14ac:dyDescent="0.3">
      <c r="A15" s="715" t="s">
        <v>212</v>
      </c>
      <c r="B15">
        <f>+'FY24 KPIs'!D48</f>
        <v>0</v>
      </c>
      <c r="C15">
        <f>+'FY24 KPIs'!E48</f>
        <v>0</v>
      </c>
      <c r="D15">
        <f>+'FY24 KPIs'!F48</f>
        <v>0</v>
      </c>
      <c r="E15">
        <f>+'FY24 KPIs'!G48</f>
        <v>0</v>
      </c>
      <c r="F15">
        <f>+'FY24 KPIs'!H48</f>
        <v>0</v>
      </c>
      <c r="G15">
        <f>+'FY24 KPIs'!I48</f>
        <v>0</v>
      </c>
      <c r="H15">
        <f>+'FY24 KPIs'!J48</f>
        <v>0</v>
      </c>
      <c r="I15">
        <f>+'FY24 KPIs'!K48</f>
        <v>665</v>
      </c>
      <c r="J15">
        <f>+'FY24 KPIs'!L48</f>
        <v>706</v>
      </c>
      <c r="K15">
        <f>+'FY24 KPIs'!M48</f>
        <v>0</v>
      </c>
      <c r="L15">
        <f>+'FY24 KPIs'!N48</f>
        <v>0</v>
      </c>
      <c r="M15">
        <f>+'FY24 KPIs'!O48</f>
        <v>0</v>
      </c>
    </row>
    <row r="16" spans="1:13" x14ac:dyDescent="0.25">
      <c r="A16" s="714"/>
    </row>
    <row r="17" spans="1:13" x14ac:dyDescent="0.25">
      <c r="A17" s="716" t="s">
        <v>239</v>
      </c>
      <c r="B17">
        <f>+'FY24 KPIs'!D52</f>
        <v>0</v>
      </c>
      <c r="C17">
        <f>+'FY24 KPIs'!E52</f>
        <v>0</v>
      </c>
      <c r="D17">
        <f>+'FY24 KPIs'!F52</f>
        <v>0</v>
      </c>
      <c r="E17">
        <f>+'FY24 KPIs'!G52</f>
        <v>0</v>
      </c>
      <c r="F17">
        <f>+'FY24 KPIs'!H52</f>
        <v>0</v>
      </c>
      <c r="G17">
        <f>+'FY24 KPIs'!I52</f>
        <v>0</v>
      </c>
      <c r="H17">
        <f>+'FY24 KPIs'!J52</f>
        <v>0</v>
      </c>
      <c r="I17">
        <f>+'FY24 KPIs'!K52</f>
        <v>12</v>
      </c>
      <c r="J17">
        <f>+'FY24 KPIs'!L52</f>
        <v>9</v>
      </c>
      <c r="K17">
        <f>+'FY24 KPIs'!M52</f>
        <v>2</v>
      </c>
      <c r="L17">
        <f>+'FY24 KPIs'!N52</f>
        <v>8</v>
      </c>
      <c r="M17">
        <f>+'FY24 KPIs'!O52</f>
        <v>2</v>
      </c>
    </row>
    <row r="18" spans="1:13" x14ac:dyDescent="0.25">
      <c r="A18" s="716" t="s">
        <v>238</v>
      </c>
      <c r="B18">
        <f>+'FY24 KPIs'!D53</f>
        <v>0</v>
      </c>
      <c r="C18">
        <f>+'FY24 KPIs'!E53</f>
        <v>0</v>
      </c>
      <c r="D18">
        <f>+'FY24 KPIs'!F53</f>
        <v>0</v>
      </c>
      <c r="E18">
        <f>+'FY24 KPIs'!G53</f>
        <v>0</v>
      </c>
      <c r="F18">
        <f>+'FY24 KPIs'!H53</f>
        <v>0</v>
      </c>
      <c r="G18">
        <f>+'FY24 KPIs'!I53</f>
        <v>0</v>
      </c>
      <c r="H18">
        <f>+'FY24 KPIs'!J53</f>
        <v>0</v>
      </c>
      <c r="I18">
        <f>+'FY24 KPIs'!K53</f>
        <v>74</v>
      </c>
      <c r="J18">
        <f>+'FY24 KPIs'!L53</f>
        <v>93</v>
      </c>
      <c r="K18">
        <f>+'FY24 KPIs'!M53</f>
        <v>69</v>
      </c>
      <c r="L18">
        <f>+'FY24 KPIs'!N53</f>
        <v>21</v>
      </c>
      <c r="M18">
        <f>+'FY24 KPIs'!O53</f>
        <v>22</v>
      </c>
    </row>
    <row r="20" spans="1:13" x14ac:dyDescent="0.25">
      <c r="A20" s="718" t="s">
        <v>237</v>
      </c>
      <c r="B20">
        <f>+'FY24 KPIs'!D61</f>
        <v>0</v>
      </c>
      <c r="C20">
        <f>+'FY24 KPIs'!E61</f>
        <v>0</v>
      </c>
      <c r="D20">
        <f>+'FY24 KPIs'!F61</f>
        <v>0</v>
      </c>
      <c r="E20">
        <f>+'FY24 KPIs'!G61</f>
        <v>0</v>
      </c>
      <c r="F20">
        <f>+'FY24 KPIs'!H61</f>
        <v>0</v>
      </c>
      <c r="G20">
        <f>+'FY24 KPIs'!I61</f>
        <v>0</v>
      </c>
      <c r="H20">
        <f>+'FY24 KPIs'!J61</f>
        <v>0</v>
      </c>
      <c r="I20">
        <f>+'FY24 KPIs'!K61</f>
        <v>12</v>
      </c>
      <c r="J20">
        <f>+'FY24 KPIs'!L61</f>
        <v>7</v>
      </c>
      <c r="K20">
        <f>+'FY24 KPIs'!M61</f>
        <v>0</v>
      </c>
      <c r="L20">
        <f>+'FY24 KPIs'!N61</f>
        <v>0</v>
      </c>
      <c r="M20">
        <f>+'FY24 KPIs'!O61</f>
        <v>0</v>
      </c>
    </row>
    <row r="22" spans="1:13" x14ac:dyDescent="0.25">
      <c r="A22" s="717" t="s">
        <v>228</v>
      </c>
      <c r="B22">
        <f>+'FY24 KPIs'!D66</f>
        <v>0</v>
      </c>
      <c r="C22">
        <f>+'FY24 KPIs'!E66</f>
        <v>0</v>
      </c>
      <c r="D22">
        <f>+'FY24 KPIs'!F66</f>
        <v>0</v>
      </c>
      <c r="E22">
        <f>+'FY24 KPIs'!G66</f>
        <v>0</v>
      </c>
      <c r="F22">
        <f>+'FY24 KPIs'!H66</f>
        <v>0</v>
      </c>
      <c r="G22">
        <f>+'FY24 KPIs'!I66</f>
        <v>0</v>
      </c>
      <c r="H22">
        <f>+'FY24 KPIs'!J66</f>
        <v>0</v>
      </c>
      <c r="I22">
        <f>+'FY24 KPIs'!K66</f>
        <v>8</v>
      </c>
      <c r="J22">
        <f>+'FY24 KPIs'!L66</f>
        <v>5</v>
      </c>
      <c r="K22">
        <f>+'FY24 KPIs'!M66</f>
        <v>5</v>
      </c>
      <c r="L22">
        <f>+'FY24 KPIs'!N66</f>
        <v>5</v>
      </c>
      <c r="M22">
        <f>+'FY24 KPIs'!O66</f>
        <v>3</v>
      </c>
    </row>
    <row r="23" spans="1:13" x14ac:dyDescent="0.25">
      <c r="A23" s="717" t="s">
        <v>229</v>
      </c>
      <c r="B23">
        <f>+'FY24 KPIs'!D67</f>
        <v>0</v>
      </c>
      <c r="C23">
        <f>+'FY24 KPIs'!E67</f>
        <v>0</v>
      </c>
      <c r="D23">
        <f>+'FY24 KPIs'!F67</f>
        <v>0</v>
      </c>
      <c r="E23">
        <f>+'FY24 KPIs'!G67</f>
        <v>0</v>
      </c>
      <c r="F23">
        <f>+'FY24 KPIs'!H67</f>
        <v>0</v>
      </c>
      <c r="G23">
        <f>+'FY24 KPIs'!I67</f>
        <v>0</v>
      </c>
      <c r="H23">
        <f>+'FY24 KPIs'!J67</f>
        <v>0</v>
      </c>
      <c r="I23">
        <f>+'FY24 KPIs'!K67</f>
        <v>5</v>
      </c>
      <c r="J23">
        <f>+'FY24 KPIs'!L67</f>
        <v>5</v>
      </c>
      <c r="K23">
        <f>+'FY24 KPIs'!M67</f>
        <v>3</v>
      </c>
      <c r="L23">
        <f>+'FY24 KPIs'!N67</f>
        <v>2</v>
      </c>
      <c r="M23">
        <f>+'FY24 KPIs'!O67</f>
        <v>4</v>
      </c>
    </row>
    <row r="25" spans="1:13" x14ac:dyDescent="0.25">
      <c r="A25" s="717" t="s">
        <v>208</v>
      </c>
      <c r="B25">
        <f>+'FY24 KPIs'!D75</f>
        <v>0</v>
      </c>
      <c r="C25">
        <f>+'FY24 KPIs'!E75</f>
        <v>0</v>
      </c>
      <c r="D25">
        <f>+'FY24 KPIs'!F75</f>
        <v>0</v>
      </c>
      <c r="E25">
        <f>+'FY24 KPIs'!G75</f>
        <v>0</v>
      </c>
      <c r="F25">
        <f>+'FY24 KPIs'!H75</f>
        <v>0</v>
      </c>
      <c r="G25">
        <f>+'FY24 KPIs'!I75</f>
        <v>0</v>
      </c>
      <c r="H25">
        <f>+'FY24 KPIs'!J75</f>
        <v>0</v>
      </c>
      <c r="I25">
        <f>+'FY24 KPIs'!K75</f>
        <v>9</v>
      </c>
      <c r="J25">
        <f>+'FY24 KPIs'!L75</f>
        <v>7</v>
      </c>
      <c r="K25">
        <f>+'FY24 KPIs'!M75</f>
        <v>5</v>
      </c>
      <c r="L25">
        <f>+'FY24 KPIs'!N75</f>
        <v>2</v>
      </c>
      <c r="M25">
        <f>+'FY24 KPIs'!O75</f>
        <v>0</v>
      </c>
    </row>
    <row r="26" spans="1:13" x14ac:dyDescent="0.25">
      <c r="A26" s="717" t="s">
        <v>207</v>
      </c>
      <c r="B26">
        <f>+'FY24 KPIs'!D76</f>
        <v>0</v>
      </c>
      <c r="C26">
        <f>+'FY24 KPIs'!E76</f>
        <v>0</v>
      </c>
      <c r="D26">
        <f>+'FY24 KPIs'!F76</f>
        <v>0</v>
      </c>
      <c r="E26">
        <f>+'FY24 KPIs'!G76</f>
        <v>0</v>
      </c>
      <c r="F26">
        <f>+'FY24 KPIs'!H76</f>
        <v>0</v>
      </c>
      <c r="G26">
        <f>+'FY24 KPIs'!I76</f>
        <v>0</v>
      </c>
      <c r="H26">
        <f>+'FY24 KPIs'!J76</f>
        <v>0</v>
      </c>
      <c r="I26">
        <f>+'FY24 KPIs'!K76</f>
        <v>40</v>
      </c>
      <c r="J26">
        <f>+'FY24 KPIs'!L76</f>
        <v>41</v>
      </c>
      <c r="K26">
        <f>+'FY24 KPIs'!M76</f>
        <v>34</v>
      </c>
      <c r="L26">
        <f>+'FY24 KPIs'!N76</f>
        <v>18</v>
      </c>
      <c r="M26">
        <f>+'FY24 KPIs'!O76</f>
        <v>1</v>
      </c>
    </row>
  </sheetData>
  <pageMargins left="0.7" right="0.7" top="0.75" bottom="0.75" header="0.3" footer="0.3"/>
  <pageSetup paperSize="20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693C-69DC-4EB2-B2F4-78F6E310D5BD}">
  <dimension ref="A2:Z26"/>
  <sheetViews>
    <sheetView topLeftCell="A60" workbookViewId="0">
      <selection activeCell="U32" sqref="U32"/>
    </sheetView>
  </sheetViews>
  <sheetFormatPr defaultRowHeight="15" x14ac:dyDescent="0.25"/>
  <cols>
    <col min="1" max="1" width="76.7109375" bestFit="1" customWidth="1"/>
  </cols>
  <sheetData>
    <row r="2" spans="1:26" ht="15.75" thickBot="1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230</v>
      </c>
      <c r="K2" t="s">
        <v>11</v>
      </c>
      <c r="L2" t="s">
        <v>12</v>
      </c>
      <c r="O2" s="393" t="s">
        <v>2</v>
      </c>
      <c r="P2" s="393" t="s">
        <v>3</v>
      </c>
      <c r="Q2" s="393" t="s">
        <v>4</v>
      </c>
      <c r="R2" s="393" t="s">
        <v>5</v>
      </c>
      <c r="S2" s="393" t="s">
        <v>6</v>
      </c>
      <c r="T2" s="393" t="s">
        <v>7</v>
      </c>
      <c r="U2" s="393" t="s">
        <v>8</v>
      </c>
      <c r="V2" s="393" t="s">
        <v>9</v>
      </c>
      <c r="W2" s="393" t="s">
        <v>230</v>
      </c>
      <c r="X2" t="s">
        <v>11</v>
      </c>
      <c r="Y2" t="s">
        <v>12</v>
      </c>
      <c r="Z2" t="s">
        <v>13</v>
      </c>
    </row>
    <row r="3" spans="1:26" x14ac:dyDescent="0.25">
      <c r="A3" s="66" t="s">
        <v>16</v>
      </c>
      <c r="B3" s="443">
        <v>197</v>
      </c>
      <c r="C3" s="319">
        <v>9</v>
      </c>
      <c r="D3" s="319">
        <v>0</v>
      </c>
      <c r="E3" s="321">
        <v>0</v>
      </c>
      <c r="F3" s="320">
        <v>20</v>
      </c>
      <c r="G3" s="321">
        <v>19</v>
      </c>
      <c r="H3" s="320">
        <v>6</v>
      </c>
      <c r="I3" s="323">
        <v>0</v>
      </c>
      <c r="J3" s="322">
        <v>0</v>
      </c>
      <c r="K3" s="322">
        <f>+'FY24 KPIs'!M2</f>
        <v>0</v>
      </c>
      <c r="L3" s="322">
        <f>+'FY24 KPIs'!N2</f>
        <v>0</v>
      </c>
      <c r="M3" s="322">
        <f>+'FY24 KPIs'!O2</f>
        <v>0</v>
      </c>
      <c r="N3" s="73">
        <f t="shared" ref="N3:N10" si="0">+M3</f>
        <v>0</v>
      </c>
      <c r="O3">
        <v>197</v>
      </c>
      <c r="P3">
        <f>SUM(B3:C3)</f>
        <v>206</v>
      </c>
      <c r="Q3">
        <f>SUM(B3:D3)</f>
        <v>206</v>
      </c>
      <c r="R3">
        <f>SUM(B3:E3)</f>
        <v>206</v>
      </c>
      <c r="S3">
        <f>SUM(B3:F3)</f>
        <v>226</v>
      </c>
      <c r="T3">
        <f>SUM(B3:G3)</f>
        <v>245</v>
      </c>
      <c r="U3">
        <f>SUM(B3:H3)</f>
        <v>251</v>
      </c>
      <c r="V3">
        <f>SUM(B3:I3)</f>
        <v>251</v>
      </c>
      <c r="W3" s="393">
        <f>SUM(B3:J3)</f>
        <v>251</v>
      </c>
      <c r="X3" s="393">
        <f>SUM(B3:K3)</f>
        <v>251</v>
      </c>
      <c r="Y3" s="393">
        <f>SUM(B3:L3)</f>
        <v>251</v>
      </c>
      <c r="Z3" s="393">
        <f>SUM(B3:M3)</f>
        <v>251</v>
      </c>
    </row>
    <row r="4" spans="1:26" x14ac:dyDescent="0.25">
      <c r="A4" s="67" t="s">
        <v>127</v>
      </c>
      <c r="B4" s="444">
        <v>0.89</v>
      </c>
      <c r="C4" s="273">
        <v>0.87</v>
      </c>
      <c r="D4" s="273">
        <v>0.84</v>
      </c>
      <c r="E4" s="206">
        <v>0.82</v>
      </c>
      <c r="F4" s="207">
        <v>0.85</v>
      </c>
      <c r="G4" s="207">
        <v>0.83</v>
      </c>
      <c r="H4" s="206">
        <v>0.84</v>
      </c>
      <c r="I4" s="209">
        <v>0.84</v>
      </c>
      <c r="J4" s="208">
        <v>0.89</v>
      </c>
      <c r="K4" s="208">
        <f>+'FY24 KPIs'!M3</f>
        <v>0.81</v>
      </c>
      <c r="L4" s="208">
        <f>+'FY24 KPIs'!N3</f>
        <v>0.77</v>
      </c>
      <c r="M4" s="208">
        <f>+'FY24 KPIs'!O3</f>
        <v>0.89</v>
      </c>
      <c r="N4" s="75">
        <f t="shared" si="0"/>
        <v>0.89</v>
      </c>
      <c r="Y4" s="393"/>
    </row>
    <row r="5" spans="1:26" x14ac:dyDescent="0.25">
      <c r="A5" s="68" t="s">
        <v>131</v>
      </c>
      <c r="B5" s="282">
        <v>34</v>
      </c>
      <c r="C5" s="274">
        <v>36</v>
      </c>
      <c r="D5" s="274">
        <v>36</v>
      </c>
      <c r="E5" s="414">
        <v>39</v>
      </c>
      <c r="F5" s="351">
        <v>38</v>
      </c>
      <c r="G5" s="414">
        <v>26</v>
      </c>
      <c r="H5" s="389">
        <v>30</v>
      </c>
      <c r="I5" s="665">
        <v>39</v>
      </c>
      <c r="J5" s="720">
        <v>11</v>
      </c>
      <c r="K5" s="720">
        <f>+'FY24 KPIs'!M4</f>
        <v>5</v>
      </c>
      <c r="L5" s="720">
        <f>+'FY24 KPIs'!N4</f>
        <v>24</v>
      </c>
      <c r="M5" s="720">
        <f>+'FY24 KPIs'!O4</f>
        <v>30</v>
      </c>
      <c r="N5" s="76">
        <f t="shared" si="0"/>
        <v>30</v>
      </c>
      <c r="Y5" s="393"/>
    </row>
    <row r="6" spans="1:26" x14ac:dyDescent="0.25">
      <c r="A6" s="68" t="s">
        <v>132</v>
      </c>
      <c r="B6" s="282">
        <v>42</v>
      </c>
      <c r="C6" s="274">
        <v>42</v>
      </c>
      <c r="D6" s="274">
        <v>42</v>
      </c>
      <c r="E6" s="414">
        <v>43</v>
      </c>
      <c r="F6" s="351">
        <v>43</v>
      </c>
      <c r="G6" s="414">
        <v>36</v>
      </c>
      <c r="H6" s="389">
        <v>35</v>
      </c>
      <c r="I6" s="665">
        <v>26</v>
      </c>
      <c r="J6" s="720">
        <v>13</v>
      </c>
      <c r="K6" s="720">
        <f>+'FY24 KPIs'!M5</f>
        <v>14</v>
      </c>
      <c r="L6" s="720">
        <f>+'FY24 KPIs'!N5</f>
        <v>43</v>
      </c>
      <c r="M6" s="720">
        <f>+'FY24 KPIs'!O5</f>
        <v>36</v>
      </c>
      <c r="N6" s="76">
        <f t="shared" si="0"/>
        <v>36</v>
      </c>
      <c r="Y6" s="393"/>
    </row>
    <row r="7" spans="1:26" ht="15.75" thickBot="1" x14ac:dyDescent="0.3">
      <c r="A7" s="69" t="s">
        <v>19</v>
      </c>
      <c r="B7" s="445">
        <v>0.76</v>
      </c>
      <c r="C7" s="275">
        <v>0.79</v>
      </c>
      <c r="D7" s="275">
        <v>0.79</v>
      </c>
      <c r="E7" s="212">
        <v>0.79</v>
      </c>
      <c r="F7" s="212">
        <v>0.87</v>
      </c>
      <c r="G7" s="212">
        <v>0.92</v>
      </c>
      <c r="H7" s="212">
        <v>0.91</v>
      </c>
      <c r="I7" s="666">
        <v>0.89</v>
      </c>
      <c r="J7" s="212">
        <v>0.15</v>
      </c>
      <c r="K7" s="212">
        <f>+'FY24 KPIs'!M6</f>
        <v>0.1</v>
      </c>
      <c r="L7" s="212">
        <f>+'FY24 KPIs'!N6</f>
        <v>0.08</v>
      </c>
      <c r="M7" s="212">
        <f>+'FY24 KPIs'!O6</f>
        <v>0.68</v>
      </c>
      <c r="N7" s="78">
        <f>+C7</f>
        <v>0.79</v>
      </c>
      <c r="Y7" s="393"/>
    </row>
    <row r="8" spans="1:26" x14ac:dyDescent="0.25">
      <c r="A8" s="63" t="s">
        <v>20</v>
      </c>
      <c r="B8" s="443">
        <v>60</v>
      </c>
      <c r="C8" s="319">
        <v>5</v>
      </c>
      <c r="D8" s="319">
        <v>0</v>
      </c>
      <c r="E8" s="320">
        <v>0</v>
      </c>
      <c r="F8" s="320">
        <v>0</v>
      </c>
      <c r="G8" s="320">
        <v>23</v>
      </c>
      <c r="H8" s="320">
        <v>4</v>
      </c>
      <c r="I8" s="325">
        <v>2</v>
      </c>
      <c r="J8" s="324">
        <v>0</v>
      </c>
      <c r="K8" s="324">
        <f>+'FY24 KPIs'!M7</f>
        <v>0</v>
      </c>
      <c r="L8" s="324">
        <f>+'FY24 KPIs'!N7</f>
        <v>0</v>
      </c>
      <c r="M8" s="324">
        <f>+'FY24 KPIs'!O7</f>
        <v>0</v>
      </c>
      <c r="N8" s="80">
        <f t="shared" si="0"/>
        <v>0</v>
      </c>
      <c r="O8">
        <v>60</v>
      </c>
      <c r="P8">
        <f>SUM(B8:C8)</f>
        <v>65</v>
      </c>
      <c r="Q8">
        <f>SUM(B8:D8)</f>
        <v>65</v>
      </c>
      <c r="R8">
        <f>SUM(B8:E8)</f>
        <v>65</v>
      </c>
      <c r="S8">
        <f>SUM(B8:F8)</f>
        <v>65</v>
      </c>
      <c r="T8">
        <f>SUM(B8:G8)</f>
        <v>88</v>
      </c>
      <c r="U8">
        <f>SUM(B8:H8)</f>
        <v>92</v>
      </c>
      <c r="V8">
        <f>SUM(B8:I8)</f>
        <v>94</v>
      </c>
      <c r="W8" s="393">
        <f>SUM(B8:J8)</f>
        <v>94</v>
      </c>
      <c r="X8" s="393">
        <f>SUM(B8:K8)</f>
        <v>94</v>
      </c>
      <c r="Y8" s="393">
        <f>SUM(B8:L8)</f>
        <v>94</v>
      </c>
      <c r="Z8" s="393">
        <f>SUM(B8:M8)</f>
        <v>94</v>
      </c>
    </row>
    <row r="9" spans="1:26" x14ac:dyDescent="0.25">
      <c r="A9" s="8" t="s">
        <v>128</v>
      </c>
      <c r="B9" s="444">
        <v>0.89</v>
      </c>
      <c r="C9" s="273">
        <v>0.87</v>
      </c>
      <c r="D9" s="273">
        <v>0.78</v>
      </c>
      <c r="E9" s="213">
        <v>0.81</v>
      </c>
      <c r="F9" s="213">
        <v>0.86</v>
      </c>
      <c r="G9" s="213">
        <v>0.88</v>
      </c>
      <c r="H9" s="213">
        <v>0.81</v>
      </c>
      <c r="I9" s="214">
        <v>0.87</v>
      </c>
      <c r="J9" s="208">
        <v>0.84</v>
      </c>
      <c r="K9" s="208">
        <f>+'FY24 KPIs'!M8</f>
        <v>0.82</v>
      </c>
      <c r="L9" s="208">
        <f>+'FY24 KPIs'!N8</f>
        <v>0.82</v>
      </c>
      <c r="M9" s="208">
        <f>+'FY24 KPIs'!O8</f>
        <v>0.86</v>
      </c>
      <c r="N9" s="81">
        <f t="shared" si="0"/>
        <v>0.86</v>
      </c>
      <c r="Y9" s="393"/>
    </row>
    <row r="10" spans="1:26" x14ac:dyDescent="0.25">
      <c r="A10" s="9" t="s">
        <v>129</v>
      </c>
      <c r="B10" s="282">
        <v>49</v>
      </c>
      <c r="C10" s="274">
        <v>51</v>
      </c>
      <c r="D10" s="274">
        <v>53</v>
      </c>
      <c r="E10" s="414">
        <v>52</v>
      </c>
      <c r="F10" s="351">
        <v>51</v>
      </c>
      <c r="G10" s="414">
        <v>31</v>
      </c>
      <c r="H10" s="389">
        <v>38</v>
      </c>
      <c r="I10" s="665">
        <v>41</v>
      </c>
      <c r="J10" s="720">
        <v>37</v>
      </c>
      <c r="K10" s="720">
        <f>+'FY24 KPIs'!M9</f>
        <v>39</v>
      </c>
      <c r="L10" s="720">
        <f>+'FY24 KPIs'!N9</f>
        <v>52</v>
      </c>
      <c r="M10" s="720">
        <f>+'FY24 KPIs'!O9</f>
        <v>41</v>
      </c>
      <c r="N10" s="82">
        <f t="shared" si="0"/>
        <v>41</v>
      </c>
      <c r="Y10" s="393"/>
    </row>
    <row r="11" spans="1:26" x14ac:dyDescent="0.25">
      <c r="A11" s="9" t="s">
        <v>130</v>
      </c>
      <c r="B11" s="282">
        <v>32</v>
      </c>
      <c r="C11" s="276">
        <v>37</v>
      </c>
      <c r="D11" s="274">
        <v>36</v>
      </c>
      <c r="E11" s="414">
        <v>35</v>
      </c>
      <c r="F11" s="351">
        <v>32</v>
      </c>
      <c r="G11" s="414">
        <v>31</v>
      </c>
      <c r="H11" s="389">
        <v>32</v>
      </c>
      <c r="I11" s="665">
        <v>32</v>
      </c>
      <c r="J11" s="720">
        <v>32</v>
      </c>
      <c r="K11" s="720">
        <f>+'FY24 KPIs'!M10</f>
        <v>32</v>
      </c>
      <c r="L11" s="720">
        <f>+'FY24 KPIs'!N10</f>
        <v>51</v>
      </c>
      <c r="M11" s="720">
        <f>+'FY24 KPIs'!O10</f>
        <v>52</v>
      </c>
      <c r="N11" s="82">
        <f t="shared" ref="N11" si="1">+L11</f>
        <v>51</v>
      </c>
      <c r="Y11" s="393"/>
    </row>
    <row r="12" spans="1:26" x14ac:dyDescent="0.25">
      <c r="A12" s="11" t="s">
        <v>23</v>
      </c>
      <c r="B12" s="281">
        <v>37</v>
      </c>
      <c r="C12" s="277">
        <v>39</v>
      </c>
      <c r="D12" s="277">
        <v>40</v>
      </c>
      <c r="E12" s="414">
        <v>38</v>
      </c>
      <c r="F12" s="414">
        <v>39</v>
      </c>
      <c r="G12" s="414">
        <v>40</v>
      </c>
      <c r="H12" s="414">
        <v>39</v>
      </c>
      <c r="I12" s="211">
        <v>48</v>
      </c>
      <c r="J12" s="210">
        <v>45</v>
      </c>
      <c r="K12" s="210">
        <f>+'FY24 KPIs'!M11</f>
        <v>46</v>
      </c>
      <c r="L12" s="210">
        <f>+'FY24 KPIs'!N11</f>
        <v>45</v>
      </c>
      <c r="M12" s="210">
        <f>+'FY24 KPIs'!O11</f>
        <v>40</v>
      </c>
      <c r="N12" s="82">
        <f>+M12</f>
        <v>40</v>
      </c>
      <c r="Y12" s="393"/>
    </row>
    <row r="13" spans="1:26" ht="15.75" thickBot="1" x14ac:dyDescent="0.3">
      <c r="A13" s="12" t="s">
        <v>19</v>
      </c>
      <c r="B13" s="445">
        <v>0.41</v>
      </c>
      <c r="C13" s="278">
        <v>0.44</v>
      </c>
      <c r="D13" s="275">
        <v>0.44</v>
      </c>
      <c r="E13" s="212">
        <v>0.44</v>
      </c>
      <c r="F13" s="212">
        <v>0.44</v>
      </c>
      <c r="G13" s="212">
        <v>0.85</v>
      </c>
      <c r="H13" s="212">
        <v>0.81</v>
      </c>
      <c r="I13" s="666">
        <v>0.86</v>
      </c>
      <c r="J13" s="212">
        <v>0.8</v>
      </c>
      <c r="K13" s="212">
        <f>+'FY24 KPIs'!M12</f>
        <v>0.88</v>
      </c>
      <c r="L13" s="212">
        <f>+'FY24 KPIs'!N12</f>
        <v>0.8</v>
      </c>
      <c r="M13" s="212">
        <f>+'FY24 KPIs'!O12</f>
        <v>0.71</v>
      </c>
      <c r="N13" s="83">
        <f>+C13</f>
        <v>0.44</v>
      </c>
      <c r="Y13" s="393"/>
    </row>
    <row r="14" spans="1:26" x14ac:dyDescent="0.25">
      <c r="A14" s="22" t="s">
        <v>34</v>
      </c>
      <c r="B14" s="279">
        <v>70</v>
      </c>
      <c r="C14" s="280">
        <v>1</v>
      </c>
      <c r="D14" s="333">
        <v>0</v>
      </c>
      <c r="E14" s="334">
        <v>0</v>
      </c>
      <c r="F14" s="352">
        <v>0</v>
      </c>
      <c r="G14" s="265">
        <v>0</v>
      </c>
      <c r="H14" s="352">
        <v>0</v>
      </c>
      <c r="I14" s="667">
        <v>0</v>
      </c>
      <c r="J14" s="352">
        <v>0</v>
      </c>
      <c r="K14" s="352">
        <f>+'FY24 KPIs'!M13</f>
        <v>0</v>
      </c>
      <c r="L14" s="352">
        <f>+'FY24 KPIs'!N13</f>
        <v>0</v>
      </c>
      <c r="M14" s="352">
        <f>+'FY24 KPIs'!O13</f>
        <v>0</v>
      </c>
      <c r="N14" s="84">
        <f>+M14</f>
        <v>0</v>
      </c>
      <c r="Y14" s="393"/>
    </row>
    <row r="15" spans="1:26" x14ac:dyDescent="0.25">
      <c r="A15" s="13" t="s">
        <v>24</v>
      </c>
      <c r="B15" s="281">
        <v>27</v>
      </c>
      <c r="C15" s="277">
        <v>27</v>
      </c>
      <c r="D15" s="277">
        <v>27</v>
      </c>
      <c r="E15" s="414">
        <v>27</v>
      </c>
      <c r="F15" s="414">
        <v>27</v>
      </c>
      <c r="G15" s="414">
        <v>27</v>
      </c>
      <c r="H15" s="414">
        <v>27</v>
      </c>
      <c r="I15" s="211">
        <v>27</v>
      </c>
      <c r="J15" s="210">
        <v>27</v>
      </c>
      <c r="K15" s="210">
        <f>+'FY24 KPIs'!M14</f>
        <v>27</v>
      </c>
      <c r="L15" s="210">
        <f>+'FY24 KPIs'!N14</f>
        <v>27</v>
      </c>
      <c r="M15" s="210">
        <f>+'FY24 KPIs'!O14</f>
        <v>26</v>
      </c>
      <c r="N15" s="82">
        <f>+M15</f>
        <v>26</v>
      </c>
      <c r="Y15" s="393"/>
    </row>
    <row r="16" spans="1:26" x14ac:dyDescent="0.25">
      <c r="A16" s="13" t="s">
        <v>25</v>
      </c>
      <c r="B16" s="281">
        <v>7</v>
      </c>
      <c r="C16" s="277">
        <v>7</v>
      </c>
      <c r="D16" s="277">
        <v>7</v>
      </c>
      <c r="E16" s="414">
        <v>7</v>
      </c>
      <c r="F16" s="414">
        <v>7</v>
      </c>
      <c r="G16" s="414">
        <v>7</v>
      </c>
      <c r="H16" s="414">
        <v>7</v>
      </c>
      <c r="I16" s="211">
        <v>7</v>
      </c>
      <c r="J16" s="210">
        <v>7</v>
      </c>
      <c r="K16" s="210">
        <f>+'FY24 KPIs'!M15</f>
        <v>7</v>
      </c>
      <c r="L16" s="210">
        <f>+'FY24 KPIs'!N15</f>
        <v>7</v>
      </c>
      <c r="M16" s="210">
        <f>+'FY24 KPIs'!O15</f>
        <v>7</v>
      </c>
      <c r="N16" s="82">
        <f>+M16</f>
        <v>7</v>
      </c>
      <c r="O16">
        <v>13</v>
      </c>
      <c r="P16">
        <f>SUM(B16:C16)</f>
        <v>14</v>
      </c>
      <c r="Q16">
        <f>SUM(B16:D16)</f>
        <v>21</v>
      </c>
      <c r="R16">
        <f>SUM(B16:E16)</f>
        <v>28</v>
      </c>
      <c r="S16">
        <f>SUM(B16:F16)</f>
        <v>35</v>
      </c>
      <c r="T16">
        <f>SUM(B16:G16)</f>
        <v>42</v>
      </c>
      <c r="U16">
        <f>SUM(B16:H16)</f>
        <v>49</v>
      </c>
      <c r="V16">
        <f>SUM(B16:I16)</f>
        <v>56</v>
      </c>
      <c r="W16" s="393">
        <f>SUM(B16:J16)</f>
        <v>63</v>
      </c>
      <c r="X16" s="393">
        <f>SUM(B16:K16)</f>
        <v>70</v>
      </c>
      <c r="Y16" s="393">
        <f>SUM(B16:L16)</f>
        <v>77</v>
      </c>
      <c r="Z16" s="393">
        <f>SUM(B16:M16)</f>
        <v>84</v>
      </c>
    </row>
    <row r="17" spans="1:26" x14ac:dyDescent="0.25">
      <c r="A17" s="13" t="s">
        <v>26</v>
      </c>
      <c r="B17" s="281">
        <v>13</v>
      </c>
      <c r="C17" s="277">
        <v>0</v>
      </c>
      <c r="D17" s="277">
        <v>0</v>
      </c>
      <c r="E17" s="414">
        <v>2</v>
      </c>
      <c r="F17" s="414">
        <v>0</v>
      </c>
      <c r="G17" s="414">
        <v>3</v>
      </c>
      <c r="H17" s="414">
        <v>1</v>
      </c>
      <c r="I17" s="211">
        <v>0</v>
      </c>
      <c r="J17" s="210">
        <v>0</v>
      </c>
      <c r="K17" s="210">
        <f>+'FY24 KPIs'!M16</f>
        <v>0</v>
      </c>
      <c r="L17" s="210">
        <f>+'FY24 KPIs'!N16</f>
        <v>18</v>
      </c>
      <c r="M17" s="210">
        <f>+'FY24 KPIs'!O16</f>
        <v>12</v>
      </c>
      <c r="N17" s="85">
        <f>SUM(B17:M17)</f>
        <v>49</v>
      </c>
      <c r="Y17" s="393"/>
    </row>
    <row r="18" spans="1:26" x14ac:dyDescent="0.25">
      <c r="A18" s="13" t="s">
        <v>27</v>
      </c>
      <c r="B18" s="282">
        <v>35</v>
      </c>
      <c r="C18" s="274">
        <v>28</v>
      </c>
      <c r="D18" s="274">
        <v>22</v>
      </c>
      <c r="E18" s="414">
        <v>50</v>
      </c>
      <c r="F18" s="351">
        <v>33</v>
      </c>
      <c r="G18" s="414">
        <v>75</v>
      </c>
      <c r="H18" s="389">
        <v>78</v>
      </c>
      <c r="I18" s="665">
        <v>79</v>
      </c>
      <c r="J18" s="720">
        <v>52</v>
      </c>
      <c r="K18" s="720">
        <f>+'FY24 KPIs'!M17</f>
        <v>67</v>
      </c>
      <c r="L18" s="720">
        <f>+'FY24 KPIs'!N17</f>
        <v>66</v>
      </c>
      <c r="M18" s="720">
        <f>+'FY24 KPIs'!O17</f>
        <v>37</v>
      </c>
      <c r="N18" s="86">
        <f>AVERAGE(B18:M18)</f>
        <v>51.833333333333336</v>
      </c>
      <c r="Y18" s="393"/>
    </row>
    <row r="19" spans="1:26" x14ac:dyDescent="0.25">
      <c r="A19" s="15" t="s">
        <v>28</v>
      </c>
      <c r="B19" s="283">
        <v>0.8</v>
      </c>
      <c r="C19" s="284">
        <v>0.62</v>
      </c>
      <c r="D19" s="284">
        <v>0.41</v>
      </c>
      <c r="E19" s="213">
        <v>0.77</v>
      </c>
      <c r="F19" s="353">
        <v>0.83</v>
      </c>
      <c r="G19" s="213">
        <v>0.73</v>
      </c>
      <c r="H19" s="390">
        <v>0.6</v>
      </c>
      <c r="I19" s="668">
        <v>0.75</v>
      </c>
      <c r="J19" s="721">
        <v>0.63</v>
      </c>
      <c r="K19" s="721">
        <f>+'FY24 KPIs'!M18</f>
        <v>0.72</v>
      </c>
      <c r="L19" s="721">
        <f>+'FY24 KPIs'!N18</f>
        <v>0.64</v>
      </c>
      <c r="M19" s="721">
        <f>+'FY24 KPIs'!O18</f>
        <v>0.65</v>
      </c>
      <c r="N19" s="87">
        <f>AVERAGE(B19:M19)</f>
        <v>0.67916666666666659</v>
      </c>
      <c r="Y19" s="393"/>
    </row>
    <row r="20" spans="1:26" x14ac:dyDescent="0.25">
      <c r="A20" s="20" t="s">
        <v>29</v>
      </c>
      <c r="B20" s="327">
        <v>327</v>
      </c>
      <c r="C20" s="328">
        <v>12</v>
      </c>
      <c r="D20" s="328">
        <v>2</v>
      </c>
      <c r="E20" s="329">
        <v>5</v>
      </c>
      <c r="F20" s="329">
        <v>18</v>
      </c>
      <c r="G20" s="329">
        <v>85</v>
      </c>
      <c r="H20" s="329">
        <v>3</v>
      </c>
      <c r="I20" s="331">
        <v>73</v>
      </c>
      <c r="J20" s="330">
        <v>0</v>
      </c>
      <c r="K20" s="330">
        <f>+'FY24 KPIs'!M19</f>
        <v>0</v>
      </c>
      <c r="L20" s="330">
        <f>+'FY24 KPIs'!N19</f>
        <v>0</v>
      </c>
      <c r="M20" s="330">
        <f>+'FY24 KPIs'!O19</f>
        <v>0</v>
      </c>
      <c r="N20" s="88">
        <f>SUM(B20:M20)</f>
        <v>525</v>
      </c>
      <c r="Y20" s="393"/>
    </row>
    <row r="21" spans="1:26" x14ac:dyDescent="0.25">
      <c r="A21" s="16" t="s">
        <v>30</v>
      </c>
      <c r="B21" s="287">
        <v>0</v>
      </c>
      <c r="C21" s="288">
        <v>0</v>
      </c>
      <c r="D21" s="288">
        <v>0</v>
      </c>
      <c r="E21" s="215">
        <v>0</v>
      </c>
      <c r="F21" s="215">
        <v>0</v>
      </c>
      <c r="G21" s="215">
        <v>0</v>
      </c>
      <c r="H21" s="215">
        <v>0</v>
      </c>
      <c r="I21" s="217">
        <v>0</v>
      </c>
      <c r="J21" s="216">
        <v>0</v>
      </c>
      <c r="K21" s="216">
        <f>+'FY24 KPIs'!M20</f>
        <v>0</v>
      </c>
      <c r="L21" s="216">
        <f>+'FY24 KPIs'!N20</f>
        <v>0</v>
      </c>
      <c r="M21" s="216">
        <f>+'FY24 KPIs'!O20</f>
        <v>0</v>
      </c>
      <c r="N21" s="88">
        <f>+M21</f>
        <v>0</v>
      </c>
      <c r="Y21" s="393"/>
    </row>
    <row r="22" spans="1:26" x14ac:dyDescent="0.25">
      <c r="A22" s="13" t="s">
        <v>31</v>
      </c>
      <c r="B22" s="285">
        <v>23</v>
      </c>
      <c r="C22" s="286">
        <v>24</v>
      </c>
      <c r="D22" s="286">
        <v>24</v>
      </c>
      <c r="E22" s="215">
        <v>24</v>
      </c>
      <c r="F22" s="354">
        <v>29</v>
      </c>
      <c r="G22" s="215">
        <v>41</v>
      </c>
      <c r="H22" s="391">
        <v>48</v>
      </c>
      <c r="I22" s="669">
        <v>45</v>
      </c>
      <c r="J22" s="722">
        <v>51</v>
      </c>
      <c r="K22" s="722">
        <f>+'FY24 KPIs'!M21</f>
        <v>43</v>
      </c>
      <c r="L22" s="722">
        <f>+'FY24 KPIs'!N21</f>
        <v>37</v>
      </c>
      <c r="M22" s="722">
        <f>+'FY24 KPIs'!O21</f>
        <v>36</v>
      </c>
      <c r="N22" s="88">
        <f>SUM(B22:M22)</f>
        <v>425</v>
      </c>
      <c r="Y22" s="393"/>
    </row>
    <row r="23" spans="1:26" x14ac:dyDescent="0.25">
      <c r="A23" s="21" t="s">
        <v>36</v>
      </c>
      <c r="B23" s="287">
        <v>0</v>
      </c>
      <c r="C23" s="288">
        <v>317</v>
      </c>
      <c r="D23" s="288">
        <v>8</v>
      </c>
      <c r="E23" s="215">
        <v>9</v>
      </c>
      <c r="F23" s="215">
        <v>13</v>
      </c>
      <c r="G23" s="215">
        <v>30</v>
      </c>
      <c r="H23" s="215">
        <v>1</v>
      </c>
      <c r="I23" s="217">
        <v>5</v>
      </c>
      <c r="J23" s="216">
        <v>2</v>
      </c>
      <c r="K23" s="216">
        <f>+'FY24 KPIs'!M22</f>
        <v>7</v>
      </c>
      <c r="L23" s="216">
        <f>+'FY24 KPIs'!N22</f>
        <v>1</v>
      </c>
      <c r="M23" s="216">
        <f>+'FY24 KPIs'!O22</f>
        <v>0</v>
      </c>
      <c r="N23" s="88"/>
      <c r="Y23" s="393"/>
    </row>
    <row r="24" spans="1:26" x14ac:dyDescent="0.25">
      <c r="A24" s="21" t="s">
        <v>35</v>
      </c>
      <c r="B24" s="281">
        <v>487</v>
      </c>
      <c r="C24" s="288">
        <v>13</v>
      </c>
      <c r="D24" s="288">
        <v>0</v>
      </c>
      <c r="E24" s="220">
        <v>0</v>
      </c>
      <c r="F24" s="220">
        <v>36</v>
      </c>
      <c r="G24" s="220">
        <v>0</v>
      </c>
      <c r="H24" s="220">
        <v>0</v>
      </c>
      <c r="I24" s="222">
        <v>31</v>
      </c>
      <c r="J24" s="221">
        <v>0</v>
      </c>
      <c r="K24" s="221">
        <f>+'FY24 KPIs'!M23</f>
        <v>0</v>
      </c>
      <c r="L24" s="221">
        <f>+'FY24 KPIs'!N23</f>
        <v>0</v>
      </c>
      <c r="M24" s="221">
        <f>+'FY24 KPIs'!O23</f>
        <v>0</v>
      </c>
      <c r="N24" s="85">
        <f>SUM(B24:M24)</f>
        <v>567</v>
      </c>
      <c r="Y24" s="393"/>
    </row>
    <row r="25" spans="1:26" ht="15.75" thickBot="1" x14ac:dyDescent="0.3">
      <c r="A25" s="18" t="s">
        <v>32</v>
      </c>
      <c r="B25" s="657">
        <v>1002</v>
      </c>
      <c r="C25" s="658">
        <v>2500</v>
      </c>
      <c r="D25" s="658">
        <v>2888</v>
      </c>
      <c r="E25" s="659">
        <v>859</v>
      </c>
      <c r="F25" s="660">
        <v>436</v>
      </c>
      <c r="G25" s="660">
        <v>1522</v>
      </c>
      <c r="H25" s="660">
        <v>2018</v>
      </c>
      <c r="I25" s="662">
        <v>769</v>
      </c>
      <c r="J25" s="661">
        <v>774</v>
      </c>
      <c r="K25" s="661">
        <f>+'FY24 KPIs'!M24</f>
        <v>480</v>
      </c>
      <c r="L25" s="661">
        <f>+'FY24 KPIs'!N24</f>
        <v>204</v>
      </c>
      <c r="M25" s="661">
        <f>+'FY24 KPIs'!O24</f>
        <v>654</v>
      </c>
      <c r="N25" s="89">
        <f>SUM(B25:M25)</f>
        <v>14106</v>
      </c>
      <c r="O25">
        <v>487</v>
      </c>
      <c r="P25">
        <f>SUM(B25:C25)</f>
        <v>3502</v>
      </c>
      <c r="Q25">
        <f>SUM(B25:D25)</f>
        <v>6390</v>
      </c>
      <c r="R25">
        <f>SUM(B25:E25)</f>
        <v>7249</v>
      </c>
      <c r="S25">
        <f>SUM(B25:F25)</f>
        <v>7685</v>
      </c>
      <c r="T25">
        <f>SUM(B25:G25)</f>
        <v>9207</v>
      </c>
      <c r="U25">
        <f>SUM(B25:H25)</f>
        <v>11225</v>
      </c>
      <c r="V25">
        <f>SUM(B25:I25)</f>
        <v>11994</v>
      </c>
      <c r="W25" s="393">
        <f>SUM(B25:J25)</f>
        <v>12768</v>
      </c>
      <c r="X25" s="393">
        <f>SUM(B25:K25)</f>
        <v>13248</v>
      </c>
      <c r="Y25" s="393">
        <f>SUM(B25:L25)</f>
        <v>13452</v>
      </c>
      <c r="Z25" s="393">
        <f>SUM(B25:M25)</f>
        <v>14106</v>
      </c>
    </row>
    <row r="26" spans="1:26" ht="15.75" thickBot="1" x14ac:dyDescent="0.3">
      <c r="A26" s="65" t="s">
        <v>33</v>
      </c>
      <c r="B26" s="736">
        <f>+'FY24 KPIs'!D26</f>
        <v>4</v>
      </c>
      <c r="C26" s="736">
        <f>+'FY24 KPIs'!E26</f>
        <v>6</v>
      </c>
      <c r="D26" s="736">
        <f>+'FY24 KPIs'!F26</f>
        <v>8</v>
      </c>
      <c r="E26" s="736">
        <f>+'FY24 KPIs'!G26</f>
        <v>7</v>
      </c>
      <c r="F26" s="736">
        <f>+'FY24 KPIs'!H26</f>
        <v>7</v>
      </c>
      <c r="G26" s="736">
        <f>+'FY24 KPIs'!I26</f>
        <v>18</v>
      </c>
      <c r="H26" s="736">
        <f>+'FY24 KPIs'!J26</f>
        <v>5</v>
      </c>
      <c r="I26" s="736">
        <f>+'FY24 KPIs'!K26</f>
        <v>6</v>
      </c>
      <c r="J26" s="736">
        <f>+'FY24 KPIs'!L26</f>
        <v>5</v>
      </c>
      <c r="K26" s="736">
        <f>+'FY24 KPIs'!M25</f>
        <v>14</v>
      </c>
      <c r="L26" s="736">
        <f>+'FY24 KPIs'!N25</f>
        <v>12</v>
      </c>
      <c r="M26" s="736">
        <f>+'FY24 KPIs'!O25</f>
        <v>7</v>
      </c>
      <c r="N26" s="90">
        <f>SUM(B26:M26)</f>
        <v>99</v>
      </c>
      <c r="O26">
        <v>1002</v>
      </c>
      <c r="P26">
        <f>SUM(B26:C26)</f>
        <v>10</v>
      </c>
      <c r="Q26">
        <f>SUM(B26:D26)</f>
        <v>18</v>
      </c>
      <c r="R26">
        <f>SUM(B26:E26)</f>
        <v>25</v>
      </c>
      <c r="S26">
        <f>SUM(B26:F26)</f>
        <v>32</v>
      </c>
      <c r="T26">
        <f>SUM(B26:G26)</f>
        <v>50</v>
      </c>
      <c r="U26">
        <f>SUM(B26:H26)</f>
        <v>55</v>
      </c>
      <c r="V26">
        <f>SUM(B26:I26)</f>
        <v>61</v>
      </c>
      <c r="W26" s="393">
        <f>SUM(B26:J26)</f>
        <v>66</v>
      </c>
      <c r="X26" s="393">
        <f>SUM(B26:K26)</f>
        <v>80</v>
      </c>
      <c r="Y26" s="393">
        <f>SUM(B26:L26)</f>
        <v>92</v>
      </c>
      <c r="Z26" s="393">
        <f>SUM(B26:M26)</f>
        <v>99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5DAB-230F-4483-85EA-2ABEFFBEE69E}">
  <dimension ref="A2:O9"/>
  <sheetViews>
    <sheetView workbookViewId="0">
      <selection activeCell="M15" sqref="M15"/>
    </sheetView>
  </sheetViews>
  <sheetFormatPr defaultRowHeight="15" x14ac:dyDescent="0.25"/>
  <cols>
    <col min="1" max="1" width="41.42578125" bestFit="1" customWidth="1"/>
  </cols>
  <sheetData>
    <row r="2" spans="1:15" ht="15.75" thickBot="1" x14ac:dyDescent="0.3">
      <c r="B2" s="2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6" t="s">
        <v>12</v>
      </c>
      <c r="M2" s="5" t="s">
        <v>13</v>
      </c>
      <c r="N2" s="64" t="s">
        <v>14</v>
      </c>
    </row>
    <row r="3" spans="1:15" ht="15.75" thickBot="1" x14ac:dyDescent="0.3">
      <c r="A3" s="523" t="s">
        <v>52</v>
      </c>
      <c r="B3" s="513">
        <v>0</v>
      </c>
      <c r="C3" s="289">
        <v>47</v>
      </c>
      <c r="D3" s="289">
        <v>22</v>
      </c>
      <c r="E3" s="401">
        <v>37</v>
      </c>
      <c r="F3" s="401">
        <v>16</v>
      </c>
      <c r="G3" s="229">
        <v>24</v>
      </c>
      <c r="H3" s="229">
        <v>12</v>
      </c>
      <c r="I3" s="28">
        <v>0</v>
      </c>
      <c r="J3" s="401">
        <v>0</v>
      </c>
      <c r="K3" s="229">
        <f>+'FY24 KPIs'!M42</f>
        <v>0</v>
      </c>
      <c r="L3" s="229">
        <f>+'FY24 KPIs'!N42</f>
        <v>0</v>
      </c>
      <c r="M3" s="29">
        <v>0</v>
      </c>
      <c r="N3" s="27">
        <f>+'FY24 KPIs'!P41</f>
        <v>128</v>
      </c>
      <c r="O3" s="27">
        <f>+'FY24 KPIs'!Q41</f>
        <v>0.85333333333333339</v>
      </c>
    </row>
    <row r="4" spans="1:15" ht="15.75" thickBot="1" x14ac:dyDescent="0.3">
      <c r="A4" s="524" t="s">
        <v>37</v>
      </c>
      <c r="B4" s="514">
        <v>0</v>
      </c>
      <c r="C4" s="396">
        <v>22</v>
      </c>
      <c r="D4" s="396">
        <v>62</v>
      </c>
      <c r="E4" s="399">
        <v>190</v>
      </c>
      <c r="F4" s="399">
        <v>263</v>
      </c>
      <c r="G4" s="227">
        <v>209</v>
      </c>
      <c r="H4" s="227">
        <v>136</v>
      </c>
      <c r="I4" s="625">
        <v>0</v>
      </c>
      <c r="J4" s="399">
        <v>0</v>
      </c>
      <c r="K4" s="229">
        <f>+'FY24 KPIs'!M43</f>
        <v>0</v>
      </c>
      <c r="L4" s="229">
        <f>+'FY24 KPIs'!N43</f>
        <v>0</v>
      </c>
      <c r="M4" s="407">
        <v>0</v>
      </c>
      <c r="N4" s="27">
        <f>+'FY24 KPIs'!P42</f>
        <v>158</v>
      </c>
      <c r="O4" s="27">
        <f>+'FY24 KPIs'!Q42</f>
        <v>0</v>
      </c>
    </row>
    <row r="5" spans="1:15" ht="15.75" thickBot="1" x14ac:dyDescent="0.3">
      <c r="A5" s="524" t="s">
        <v>38</v>
      </c>
      <c r="B5" s="514">
        <v>0</v>
      </c>
      <c r="C5" s="396">
        <v>64</v>
      </c>
      <c r="D5" s="396">
        <v>67</v>
      </c>
      <c r="E5" s="399">
        <v>96</v>
      </c>
      <c r="F5" s="399">
        <v>77</v>
      </c>
      <c r="G5" s="227">
        <v>16</v>
      </c>
      <c r="H5" s="227">
        <v>3</v>
      </c>
      <c r="I5" s="625">
        <v>0</v>
      </c>
      <c r="J5" s="399">
        <v>0</v>
      </c>
      <c r="K5" s="229">
        <f>+'FY24 KPIs'!M44</f>
        <v>0</v>
      </c>
      <c r="L5" s="229">
        <f>+'FY24 KPIs'!N44</f>
        <v>0</v>
      </c>
      <c r="M5" s="407">
        <v>0</v>
      </c>
      <c r="N5" s="27">
        <f>+'FY24 KPIs'!P43</f>
        <v>882</v>
      </c>
      <c r="O5" s="27">
        <f>+'FY24 KPIs'!Q43</f>
        <v>0</v>
      </c>
    </row>
    <row r="6" spans="1:15" ht="15.75" thickBot="1" x14ac:dyDescent="0.3">
      <c r="A6" s="524" t="s">
        <v>39</v>
      </c>
      <c r="B6" s="514">
        <v>786</v>
      </c>
      <c r="C6" s="396">
        <v>746</v>
      </c>
      <c r="D6" s="396">
        <v>865</v>
      </c>
      <c r="E6" s="399">
        <v>693</v>
      </c>
      <c r="F6" s="399">
        <v>994</v>
      </c>
      <c r="G6" s="227">
        <v>401</v>
      </c>
      <c r="H6" s="227">
        <v>520</v>
      </c>
      <c r="I6" s="625">
        <v>0</v>
      </c>
      <c r="J6" s="399">
        <v>0</v>
      </c>
      <c r="K6" s="229">
        <f>+'FY24 KPIs'!M45</f>
        <v>0</v>
      </c>
      <c r="L6" s="229">
        <f>+'FY24 KPIs'!N45</f>
        <v>0</v>
      </c>
      <c r="M6" s="407">
        <v>0</v>
      </c>
      <c r="N6" s="27">
        <f>+'FY24 KPIs'!P44</f>
        <v>323</v>
      </c>
      <c r="O6" s="27">
        <f>+'FY24 KPIs'!Q44</f>
        <v>0</v>
      </c>
    </row>
    <row r="7" spans="1:15" ht="15.75" thickBot="1" x14ac:dyDescent="0.3">
      <c r="A7" s="525" t="s">
        <v>53</v>
      </c>
      <c r="B7" s="514">
        <v>1185</v>
      </c>
      <c r="C7" s="396">
        <v>1251</v>
      </c>
      <c r="D7" s="396">
        <v>708</v>
      </c>
      <c r="E7" s="399">
        <v>1147</v>
      </c>
      <c r="F7" s="399">
        <v>1285</v>
      </c>
      <c r="G7" s="227">
        <v>1174</v>
      </c>
      <c r="H7" s="227">
        <v>253</v>
      </c>
      <c r="I7" s="625">
        <v>241</v>
      </c>
      <c r="J7" s="399">
        <v>108</v>
      </c>
      <c r="K7" s="229">
        <f>+'FY24 KPIs'!M46</f>
        <v>0</v>
      </c>
      <c r="L7" s="229">
        <f>+'FY24 KPIs'!N46</f>
        <v>0</v>
      </c>
      <c r="M7" s="407">
        <v>665</v>
      </c>
      <c r="N7" s="27">
        <f>+'FY24 KPIs'!P45</f>
        <v>5005</v>
      </c>
      <c r="O7" s="27">
        <f>+'FY24 KPIs'!Q45</f>
        <v>0</v>
      </c>
    </row>
    <row r="8" spans="1:15" ht="15.75" thickBot="1" x14ac:dyDescent="0.3">
      <c r="A8" s="525" t="s">
        <v>54</v>
      </c>
      <c r="B8" s="515">
        <v>230</v>
      </c>
      <c r="C8" s="464">
        <v>268</v>
      </c>
      <c r="D8" s="464">
        <v>234</v>
      </c>
      <c r="E8" s="465">
        <v>287</v>
      </c>
      <c r="F8" s="466">
        <v>285</v>
      </c>
      <c r="G8" s="465">
        <v>301</v>
      </c>
      <c r="H8" s="466">
        <v>286</v>
      </c>
      <c r="I8" s="199">
        <v>120</v>
      </c>
      <c r="J8" s="723">
        <v>16</v>
      </c>
      <c r="K8" s="229">
        <f>+'FY24 KPIs'!M47</f>
        <v>444</v>
      </c>
      <c r="L8" s="229">
        <f>+'FY24 KPIs'!N47</f>
        <v>1329</v>
      </c>
      <c r="M8" s="723">
        <v>1361</v>
      </c>
      <c r="N8" s="27">
        <f>+'FY24 KPIs'!P46</f>
        <v>8017</v>
      </c>
      <c r="O8" s="27">
        <f>+'FY24 KPIs'!Q46</f>
        <v>0</v>
      </c>
    </row>
    <row r="9" spans="1:15" ht="15.75" thickBot="1" x14ac:dyDescent="0.3">
      <c r="A9" s="526" t="s">
        <v>212</v>
      </c>
      <c r="B9" s="516"/>
      <c r="C9" s="491"/>
      <c r="D9" s="492"/>
      <c r="E9" s="492"/>
      <c r="F9" s="493"/>
      <c r="G9" s="493"/>
      <c r="H9" s="493"/>
      <c r="I9" s="671">
        <v>665</v>
      </c>
      <c r="J9" s="724">
        <v>706</v>
      </c>
      <c r="K9" s="229">
        <f>+'FY24 KPIs'!M48</f>
        <v>0</v>
      </c>
      <c r="L9" s="229">
        <f>+'FY24 KPIs'!N48</f>
        <v>0</v>
      </c>
      <c r="M9" s="2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884B-5701-4D2A-AAB8-21F5AC0BBF1B}">
  <dimension ref="A2:Q38"/>
  <sheetViews>
    <sheetView topLeftCell="A55" workbookViewId="0">
      <selection activeCell="O31" sqref="O31"/>
    </sheetView>
  </sheetViews>
  <sheetFormatPr defaultRowHeight="15" x14ac:dyDescent="0.25"/>
  <cols>
    <col min="3" max="3" width="77.7109375" bestFit="1" customWidth="1"/>
  </cols>
  <sheetData>
    <row r="2" spans="1:17" ht="15.75" thickBot="1" x14ac:dyDescent="0.3">
      <c r="D2" s="2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5" t="s">
        <v>10</v>
      </c>
      <c r="M2" s="4" t="s">
        <v>11</v>
      </c>
      <c r="N2" s="6" t="s">
        <v>12</v>
      </c>
      <c r="O2" s="5" t="s">
        <v>13</v>
      </c>
      <c r="P2" s="64" t="s">
        <v>14</v>
      </c>
    </row>
    <row r="3" spans="1:17" ht="15.75" thickBot="1" x14ac:dyDescent="0.3">
      <c r="A3" s="819" t="s">
        <v>70</v>
      </c>
      <c r="B3" s="26"/>
      <c r="C3" s="648" t="s">
        <v>170</v>
      </c>
      <c r="D3" s="30">
        <f>+'FY24 KPIs'!D25</f>
        <v>4</v>
      </c>
      <c r="E3" s="30">
        <f>+'FY24 KPIs'!E25</f>
        <v>7</v>
      </c>
      <c r="F3" s="30">
        <f>+'FY24 KPIs'!F25</f>
        <v>7</v>
      </c>
      <c r="G3" s="30">
        <f>+'FY24 KPIs'!G25</f>
        <v>6</v>
      </c>
      <c r="H3" s="30">
        <f>+'FY24 KPIs'!H25</f>
        <v>9</v>
      </c>
      <c r="I3" s="30">
        <f>+'FY24 KPIs'!I25</f>
        <v>18</v>
      </c>
      <c r="J3" s="30">
        <f>+'FY24 KPIs'!J25</f>
        <v>9</v>
      </c>
      <c r="K3" s="30">
        <f>+'FY24 KPIs'!K25</f>
        <v>9</v>
      </c>
      <c r="L3" s="30">
        <f>+'FY24 KPIs'!L25</f>
        <v>6</v>
      </c>
      <c r="M3" s="30">
        <f>+'FY24 KPIs'!M25</f>
        <v>14</v>
      </c>
      <c r="N3" s="30">
        <f>+'FY24 KPIs'!N25</f>
        <v>12</v>
      </c>
      <c r="O3" s="30">
        <f>+'FY24 KPIs'!O25</f>
        <v>7</v>
      </c>
      <c r="P3" s="91">
        <f t="shared" ref="P3:P19" si="0">SUM(D3:O3)</f>
        <v>108</v>
      </c>
      <c r="Q3" s="71">
        <f>SUM(P3/65)</f>
        <v>1.6615384615384616</v>
      </c>
    </row>
    <row r="4" spans="1:17" ht="15.75" thickBot="1" x14ac:dyDescent="0.3">
      <c r="A4" s="820"/>
      <c r="B4" s="26"/>
      <c r="C4" s="451" t="s">
        <v>171</v>
      </c>
      <c r="D4" s="30">
        <f>+'FY24 KPIs'!D26</f>
        <v>4</v>
      </c>
      <c r="E4" s="30">
        <f>+'FY24 KPIs'!E26</f>
        <v>6</v>
      </c>
      <c r="F4" s="30">
        <f>+'FY24 KPIs'!F26</f>
        <v>8</v>
      </c>
      <c r="G4" s="30">
        <f>+'FY24 KPIs'!G26</f>
        <v>7</v>
      </c>
      <c r="H4" s="30">
        <f>+'FY24 KPIs'!H26</f>
        <v>7</v>
      </c>
      <c r="I4" s="30">
        <f>+'FY24 KPIs'!I26</f>
        <v>18</v>
      </c>
      <c r="J4" s="30">
        <f>+'FY24 KPIs'!J26</f>
        <v>5</v>
      </c>
      <c r="K4" s="30">
        <f>+'FY24 KPIs'!K26</f>
        <v>6</v>
      </c>
      <c r="L4" s="30">
        <f>+'FY24 KPIs'!L26</f>
        <v>5</v>
      </c>
      <c r="M4" s="30">
        <f>+'FY24 KPIs'!M26</f>
        <v>5</v>
      </c>
      <c r="N4" s="30">
        <f>+'FY24 KPIs'!N26</f>
        <v>0</v>
      </c>
      <c r="O4" s="30">
        <f>+'FY24 KPIs'!O26</f>
        <v>0</v>
      </c>
      <c r="P4" s="70">
        <f t="shared" si="0"/>
        <v>71</v>
      </c>
      <c r="Q4" s="71">
        <f>SUM(P4/65)</f>
        <v>1.0923076923076922</v>
      </c>
    </row>
    <row r="5" spans="1:17" ht="15.75" thickBot="1" x14ac:dyDescent="0.3">
      <c r="A5" s="820"/>
      <c r="B5" s="26"/>
      <c r="C5" s="451" t="s">
        <v>172</v>
      </c>
      <c r="D5" s="30">
        <f>+'FY24 KPIs'!D27</f>
        <v>11</v>
      </c>
      <c r="E5" s="30">
        <f>+'FY24 KPIs'!E27</f>
        <v>12</v>
      </c>
      <c r="F5" s="30">
        <f>+'FY24 KPIs'!F27</f>
        <v>32</v>
      </c>
      <c r="G5" s="30">
        <f>+'FY24 KPIs'!G27</f>
        <v>26</v>
      </c>
      <c r="H5" s="30">
        <f>+'FY24 KPIs'!H27</f>
        <v>34</v>
      </c>
      <c r="I5" s="30">
        <f>+'FY24 KPIs'!I27</f>
        <v>24</v>
      </c>
      <c r="J5" s="30">
        <f>+'FY24 KPIs'!J27</f>
        <v>21</v>
      </c>
      <c r="K5" s="30">
        <f>+'FY24 KPIs'!K27</f>
        <v>15</v>
      </c>
      <c r="L5" s="30">
        <f>+'FY24 KPIs'!L27</f>
        <v>13</v>
      </c>
      <c r="M5" s="30">
        <f>+'FY24 KPIs'!M27</f>
        <v>4</v>
      </c>
      <c r="N5" s="30">
        <f>+'FY24 KPIs'!N27</f>
        <v>0</v>
      </c>
      <c r="O5" s="30">
        <f>+'FY24 KPIs'!O27</f>
        <v>3</v>
      </c>
      <c r="P5" s="70">
        <f t="shared" si="0"/>
        <v>195</v>
      </c>
      <c r="Q5" s="71">
        <f>SUM(P5/200)</f>
        <v>0.97499999999999998</v>
      </c>
    </row>
    <row r="6" spans="1:17" ht="15.75" thickBot="1" x14ac:dyDescent="0.3">
      <c r="A6" s="820"/>
      <c r="B6" s="26"/>
      <c r="C6" s="452" t="s">
        <v>201</v>
      </c>
      <c r="D6" s="30">
        <f>+'FY24 KPIs'!D28</f>
        <v>0</v>
      </c>
      <c r="E6" s="30">
        <f>+'FY24 KPIs'!E28</f>
        <v>0</v>
      </c>
      <c r="F6" s="30">
        <f>+'FY24 KPIs'!F28</f>
        <v>0</v>
      </c>
      <c r="G6" s="30">
        <f>+'FY24 KPIs'!G28</f>
        <v>0</v>
      </c>
      <c r="H6" s="30">
        <f>+'FY24 KPIs'!H28</f>
        <v>0</v>
      </c>
      <c r="I6" s="30">
        <f>+'FY24 KPIs'!I28</f>
        <v>0</v>
      </c>
      <c r="J6" s="30">
        <f>+'FY24 KPIs'!J28</f>
        <v>0</v>
      </c>
      <c r="K6" s="30">
        <f>+'FY24 KPIs'!K28</f>
        <v>85</v>
      </c>
      <c r="L6" s="30">
        <f>+'FY24 KPIs'!L28</f>
        <v>136</v>
      </c>
      <c r="M6" s="30">
        <f>+'FY24 KPIs'!M28</f>
        <v>149</v>
      </c>
      <c r="N6" s="30">
        <f>+'FY24 KPIs'!N28</f>
        <v>170</v>
      </c>
      <c r="O6" s="30">
        <f>+'FY24 KPIs'!O28</f>
        <v>186</v>
      </c>
      <c r="P6" s="70">
        <f t="shared" si="0"/>
        <v>726</v>
      </c>
      <c r="Q6" s="71"/>
    </row>
    <row r="7" spans="1:17" ht="15.75" thickBot="1" x14ac:dyDescent="0.3">
      <c r="A7" s="820"/>
      <c r="B7" s="26"/>
      <c r="C7" s="451" t="s">
        <v>223</v>
      </c>
      <c r="D7" s="30">
        <f>+'FY24 KPIs'!D29</f>
        <v>1</v>
      </c>
      <c r="E7" s="30">
        <f>+'FY24 KPIs'!E29</f>
        <v>1</v>
      </c>
      <c r="F7" s="30">
        <f>+'FY24 KPIs'!F29</f>
        <v>6</v>
      </c>
      <c r="G7" s="30">
        <f>+'FY24 KPIs'!G29</f>
        <v>0</v>
      </c>
      <c r="H7" s="30">
        <f>+'FY24 KPIs'!H29</f>
        <v>3</v>
      </c>
      <c r="I7" s="30">
        <f>+'FY24 KPIs'!I29</f>
        <v>0</v>
      </c>
      <c r="J7" s="30">
        <f>+'FY24 KPIs'!J29</f>
        <v>6</v>
      </c>
      <c r="K7" s="30">
        <f>+'FY24 KPIs'!K29</f>
        <v>10</v>
      </c>
      <c r="L7" s="30">
        <f>+'FY24 KPIs'!L29</f>
        <v>4</v>
      </c>
      <c r="M7" s="30">
        <f>+'FY24 KPIs'!M29</f>
        <v>3</v>
      </c>
      <c r="N7" s="30">
        <f>+'FY24 KPIs'!N29</f>
        <v>0</v>
      </c>
      <c r="O7" s="30">
        <f>+'FY24 KPIs'!O29</f>
        <v>2</v>
      </c>
      <c r="P7" s="70">
        <f t="shared" si="0"/>
        <v>36</v>
      </c>
      <c r="Q7" s="71">
        <f>SUM(P7/20)</f>
        <v>1.8</v>
      </c>
    </row>
    <row r="8" spans="1:17" ht="15.75" thickBot="1" x14ac:dyDescent="0.3">
      <c r="A8" s="820"/>
      <c r="B8" s="26"/>
      <c r="C8" s="451" t="s">
        <v>174</v>
      </c>
      <c r="D8" s="30">
        <f>+'FY24 KPIs'!D30</f>
        <v>26</v>
      </c>
      <c r="E8" s="30">
        <f>+'FY24 KPIs'!E30</f>
        <v>26</v>
      </c>
      <c r="F8" s="30">
        <f>+'FY24 KPIs'!F30</f>
        <v>16</v>
      </c>
      <c r="G8" s="30">
        <f>+'FY24 KPIs'!G30</f>
        <v>18</v>
      </c>
      <c r="H8" s="30">
        <f>+'FY24 KPIs'!H30</f>
        <v>25</v>
      </c>
      <c r="I8" s="30">
        <f>+'FY24 KPIs'!I30</f>
        <v>37</v>
      </c>
      <c r="J8" s="30">
        <f>+'FY24 KPIs'!J30</f>
        <v>25</v>
      </c>
      <c r="K8" s="30">
        <f>+'FY24 KPIs'!K30</f>
        <v>2</v>
      </c>
      <c r="L8" s="30">
        <f>+'FY24 KPIs'!L30</f>
        <v>0</v>
      </c>
      <c r="M8" s="30">
        <f>+'FY24 KPIs'!M30</f>
        <v>11</v>
      </c>
      <c r="N8" s="30">
        <f>+'FY24 KPIs'!N30</f>
        <v>0</v>
      </c>
      <c r="O8" s="30">
        <f>+'FY24 KPIs'!O30</f>
        <v>0</v>
      </c>
      <c r="P8" s="70">
        <f t="shared" si="0"/>
        <v>186</v>
      </c>
      <c r="Q8" s="71">
        <f>SUM(P8/100)</f>
        <v>1.86</v>
      </c>
    </row>
    <row r="9" spans="1:17" ht="15.75" thickBot="1" x14ac:dyDescent="0.3">
      <c r="A9" s="820"/>
      <c r="B9" s="26"/>
      <c r="C9" s="452" t="s">
        <v>202</v>
      </c>
      <c r="D9" s="30">
        <f>+'FY24 KPIs'!D31</f>
        <v>0</v>
      </c>
      <c r="E9" s="30">
        <f>+'FY24 KPIs'!E31</f>
        <v>0</v>
      </c>
      <c r="F9" s="30">
        <f>+'FY24 KPIs'!F31</f>
        <v>0</v>
      </c>
      <c r="G9" s="30">
        <f>+'FY24 KPIs'!G31</f>
        <v>0</v>
      </c>
      <c r="H9" s="30">
        <f>+'FY24 KPIs'!H31</f>
        <v>0</v>
      </c>
      <c r="I9" s="30">
        <f>+'FY24 KPIs'!I31</f>
        <v>0</v>
      </c>
      <c r="J9" s="30">
        <f>+'FY24 KPIs'!J31</f>
        <v>0</v>
      </c>
      <c r="K9" s="30">
        <f>+'FY24 KPIs'!K31</f>
        <v>80</v>
      </c>
      <c r="L9" s="30">
        <f>+'FY24 KPIs'!L31</f>
        <v>44</v>
      </c>
      <c r="M9" s="30">
        <f>+'FY24 KPIs'!M31</f>
        <v>55</v>
      </c>
      <c r="N9" s="30">
        <f>+'FY24 KPIs'!N31</f>
        <v>68</v>
      </c>
      <c r="O9" s="30">
        <f>+'FY24 KPIs'!O31</f>
        <v>79</v>
      </c>
      <c r="P9" s="70">
        <f t="shared" si="0"/>
        <v>326</v>
      </c>
      <c r="Q9" s="71"/>
    </row>
    <row r="10" spans="1:17" ht="15.75" thickBot="1" x14ac:dyDescent="0.3">
      <c r="A10" s="820"/>
      <c r="B10" s="26"/>
      <c r="C10" s="451" t="s">
        <v>175</v>
      </c>
      <c r="D10" s="30">
        <f>+'FY24 KPIs'!D32</f>
        <v>3</v>
      </c>
      <c r="E10" s="30">
        <f>+'FY24 KPIs'!E32</f>
        <v>4</v>
      </c>
      <c r="F10" s="30">
        <f>+'FY24 KPIs'!F32</f>
        <v>7</v>
      </c>
      <c r="G10" s="30">
        <f>+'FY24 KPIs'!G32</f>
        <v>2</v>
      </c>
      <c r="H10" s="30">
        <f>+'FY24 KPIs'!H32</f>
        <v>0</v>
      </c>
      <c r="I10" s="30">
        <f>+'FY24 KPIs'!I32</f>
        <v>2</v>
      </c>
      <c r="J10" s="30">
        <f>+'FY24 KPIs'!J32</f>
        <v>3</v>
      </c>
      <c r="K10" s="30">
        <f>+'FY24 KPIs'!K32</f>
        <v>7</v>
      </c>
      <c r="L10" s="30">
        <f>+'FY24 KPIs'!L32</f>
        <v>1</v>
      </c>
      <c r="M10" s="30">
        <f>+'FY24 KPIs'!M32</f>
        <v>2</v>
      </c>
      <c r="N10" s="30">
        <f>+'FY24 KPIs'!N32</f>
        <v>7</v>
      </c>
      <c r="O10" s="30">
        <f>+'FY24 KPIs'!O32</f>
        <v>1</v>
      </c>
      <c r="P10" s="70">
        <f t="shared" si="0"/>
        <v>39</v>
      </c>
      <c r="Q10" s="71">
        <f>SUM(P10/80)</f>
        <v>0.48749999999999999</v>
      </c>
    </row>
    <row r="11" spans="1:17" ht="15.75" thickBot="1" x14ac:dyDescent="0.3">
      <c r="A11" s="820"/>
      <c r="B11" s="26"/>
      <c r="C11" s="452" t="s">
        <v>203</v>
      </c>
      <c r="D11" s="30">
        <f>+'FY24 KPIs'!D33</f>
        <v>0</v>
      </c>
      <c r="E11" s="30">
        <f>+'FY24 KPIs'!E33</f>
        <v>0</v>
      </c>
      <c r="F11" s="30">
        <f>+'FY24 KPIs'!F33</f>
        <v>0</v>
      </c>
      <c r="G11" s="30">
        <f>+'FY24 KPIs'!G33</f>
        <v>0</v>
      </c>
      <c r="H11" s="30">
        <f>+'FY24 KPIs'!H33</f>
        <v>0</v>
      </c>
      <c r="I11" s="30">
        <f>+'FY24 KPIs'!I33</f>
        <v>0</v>
      </c>
      <c r="J11" s="30">
        <f>+'FY24 KPIs'!J33</f>
        <v>0</v>
      </c>
      <c r="K11" s="30">
        <f>+'FY24 KPIs'!K33</f>
        <v>448</v>
      </c>
      <c r="L11" s="30">
        <f>+'FY24 KPIs'!L33</f>
        <v>490</v>
      </c>
      <c r="M11" s="30">
        <f>+'FY24 KPIs'!M33</f>
        <v>497</v>
      </c>
      <c r="N11" s="30">
        <f>+'FY24 KPIs'!N33</f>
        <v>523</v>
      </c>
      <c r="O11" s="30">
        <f>+'FY24 KPIs'!O33</f>
        <v>554</v>
      </c>
      <c r="P11" s="70">
        <f t="shared" si="0"/>
        <v>2512</v>
      </c>
      <c r="Q11" s="71"/>
    </row>
    <row r="12" spans="1:17" ht="15.75" thickBot="1" x14ac:dyDescent="0.3">
      <c r="A12" s="820"/>
      <c r="B12" s="26"/>
      <c r="C12" s="451" t="s">
        <v>40</v>
      </c>
      <c r="D12" s="30">
        <f>+'FY24 KPIs'!D34</f>
        <v>0</v>
      </c>
      <c r="E12" s="30">
        <f>+'FY24 KPIs'!E34</f>
        <v>1</v>
      </c>
      <c r="F12" s="30">
        <f>+'FY24 KPIs'!F34</f>
        <v>0</v>
      </c>
      <c r="G12" s="30">
        <f>+'FY24 KPIs'!G34</f>
        <v>0</v>
      </c>
      <c r="H12" s="30">
        <f>+'FY24 KPIs'!H34</f>
        <v>0</v>
      </c>
      <c r="I12" s="30">
        <f>+'FY24 KPIs'!I34</f>
        <v>0</v>
      </c>
      <c r="J12" s="30">
        <f>+'FY24 KPIs'!J34</f>
        <v>0</v>
      </c>
      <c r="K12" s="30">
        <f>+'FY24 KPIs'!K34</f>
        <v>0</v>
      </c>
      <c r="L12" s="30">
        <f>+'FY24 KPIs'!L34</f>
        <v>0</v>
      </c>
      <c r="M12" s="30">
        <f>+'FY24 KPIs'!M34</f>
        <v>1</v>
      </c>
      <c r="N12" s="30">
        <f>+'FY24 KPIs'!N34</f>
        <v>0</v>
      </c>
      <c r="O12" s="30">
        <f>+'FY24 KPIs'!O34</f>
        <v>0</v>
      </c>
      <c r="P12" s="70">
        <f t="shared" si="0"/>
        <v>2</v>
      </c>
      <c r="Q12" s="71">
        <f>SUM(P12/20)</f>
        <v>0.1</v>
      </c>
    </row>
    <row r="13" spans="1:17" ht="15.75" thickBot="1" x14ac:dyDescent="0.3">
      <c r="A13" s="820"/>
      <c r="B13" s="26"/>
      <c r="C13" s="451" t="s">
        <v>41</v>
      </c>
      <c r="D13" s="30">
        <f>+'FY24 KPIs'!D35</f>
        <v>0</v>
      </c>
      <c r="E13" s="30">
        <f>+'FY24 KPIs'!E35</f>
        <v>0</v>
      </c>
      <c r="F13" s="30">
        <f>+'FY24 KPIs'!F35</f>
        <v>0</v>
      </c>
      <c r="G13" s="30">
        <f>+'FY24 KPIs'!G35</f>
        <v>6</v>
      </c>
      <c r="H13" s="30">
        <f>+'FY24 KPIs'!H35</f>
        <v>0</v>
      </c>
      <c r="I13" s="30">
        <f>+'FY24 KPIs'!I35</f>
        <v>0</v>
      </c>
      <c r="J13" s="30">
        <f>+'FY24 KPIs'!J35</f>
        <v>0</v>
      </c>
      <c r="K13" s="30">
        <f>+'FY24 KPIs'!K35</f>
        <v>0</v>
      </c>
      <c r="L13" s="30">
        <f>+'FY24 KPIs'!L35</f>
        <v>0</v>
      </c>
      <c r="M13" s="30">
        <f>+'FY24 KPIs'!M35</f>
        <v>0</v>
      </c>
      <c r="N13" s="30">
        <f>+'FY24 KPIs'!N35</f>
        <v>0</v>
      </c>
      <c r="O13" s="30">
        <f>+'FY24 KPIs'!O35</f>
        <v>0</v>
      </c>
      <c r="P13" s="70">
        <f t="shared" si="0"/>
        <v>6</v>
      </c>
      <c r="Q13" s="71">
        <f>SUM(P13/6)</f>
        <v>1</v>
      </c>
    </row>
    <row r="14" spans="1:17" ht="15.75" thickBot="1" x14ac:dyDescent="0.3">
      <c r="A14" s="820"/>
      <c r="B14" s="26"/>
      <c r="C14" s="453" t="s">
        <v>176</v>
      </c>
      <c r="D14" s="30">
        <f>+'FY24 KPIs'!D36</f>
        <v>0</v>
      </c>
      <c r="E14" s="30">
        <f>+'FY24 KPIs'!E36</f>
        <v>0</v>
      </c>
      <c r="F14" s="30">
        <f>+'FY24 KPIs'!F36</f>
        <v>0</v>
      </c>
      <c r="G14" s="30">
        <f>+'FY24 KPIs'!G36</f>
        <v>0</v>
      </c>
      <c r="H14" s="30">
        <f>+'FY24 KPIs'!H36</f>
        <v>0</v>
      </c>
      <c r="I14" s="30">
        <f>+'FY24 KPIs'!I36</f>
        <v>0</v>
      </c>
      <c r="J14" s="30">
        <f>+'FY24 KPIs'!J36</f>
        <v>0</v>
      </c>
      <c r="K14" s="30">
        <f>+'FY24 KPIs'!K36</f>
        <v>0</v>
      </c>
      <c r="L14" s="30">
        <f>+'FY24 KPIs'!L36</f>
        <v>0</v>
      </c>
      <c r="M14" s="30">
        <f>+'FY24 KPIs'!M36</f>
        <v>0</v>
      </c>
      <c r="N14" s="30">
        <f>+'FY24 KPIs'!N36</f>
        <v>0</v>
      </c>
      <c r="O14" s="30">
        <f>+'FY24 KPIs'!O36</f>
        <v>0</v>
      </c>
      <c r="P14" s="70">
        <f t="shared" si="0"/>
        <v>0</v>
      </c>
      <c r="Q14" s="71">
        <f>SUM(P14/4)</f>
        <v>0</v>
      </c>
    </row>
    <row r="15" spans="1:17" ht="15.75" thickBot="1" x14ac:dyDescent="0.3">
      <c r="A15" s="820"/>
      <c r="B15" s="26"/>
      <c r="C15" s="451" t="s">
        <v>55</v>
      </c>
      <c r="D15" s="30">
        <f>+'FY24 KPIs'!D37</f>
        <v>2</v>
      </c>
      <c r="E15" s="30">
        <f>+'FY24 KPIs'!E37</f>
        <v>0</v>
      </c>
      <c r="F15" s="30">
        <f>+'FY24 KPIs'!F37</f>
        <v>0</v>
      </c>
      <c r="G15" s="30">
        <f>+'FY24 KPIs'!G37</f>
        <v>0</v>
      </c>
      <c r="H15" s="30">
        <f>+'FY24 KPIs'!H37</f>
        <v>2</v>
      </c>
      <c r="I15" s="30">
        <f>+'FY24 KPIs'!I37</f>
        <v>1</v>
      </c>
      <c r="J15" s="30">
        <f>+'FY24 KPIs'!J37</f>
        <v>1</v>
      </c>
      <c r="K15" s="30">
        <f>+'FY24 KPIs'!K37</f>
        <v>0</v>
      </c>
      <c r="L15" s="30">
        <f>+'FY24 KPIs'!L37</f>
        <v>0</v>
      </c>
      <c r="M15" s="30">
        <f>+'FY24 KPIs'!M37</f>
        <v>0</v>
      </c>
      <c r="N15" s="30">
        <f>+'FY24 KPIs'!N37</f>
        <v>3</v>
      </c>
      <c r="O15" s="30">
        <f>+'FY24 KPIs'!O37</f>
        <v>0</v>
      </c>
      <c r="P15" s="70">
        <f t="shared" si="0"/>
        <v>9</v>
      </c>
      <c r="Q15" s="71">
        <f>SUM(P15/9)</f>
        <v>1</v>
      </c>
    </row>
    <row r="16" spans="1:17" ht="15.75" thickBot="1" x14ac:dyDescent="0.3">
      <c r="A16" s="820"/>
      <c r="B16" s="26"/>
      <c r="C16" s="451" t="s">
        <v>177</v>
      </c>
      <c r="D16" s="30">
        <f>+'FY24 KPIs'!D38</f>
        <v>0</v>
      </c>
      <c r="E16" s="30">
        <f>+'FY24 KPIs'!E38</f>
        <v>0</v>
      </c>
      <c r="F16" s="30">
        <f>+'FY24 KPIs'!F38</f>
        <v>3</v>
      </c>
      <c r="G16" s="30">
        <f>+'FY24 KPIs'!G38</f>
        <v>0</v>
      </c>
      <c r="H16" s="30">
        <f>+'FY24 KPIs'!H38</f>
        <v>2</v>
      </c>
      <c r="I16" s="30">
        <f>+'FY24 KPIs'!I38</f>
        <v>3</v>
      </c>
      <c r="J16" s="30">
        <f>+'FY24 KPIs'!J38</f>
        <v>0</v>
      </c>
      <c r="K16" s="30">
        <f>+'FY24 KPIs'!K38</f>
        <v>0</v>
      </c>
      <c r="L16" s="30">
        <f>+'FY24 KPIs'!L38</f>
        <v>0</v>
      </c>
      <c r="M16" s="30">
        <f>+'FY24 KPIs'!M38</f>
        <v>0</v>
      </c>
      <c r="N16" s="30">
        <f>+'FY24 KPIs'!N38</f>
        <v>0</v>
      </c>
      <c r="O16" s="30">
        <f>+'FY24 KPIs'!O38</f>
        <v>0</v>
      </c>
      <c r="P16" s="70">
        <f t="shared" si="0"/>
        <v>8</v>
      </c>
      <c r="Q16" s="71">
        <f>SUM(P16/75)</f>
        <v>0.10666666666666667</v>
      </c>
    </row>
    <row r="17" spans="3:17" ht="15.75" thickBot="1" x14ac:dyDescent="0.3">
      <c r="C17" s="451" t="s">
        <v>49</v>
      </c>
      <c r="D17" s="30">
        <f>+'FY24 KPIs'!D39</f>
        <v>0</v>
      </c>
      <c r="E17" s="30">
        <f>+'FY24 KPIs'!E39</f>
        <v>5</v>
      </c>
      <c r="F17" s="30">
        <f>+'FY24 KPIs'!F39</f>
        <v>5</v>
      </c>
      <c r="G17" s="30">
        <f>+'FY24 KPIs'!G39</f>
        <v>6</v>
      </c>
      <c r="H17" s="30">
        <f>+'FY24 KPIs'!H39</f>
        <v>4</v>
      </c>
      <c r="I17" s="30">
        <f>+'FY24 KPIs'!I39</f>
        <v>0</v>
      </c>
      <c r="J17" s="30">
        <f>+'FY24 KPIs'!J39</f>
        <v>0</v>
      </c>
      <c r="K17" s="30">
        <f>+'FY24 KPIs'!K39</f>
        <v>6</v>
      </c>
      <c r="L17" s="30">
        <f>+'FY24 KPIs'!L39</f>
        <v>6</v>
      </c>
      <c r="M17" s="30">
        <f>+'FY24 KPIs'!M39</f>
        <v>22</v>
      </c>
      <c r="N17" s="30">
        <f>+'FY24 KPIs'!N39</f>
        <v>0</v>
      </c>
      <c r="O17" s="30">
        <f>+'FY24 KPIs'!O39</f>
        <v>26</v>
      </c>
      <c r="P17" s="70">
        <f t="shared" si="0"/>
        <v>80</v>
      </c>
      <c r="Q17" s="71">
        <f>SUM(P17/75)</f>
        <v>1.0666666666666667</v>
      </c>
    </row>
    <row r="18" spans="3:17" ht="15.75" thickBot="1" x14ac:dyDescent="0.3">
      <c r="C18" s="451" t="s">
        <v>56</v>
      </c>
      <c r="D18" s="30">
        <f>+'FY24 KPIs'!D40</f>
        <v>12</v>
      </c>
      <c r="E18" s="30">
        <f>+'FY24 KPIs'!E40</f>
        <v>33</v>
      </c>
      <c r="F18" s="30">
        <f>+'FY24 KPIs'!F40</f>
        <v>32</v>
      </c>
      <c r="G18" s="30">
        <f>+'FY24 KPIs'!G40</f>
        <v>26</v>
      </c>
      <c r="H18" s="30">
        <f>+'FY24 KPIs'!H40</f>
        <v>29</v>
      </c>
      <c r="I18" s="30">
        <f>+'FY24 KPIs'!I40</f>
        <v>59</v>
      </c>
      <c r="J18" s="30">
        <f>+'FY24 KPIs'!J40</f>
        <v>42</v>
      </c>
      <c r="K18" s="30">
        <f>+'FY24 KPIs'!K40</f>
        <v>49</v>
      </c>
      <c r="L18" s="30">
        <f>+'FY24 KPIs'!L40</f>
        <v>35</v>
      </c>
      <c r="M18" s="30">
        <f>+'FY24 KPIs'!M40</f>
        <v>39</v>
      </c>
      <c r="N18" s="30">
        <f>+'FY24 KPIs'!N40</f>
        <v>26</v>
      </c>
      <c r="O18" s="30">
        <f>+'FY24 KPIs'!O40</f>
        <v>123</v>
      </c>
      <c r="P18" s="70">
        <f t="shared" si="0"/>
        <v>505</v>
      </c>
      <c r="Q18" s="71">
        <f>SUM(P18/300)</f>
        <v>1.6833333333333333</v>
      </c>
    </row>
    <row r="19" spans="3:17" ht="15.75" thickBot="1" x14ac:dyDescent="0.3">
      <c r="C19" s="522" t="s">
        <v>50</v>
      </c>
      <c r="D19" s="30">
        <f>+'FY24 KPIs'!D41</f>
        <v>2</v>
      </c>
      <c r="E19" s="30">
        <f>+'FY24 KPIs'!E41</f>
        <v>7</v>
      </c>
      <c r="F19" s="30">
        <f>+'FY24 KPIs'!F41</f>
        <v>6</v>
      </c>
      <c r="G19" s="30">
        <f>+'FY24 KPIs'!G41</f>
        <v>9</v>
      </c>
      <c r="H19" s="30">
        <f>+'FY24 KPIs'!H41</f>
        <v>5</v>
      </c>
      <c r="I19" s="30">
        <f>+'FY24 KPIs'!I41</f>
        <v>18</v>
      </c>
      <c r="J19" s="30">
        <f>+'FY24 KPIs'!J41</f>
        <v>14</v>
      </c>
      <c r="K19" s="30">
        <f>+'FY24 KPIs'!K41</f>
        <v>11</v>
      </c>
      <c r="L19" s="30">
        <f>+'FY24 KPIs'!L41</f>
        <v>7</v>
      </c>
      <c r="M19" s="30">
        <f>+'FY24 KPIs'!M41</f>
        <v>3</v>
      </c>
      <c r="N19" s="30">
        <f>+'FY24 KPIs'!N41</f>
        <v>4</v>
      </c>
      <c r="O19" s="30">
        <f>+'FY24 KPIs'!O41</f>
        <v>42</v>
      </c>
      <c r="P19" s="70">
        <f t="shared" si="0"/>
        <v>128</v>
      </c>
      <c r="Q19" s="71">
        <f>SUM(P19/150)</f>
        <v>0.85333333333333339</v>
      </c>
    </row>
    <row r="20" spans="3:17" x14ac:dyDescent="0.25">
      <c r="C20" s="451" t="s">
        <v>224</v>
      </c>
      <c r="D20">
        <v>12</v>
      </c>
      <c r="E20">
        <f>SUM(D18:E18)</f>
        <v>45</v>
      </c>
      <c r="F20" s="393">
        <f t="shared" ref="F20:O20" si="1">SUM(E20+F18)</f>
        <v>77</v>
      </c>
      <c r="G20">
        <f t="shared" si="1"/>
        <v>103</v>
      </c>
      <c r="H20">
        <f t="shared" si="1"/>
        <v>132</v>
      </c>
      <c r="I20">
        <f t="shared" si="1"/>
        <v>191</v>
      </c>
      <c r="J20">
        <f t="shared" si="1"/>
        <v>233</v>
      </c>
      <c r="K20">
        <f t="shared" si="1"/>
        <v>282</v>
      </c>
      <c r="L20">
        <f t="shared" si="1"/>
        <v>317</v>
      </c>
      <c r="M20">
        <f t="shared" si="1"/>
        <v>356</v>
      </c>
      <c r="N20">
        <f t="shared" si="1"/>
        <v>382</v>
      </c>
      <c r="O20">
        <f t="shared" si="1"/>
        <v>505</v>
      </c>
    </row>
    <row r="21" spans="3:17" ht="15.75" thickBot="1" x14ac:dyDescent="0.3">
      <c r="C21" s="522" t="s">
        <v>225</v>
      </c>
      <c r="D21">
        <v>2</v>
      </c>
      <c r="E21">
        <f>SUM(D19:E19)</f>
        <v>9</v>
      </c>
      <c r="F21">
        <f t="shared" ref="F21:O21" si="2">SUM(E21+F19)</f>
        <v>15</v>
      </c>
      <c r="G21">
        <f t="shared" si="2"/>
        <v>24</v>
      </c>
      <c r="H21">
        <f t="shared" si="2"/>
        <v>29</v>
      </c>
      <c r="I21">
        <f t="shared" si="2"/>
        <v>47</v>
      </c>
      <c r="J21">
        <f t="shared" si="2"/>
        <v>61</v>
      </c>
      <c r="K21">
        <f t="shared" si="2"/>
        <v>72</v>
      </c>
      <c r="L21">
        <f t="shared" si="2"/>
        <v>79</v>
      </c>
      <c r="M21">
        <f t="shared" si="2"/>
        <v>82</v>
      </c>
      <c r="N21">
        <f t="shared" si="2"/>
        <v>86</v>
      </c>
      <c r="O21">
        <f t="shared" si="2"/>
        <v>128</v>
      </c>
    </row>
    <row r="22" spans="3:17" s="393" customFormat="1" x14ac:dyDescent="0.25">
      <c r="C22" s="451" t="s">
        <v>177</v>
      </c>
      <c r="D22" s="393">
        <v>0</v>
      </c>
      <c r="E22" s="393">
        <f>SUM(D22+E16)</f>
        <v>0</v>
      </c>
      <c r="F22" s="393">
        <f t="shared" ref="F22:O22" si="3">SUM(E22+F16)</f>
        <v>3</v>
      </c>
      <c r="G22" s="393">
        <f t="shared" si="3"/>
        <v>3</v>
      </c>
      <c r="H22" s="393">
        <f t="shared" si="3"/>
        <v>5</v>
      </c>
      <c r="I22" s="393">
        <f t="shared" si="3"/>
        <v>8</v>
      </c>
      <c r="J22" s="393">
        <f t="shared" si="3"/>
        <v>8</v>
      </c>
      <c r="K22" s="393">
        <f t="shared" si="3"/>
        <v>8</v>
      </c>
      <c r="L22" s="393">
        <f t="shared" si="3"/>
        <v>8</v>
      </c>
      <c r="M22" s="393">
        <f t="shared" si="3"/>
        <v>8</v>
      </c>
      <c r="N22" s="393">
        <f t="shared" si="3"/>
        <v>8</v>
      </c>
      <c r="O22" s="393">
        <f t="shared" si="3"/>
        <v>8</v>
      </c>
    </row>
    <row r="23" spans="3:17" s="393" customFormat="1" x14ac:dyDescent="0.25">
      <c r="C23" s="451" t="s">
        <v>49</v>
      </c>
      <c r="D23" s="712">
        <v>0</v>
      </c>
      <c r="E23" s="393">
        <f>SUM(D23+E17)</f>
        <v>5</v>
      </c>
      <c r="F23" s="393">
        <f t="shared" ref="F23:O23" si="4">SUM(E23+F17)</f>
        <v>10</v>
      </c>
      <c r="G23" s="393">
        <f t="shared" si="4"/>
        <v>16</v>
      </c>
      <c r="H23" s="393">
        <f t="shared" si="4"/>
        <v>20</v>
      </c>
      <c r="I23" s="393">
        <f t="shared" si="4"/>
        <v>20</v>
      </c>
      <c r="J23" s="393">
        <f t="shared" si="4"/>
        <v>20</v>
      </c>
      <c r="K23" s="393">
        <f t="shared" si="4"/>
        <v>26</v>
      </c>
      <c r="L23" s="393">
        <f t="shared" si="4"/>
        <v>32</v>
      </c>
      <c r="M23" s="393">
        <f t="shared" si="4"/>
        <v>54</v>
      </c>
      <c r="N23" s="393">
        <f t="shared" si="4"/>
        <v>54</v>
      </c>
      <c r="O23" s="393">
        <f t="shared" si="4"/>
        <v>80</v>
      </c>
    </row>
    <row r="24" spans="3:17" s="393" customFormat="1" x14ac:dyDescent="0.25">
      <c r="C24" s="711"/>
    </row>
    <row r="37" spans="10:10" x14ac:dyDescent="0.25">
      <c r="J37" s="710"/>
    </row>
    <row r="38" spans="10:10" x14ac:dyDescent="0.25">
      <c r="J38" s="710"/>
    </row>
  </sheetData>
  <mergeCells count="1">
    <mergeCell ref="A3:A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FAFE-1211-4BB0-B32D-9A0E3464F8B4}">
  <dimension ref="A2:T25"/>
  <sheetViews>
    <sheetView topLeftCell="C21" workbookViewId="0">
      <selection activeCell="S49" sqref="S49"/>
    </sheetView>
  </sheetViews>
  <sheetFormatPr defaultRowHeight="15" x14ac:dyDescent="0.25"/>
  <cols>
    <col min="2" max="2" width="9.5703125" customWidth="1"/>
    <col min="3" max="3" width="86.42578125" bestFit="1" customWidth="1"/>
  </cols>
  <sheetData>
    <row r="2" spans="1:17" ht="15.75" thickBot="1" x14ac:dyDescent="0.3">
      <c r="D2" s="2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5" t="s">
        <v>10</v>
      </c>
      <c r="M2" s="4" t="s">
        <v>11</v>
      </c>
      <c r="N2" s="6" t="s">
        <v>12</v>
      </c>
      <c r="O2" s="5" t="s">
        <v>13</v>
      </c>
      <c r="P2" s="122" t="s">
        <v>14</v>
      </c>
    </row>
    <row r="3" spans="1:17" x14ac:dyDescent="0.25">
      <c r="A3" s="819" t="s">
        <v>59</v>
      </c>
      <c r="B3" s="1"/>
      <c r="C3" s="35" t="s">
        <v>124</v>
      </c>
      <c r="D3" s="535">
        <v>230</v>
      </c>
      <c r="E3" s="536">
        <v>268</v>
      </c>
      <c r="F3" s="537">
        <v>234</v>
      </c>
      <c r="G3" s="538">
        <v>287</v>
      </c>
      <c r="H3" s="539">
        <v>285</v>
      </c>
      <c r="I3" s="538">
        <v>301</v>
      </c>
      <c r="J3" s="539">
        <v>286</v>
      </c>
      <c r="K3" s="672">
        <v>315</v>
      </c>
      <c r="L3" s="474">
        <v>263</v>
      </c>
      <c r="M3" s="473">
        <f>+'FY24 KPIs'!M49</f>
        <v>295</v>
      </c>
      <c r="N3" s="473">
        <f>+'FY24 KPIs'!N49</f>
        <v>289</v>
      </c>
      <c r="O3" s="473">
        <f>+'FY24 KPIs'!O49</f>
        <v>239</v>
      </c>
      <c r="P3" s="54">
        <f>SUM(D3:O3)</f>
        <v>3292</v>
      </c>
      <c r="Q3" s="92">
        <f>SUM(P3/2800)</f>
        <v>1.1757142857142857</v>
      </c>
    </row>
    <row r="4" spans="1:17" x14ac:dyDescent="0.25">
      <c r="A4" s="820"/>
      <c r="B4" s="7"/>
      <c r="C4" s="36" t="s">
        <v>62</v>
      </c>
      <c r="D4" s="533">
        <v>188</v>
      </c>
      <c r="E4" s="290">
        <v>6</v>
      </c>
      <c r="F4" s="291">
        <v>9</v>
      </c>
      <c r="G4" s="34">
        <v>7</v>
      </c>
      <c r="H4" s="369">
        <v>5</v>
      </c>
      <c r="I4" s="34">
        <v>10</v>
      </c>
      <c r="J4" s="369">
        <v>6</v>
      </c>
      <c r="K4" s="10">
        <v>66</v>
      </c>
      <c r="L4" s="371">
        <v>6</v>
      </c>
      <c r="M4" s="473">
        <f>+'FY24 KPIs'!M50</f>
        <v>4</v>
      </c>
      <c r="N4" s="473">
        <f>+'FY24 KPIs'!N50</f>
        <v>10</v>
      </c>
      <c r="O4" s="473">
        <f>+'FY24 KPIs'!O50</f>
        <v>6</v>
      </c>
      <c r="P4" s="55">
        <f>SUM(D4:O4)</f>
        <v>323</v>
      </c>
      <c r="Q4" s="94">
        <f>SUM(P4/230)</f>
        <v>1.4043478260869566</v>
      </c>
    </row>
    <row r="5" spans="1:17" x14ac:dyDescent="0.25">
      <c r="A5" s="820"/>
      <c r="B5" s="7"/>
      <c r="C5" s="460" t="s">
        <v>209</v>
      </c>
      <c r="D5" s="549"/>
      <c r="E5" s="549"/>
      <c r="F5" s="549"/>
      <c r="G5" s="549"/>
      <c r="H5" s="549"/>
      <c r="I5" s="549"/>
      <c r="J5" s="549"/>
      <c r="K5" s="488">
        <f>SUM(K6:K7)</f>
        <v>86</v>
      </c>
      <c r="L5" s="329">
        <v>102</v>
      </c>
      <c r="M5" s="473">
        <f>+'FY24 KPIs'!M51</f>
        <v>71</v>
      </c>
      <c r="N5" s="473">
        <f>+'FY24 KPIs'!N51</f>
        <v>29</v>
      </c>
      <c r="O5" s="473">
        <f>+'FY24 KPIs'!O51</f>
        <v>24</v>
      </c>
      <c r="P5" s="55">
        <f>SUM(D5:O5)</f>
        <v>312</v>
      </c>
      <c r="Q5" s="94"/>
    </row>
    <row r="6" spans="1:17" ht="15.75" thickBot="1" x14ac:dyDescent="0.3">
      <c r="A6" s="820"/>
      <c r="B6" s="7"/>
      <c r="C6" s="461" t="s">
        <v>210</v>
      </c>
      <c r="D6" s="484"/>
      <c r="E6" s="484"/>
      <c r="F6" s="485"/>
      <c r="G6" s="486"/>
      <c r="H6" s="487"/>
      <c r="I6" s="486"/>
      <c r="J6" s="487"/>
      <c r="K6" s="673">
        <v>12</v>
      </c>
      <c r="L6" s="329">
        <v>9</v>
      </c>
      <c r="M6" s="473">
        <f>+'FY24 KPIs'!M52</f>
        <v>2</v>
      </c>
      <c r="N6" s="473">
        <f>+'FY24 KPIs'!N52</f>
        <v>8</v>
      </c>
      <c r="O6" s="473">
        <f>+'FY24 KPIs'!O52</f>
        <v>2</v>
      </c>
      <c r="P6" s="56">
        <f>+N6</f>
        <v>8</v>
      </c>
      <c r="Q6" s="93"/>
    </row>
    <row r="7" spans="1:17" x14ac:dyDescent="0.25">
      <c r="A7" s="820"/>
      <c r="B7" s="7"/>
      <c r="C7" s="461" t="s">
        <v>211</v>
      </c>
      <c r="D7" s="484"/>
      <c r="E7" s="484"/>
      <c r="F7" s="485"/>
      <c r="G7" s="486"/>
      <c r="H7" s="487"/>
      <c r="I7" s="486"/>
      <c r="J7" s="487"/>
      <c r="K7" s="673">
        <v>74</v>
      </c>
      <c r="L7" s="329">
        <v>93</v>
      </c>
      <c r="M7" s="473">
        <f>+'FY24 KPIs'!M53</f>
        <v>69</v>
      </c>
      <c r="N7" s="473">
        <f>+'FY24 KPIs'!N53</f>
        <v>21</v>
      </c>
      <c r="O7" s="473">
        <f>+'FY24 KPIs'!O53</f>
        <v>22</v>
      </c>
      <c r="P7" s="54">
        <f>SUM(D7:O7)</f>
        <v>279</v>
      </c>
      <c r="Q7" s="92">
        <f>SUM(P7/4)</f>
        <v>69.75</v>
      </c>
    </row>
    <row r="8" spans="1:17" x14ac:dyDescent="0.25">
      <c r="A8" s="820"/>
      <c r="B8" s="7"/>
      <c r="C8" s="36" t="s">
        <v>60</v>
      </c>
      <c r="D8" s="533">
        <v>2</v>
      </c>
      <c r="E8" s="290">
        <v>3</v>
      </c>
      <c r="F8" s="291">
        <v>4</v>
      </c>
      <c r="G8" s="34">
        <v>0</v>
      </c>
      <c r="H8" s="369">
        <v>1</v>
      </c>
      <c r="I8" s="34">
        <v>6</v>
      </c>
      <c r="J8" s="369">
        <v>1</v>
      </c>
      <c r="K8" s="10">
        <v>3</v>
      </c>
      <c r="L8" s="725">
        <v>3</v>
      </c>
      <c r="M8" s="473">
        <f>+'FY24 KPIs'!M54</f>
        <v>1</v>
      </c>
      <c r="N8" s="473">
        <f>+'FY24 KPIs'!N54</f>
        <v>2</v>
      </c>
      <c r="O8" s="473">
        <f>+'FY24 KPIs'!O54</f>
        <v>3</v>
      </c>
      <c r="P8" s="55">
        <f>SUM(D8:O8)</f>
        <v>29</v>
      </c>
      <c r="Q8" s="94">
        <f>SUM(P8/30)</f>
        <v>0.96666666666666667</v>
      </c>
    </row>
    <row r="9" spans="1:17" ht="15.75" thickBot="1" x14ac:dyDescent="0.3">
      <c r="A9" s="820"/>
      <c r="B9" s="7"/>
      <c r="C9" s="36" t="s">
        <v>61</v>
      </c>
      <c r="D9" s="292">
        <v>0.28999999999999998</v>
      </c>
      <c r="E9" s="292">
        <v>0.5</v>
      </c>
      <c r="F9" s="293">
        <v>0.44</v>
      </c>
      <c r="G9" s="37">
        <v>0</v>
      </c>
      <c r="H9" s="38">
        <v>0.2</v>
      </c>
      <c r="I9" s="37">
        <v>1</v>
      </c>
      <c r="J9" s="38">
        <v>0.17</v>
      </c>
      <c r="K9" s="674">
        <v>0.5</v>
      </c>
      <c r="L9" s="726">
        <v>0.5</v>
      </c>
      <c r="M9" s="817">
        <f>+'FY24 KPIs'!M55</f>
        <v>0.25</v>
      </c>
      <c r="N9" s="817">
        <f>+'FY24 KPIs'!N55</f>
        <v>0.2</v>
      </c>
      <c r="O9" s="817">
        <f>+'FY24 KPIs'!O55</f>
        <v>0.5</v>
      </c>
      <c r="P9" s="818">
        <f>AVERAGE(D9:O9)</f>
        <v>0.37916666666666665</v>
      </c>
      <c r="Q9" s="94">
        <f>SUM(P9/20)</f>
        <v>1.8958333333333334E-2</v>
      </c>
    </row>
    <row r="10" spans="1:17" x14ac:dyDescent="0.25">
      <c r="A10" s="820"/>
      <c r="B10" s="7"/>
      <c r="C10" s="527" t="s">
        <v>222</v>
      </c>
      <c r="D10" s="294">
        <v>1</v>
      </c>
      <c r="E10" s="294"/>
      <c r="F10" s="295"/>
      <c r="G10" s="377"/>
      <c r="H10" s="125"/>
      <c r="I10" s="377">
        <v>1</v>
      </c>
      <c r="J10" s="377"/>
      <c r="K10" s="675">
        <v>1</v>
      </c>
      <c r="L10" s="540">
        <v>5</v>
      </c>
      <c r="M10" s="473">
        <f>+'FY24 KPIs'!M56</f>
        <v>1</v>
      </c>
      <c r="N10" s="473">
        <f>+'FY24 KPIs'!N56</f>
        <v>2</v>
      </c>
      <c r="O10" s="473">
        <f>+'FY24 KPIs'!O56</f>
        <v>0</v>
      </c>
      <c r="P10" s="55">
        <f>SUM(D10:O10)</f>
        <v>11</v>
      </c>
      <c r="Q10" s="94">
        <f>SUM(P10/9)</f>
        <v>1.2222222222222223</v>
      </c>
    </row>
    <row r="11" spans="1:17" x14ac:dyDescent="0.25">
      <c r="A11" s="820"/>
      <c r="B11" s="7"/>
      <c r="C11" s="247" t="s">
        <v>68</v>
      </c>
      <c r="D11" s="296">
        <v>2</v>
      </c>
      <c r="E11" s="296">
        <v>3</v>
      </c>
      <c r="F11" s="297">
        <v>2</v>
      </c>
      <c r="G11" s="248">
        <v>3</v>
      </c>
      <c r="H11" s="248">
        <v>2</v>
      </c>
      <c r="I11" s="248">
        <v>3</v>
      </c>
      <c r="J11" s="249">
        <v>2</v>
      </c>
      <c r="K11" s="251">
        <v>3</v>
      </c>
      <c r="L11" s="250">
        <v>3</v>
      </c>
      <c r="M11" s="473">
        <f>+'FY24 KPIs'!M57</f>
        <v>2</v>
      </c>
      <c r="N11" s="473">
        <f>+'FY24 KPIs'!N57</f>
        <v>3</v>
      </c>
      <c r="O11" s="473">
        <f>+'FY24 KPIs'!O57</f>
        <v>3</v>
      </c>
      <c r="P11" s="55">
        <f>SUM(C11:O11)</f>
        <v>31</v>
      </c>
      <c r="Q11" s="94">
        <f>SUM(P11/45)</f>
        <v>0.68888888888888888</v>
      </c>
    </row>
    <row r="12" spans="1:17" x14ac:dyDescent="0.25">
      <c r="A12" s="820"/>
      <c r="B12" s="7"/>
      <c r="C12" s="247" t="s">
        <v>69</v>
      </c>
      <c r="D12" s="296">
        <v>20</v>
      </c>
      <c r="E12" s="296">
        <v>43</v>
      </c>
      <c r="F12" s="297">
        <v>25</v>
      </c>
      <c r="G12" s="248">
        <v>34</v>
      </c>
      <c r="H12" s="248">
        <v>44</v>
      </c>
      <c r="I12" s="248">
        <v>49</v>
      </c>
      <c r="J12" s="249">
        <v>51</v>
      </c>
      <c r="K12" s="251">
        <v>70</v>
      </c>
      <c r="L12" s="250">
        <v>50</v>
      </c>
      <c r="M12" s="473">
        <f>+'FY24 KPIs'!M58</f>
        <v>52</v>
      </c>
      <c r="N12" s="473">
        <f>+'FY24 KPIs'!N58</f>
        <v>85</v>
      </c>
      <c r="O12" s="473">
        <f>+'FY24 KPIs'!O58</f>
        <v>68</v>
      </c>
      <c r="P12" s="55">
        <f>SUM(C12:O12)</f>
        <v>591</v>
      </c>
      <c r="Q12" s="94">
        <f>SUM(P12/20)</f>
        <v>29.55</v>
      </c>
    </row>
    <row r="13" spans="1:17" ht="15.75" thickBot="1" x14ac:dyDescent="0.3">
      <c r="A13" s="821"/>
      <c r="B13" s="19"/>
      <c r="C13" s="247" t="s">
        <v>64</v>
      </c>
      <c r="D13" s="296">
        <v>1</v>
      </c>
      <c r="E13" s="296">
        <v>2</v>
      </c>
      <c r="F13" s="297">
        <v>4</v>
      </c>
      <c r="G13" s="248">
        <v>2</v>
      </c>
      <c r="H13" s="248">
        <v>1</v>
      </c>
      <c r="I13" s="248">
        <v>3</v>
      </c>
      <c r="J13" s="249">
        <v>2</v>
      </c>
      <c r="K13" s="251">
        <v>0</v>
      </c>
      <c r="L13" s="250">
        <v>3</v>
      </c>
      <c r="M13" s="473">
        <f>+'FY24 KPIs'!M59</f>
        <v>1</v>
      </c>
      <c r="N13" s="473">
        <f>+'FY24 KPIs'!N59</f>
        <v>0</v>
      </c>
      <c r="O13" s="473">
        <f>+'FY24 KPIs'!O59</f>
        <v>4</v>
      </c>
      <c r="P13" s="56">
        <f t="shared" ref="P13" si="0">SUM(C13:O13)</f>
        <v>23</v>
      </c>
      <c r="Q13" s="93">
        <f>SUM(P13/160)</f>
        <v>0.14374999999999999</v>
      </c>
    </row>
    <row r="14" spans="1:17" x14ac:dyDescent="0.25">
      <c r="C14" s="247" t="s">
        <v>65</v>
      </c>
      <c r="D14" s="296">
        <v>92</v>
      </c>
      <c r="E14" s="296">
        <v>13</v>
      </c>
      <c r="F14" s="297">
        <v>21</v>
      </c>
      <c r="G14" s="248">
        <v>11</v>
      </c>
      <c r="H14" s="248">
        <v>12</v>
      </c>
      <c r="I14" s="248">
        <v>30</v>
      </c>
      <c r="J14" s="249">
        <v>19</v>
      </c>
      <c r="K14" s="251">
        <v>0</v>
      </c>
      <c r="L14" s="250">
        <v>26</v>
      </c>
      <c r="M14" s="473">
        <f>+'FY24 KPIs'!M60</f>
        <v>2</v>
      </c>
      <c r="N14" s="473">
        <f>+'FY24 KPIs'!N60</f>
        <v>0</v>
      </c>
      <c r="O14" s="473">
        <f>+'FY24 KPIs'!O60</f>
        <v>28</v>
      </c>
    </row>
    <row r="15" spans="1:17" x14ac:dyDescent="0.25">
      <c r="C15" s="545" t="s">
        <v>213</v>
      </c>
      <c r="D15" s="546"/>
      <c r="E15" s="546"/>
      <c r="F15" s="546"/>
      <c r="G15" s="546"/>
      <c r="H15" s="546"/>
      <c r="I15" s="546"/>
      <c r="J15" s="546"/>
      <c r="K15" s="676">
        <v>12</v>
      </c>
      <c r="L15" s="727">
        <v>7</v>
      </c>
      <c r="M15" s="473">
        <f>+'FY24 KPIs'!M61</f>
        <v>0</v>
      </c>
      <c r="N15" s="473">
        <f>+'FY24 KPIs'!N61</f>
        <v>0</v>
      </c>
      <c r="O15" s="473">
        <f>+'FY24 KPIs'!O61</f>
        <v>0</v>
      </c>
    </row>
    <row r="16" spans="1:17" x14ac:dyDescent="0.25">
      <c r="C16" s="528" t="s">
        <v>66</v>
      </c>
      <c r="D16" s="296"/>
      <c r="E16" s="296">
        <v>2</v>
      </c>
      <c r="F16" s="297">
        <v>1</v>
      </c>
      <c r="G16" s="248">
        <v>3</v>
      </c>
      <c r="H16" s="248">
        <v>3</v>
      </c>
      <c r="I16" s="248">
        <v>2</v>
      </c>
      <c r="J16" s="249">
        <v>8</v>
      </c>
      <c r="K16" s="251">
        <v>5</v>
      </c>
      <c r="L16" s="728">
        <v>9</v>
      </c>
      <c r="M16" s="473">
        <f>+'FY24 KPIs'!M62</f>
        <v>4</v>
      </c>
      <c r="N16" s="473">
        <f>+'FY24 KPIs'!N62</f>
        <v>0</v>
      </c>
      <c r="O16" s="473">
        <f>+'FY24 KPIs'!O62</f>
        <v>7</v>
      </c>
    </row>
    <row r="17" spans="3:20" ht="15.75" thickBot="1" x14ac:dyDescent="0.3">
      <c r="C17" s="254" t="s">
        <v>67</v>
      </c>
      <c r="D17" s="298">
        <v>0</v>
      </c>
      <c r="E17" s="298">
        <v>8</v>
      </c>
      <c r="F17" s="299">
        <v>14</v>
      </c>
      <c r="G17" s="255">
        <v>32</v>
      </c>
      <c r="H17" s="255">
        <v>20</v>
      </c>
      <c r="I17" s="255">
        <v>24</v>
      </c>
      <c r="J17" s="256">
        <v>53</v>
      </c>
      <c r="K17" s="677">
        <v>47</v>
      </c>
      <c r="L17" s="257">
        <v>201</v>
      </c>
      <c r="M17" s="473">
        <f>+'FY24 KPIs'!M63</f>
        <v>6</v>
      </c>
      <c r="N17" s="473">
        <f>+'FY24 KPIs'!N63</f>
        <v>0</v>
      </c>
      <c r="O17" s="473">
        <f>+'FY24 KPIs'!O63</f>
        <v>44</v>
      </c>
    </row>
    <row r="19" spans="3:20" x14ac:dyDescent="0.25">
      <c r="T19" s="205"/>
    </row>
    <row r="22" spans="3:20" ht="15.75" thickBot="1" x14ac:dyDescent="0.3">
      <c r="H22" t="s">
        <v>2</v>
      </c>
      <c r="I22" t="s">
        <v>3</v>
      </c>
      <c r="J22" t="s">
        <v>4</v>
      </c>
      <c r="K22" t="s">
        <v>5</v>
      </c>
      <c r="L22" t="s">
        <v>6</v>
      </c>
      <c r="M22" t="s">
        <v>7</v>
      </c>
      <c r="N22" t="s">
        <v>8</v>
      </c>
      <c r="O22" t="s">
        <v>9</v>
      </c>
      <c r="P22" t="s">
        <v>10</v>
      </c>
      <c r="Q22" t="s">
        <v>144</v>
      </c>
      <c r="R22" t="s">
        <v>12</v>
      </c>
      <c r="S22" t="s">
        <v>13</v>
      </c>
    </row>
    <row r="23" spans="3:20" ht="15.75" thickBot="1" x14ac:dyDescent="0.3">
      <c r="H23" s="121"/>
      <c r="I23">
        <v>268</v>
      </c>
      <c r="J23">
        <v>234</v>
      </c>
      <c r="K23">
        <v>287</v>
      </c>
      <c r="L23">
        <v>285</v>
      </c>
      <c r="M23">
        <v>301</v>
      </c>
      <c r="N23">
        <v>286</v>
      </c>
      <c r="O23" s="205">
        <f>+K3</f>
        <v>315</v>
      </c>
      <c r="P23" s="205">
        <f>+L3</f>
        <v>263</v>
      </c>
      <c r="Q23">
        <f>+M3</f>
        <v>295</v>
      </c>
      <c r="R23" s="393">
        <f>+N3</f>
        <v>289</v>
      </c>
      <c r="S23" s="393">
        <f>+O3</f>
        <v>239</v>
      </c>
    </row>
    <row r="24" spans="3:20" ht="15.75" thickBot="1" x14ac:dyDescent="0.3">
      <c r="C24" s="35" t="s">
        <v>221</v>
      </c>
      <c r="G24" t="s">
        <v>147</v>
      </c>
      <c r="H24">
        <v>230</v>
      </c>
      <c r="I24" s="205">
        <f>SUM(H24+I23)</f>
        <v>498</v>
      </c>
      <c r="J24" s="205">
        <f>SUM(I25+J23)</f>
        <v>502</v>
      </c>
      <c r="K24" s="205">
        <f>SUM(J24+K23)</f>
        <v>789</v>
      </c>
      <c r="L24" s="205">
        <f>SUM(K24+L23)</f>
        <v>1074</v>
      </c>
      <c r="M24" s="205">
        <f>SUM(L24+M23)</f>
        <v>1375</v>
      </c>
      <c r="N24" s="205">
        <f>SUM(M24+N23)</f>
        <v>1661</v>
      </c>
      <c r="O24" s="205">
        <f t="shared" ref="O24:S24" si="1">SUM(N24+O23)</f>
        <v>1976</v>
      </c>
      <c r="P24" s="205">
        <f t="shared" si="1"/>
        <v>2239</v>
      </c>
      <c r="Q24" s="205">
        <f t="shared" si="1"/>
        <v>2534</v>
      </c>
      <c r="R24" s="205">
        <f t="shared" si="1"/>
        <v>2823</v>
      </c>
      <c r="S24" s="205">
        <f t="shared" si="1"/>
        <v>3062</v>
      </c>
    </row>
    <row r="25" spans="3:20" x14ac:dyDescent="0.25">
      <c r="G25" t="s">
        <v>148</v>
      </c>
      <c r="H25" s="121"/>
      <c r="I25">
        <v>268</v>
      </c>
      <c r="J25">
        <v>234</v>
      </c>
      <c r="K25">
        <v>287</v>
      </c>
      <c r="L25">
        <v>285</v>
      </c>
      <c r="M25">
        <v>301</v>
      </c>
      <c r="N25" s="393">
        <v>286</v>
      </c>
      <c r="O25" s="205">
        <f>+K3</f>
        <v>315</v>
      </c>
      <c r="P25" s="205">
        <f>+L3</f>
        <v>263</v>
      </c>
      <c r="Q25" s="205">
        <f t="shared" ref="Q25:S25" si="2">+M3</f>
        <v>295</v>
      </c>
      <c r="R25" s="205">
        <f t="shared" si="2"/>
        <v>289</v>
      </c>
      <c r="S25" s="205">
        <f t="shared" si="2"/>
        <v>239</v>
      </c>
    </row>
  </sheetData>
  <mergeCells count="1">
    <mergeCell ref="A3:A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7F05-069C-4F82-A033-C81D6A7A2696}">
  <dimension ref="A2:O21"/>
  <sheetViews>
    <sheetView topLeftCell="A78" workbookViewId="0">
      <selection activeCell="E63" sqref="E63"/>
    </sheetView>
  </sheetViews>
  <sheetFormatPr defaultRowHeight="15" x14ac:dyDescent="0.25"/>
  <cols>
    <col min="2" max="2" width="81.28515625" bestFit="1" customWidth="1"/>
    <col min="3" max="4" width="13.7109375" bestFit="1" customWidth="1"/>
    <col min="5" max="5" width="12" bestFit="1" customWidth="1"/>
    <col min="6" max="6" width="10" bestFit="1" customWidth="1"/>
    <col min="7" max="7" width="11" bestFit="1" customWidth="1"/>
    <col min="11" max="12" width="10.5703125" bestFit="1" customWidth="1"/>
    <col min="15" max="15" width="14.28515625" bestFit="1" customWidth="1"/>
  </cols>
  <sheetData>
    <row r="2" spans="1:15" ht="15.75" thickBot="1" x14ac:dyDescent="0.3"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4" t="s">
        <v>11</v>
      </c>
      <c r="M2" s="6" t="s">
        <v>12</v>
      </c>
      <c r="N2" s="5" t="s">
        <v>13</v>
      </c>
      <c r="O2" s="64" t="s">
        <v>14</v>
      </c>
    </row>
    <row r="3" spans="1:15" ht="15" customHeight="1" thickBot="1" x14ac:dyDescent="0.3">
      <c r="A3" s="855" t="s">
        <v>72</v>
      </c>
      <c r="B3" s="454" t="s">
        <v>73</v>
      </c>
      <c r="C3" s="300">
        <v>20</v>
      </c>
      <c r="D3" s="300">
        <v>17</v>
      </c>
      <c r="E3" s="300">
        <v>8</v>
      </c>
      <c r="F3" s="44">
        <v>14</v>
      </c>
      <c r="G3" s="44">
        <v>10</v>
      </c>
      <c r="H3" s="44">
        <v>22</v>
      </c>
      <c r="I3" s="44">
        <v>14</v>
      </c>
      <c r="J3" s="235">
        <v>21</v>
      </c>
      <c r="K3" s="233">
        <v>5</v>
      </c>
      <c r="L3" s="234">
        <f>+'FY24 KPIs'!M64</f>
        <v>7</v>
      </c>
      <c r="M3" s="234">
        <f>+'FY24 KPIs'!N64</f>
        <v>19</v>
      </c>
      <c r="N3" s="234">
        <f>+'FY24 KPIs'!O64</f>
        <v>13</v>
      </c>
      <c r="O3" s="123">
        <f t="shared" ref="O3:O13" si="0">SUM(C3:N3)</f>
        <v>170</v>
      </c>
    </row>
    <row r="4" spans="1:15" ht="15.75" thickBot="1" x14ac:dyDescent="0.3">
      <c r="A4" s="856"/>
      <c r="B4" s="458" t="s">
        <v>204</v>
      </c>
      <c r="C4" s="446"/>
      <c r="D4" s="301"/>
      <c r="E4" s="301"/>
      <c r="F4" s="42"/>
      <c r="G4" s="42"/>
      <c r="H4" s="42"/>
      <c r="I4" s="42"/>
      <c r="J4" s="678">
        <f>SUM(J5:J6)</f>
        <v>13</v>
      </c>
      <c r="K4" s="727">
        <v>10</v>
      </c>
      <c r="L4" s="234">
        <f>+'FY24 KPIs'!M65</f>
        <v>8</v>
      </c>
      <c r="M4" s="234">
        <f>+'FY24 KPIs'!N65</f>
        <v>7</v>
      </c>
      <c r="N4" s="234">
        <f>+'FY24 KPIs'!O65</f>
        <v>7</v>
      </c>
      <c r="O4" s="124">
        <f t="shared" si="0"/>
        <v>45</v>
      </c>
    </row>
    <row r="5" spans="1:15" ht="15.75" thickBot="1" x14ac:dyDescent="0.3">
      <c r="A5" s="856"/>
      <c r="B5" s="459" t="s">
        <v>218</v>
      </c>
      <c r="C5" s="496"/>
      <c r="D5" s="496"/>
      <c r="E5" s="496"/>
      <c r="F5" s="496"/>
      <c r="G5" s="496"/>
      <c r="H5" s="496"/>
      <c r="I5" s="496"/>
      <c r="J5" s="676">
        <v>8</v>
      </c>
      <c r="K5" s="729">
        <v>5</v>
      </c>
      <c r="L5" s="234">
        <f>+'FY24 KPIs'!M66</f>
        <v>5</v>
      </c>
      <c r="M5" s="234">
        <f>+'FY24 KPIs'!N66</f>
        <v>5</v>
      </c>
      <c r="N5" s="234">
        <f>+'FY24 KPIs'!O66</f>
        <v>3</v>
      </c>
      <c r="O5" s="124">
        <f t="shared" si="0"/>
        <v>26</v>
      </c>
    </row>
    <row r="6" spans="1:15" ht="15.75" thickBot="1" x14ac:dyDescent="0.3">
      <c r="A6" s="856"/>
      <c r="B6" s="459" t="s">
        <v>205</v>
      </c>
      <c r="C6" s="496"/>
      <c r="D6" s="497"/>
      <c r="E6" s="497"/>
      <c r="F6" s="498"/>
      <c r="G6" s="498"/>
      <c r="H6" s="498"/>
      <c r="I6" s="498"/>
      <c r="J6" s="673">
        <v>5</v>
      </c>
      <c r="K6" s="727">
        <v>5</v>
      </c>
      <c r="L6" s="234">
        <f>+'FY24 KPIs'!M67</f>
        <v>3</v>
      </c>
      <c r="M6" s="234">
        <f>+'FY24 KPIs'!N67</f>
        <v>2</v>
      </c>
      <c r="N6" s="234">
        <f>+'FY24 KPIs'!O67</f>
        <v>4</v>
      </c>
      <c r="O6" s="124">
        <f t="shared" si="0"/>
        <v>19</v>
      </c>
    </row>
    <row r="7" spans="1:15" ht="15.75" thickBot="1" x14ac:dyDescent="0.3">
      <c r="A7" s="856"/>
      <c r="B7" s="455" t="s">
        <v>74</v>
      </c>
      <c r="C7" s="446">
        <v>12</v>
      </c>
      <c r="D7" s="301">
        <v>7</v>
      </c>
      <c r="E7" s="301">
        <v>11</v>
      </c>
      <c r="F7" s="42">
        <v>11</v>
      </c>
      <c r="G7" s="42">
        <v>15</v>
      </c>
      <c r="H7" s="42">
        <v>30</v>
      </c>
      <c r="I7" s="42">
        <v>16</v>
      </c>
      <c r="J7" s="679">
        <v>33</v>
      </c>
      <c r="K7" s="237">
        <v>6</v>
      </c>
      <c r="L7" s="234">
        <f>+'FY24 KPIs'!M68</f>
        <v>12</v>
      </c>
      <c r="M7" s="234">
        <f>+'FY24 KPIs'!N68</f>
        <v>24</v>
      </c>
      <c r="N7" s="234">
        <f>+'FY24 KPIs'!O68</f>
        <v>23</v>
      </c>
      <c r="O7" s="124">
        <f t="shared" si="0"/>
        <v>200</v>
      </c>
    </row>
    <row r="8" spans="1:15" ht="15.75" thickBot="1" x14ac:dyDescent="0.3">
      <c r="A8" s="856"/>
      <c r="B8" s="455" t="s">
        <v>75</v>
      </c>
      <c r="C8" s="302">
        <v>14</v>
      </c>
      <c r="D8" s="302">
        <v>9</v>
      </c>
      <c r="E8" s="302">
        <v>21</v>
      </c>
      <c r="F8" s="42">
        <v>19</v>
      </c>
      <c r="G8" s="42">
        <v>6</v>
      </c>
      <c r="H8" s="42">
        <v>25</v>
      </c>
      <c r="I8" s="42">
        <v>8</v>
      </c>
      <c r="J8" s="239">
        <v>17</v>
      </c>
      <c r="K8" s="237">
        <v>8</v>
      </c>
      <c r="L8" s="234">
        <f>+'FY24 KPIs'!M69</f>
        <v>13</v>
      </c>
      <c r="M8" s="234">
        <f>+'FY24 KPIs'!N69</f>
        <v>19</v>
      </c>
      <c r="N8" s="234">
        <f>+'FY24 KPIs'!O69</f>
        <v>17</v>
      </c>
      <c r="O8" s="124">
        <f t="shared" si="0"/>
        <v>176</v>
      </c>
    </row>
    <row r="9" spans="1:15" ht="15.75" thickBot="1" x14ac:dyDescent="0.3">
      <c r="A9" s="856"/>
      <c r="B9" s="455" t="s">
        <v>76</v>
      </c>
      <c r="C9" s="302">
        <v>23</v>
      </c>
      <c r="D9" s="302">
        <v>23</v>
      </c>
      <c r="E9" s="302">
        <v>22</v>
      </c>
      <c r="F9" s="42">
        <v>26</v>
      </c>
      <c r="G9" s="42">
        <v>15</v>
      </c>
      <c r="H9" s="42">
        <v>41</v>
      </c>
      <c r="I9" s="42">
        <v>35</v>
      </c>
      <c r="J9" s="239">
        <v>42</v>
      </c>
      <c r="K9" s="237">
        <v>32</v>
      </c>
      <c r="L9" s="234">
        <f>+'FY24 KPIs'!M70</f>
        <v>21</v>
      </c>
      <c r="M9" s="234">
        <f>+'FY24 KPIs'!N70</f>
        <v>38</v>
      </c>
      <c r="N9" s="234">
        <f>+'FY24 KPIs'!O70</f>
        <v>30</v>
      </c>
      <c r="O9" s="124">
        <f t="shared" si="0"/>
        <v>348</v>
      </c>
    </row>
    <row r="10" spans="1:15" ht="15.75" thickBot="1" x14ac:dyDescent="0.3">
      <c r="A10" s="856"/>
      <c r="B10" s="455" t="s">
        <v>77</v>
      </c>
      <c r="C10" s="302">
        <v>23</v>
      </c>
      <c r="D10" s="302">
        <v>23</v>
      </c>
      <c r="E10" s="302">
        <v>22</v>
      </c>
      <c r="F10" s="42">
        <v>26</v>
      </c>
      <c r="G10" s="42">
        <v>15</v>
      </c>
      <c r="H10" s="42">
        <v>41</v>
      </c>
      <c r="I10" s="42">
        <v>35</v>
      </c>
      <c r="J10" s="239">
        <v>42</v>
      </c>
      <c r="K10" s="237">
        <v>32</v>
      </c>
      <c r="L10" s="234">
        <f>+'FY24 KPIs'!M71</f>
        <v>21</v>
      </c>
      <c r="M10" s="234">
        <f>+'FY24 KPIs'!N71</f>
        <v>38</v>
      </c>
      <c r="N10" s="234">
        <f>+'FY24 KPIs'!O71</f>
        <v>30</v>
      </c>
      <c r="O10" s="124">
        <f t="shared" si="0"/>
        <v>348</v>
      </c>
    </row>
    <row r="11" spans="1:15" ht="15.75" thickBot="1" x14ac:dyDescent="0.3">
      <c r="A11" s="856"/>
      <c r="B11" s="455" t="s">
        <v>78</v>
      </c>
      <c r="C11" s="302">
        <v>75</v>
      </c>
      <c r="D11" s="302">
        <v>73</v>
      </c>
      <c r="E11" s="302">
        <v>69</v>
      </c>
      <c r="F11" s="42">
        <v>76</v>
      </c>
      <c r="G11" s="42">
        <v>79</v>
      </c>
      <c r="H11" s="42">
        <v>95</v>
      </c>
      <c r="I11" s="42">
        <v>109</v>
      </c>
      <c r="J11" s="239">
        <v>110</v>
      </c>
      <c r="K11" s="237">
        <v>97</v>
      </c>
      <c r="L11" s="234">
        <f>+'FY24 KPIs'!M72</f>
        <v>76</v>
      </c>
      <c r="M11" s="234">
        <f>+'FY24 KPIs'!N72</f>
        <v>76</v>
      </c>
      <c r="N11" s="234">
        <f>+'FY24 KPIs'!O72</f>
        <v>69</v>
      </c>
      <c r="O11" s="124">
        <f t="shared" si="0"/>
        <v>1004</v>
      </c>
    </row>
    <row r="12" spans="1:15" ht="15.75" thickBot="1" x14ac:dyDescent="0.3">
      <c r="A12" s="856"/>
      <c r="B12" s="455" t="s">
        <v>82</v>
      </c>
      <c r="C12" s="302">
        <v>9</v>
      </c>
      <c r="D12" s="302">
        <v>4</v>
      </c>
      <c r="E12" s="302">
        <v>4</v>
      </c>
      <c r="F12" s="42">
        <v>6</v>
      </c>
      <c r="G12" s="42">
        <v>8</v>
      </c>
      <c r="H12" s="42">
        <v>11</v>
      </c>
      <c r="I12" s="42">
        <v>15</v>
      </c>
      <c r="J12" s="239">
        <v>19</v>
      </c>
      <c r="K12" s="237">
        <v>14</v>
      </c>
      <c r="L12" s="234">
        <f>+'FY24 KPIs'!M73</f>
        <v>14</v>
      </c>
      <c r="M12" s="234">
        <f>+'FY24 KPIs'!N73</f>
        <v>14</v>
      </c>
      <c r="N12" s="234">
        <f>+'FY24 KPIs'!O73</f>
        <v>8</v>
      </c>
      <c r="O12" s="124">
        <f t="shared" si="0"/>
        <v>126</v>
      </c>
    </row>
    <row r="13" spans="1:15" ht="15.75" thickBot="1" x14ac:dyDescent="0.3">
      <c r="A13" s="856"/>
      <c r="B13" s="547" t="s">
        <v>206</v>
      </c>
      <c r="C13" s="548"/>
      <c r="D13" s="548"/>
      <c r="E13" s="548"/>
      <c r="F13" s="548"/>
      <c r="G13" s="548"/>
      <c r="H13" s="548"/>
      <c r="I13" s="548"/>
      <c r="J13" s="678">
        <f>SUM(J14:J15)</f>
        <v>49</v>
      </c>
      <c r="K13" s="727">
        <v>48</v>
      </c>
      <c r="L13" s="234">
        <f>+'FY24 KPIs'!M74</f>
        <v>39</v>
      </c>
      <c r="M13" s="234">
        <f>+'FY24 KPIs'!N74</f>
        <v>20</v>
      </c>
      <c r="N13" s="234">
        <f>+'FY24 KPIs'!O74</f>
        <v>1</v>
      </c>
      <c r="O13" s="124">
        <f t="shared" si="0"/>
        <v>157</v>
      </c>
    </row>
    <row r="14" spans="1:15" ht="15.75" thickBot="1" x14ac:dyDescent="0.3">
      <c r="A14" s="856"/>
      <c r="B14" s="459" t="s">
        <v>208</v>
      </c>
      <c r="C14" s="496"/>
      <c r="D14" s="496"/>
      <c r="E14" s="496"/>
      <c r="F14" s="496"/>
      <c r="G14" s="496"/>
      <c r="H14" s="496"/>
      <c r="I14" s="496"/>
      <c r="J14" s="673">
        <v>9</v>
      </c>
      <c r="K14" s="730">
        <v>7</v>
      </c>
      <c r="L14" s="234">
        <f>+'FY24 KPIs'!M75</f>
        <v>5</v>
      </c>
      <c r="M14" s="234">
        <f>+'FY24 KPIs'!N75</f>
        <v>2</v>
      </c>
      <c r="N14" s="234">
        <f>+'FY24 KPIs'!O75</f>
        <v>0</v>
      </c>
      <c r="O14" s="95">
        <f>SUM(C14:N14)</f>
        <v>23</v>
      </c>
    </row>
    <row r="15" spans="1:15" ht="15.75" thickBot="1" x14ac:dyDescent="0.3">
      <c r="A15" s="856"/>
      <c r="B15" s="459" t="s">
        <v>207</v>
      </c>
      <c r="C15" s="496"/>
      <c r="D15" s="497"/>
      <c r="E15" s="497"/>
      <c r="F15" s="498"/>
      <c r="G15" s="498"/>
      <c r="H15" s="498"/>
      <c r="I15" s="498"/>
      <c r="J15" s="673">
        <v>40</v>
      </c>
      <c r="K15" s="727">
        <v>41</v>
      </c>
      <c r="L15" s="234">
        <f>+'FY24 KPIs'!M76</f>
        <v>34</v>
      </c>
      <c r="M15" s="234">
        <f>+'FY24 KPIs'!N76</f>
        <v>18</v>
      </c>
      <c r="N15" s="234">
        <f>+'FY24 KPIs'!O76</f>
        <v>1</v>
      </c>
      <c r="O15" s="96">
        <f t="shared" ref="O15" si="1">SUM(C15:N15)</f>
        <v>134</v>
      </c>
    </row>
    <row r="16" spans="1:15" ht="15.75" thickBot="1" x14ac:dyDescent="0.3">
      <c r="A16" s="856"/>
      <c r="B16" s="455" t="s">
        <v>135</v>
      </c>
      <c r="C16" s="447">
        <v>24</v>
      </c>
      <c r="D16" s="302">
        <v>27</v>
      </c>
      <c r="E16" s="302">
        <v>15</v>
      </c>
      <c r="F16" s="42">
        <v>31</v>
      </c>
      <c r="G16" s="42">
        <v>35</v>
      </c>
      <c r="H16" s="42">
        <v>31</v>
      </c>
      <c r="I16" s="42">
        <v>35</v>
      </c>
      <c r="J16" s="680">
        <v>30</v>
      </c>
      <c r="K16" s="237">
        <v>23</v>
      </c>
      <c r="L16" s="234">
        <f>+'FY24 KPIs'!M77</f>
        <v>10</v>
      </c>
      <c r="M16" s="234">
        <f>+'FY24 KPIs'!N77</f>
        <v>18</v>
      </c>
      <c r="N16" s="234">
        <f>+'FY24 KPIs'!O77</f>
        <v>20</v>
      </c>
    </row>
    <row r="17" spans="1:14" ht="15.75" thickBot="1" x14ac:dyDescent="0.3">
      <c r="A17" s="856"/>
      <c r="B17" s="455" t="s">
        <v>80</v>
      </c>
      <c r="C17" s="447">
        <v>12</v>
      </c>
      <c r="D17" s="302">
        <v>25</v>
      </c>
      <c r="E17" s="302">
        <v>11</v>
      </c>
      <c r="F17" s="42">
        <v>22</v>
      </c>
      <c r="G17" s="42">
        <v>11</v>
      </c>
      <c r="H17" s="42">
        <v>11</v>
      </c>
      <c r="I17" s="42">
        <v>12</v>
      </c>
      <c r="J17" s="239">
        <v>22</v>
      </c>
      <c r="K17" s="237">
        <v>14</v>
      </c>
      <c r="L17" s="234">
        <f>+'FY24 KPIs'!M78</f>
        <v>9</v>
      </c>
      <c r="M17" s="234">
        <f>+'FY24 KPIs'!N78</f>
        <v>17</v>
      </c>
      <c r="N17" s="234">
        <f>+'FY24 KPIs'!O78</f>
        <v>21</v>
      </c>
    </row>
    <row r="18" spans="1:14" ht="15.75" thickBot="1" x14ac:dyDescent="0.3">
      <c r="A18" s="856"/>
      <c r="B18" s="455" t="s">
        <v>81</v>
      </c>
      <c r="C18" s="447" t="s">
        <v>181</v>
      </c>
      <c r="D18" s="303">
        <v>875</v>
      </c>
      <c r="E18" s="303">
        <v>2600</v>
      </c>
      <c r="F18" s="242">
        <v>1400</v>
      </c>
      <c r="G18" s="242">
        <v>1800</v>
      </c>
      <c r="H18" s="368">
        <v>7100</v>
      </c>
      <c r="I18" s="368">
        <v>6200</v>
      </c>
      <c r="J18" s="681">
        <v>6500</v>
      </c>
      <c r="K18" s="243">
        <v>5700</v>
      </c>
      <c r="L18" s="234">
        <f>+'FY24 KPIs'!M79</f>
        <v>3700</v>
      </c>
      <c r="M18" s="234">
        <f>+'FY24 KPIs'!N79</f>
        <v>6500</v>
      </c>
      <c r="N18" s="234">
        <f>+'FY24 KPIs'!O79</f>
        <v>3000</v>
      </c>
    </row>
    <row r="19" spans="1:14" ht="15.75" thickBot="1" x14ac:dyDescent="0.3">
      <c r="A19" s="856"/>
      <c r="B19" s="456" t="s">
        <v>79</v>
      </c>
      <c r="C19" s="448">
        <v>9</v>
      </c>
      <c r="D19" s="431">
        <v>13</v>
      </c>
      <c r="E19" s="431">
        <v>12</v>
      </c>
      <c r="F19" s="432">
        <v>26</v>
      </c>
      <c r="G19" s="432">
        <v>27</v>
      </c>
      <c r="H19" s="432">
        <v>23</v>
      </c>
      <c r="I19" s="432">
        <v>12</v>
      </c>
      <c r="J19" s="682">
        <v>10</v>
      </c>
      <c r="K19" s="433">
        <v>10</v>
      </c>
      <c r="L19" s="234">
        <f>+'FY24 KPIs'!M80</f>
        <v>9</v>
      </c>
      <c r="M19" s="234">
        <f>+'FY24 KPIs'!N80</f>
        <v>11</v>
      </c>
      <c r="N19" s="234">
        <f>+'FY24 KPIs'!O80</f>
        <v>8</v>
      </c>
    </row>
    <row r="20" spans="1:14" ht="15.75" thickBot="1" x14ac:dyDescent="0.3">
      <c r="A20" s="865" t="s">
        <v>83</v>
      </c>
      <c r="B20" s="554" t="s">
        <v>85</v>
      </c>
      <c r="C20" s="304">
        <v>5409</v>
      </c>
      <c r="D20" s="304">
        <v>6085</v>
      </c>
      <c r="E20" s="304">
        <v>4712</v>
      </c>
      <c r="F20" s="151">
        <v>6274</v>
      </c>
      <c r="G20" s="151">
        <v>4503</v>
      </c>
      <c r="H20" s="151">
        <v>4464</v>
      </c>
      <c r="I20" s="151">
        <v>2815</v>
      </c>
      <c r="J20" s="151">
        <v>2439</v>
      </c>
      <c r="K20" s="151">
        <v>2175</v>
      </c>
      <c r="L20" s="234">
        <f>+'FY24 KPIs'!M81</f>
        <v>3580</v>
      </c>
      <c r="M20" s="234">
        <f>+'FY24 KPIs'!N81</f>
        <v>3493</v>
      </c>
      <c r="N20" s="234">
        <f>+'FY24 KPIs'!O81</f>
        <v>4194</v>
      </c>
    </row>
    <row r="21" spans="1:14" ht="15.75" thickBot="1" x14ac:dyDescent="0.3">
      <c r="A21" s="866"/>
      <c r="B21" s="553" t="s">
        <v>84</v>
      </c>
      <c r="C21" s="534">
        <v>69</v>
      </c>
      <c r="D21" s="534">
        <v>69</v>
      </c>
      <c r="E21" s="534">
        <v>73</v>
      </c>
      <c r="F21" s="152">
        <v>80</v>
      </c>
      <c r="G21" s="152">
        <v>83</v>
      </c>
      <c r="H21" s="152">
        <v>72</v>
      </c>
      <c r="I21" s="152">
        <v>78</v>
      </c>
      <c r="J21" s="152">
        <v>68</v>
      </c>
      <c r="K21" s="441">
        <v>55</v>
      </c>
      <c r="L21" s="234">
        <f>+'FY24 KPIs'!M82</f>
        <v>58</v>
      </c>
      <c r="M21" s="234">
        <f>+'FY24 KPIs'!N82</f>
        <v>54</v>
      </c>
      <c r="N21" s="234">
        <f>+'FY24 KPIs'!O82</f>
        <v>58</v>
      </c>
    </row>
  </sheetData>
  <mergeCells count="2">
    <mergeCell ref="A20:A21"/>
    <mergeCell ref="A3:A19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9B59-EF49-4F54-B73D-B041AC5CB406}">
  <dimension ref="A2:O10"/>
  <sheetViews>
    <sheetView topLeftCell="A21" workbookViewId="0">
      <selection activeCell="P10" sqref="P10"/>
    </sheetView>
  </sheetViews>
  <sheetFormatPr defaultRowHeight="15" x14ac:dyDescent="0.25"/>
  <cols>
    <col min="1" max="1" width="49" bestFit="1" customWidth="1"/>
    <col min="2" max="2" width="10.7109375" bestFit="1" customWidth="1"/>
    <col min="3" max="3" width="11.7109375" bestFit="1" customWidth="1"/>
    <col min="4" max="4" width="11.85546875" bestFit="1" customWidth="1"/>
    <col min="5" max="5" width="11.7109375" bestFit="1" customWidth="1"/>
    <col min="6" max="7" width="12.7109375" bestFit="1" customWidth="1"/>
    <col min="8" max="8" width="11.85546875" bestFit="1" customWidth="1"/>
    <col min="9" max="9" width="12.7109375" bestFit="1" customWidth="1"/>
    <col min="10" max="10" width="14.28515625" customWidth="1"/>
    <col min="11" max="11" width="11.85546875" bestFit="1" customWidth="1"/>
    <col min="12" max="12" width="14.28515625" bestFit="1" customWidth="1"/>
    <col min="13" max="13" width="9.42578125" bestFit="1" customWidth="1"/>
    <col min="14" max="14" width="16.28515625" customWidth="1"/>
  </cols>
  <sheetData>
    <row r="2" spans="1:15" ht="15.75" thickBot="1" x14ac:dyDescent="0.3">
      <c r="B2" s="2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6" t="s">
        <v>12</v>
      </c>
      <c r="M2" s="5" t="s">
        <v>13</v>
      </c>
      <c r="N2" s="64" t="s">
        <v>14</v>
      </c>
    </row>
    <row r="3" spans="1:15" ht="15.75" thickBot="1" x14ac:dyDescent="0.3">
      <c r="A3" s="737" t="s">
        <v>89</v>
      </c>
      <c r="B3" s="29">
        <f>+'FY24 KPIs'!D83</f>
        <v>0</v>
      </c>
      <c r="C3" s="29">
        <f>+'FY24 KPIs'!E83</f>
        <v>0</v>
      </c>
      <c r="D3" s="29">
        <f>+'FY24 KPIs'!F83</f>
        <v>0</v>
      </c>
      <c r="E3" s="29">
        <f>+'FY24 KPIs'!G83</f>
        <v>0</v>
      </c>
      <c r="F3" s="29">
        <f>+'FY24 KPIs'!H83</f>
        <v>0</v>
      </c>
      <c r="G3" s="29">
        <f>+'FY24 KPIs'!I83</f>
        <v>0</v>
      </c>
      <c r="H3" s="29">
        <f>+'FY24 KPIs'!J83</f>
        <v>0</v>
      </c>
      <c r="I3" s="29" t="str">
        <f>+'FY24 KPIs'!K83</f>
        <v>NA</v>
      </c>
      <c r="J3" s="29">
        <f>+'FY24 KPIs'!L83</f>
        <v>2</v>
      </c>
      <c r="K3" s="29">
        <f>+'FY24 KPIs'!M83</f>
        <v>0</v>
      </c>
      <c r="L3" s="29">
        <f>+'FY24 KPIs'!N83</f>
        <v>0</v>
      </c>
      <c r="M3" s="29">
        <f>+'FY24 KPIs'!O83</f>
        <v>0</v>
      </c>
      <c r="N3" s="61">
        <f t="shared" ref="N3:N10" si="0">SUM(B3:M3)</f>
        <v>2</v>
      </c>
    </row>
    <row r="4" spans="1:15" ht="15.75" thickBot="1" x14ac:dyDescent="0.3">
      <c r="A4" s="380" t="s">
        <v>87</v>
      </c>
      <c r="B4" s="126">
        <f>+'FY24 KPIs'!D84</f>
        <v>0</v>
      </c>
      <c r="C4" s="126">
        <f>+'FY24 KPIs'!E84</f>
        <v>60729</v>
      </c>
      <c r="D4" s="126">
        <f>+'FY24 KPIs'!F84</f>
        <v>20000</v>
      </c>
      <c r="E4" s="126">
        <f>+'FY24 KPIs'!G84</f>
        <v>0</v>
      </c>
      <c r="F4" s="126">
        <f>+'FY24 KPIs'!H84</f>
        <v>0</v>
      </c>
      <c r="G4" s="126">
        <f>+'FY24 KPIs'!I84</f>
        <v>0</v>
      </c>
      <c r="H4" s="126">
        <f>+'FY24 KPIs'!J84</f>
        <v>85521.59</v>
      </c>
      <c r="I4" s="126" t="str">
        <f>+'FY24 KPIs'!K84</f>
        <v>NA</v>
      </c>
      <c r="J4" s="126">
        <f>+'FY24 KPIs'!L84</f>
        <v>3755000</v>
      </c>
      <c r="K4" s="126">
        <f>+'FY24 KPIs'!M84</f>
        <v>16812</v>
      </c>
      <c r="L4" s="126">
        <f>+'FY24 KPIs'!N84</f>
        <v>1182360</v>
      </c>
      <c r="M4" s="126">
        <f>+'FY24 KPIs'!O84</f>
        <v>155000</v>
      </c>
      <c r="N4" s="172">
        <f t="shared" si="0"/>
        <v>5275422.59</v>
      </c>
      <c r="O4" s="160">
        <f>SUM(N4/150000)</f>
        <v>35.169483933333332</v>
      </c>
    </row>
    <row r="5" spans="1:15" ht="15.75" thickBot="1" x14ac:dyDescent="0.3">
      <c r="A5" s="380" t="s">
        <v>88</v>
      </c>
      <c r="B5" s="126">
        <f>+'FY24 KPIs'!D85</f>
        <v>0</v>
      </c>
      <c r="C5" s="126">
        <f>+'FY24 KPIs'!E85</f>
        <v>14145</v>
      </c>
      <c r="D5" s="126">
        <f>+'FY24 KPIs'!F85</f>
        <v>3026.38</v>
      </c>
      <c r="E5" s="126">
        <f>+'FY24 KPIs'!G85</f>
        <v>20164</v>
      </c>
      <c r="F5" s="126">
        <f>+'FY24 KPIs'!H85</f>
        <v>7762</v>
      </c>
      <c r="G5" s="126">
        <f>+'FY24 KPIs'!I85</f>
        <v>9473</v>
      </c>
      <c r="H5" s="126">
        <f>+'FY24 KPIs'!J85</f>
        <v>7604.62</v>
      </c>
      <c r="I5" s="126" t="str">
        <f>+'FY24 KPIs'!K85</f>
        <v>NA</v>
      </c>
      <c r="J5" s="126">
        <f>+'FY24 KPIs'!L85</f>
        <v>8219.2099999999991</v>
      </c>
      <c r="K5" s="126">
        <f>+'FY24 KPIs'!M85</f>
        <v>47738.89</v>
      </c>
      <c r="L5" s="126">
        <f>+'FY24 KPIs'!N85</f>
        <v>8968.5499999999993</v>
      </c>
      <c r="M5" s="126">
        <f>+'FY24 KPIs'!O85</f>
        <v>6694.54</v>
      </c>
      <c r="N5" s="172">
        <f t="shared" si="0"/>
        <v>133796.19</v>
      </c>
      <c r="O5" s="160">
        <f>SUM(N5/125000)</f>
        <v>1.0703695200000001</v>
      </c>
    </row>
    <row r="6" spans="1:15" ht="15.75" thickBot="1" x14ac:dyDescent="0.3">
      <c r="A6" s="101" t="s">
        <v>133</v>
      </c>
      <c r="B6" s="126">
        <f>+'FY24 KPIs'!D86</f>
        <v>0</v>
      </c>
      <c r="C6" s="126">
        <f>+'FY24 KPIs'!E86</f>
        <v>28780</v>
      </c>
      <c r="D6" s="126">
        <f>+'FY24 KPIs'!F86</f>
        <v>60302.37</v>
      </c>
      <c r="E6" s="126">
        <f>+'FY24 KPIs'!G86</f>
        <v>70578</v>
      </c>
      <c r="F6" s="126">
        <f>+'FY24 KPIs'!H86</f>
        <v>79598</v>
      </c>
      <c r="G6" s="126">
        <f>+'FY24 KPIs'!I86</f>
        <v>59723</v>
      </c>
      <c r="H6" s="126">
        <f>+'FY24 KPIs'!J86</f>
        <v>96664.98000000001</v>
      </c>
      <c r="I6" s="126" t="str">
        <f>+'FY24 KPIs'!K86</f>
        <v>NA</v>
      </c>
      <c r="J6" s="126">
        <f>+'FY24 KPIs'!L86</f>
        <v>35811.68</v>
      </c>
      <c r="K6" s="126">
        <f>+'FY24 KPIs'!M86</f>
        <v>41195.74</v>
      </c>
      <c r="L6" s="126">
        <f>+'FY24 KPIs'!N86</f>
        <v>8968.5499999999993</v>
      </c>
      <c r="M6" s="126">
        <f>+'FY24 KPIs'!O86</f>
        <v>121180.06</v>
      </c>
      <c r="N6" s="172">
        <f t="shared" si="0"/>
        <v>602802.37999999989</v>
      </c>
      <c r="O6" s="160"/>
    </row>
    <row r="7" spans="1:15" ht="15.75" thickBot="1" x14ac:dyDescent="0.3">
      <c r="A7" s="101" t="s">
        <v>155</v>
      </c>
      <c r="B7" s="29">
        <f>+'FY24 KPIs'!D87</f>
        <v>0</v>
      </c>
      <c r="C7" s="29">
        <f>+'FY24 KPIs'!E87</f>
        <v>7</v>
      </c>
      <c r="D7" s="29">
        <f>+'FY24 KPIs'!F87</f>
        <v>4</v>
      </c>
      <c r="E7" s="29">
        <f>+'FY24 KPIs'!G87</f>
        <v>5</v>
      </c>
      <c r="F7" s="29">
        <f>+'FY24 KPIs'!H87</f>
        <v>5</v>
      </c>
      <c r="G7" s="29">
        <f>+'FY24 KPIs'!I87</f>
        <v>7</v>
      </c>
      <c r="H7" s="29">
        <f>+'FY24 KPIs'!J87</f>
        <v>31</v>
      </c>
      <c r="I7" s="29" t="str">
        <f>+'FY24 KPIs'!K87</f>
        <v>NA</v>
      </c>
      <c r="J7" s="29">
        <f>+'FY24 KPIs'!L87</f>
        <v>2</v>
      </c>
      <c r="K7" s="29">
        <f>+'FY24 KPIs'!M87</f>
        <v>3</v>
      </c>
      <c r="L7" s="29">
        <f>+'FY24 KPIs'!N87</f>
        <v>1</v>
      </c>
      <c r="M7" s="29">
        <f>+'FY24 KPIs'!O87</f>
        <v>0</v>
      </c>
      <c r="N7" s="72">
        <f t="shared" si="0"/>
        <v>65</v>
      </c>
    </row>
    <row r="8" spans="1:15" ht="15.75" thickBot="1" x14ac:dyDescent="0.3">
      <c r="A8" s="101" t="s">
        <v>156</v>
      </c>
      <c r="B8" s="29">
        <f>+'FY24 KPIs'!D88</f>
        <v>0</v>
      </c>
      <c r="C8" s="29">
        <f>+'FY24 KPIs'!E88</f>
        <v>21</v>
      </c>
      <c r="D8" s="29">
        <f>+'FY24 KPIs'!F88</f>
        <v>27</v>
      </c>
      <c r="E8" s="29">
        <f>+'FY24 KPIs'!G88</f>
        <v>30</v>
      </c>
      <c r="F8" s="29">
        <f>+'FY24 KPIs'!H88</f>
        <v>28</v>
      </c>
      <c r="G8" s="29">
        <f>+'FY24 KPIs'!I88</f>
        <v>30</v>
      </c>
      <c r="H8" s="29">
        <f>+'FY24 KPIs'!J88</f>
        <v>28</v>
      </c>
      <c r="I8" s="29" t="str">
        <f>+'FY24 KPIs'!K88</f>
        <v>NA</v>
      </c>
      <c r="J8" s="29">
        <f>+'FY24 KPIs'!L88</f>
        <v>22</v>
      </c>
      <c r="K8" s="29">
        <f>+'FY24 KPIs'!M88</f>
        <v>21</v>
      </c>
      <c r="L8" s="29">
        <f>+'FY24 KPIs'!N88</f>
        <v>19</v>
      </c>
      <c r="M8" s="29">
        <f>+'FY24 KPIs'!O88</f>
        <v>19</v>
      </c>
      <c r="N8" s="72">
        <f t="shared" si="0"/>
        <v>245</v>
      </c>
    </row>
    <row r="9" spans="1:15" ht="15.75" thickBot="1" x14ac:dyDescent="0.3">
      <c r="A9" s="101" t="s">
        <v>157</v>
      </c>
      <c r="B9" s="29">
        <f>+'FY24 KPIs'!D89</f>
        <v>11802</v>
      </c>
      <c r="C9" s="29">
        <f>+'FY24 KPIs'!E89</f>
        <v>10121</v>
      </c>
      <c r="D9" s="29">
        <f>+'FY24 KPIs'!F89</f>
        <v>3725</v>
      </c>
      <c r="E9" s="29">
        <f>+'FY24 KPIs'!G89</f>
        <v>45212</v>
      </c>
      <c r="F9" s="29">
        <f>+'FY24 KPIs'!H89</f>
        <v>6344</v>
      </c>
      <c r="G9" s="29">
        <f>+'FY24 KPIs'!I89</f>
        <v>15753</v>
      </c>
      <c r="H9" s="29">
        <f>+'FY24 KPIs'!J89</f>
        <v>30589</v>
      </c>
      <c r="I9" s="29" t="str">
        <f>+'FY24 KPIs'!K89</f>
        <v>NA</v>
      </c>
      <c r="J9" s="29">
        <f>+'FY24 KPIs'!L89</f>
        <v>23921</v>
      </c>
      <c r="K9" s="29">
        <f>+'FY24 KPIs'!M89</f>
        <v>25495</v>
      </c>
      <c r="L9" s="29">
        <f>+'FY24 KPIs'!N89</f>
        <v>27100</v>
      </c>
      <c r="M9" s="29">
        <f>+'FY24 KPIs'!O89</f>
        <v>22836</v>
      </c>
      <c r="N9" s="72">
        <f t="shared" si="0"/>
        <v>222898</v>
      </c>
    </row>
    <row r="10" spans="1:15" ht="15.75" thickBot="1" x14ac:dyDescent="0.3">
      <c r="A10" s="101" t="s">
        <v>231</v>
      </c>
      <c r="B10" s="29">
        <f>+'FY24 KPIs'!D90</f>
        <v>2</v>
      </c>
      <c r="C10" s="29">
        <f>+'FY24 KPIs'!E90</f>
        <v>1</v>
      </c>
      <c r="D10" s="29">
        <f>+'FY24 KPIs'!F90</f>
        <v>0</v>
      </c>
      <c r="E10" s="29">
        <f>+'FY24 KPIs'!G90</f>
        <v>0</v>
      </c>
      <c r="F10" s="29">
        <f>+'FY24 KPIs'!H90</f>
        <v>0</v>
      </c>
      <c r="G10" s="29">
        <f>+'FY24 KPIs'!I90</f>
        <v>0</v>
      </c>
      <c r="H10" s="29">
        <f>+'FY24 KPIs'!J90</f>
        <v>1</v>
      </c>
      <c r="I10" s="29" t="str">
        <f>+'FY24 KPIs'!K90</f>
        <v>NA</v>
      </c>
      <c r="J10" s="29">
        <f>+'FY24 KPIs'!L90</f>
        <v>1</v>
      </c>
      <c r="K10" s="29">
        <f>+'FY24 KPIs'!M90</f>
        <v>0</v>
      </c>
      <c r="L10" s="29">
        <f>+'FY24 KPIs'!N90</f>
        <v>0</v>
      </c>
      <c r="M10" s="29">
        <f>+'FY24 KPIs'!O90</f>
        <v>1</v>
      </c>
      <c r="N10" s="72">
        <f t="shared" si="0"/>
        <v>6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DB2B-C9EA-456F-BD55-76D008F79DD6}">
  <dimension ref="A2:N19"/>
  <sheetViews>
    <sheetView topLeftCell="A41" workbookViewId="0">
      <selection activeCell="P23" sqref="P23"/>
    </sheetView>
  </sheetViews>
  <sheetFormatPr defaultRowHeight="15" x14ac:dyDescent="0.25"/>
  <cols>
    <col min="1" max="1" width="83.85546875" bestFit="1" customWidth="1"/>
    <col min="2" max="4" width="12.5703125" bestFit="1" customWidth="1"/>
    <col min="5" max="5" width="11.5703125" bestFit="1" customWidth="1"/>
    <col min="6" max="6" width="12.5703125" bestFit="1" customWidth="1"/>
    <col min="7" max="7" width="11.5703125" bestFit="1" customWidth="1"/>
    <col min="8" max="8" width="12.5703125" bestFit="1" customWidth="1"/>
    <col min="9" max="9" width="12.7109375" bestFit="1" customWidth="1"/>
    <col min="10" max="10" width="11.5703125" bestFit="1" customWidth="1"/>
    <col min="11" max="12" width="12.5703125" bestFit="1" customWidth="1"/>
    <col min="14" max="14" width="12" customWidth="1"/>
  </cols>
  <sheetData>
    <row r="2" spans="1:14" ht="15.75" thickBot="1" x14ac:dyDescent="0.3">
      <c r="B2" s="2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6" t="s">
        <v>12</v>
      </c>
      <c r="M2" s="5" t="s">
        <v>13</v>
      </c>
      <c r="N2" s="64" t="s">
        <v>14</v>
      </c>
    </row>
    <row r="3" spans="1:14" ht="15.75" thickBot="1" x14ac:dyDescent="0.3">
      <c r="A3" s="50" t="s">
        <v>91</v>
      </c>
      <c r="B3" s="51">
        <f>+'FY24 KPIs'!D91</f>
        <v>38</v>
      </c>
      <c r="C3" s="51">
        <f>+'FY24 KPIs'!E91</f>
        <v>22</v>
      </c>
      <c r="D3" s="51">
        <f>+'FY24 KPIs'!F91</f>
        <v>30</v>
      </c>
      <c r="E3" s="51">
        <f>+'FY24 KPIs'!G91</f>
        <v>38</v>
      </c>
      <c r="F3" s="51">
        <f>+'FY24 KPIs'!H91</f>
        <v>48</v>
      </c>
      <c r="G3" s="51">
        <f>+'FY24 KPIs'!I91</f>
        <v>49</v>
      </c>
      <c r="H3" s="51">
        <f>+'FY24 KPIs'!J91</f>
        <v>65</v>
      </c>
      <c r="I3" s="51">
        <f>+'FY24 KPIs'!K91</f>
        <v>54</v>
      </c>
      <c r="J3" s="51">
        <f>+'FY24 KPIs'!L91</f>
        <v>60</v>
      </c>
      <c r="K3" s="51">
        <f>+'FY24 KPIs'!M91</f>
        <v>46</v>
      </c>
      <c r="L3" s="51">
        <f>+'FY24 KPIs'!N91</f>
        <v>86</v>
      </c>
      <c r="M3" s="51">
        <f>+'FY24 KPIs'!O91</f>
        <v>41</v>
      </c>
      <c r="N3" s="54">
        <f t="shared" ref="N3" si="0">SUM(B3:M3)</f>
        <v>577</v>
      </c>
    </row>
    <row r="4" spans="1:14" ht="15.75" thickBot="1" x14ac:dyDescent="0.3">
      <c r="A4" s="52" t="s">
        <v>94</v>
      </c>
      <c r="B4" s="51">
        <f>+'FY24 KPIs'!D92</f>
        <v>50</v>
      </c>
      <c r="C4" s="51">
        <f>+'FY24 KPIs'!E92</f>
        <v>46</v>
      </c>
      <c r="D4" s="51">
        <f>+'FY24 KPIs'!F92</f>
        <v>66.75</v>
      </c>
      <c r="E4" s="51">
        <f>+'FY24 KPIs'!G92</f>
        <v>53</v>
      </c>
      <c r="F4" s="51">
        <f>+'FY24 KPIs'!H92</f>
        <v>45</v>
      </c>
      <c r="G4" s="51">
        <f>+'FY24 KPIs'!I92</f>
        <v>57.5</v>
      </c>
      <c r="H4" s="51">
        <f>+'FY24 KPIs'!J92</f>
        <v>53</v>
      </c>
      <c r="I4" s="51">
        <f>+'FY24 KPIs'!K92</f>
        <v>69</v>
      </c>
      <c r="J4" s="51">
        <f>+'FY24 KPIs'!L92</f>
        <v>61</v>
      </c>
      <c r="K4" s="51">
        <f>+'FY24 KPIs'!M92</f>
        <v>50</v>
      </c>
      <c r="L4" s="51">
        <f>+'FY24 KPIs'!N92</f>
        <v>46.5</v>
      </c>
      <c r="M4" s="51">
        <f>+'FY24 KPIs'!O92</f>
        <v>57.5</v>
      </c>
      <c r="N4" s="55">
        <f t="shared" ref="N4:N9" si="1">SUM(B4:M4)</f>
        <v>655.25</v>
      </c>
    </row>
    <row r="5" spans="1:14" ht="15.75" thickBot="1" x14ac:dyDescent="0.3">
      <c r="A5" s="52" t="s">
        <v>164</v>
      </c>
      <c r="B5" s="51">
        <f>+'FY24 KPIs'!D93</f>
        <v>5</v>
      </c>
      <c r="C5" s="51">
        <f>+'FY24 KPIs'!E93</f>
        <v>6</v>
      </c>
      <c r="D5" s="51">
        <f>+'FY24 KPIs'!F93</f>
        <v>3</v>
      </c>
      <c r="E5" s="51">
        <f>+'FY24 KPIs'!G93</f>
        <v>6</v>
      </c>
      <c r="F5" s="51">
        <f>+'FY24 KPIs'!H93</f>
        <v>13</v>
      </c>
      <c r="G5" s="51">
        <f>+'FY24 KPIs'!I93</f>
        <v>18</v>
      </c>
      <c r="H5" s="51">
        <f>+'FY24 KPIs'!J93</f>
        <v>16</v>
      </c>
      <c r="I5" s="51">
        <f>+'FY24 KPIs'!K93</f>
        <v>10</v>
      </c>
      <c r="J5" s="51">
        <f>+'FY24 KPIs'!L93</f>
        <v>12</v>
      </c>
      <c r="K5" s="51">
        <f>+'FY24 KPIs'!M93</f>
        <v>15</v>
      </c>
      <c r="L5" s="51">
        <f>+'FY24 KPIs'!N93</f>
        <v>20</v>
      </c>
      <c r="M5" s="51">
        <f>+'FY24 KPIs'!O93</f>
        <v>5</v>
      </c>
      <c r="N5" s="55">
        <f t="shared" si="1"/>
        <v>129</v>
      </c>
    </row>
    <row r="6" spans="1:14" ht="15.75" thickBot="1" x14ac:dyDescent="0.3">
      <c r="A6" s="52" t="s">
        <v>165</v>
      </c>
      <c r="B6" s="139">
        <f>+'FY24 KPIs'!D94</f>
        <v>92380</v>
      </c>
      <c r="C6" s="139">
        <f>+'FY24 KPIs'!E94</f>
        <v>289446</v>
      </c>
      <c r="D6" s="139">
        <f>+'FY24 KPIs'!F94</f>
        <v>216300</v>
      </c>
      <c r="E6" s="139">
        <f>+'FY24 KPIs'!G94</f>
        <v>0</v>
      </c>
      <c r="F6" s="139">
        <f>+'FY24 KPIs'!H94</f>
        <v>174600</v>
      </c>
      <c r="G6" s="383">
        <f>+'FY24 KPIs'!I94</f>
        <v>0</v>
      </c>
      <c r="H6" s="406">
        <f>+'FY24 KPIs'!J94</f>
        <v>195700</v>
      </c>
      <c r="I6" s="51">
        <f>+'FY24 KPIs'!K94</f>
        <v>0</v>
      </c>
      <c r="J6" s="51">
        <f>+'FY24 KPIs'!L94</f>
        <v>0</v>
      </c>
      <c r="K6" s="51" t="str">
        <f>+'FY24 KPIs'!M94</f>
        <v xml:space="preserve"> $-   </v>
      </c>
      <c r="L6" s="51" t="str">
        <f>+'FY24 KPIs'!N94</f>
        <v xml:space="preserve"> $-   </v>
      </c>
      <c r="M6" s="51">
        <f>+'FY24 KPIs'!O94</f>
        <v>0</v>
      </c>
      <c r="N6" s="58">
        <f t="shared" si="1"/>
        <v>968426</v>
      </c>
    </row>
    <row r="7" spans="1:14" ht="15.75" thickBot="1" x14ac:dyDescent="0.3">
      <c r="A7" s="52" t="s">
        <v>166</v>
      </c>
      <c r="B7" s="139">
        <f>+'FY24 KPIs'!D95</f>
        <v>15000</v>
      </c>
      <c r="C7" s="139">
        <f>+'FY24 KPIs'!E95</f>
        <v>15000</v>
      </c>
      <c r="D7" s="139">
        <f>+'FY24 KPIs'!F95</f>
        <v>156601</v>
      </c>
      <c r="E7" s="139">
        <f>+'FY24 KPIs'!G95</f>
        <v>0</v>
      </c>
      <c r="F7" s="139">
        <f>+'FY24 KPIs'!H95</f>
        <v>186000</v>
      </c>
      <c r="G7" s="383">
        <f>+'FY24 KPIs'!I95</f>
        <v>0</v>
      </c>
      <c r="H7" s="406">
        <f>+'FY24 KPIs'!J95</f>
        <v>76000</v>
      </c>
      <c r="I7" s="406">
        <f>+'FY24 KPIs'!K95</f>
        <v>245000</v>
      </c>
      <c r="J7" s="406">
        <f>+'FY24 KPIs'!L95</f>
        <v>50000</v>
      </c>
      <c r="K7" s="406">
        <f>+'FY24 KPIs'!M95</f>
        <v>119135.07</v>
      </c>
      <c r="L7" s="406">
        <f>+'FY24 KPIs'!N95</f>
        <v>234000</v>
      </c>
      <c r="M7" s="51">
        <f>+'FY24 KPIs'!O95</f>
        <v>103500</v>
      </c>
      <c r="N7" s="58">
        <f t="shared" si="1"/>
        <v>1200236.07</v>
      </c>
    </row>
    <row r="8" spans="1:14" ht="15.75" thickBot="1" x14ac:dyDescent="0.3">
      <c r="A8" s="52" t="s">
        <v>167</v>
      </c>
      <c r="B8" s="51">
        <f>+'FY24 KPIs'!D96</f>
        <v>242</v>
      </c>
      <c r="C8" s="51">
        <f>+'FY24 KPIs'!E96</f>
        <v>220</v>
      </c>
      <c r="D8" s="51">
        <f>+'FY24 KPIs'!F96</f>
        <v>203</v>
      </c>
      <c r="E8" s="51">
        <f>+'FY24 KPIs'!G96</f>
        <v>318</v>
      </c>
      <c r="F8" s="51">
        <f>+'FY24 KPIs'!H96</f>
        <v>312</v>
      </c>
      <c r="G8" s="51">
        <f>+'FY24 KPIs'!I96</f>
        <v>311</v>
      </c>
      <c r="H8" s="51">
        <f>+'FY24 KPIs'!J96</f>
        <v>365</v>
      </c>
      <c r="I8" s="51">
        <f>+'FY24 KPIs'!K96</f>
        <v>447</v>
      </c>
      <c r="J8" s="51">
        <f>+'FY24 KPIs'!L96</f>
        <v>237</v>
      </c>
      <c r="K8" s="51">
        <f>+'FY24 KPIs'!M96</f>
        <v>229.5</v>
      </c>
      <c r="L8" s="51">
        <f>+'FY24 KPIs'!N96</f>
        <v>333</v>
      </c>
      <c r="M8" s="51">
        <f>+'FY24 KPIs'!O96</f>
        <v>361.25</v>
      </c>
      <c r="N8" s="55">
        <f t="shared" si="1"/>
        <v>3578.75</v>
      </c>
    </row>
    <row r="9" spans="1:14" ht="15.75" thickBot="1" x14ac:dyDescent="0.3">
      <c r="A9" s="52" t="s">
        <v>93</v>
      </c>
      <c r="B9" s="138">
        <f>+'FY24 KPIs'!D97</f>
        <v>0.23200000000000001</v>
      </c>
      <c r="C9" s="138">
        <f>+'FY24 KPIs'!E97</f>
        <v>0.161</v>
      </c>
      <c r="D9" s="138">
        <f>+'FY24 KPIs'!F97</f>
        <v>0.122</v>
      </c>
      <c r="E9" s="138">
        <f>+'FY24 KPIs'!G97</f>
        <v>0.12790000000000001</v>
      </c>
      <c r="F9" s="138">
        <f>+'FY24 KPIs'!H97</f>
        <v>0.1273</v>
      </c>
      <c r="G9" s="405">
        <f>+'FY24 KPIs'!I97</f>
        <v>0.1409</v>
      </c>
      <c r="H9" s="405">
        <f>+'FY24 KPIs'!J97</f>
        <v>0.1399</v>
      </c>
      <c r="I9" s="405">
        <f>+'FY24 KPIs'!K97</f>
        <v>0.14099999999999999</v>
      </c>
      <c r="J9" s="405">
        <f>+'FY24 KPIs'!L97</f>
        <v>0.18</v>
      </c>
      <c r="K9" s="405">
        <f>+'FY24 KPIs'!M97</f>
        <v>0.16200000000000001</v>
      </c>
      <c r="L9" s="405">
        <f>+'FY24 KPIs'!N97</f>
        <v>0.11</v>
      </c>
      <c r="M9" s="405">
        <f>+'FY24 KPIs'!O97</f>
        <v>0.124</v>
      </c>
      <c r="N9" s="55">
        <f t="shared" si="1"/>
        <v>1.7679999999999998</v>
      </c>
    </row>
    <row r="10" spans="1:14" ht="15.75" thickBot="1" x14ac:dyDescent="0.3">
      <c r="A10" s="52" t="s">
        <v>102</v>
      </c>
      <c r="B10" s="51">
        <f>+'FY24 KPIs'!D98</f>
        <v>1</v>
      </c>
      <c r="C10" s="51">
        <f>+'FY24 KPIs'!E98</f>
        <v>0</v>
      </c>
      <c r="D10" s="51">
        <f>+'FY24 KPIs'!F98</f>
        <v>4.5</v>
      </c>
      <c r="E10" s="51">
        <f>+'FY24 KPIs'!G98</f>
        <v>0</v>
      </c>
      <c r="F10" s="51">
        <f>+'FY24 KPIs'!H98</f>
        <v>0</v>
      </c>
      <c r="G10" s="51">
        <f>+'FY24 KPIs'!I98</f>
        <v>0</v>
      </c>
      <c r="H10" s="51">
        <f>+'FY24 KPIs'!J98</f>
        <v>0</v>
      </c>
      <c r="I10" s="51">
        <f>+'FY24 KPIs'!K98</f>
        <v>0</v>
      </c>
      <c r="J10" s="51">
        <f>+'FY24 KPIs'!L98</f>
        <v>0</v>
      </c>
      <c r="K10" s="51">
        <f>+'FY24 KPIs'!M98</f>
        <v>0</v>
      </c>
      <c r="L10" s="51">
        <f>+'FY24 KPIs'!N98</f>
        <v>0</v>
      </c>
      <c r="M10" s="51">
        <f>+'FY24 KPIs'!O98</f>
        <v>0</v>
      </c>
      <c r="N10" s="381">
        <f>SUM(N6/75000)</f>
        <v>12.912346666666666</v>
      </c>
    </row>
    <row r="11" spans="1:14" ht="15.75" thickBot="1" x14ac:dyDescent="0.3">
      <c r="A11" s="52" t="s">
        <v>168</v>
      </c>
      <c r="B11" s="51">
        <f>+'FY24 KPIs'!D99</f>
        <v>0</v>
      </c>
      <c r="C11" s="51">
        <f>+'FY24 KPIs'!E99</f>
        <v>0</v>
      </c>
      <c r="D11" s="51">
        <f>+'FY24 KPIs'!F99</f>
        <v>0</v>
      </c>
      <c r="E11" s="51">
        <f>+'FY24 KPIs'!G99</f>
        <v>0</v>
      </c>
      <c r="F11" s="51">
        <f>+'FY24 KPIs'!H99</f>
        <v>160</v>
      </c>
      <c r="G11" s="51">
        <f>+'FY24 KPIs'!I99</f>
        <v>179</v>
      </c>
      <c r="H11" s="51">
        <f>+'FY24 KPIs'!J99</f>
        <v>178</v>
      </c>
      <c r="I11" s="51">
        <f>+'FY24 KPIs'!K99</f>
        <v>15</v>
      </c>
      <c r="J11" s="51">
        <f>+'FY24 KPIs'!L99</f>
        <v>0</v>
      </c>
      <c r="K11" s="51">
        <f>+'FY24 KPIs'!M99</f>
        <v>0</v>
      </c>
      <c r="L11" s="51">
        <f>+'FY24 KPIs'!N99</f>
        <v>0</v>
      </c>
      <c r="M11" s="51">
        <f>+'FY24 KPIs'!O99</f>
        <v>0</v>
      </c>
      <c r="N11" s="60">
        <f>SUM(B11:M11)</f>
        <v>532</v>
      </c>
    </row>
    <row r="12" spans="1:14" ht="15.75" thickBot="1" x14ac:dyDescent="0.3">
      <c r="A12" s="388" t="s">
        <v>199</v>
      </c>
      <c r="B12" s="51"/>
      <c r="C12" s="51"/>
      <c r="D12" s="51"/>
      <c r="E12" s="51"/>
      <c r="F12" s="51">
        <v>160</v>
      </c>
      <c r="G12" s="51">
        <f>SUM(F12+G11)</f>
        <v>339</v>
      </c>
      <c r="H12" s="402">
        <f>SUM(G12+H11)</f>
        <v>517</v>
      </c>
      <c r="I12" s="402">
        <f>SUM(H12+I11)</f>
        <v>532</v>
      </c>
      <c r="J12" s="402">
        <f>SUM(I12+J11)</f>
        <v>532</v>
      </c>
      <c r="K12" s="402">
        <f t="shared" ref="K12:M12" si="2">SUM(J12+K11)</f>
        <v>532</v>
      </c>
      <c r="L12" s="402">
        <f t="shared" si="2"/>
        <v>532</v>
      </c>
      <c r="M12" s="402">
        <f t="shared" si="2"/>
        <v>532</v>
      </c>
      <c r="N12" s="381"/>
    </row>
    <row r="13" spans="1:14" ht="15.75" thickBot="1" x14ac:dyDescent="0.3">
      <c r="A13" s="52" t="s">
        <v>169</v>
      </c>
      <c r="B13" s="51">
        <f>+'FY24 KPIs'!D100</f>
        <v>0</v>
      </c>
      <c r="C13" s="51">
        <f>+'FY24 KPIs'!E100</f>
        <v>0</v>
      </c>
      <c r="D13" s="51">
        <f>+'FY24 KPIs'!F100</f>
        <v>0</v>
      </c>
      <c r="E13" s="51">
        <f>+'FY24 KPIs'!G100</f>
        <v>0</v>
      </c>
      <c r="F13" s="51">
        <f>+'FY24 KPIs'!H100</f>
        <v>0</v>
      </c>
      <c r="G13" s="51">
        <f>+'FY24 KPIs'!I100</f>
        <v>0</v>
      </c>
      <c r="H13" s="51">
        <f>+'FY24 KPIs'!J100</f>
        <v>0</v>
      </c>
      <c r="I13" s="51">
        <f>+'FY24 KPIs'!K100</f>
        <v>0</v>
      </c>
      <c r="J13" s="51">
        <f>+'FY24 KPIs'!L100</f>
        <v>0</v>
      </c>
      <c r="K13" s="51">
        <f>+'FY24 KPIs'!M100</f>
        <v>0</v>
      </c>
      <c r="L13" s="51">
        <f>+'FY24 KPIs'!N100</f>
        <v>0</v>
      </c>
      <c r="M13" s="51">
        <f>+'FY24 KPIs'!O100</f>
        <v>0</v>
      </c>
      <c r="N13" s="55">
        <f t="shared" ref="N13:N14" si="3">SUM(B13:M13)</f>
        <v>0</v>
      </c>
    </row>
    <row r="14" spans="1:14" ht="15.75" thickBot="1" x14ac:dyDescent="0.3">
      <c r="A14" s="52" t="s">
        <v>92</v>
      </c>
      <c r="B14" s="51">
        <f>+'FY24 KPIs'!D101</f>
        <v>4</v>
      </c>
      <c r="C14" s="51">
        <f>+'FY24 KPIs'!E101</f>
        <v>6.75</v>
      </c>
      <c r="D14" s="51">
        <f>+'FY24 KPIs'!F101</f>
        <v>6.5</v>
      </c>
      <c r="E14" s="51">
        <f>+'FY24 KPIs'!G101</f>
        <v>15.25</v>
      </c>
      <c r="F14" s="51">
        <f>+'FY24 KPIs'!H101</f>
        <v>19.75</v>
      </c>
      <c r="G14" s="51">
        <f>+'FY24 KPIs'!I101</f>
        <v>10.5</v>
      </c>
      <c r="H14" s="51">
        <f>+'FY24 KPIs'!J101</f>
        <v>9.5</v>
      </c>
      <c r="I14" s="51">
        <f>+'FY24 KPIs'!K101</f>
        <v>7.5</v>
      </c>
      <c r="J14" s="51">
        <f>+'FY24 KPIs'!L101</f>
        <v>0</v>
      </c>
      <c r="K14" s="51">
        <f>+'FY24 KPIs'!M101</f>
        <v>6.75</v>
      </c>
      <c r="L14" s="51">
        <f>+'FY24 KPIs'!N101</f>
        <v>5</v>
      </c>
      <c r="M14" s="51">
        <f>+'FY24 KPIs'!O101</f>
        <v>4.5</v>
      </c>
      <c r="N14" s="56">
        <f t="shared" si="3"/>
        <v>96</v>
      </c>
    </row>
    <row r="15" spans="1:14" ht="15.75" thickBot="1" x14ac:dyDescent="0.3">
      <c r="A15" s="359" t="s">
        <v>188</v>
      </c>
      <c r="B15" s="51">
        <f>+'FY24 KPIs'!D102</f>
        <v>34</v>
      </c>
      <c r="C15" s="51">
        <f>+'FY24 KPIs'!E102</f>
        <v>13</v>
      </c>
      <c r="D15" s="51">
        <f>+'FY24 KPIs'!F102</f>
        <v>16</v>
      </c>
      <c r="E15" s="51">
        <f>+'FY24 KPIs'!G102</f>
        <v>20</v>
      </c>
      <c r="F15" s="51">
        <f>+'FY24 KPIs'!H102</f>
        <v>83</v>
      </c>
      <c r="G15" s="51">
        <f>+'FY24 KPIs'!I102</f>
        <v>8</v>
      </c>
      <c r="H15" s="51">
        <f>+'FY24 KPIs'!J102</f>
        <v>12</v>
      </c>
      <c r="I15" s="51">
        <f>+'FY24 KPIs'!K102</f>
        <v>8</v>
      </c>
      <c r="J15" s="51">
        <f>+'FY24 KPIs'!L102</f>
        <v>9</v>
      </c>
      <c r="K15" s="51">
        <f>+'FY24 KPIs'!M102</f>
        <v>20</v>
      </c>
      <c r="L15" s="51">
        <f>+'FY24 KPIs'!N102</f>
        <v>8</v>
      </c>
      <c r="M15" s="51">
        <f>+'FY24 KPIs'!O102</f>
        <v>5</v>
      </c>
    </row>
    <row r="16" spans="1:14" ht="30.75" thickBot="1" x14ac:dyDescent="0.3">
      <c r="A16" s="362" t="s">
        <v>189</v>
      </c>
      <c r="B16" s="51">
        <f>+'FY24 KPIs'!D103</f>
        <v>38</v>
      </c>
      <c r="C16" s="51">
        <f>+'FY24 KPIs'!E103</f>
        <v>27</v>
      </c>
      <c r="D16" s="51">
        <f>+'FY24 KPIs'!F103</f>
        <v>19</v>
      </c>
      <c r="E16" s="51">
        <f>+'FY24 KPIs'!G103</f>
        <v>33</v>
      </c>
      <c r="F16" s="51">
        <f>+'FY24 KPIs'!H103</f>
        <v>32</v>
      </c>
      <c r="G16" s="51">
        <f>+'FY24 KPIs'!I103</f>
        <v>41</v>
      </c>
      <c r="H16" s="51">
        <f>+'FY24 KPIs'!J103</f>
        <v>36</v>
      </c>
      <c r="I16" s="51">
        <f>+'FY24 KPIs'!K103</f>
        <v>42</v>
      </c>
      <c r="J16" s="51">
        <f>+'FY24 KPIs'!L103</f>
        <v>42</v>
      </c>
      <c r="K16" s="51">
        <f>+'FY24 KPIs'!M103</f>
        <v>46</v>
      </c>
      <c r="L16" s="51">
        <f>+'FY24 KPIs'!N103</f>
        <v>16</v>
      </c>
      <c r="M16" s="51">
        <f>+'FY24 KPIs'!O103</f>
        <v>5</v>
      </c>
    </row>
    <row r="17" spans="1:1" x14ac:dyDescent="0.25">
      <c r="A17" s="366"/>
    </row>
    <row r="18" spans="1:1" x14ac:dyDescent="0.25">
      <c r="A18" s="366"/>
    </row>
    <row r="19" spans="1:1" x14ac:dyDescent="0.25">
      <c r="A19" s="366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D42A-9EE7-4603-874F-95BC7D2B22E4}">
  <dimension ref="A2:N6"/>
  <sheetViews>
    <sheetView workbookViewId="0">
      <selection activeCell="K5" sqref="K5:M5"/>
    </sheetView>
  </sheetViews>
  <sheetFormatPr defaultRowHeight="15" x14ac:dyDescent="0.25"/>
  <cols>
    <col min="1" max="1" width="60.28515625" bestFit="1" customWidth="1"/>
    <col min="2" max="3" width="11" bestFit="1" customWidth="1"/>
    <col min="4" max="13" width="12" bestFit="1" customWidth="1"/>
    <col min="14" max="14" width="12.5703125" bestFit="1" customWidth="1"/>
  </cols>
  <sheetData>
    <row r="2" spans="1:14" ht="15.75" thickBot="1" x14ac:dyDescent="0.3">
      <c r="B2" s="2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6" t="s">
        <v>12</v>
      </c>
      <c r="M2" s="5" t="s">
        <v>13</v>
      </c>
      <c r="N2" s="64" t="s">
        <v>14</v>
      </c>
    </row>
    <row r="3" spans="1:14" x14ac:dyDescent="0.25">
      <c r="A3" s="622" t="s">
        <v>96</v>
      </c>
      <c r="B3" s="592">
        <v>68</v>
      </c>
      <c r="C3" s="289">
        <v>74</v>
      </c>
      <c r="D3" s="289">
        <v>76</v>
      </c>
      <c r="E3" s="401">
        <v>122</v>
      </c>
      <c r="F3" s="28">
        <v>76</v>
      </c>
      <c r="G3" s="28">
        <v>70</v>
      </c>
      <c r="H3" s="401">
        <v>82</v>
      </c>
      <c r="I3" s="28">
        <v>102</v>
      </c>
      <c r="J3" s="29">
        <v>67</v>
      </c>
      <c r="K3" s="14">
        <f>+'FY24 KPIs'!M108</f>
        <v>68</v>
      </c>
      <c r="L3" s="14">
        <f>+'FY24 KPIs'!N108</f>
        <v>104</v>
      </c>
      <c r="M3" s="14">
        <f>+'FY24 KPIs'!O108</f>
        <v>69</v>
      </c>
      <c r="N3" s="61">
        <f t="shared" ref="N3:N6" si="0">SUM(B3:M3)</f>
        <v>978</v>
      </c>
    </row>
    <row r="4" spans="1:14" x14ac:dyDescent="0.25">
      <c r="A4" s="623" t="s">
        <v>97</v>
      </c>
      <c r="B4" s="574">
        <v>149</v>
      </c>
      <c r="C4" s="396">
        <v>141</v>
      </c>
      <c r="D4" s="396">
        <v>114</v>
      </c>
      <c r="E4" s="399">
        <v>166</v>
      </c>
      <c r="F4" s="625">
        <v>104</v>
      </c>
      <c r="G4" s="625">
        <v>107</v>
      </c>
      <c r="H4" s="399">
        <v>181</v>
      </c>
      <c r="I4" s="625">
        <v>256</v>
      </c>
      <c r="J4" s="407">
        <v>162</v>
      </c>
      <c r="K4" s="14">
        <f>+'FY24 KPIs'!M109</f>
        <v>209</v>
      </c>
      <c r="L4" s="14">
        <f>+'FY24 KPIs'!N109</f>
        <v>177</v>
      </c>
      <c r="M4" s="14">
        <f>+'FY24 KPIs'!O109</f>
        <v>166</v>
      </c>
      <c r="N4" s="62">
        <f t="shared" si="0"/>
        <v>1932</v>
      </c>
    </row>
    <row r="5" spans="1:14" ht="15.75" thickBot="1" x14ac:dyDescent="0.3">
      <c r="A5" s="624" t="s">
        <v>98</v>
      </c>
      <c r="B5" s="644">
        <v>32822.370000000003</v>
      </c>
      <c r="C5" s="645">
        <v>43503.839999999997</v>
      </c>
      <c r="D5" s="645">
        <v>41503.83</v>
      </c>
      <c r="E5" s="628">
        <v>39907.46</v>
      </c>
      <c r="F5" s="627">
        <v>46361.33</v>
      </c>
      <c r="G5" s="627">
        <v>47688.9</v>
      </c>
      <c r="H5" s="627">
        <v>45108.83</v>
      </c>
      <c r="I5" s="691">
        <v>72298.720000000001</v>
      </c>
      <c r="J5" s="627">
        <v>48681.06</v>
      </c>
      <c r="K5" s="154">
        <f>+'FY24 KPIs'!M110</f>
        <v>57022.1</v>
      </c>
      <c r="L5" s="154">
        <f>+'FY24 KPIs'!N110</f>
        <v>44241.72</v>
      </c>
      <c r="M5" s="154">
        <f>+'FY24 KPIs'!O110</f>
        <v>41382.69</v>
      </c>
      <c r="N5" s="738">
        <f t="shared" si="0"/>
        <v>560522.85000000009</v>
      </c>
    </row>
    <row r="6" spans="1:14" x14ac:dyDescent="0.25">
      <c r="A6" s="101" t="s">
        <v>200</v>
      </c>
      <c r="B6" s="421">
        <f>+B5</f>
        <v>32822.370000000003</v>
      </c>
      <c r="C6" s="421">
        <f>SUM(B6+C5)</f>
        <v>76326.209999999992</v>
      </c>
      <c r="D6" s="421">
        <f t="shared" ref="D6:M6" si="1">SUM(C6+D5)</f>
        <v>117830.04</v>
      </c>
      <c r="E6" s="421">
        <f t="shared" si="1"/>
        <v>157737.5</v>
      </c>
      <c r="F6" s="421">
        <f t="shared" si="1"/>
        <v>204098.83000000002</v>
      </c>
      <c r="G6" s="421">
        <f t="shared" si="1"/>
        <v>251787.73</v>
      </c>
      <c r="H6" s="421">
        <f t="shared" si="1"/>
        <v>296896.56</v>
      </c>
      <c r="I6" s="421">
        <f t="shared" si="1"/>
        <v>369195.28</v>
      </c>
      <c r="J6" s="421">
        <f t="shared" si="1"/>
        <v>417876.34</v>
      </c>
      <c r="K6" s="421">
        <f t="shared" si="1"/>
        <v>474898.44</v>
      </c>
      <c r="L6" s="421">
        <f t="shared" si="1"/>
        <v>519140.16000000003</v>
      </c>
      <c r="M6" s="421">
        <f t="shared" si="1"/>
        <v>560522.85000000009</v>
      </c>
      <c r="N6" s="180">
        <f t="shared" si="0"/>
        <v>3479132.3100000005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FY24 KPIs</vt:lpstr>
      <vt:lpstr>Children's </vt:lpstr>
      <vt:lpstr>Energy</vt:lpstr>
      <vt:lpstr>Housing</vt:lpstr>
      <vt:lpstr>Family</vt:lpstr>
      <vt:lpstr>Customer</vt:lpstr>
      <vt:lpstr>Development</vt:lpstr>
      <vt:lpstr>CCFC</vt:lpstr>
      <vt:lpstr>Property</vt:lpstr>
      <vt:lpstr>Finance</vt:lpstr>
      <vt:lpstr>IT</vt:lpstr>
      <vt:lpstr>Human Resources</vt:lpstr>
      <vt:lpstr>CSBG Funded</vt:lpstr>
      <vt:lpstr>Waiting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Ross</dc:creator>
  <cp:lastModifiedBy>Paula Ross</cp:lastModifiedBy>
  <dcterms:created xsi:type="dcterms:W3CDTF">2022-11-28T16:02:41Z</dcterms:created>
  <dcterms:modified xsi:type="dcterms:W3CDTF">2024-10-23T20:06:52Z</dcterms:modified>
</cp:coreProperties>
</file>