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colo\Documents\kimu\Kimura-30\水理公式集例題集2022\拡散\"/>
    </mc:Choice>
  </mc:AlternateContent>
  <xr:revisionPtr revIDLastSave="0" documentId="13_ncr:1_{EE47830B-ED46-4F9E-AEB7-CFB88559DA53}" xr6:coauthVersionLast="47" xr6:coauthVersionMax="47" xr10:uidLastSave="{00000000-0000-0000-0000-000000000000}"/>
  <bookViews>
    <workbookView xWindow="-110" yWindow="-110" windowWidth="19420" windowHeight="10420" activeTab="1" xr2:uid="{CEEE03EC-B6AF-4A3B-AC88-8D9C849C7882}"/>
  </bookViews>
  <sheets>
    <sheet name="表１" sheetId="1" r:id="rId1"/>
    <sheet name="表２" sheetId="2" r:id="rId2"/>
    <sheet name="理論解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G5" i="3"/>
  <c r="G4" i="3"/>
  <c r="Q14" i="2"/>
  <c r="Q13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4" i="2"/>
  <c r="N5" i="2"/>
  <c r="N6" i="2"/>
  <c r="N7" i="2"/>
  <c r="N3" i="2"/>
  <c r="Q11" i="2"/>
  <c r="Q12" i="2"/>
  <c r="Q10" i="2"/>
  <c r="Q3" i="2"/>
  <c r="C4" i="3"/>
  <c r="D4" i="3" s="1"/>
  <c r="C5" i="3"/>
  <c r="D5" i="3" s="1"/>
  <c r="C6" i="3"/>
  <c r="D6" i="3" s="1"/>
  <c r="C7" i="3"/>
  <c r="D7" i="3" s="1"/>
  <c r="C8" i="3"/>
  <c r="D8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61" i="3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3" i="3"/>
  <c r="D3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C9" i="3" l="1"/>
  <c r="D9" i="3" s="1"/>
  <c r="C11" i="3"/>
  <c r="D11" i="3" s="1"/>
  <c r="C10" i="3"/>
  <c r="D10" i="3" s="1"/>
  <c r="Q5" i="2"/>
  <c r="Q6" i="2"/>
  <c r="Q7" i="2" l="1"/>
  <c r="Q9" i="2" l="1"/>
  <c r="Q8" i="2"/>
  <c r="H9" i="2" s="1"/>
  <c r="L23" i="2" l="1"/>
  <c r="H6" i="2"/>
  <c r="L16" i="2"/>
  <c r="L22" i="2"/>
  <c r="H11" i="2"/>
  <c r="H16" i="2"/>
  <c r="H18" i="2"/>
  <c r="H15" i="2"/>
  <c r="L19" i="2"/>
  <c r="L4" i="2"/>
  <c r="H13" i="2"/>
  <c r="H14" i="2"/>
  <c r="I13" i="2" s="1"/>
  <c r="H5" i="2"/>
  <c r="I4" i="2" s="1"/>
  <c r="L7" i="2"/>
  <c r="L3" i="2"/>
  <c r="L20" i="2"/>
  <c r="H8" i="2"/>
  <c r="I8" i="2" s="1"/>
  <c r="H10" i="2"/>
  <c r="I9" i="2" s="1"/>
  <c r="L9" i="2"/>
  <c r="H22" i="2"/>
  <c r="I22" i="2" s="1"/>
  <c r="L12" i="2"/>
  <c r="L5" i="2"/>
  <c r="L21" i="2"/>
  <c r="L10" i="2"/>
  <c r="L15" i="2"/>
  <c r="H17" i="2"/>
  <c r="I17" i="2" s="1"/>
  <c r="L14" i="2"/>
  <c r="L18" i="2"/>
  <c r="H7" i="2"/>
  <c r="L13" i="2"/>
  <c r="H20" i="2"/>
  <c r="L11" i="2"/>
  <c r="H19" i="2"/>
  <c r="I19" i="2" s="1"/>
  <c r="L6" i="2"/>
  <c r="L17" i="2"/>
  <c r="L8" i="2"/>
  <c r="H21" i="2"/>
  <c r="I21" i="2" s="1"/>
  <c r="H4" i="2"/>
  <c r="I3" i="2" s="1"/>
  <c r="H12" i="2"/>
  <c r="I18" i="2" l="1"/>
  <c r="I7" i="2"/>
  <c r="I10" i="2"/>
  <c r="I14" i="2"/>
  <c r="I12" i="2"/>
  <c r="I16" i="2"/>
  <c r="I6" i="2"/>
  <c r="I15" i="2"/>
  <c r="I5" i="2"/>
  <c r="I20" i="2"/>
  <c r="I11" i="2"/>
  <c r="J6" i="2" l="1"/>
  <c r="J23" i="2" l="1"/>
  <c r="J21" i="2"/>
  <c r="J13" i="2"/>
  <c r="J5" i="2"/>
  <c r="J18" i="2"/>
  <c r="J19" i="2"/>
  <c r="J15" i="2"/>
  <c r="J10" i="2"/>
  <c r="J4" i="2"/>
  <c r="J8" i="2"/>
  <c r="J16" i="2"/>
  <c r="J20" i="2"/>
  <c r="J22" i="2"/>
  <c r="J9" i="2"/>
  <c r="J3" i="2"/>
  <c r="K4" i="2" s="1"/>
  <c r="J17" i="2"/>
  <c r="J14" i="2"/>
  <c r="J11" i="2"/>
  <c r="J7" i="2"/>
  <c r="J12" i="2"/>
  <c r="M4" i="2" l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M5" i="2" l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</calcChain>
</file>

<file path=xl/sharedStrings.xml><?xml version="1.0" encoding="utf-8"?>
<sst xmlns="http://schemas.openxmlformats.org/spreadsheetml/2006/main" count="61" uniqueCount="42">
  <si>
    <t>i</t>
    <phoneticPr fontId="1"/>
  </si>
  <si>
    <r>
      <rPr>
        <i/>
        <sz val="11"/>
        <color theme="1"/>
        <rFont val="游ゴシック"/>
        <family val="3"/>
        <charset val="128"/>
        <scheme val="minor"/>
      </rPr>
      <t>y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i</t>
    </r>
    <r>
      <rPr>
        <sz val="11"/>
        <color theme="1"/>
        <rFont val="游ゴシック"/>
        <family val="2"/>
        <charset val="128"/>
        <scheme val="minor"/>
      </rPr>
      <t>(m)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</si>
  <si>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Δy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i</t>
    </r>
    <r>
      <rPr>
        <sz val="11"/>
        <color theme="1"/>
        <rFont val="游ゴシック"/>
        <family val="2"/>
        <charset val="128"/>
        <scheme val="minor"/>
      </rPr>
      <t>(m)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</si>
  <si>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h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i</t>
    </r>
    <r>
      <rPr>
        <sz val="11"/>
        <color theme="1"/>
        <rFont val="游ゴシック"/>
        <family val="3"/>
        <charset val="128"/>
        <scheme val="minor"/>
      </rPr>
      <t>(m)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</si>
  <si>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q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i</t>
    </r>
    <r>
      <rPr>
        <sz val="11"/>
        <color theme="1"/>
        <rFont val="游ゴシック"/>
        <family val="3"/>
        <charset val="128"/>
        <scheme val="minor"/>
      </rPr>
      <t>(m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/s)</t>
    </r>
    <phoneticPr fontId="1"/>
  </si>
  <si>
    <t>U</t>
    <phoneticPr fontId="1"/>
  </si>
  <si>
    <t>m/s</t>
    <phoneticPr fontId="1"/>
  </si>
  <si>
    <r>
      <rPr>
        <i/>
        <sz val="11"/>
        <color theme="1"/>
        <rFont val="游ゴシック"/>
        <family val="3"/>
        <charset val="128"/>
        <scheme val="minor"/>
      </rPr>
      <t>q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1,i</t>
    </r>
    <r>
      <rPr>
        <sz val="11"/>
        <color theme="1"/>
        <rFont val="游ゴシック"/>
        <family val="3"/>
        <charset val="128"/>
        <scheme val="minor"/>
      </rPr>
      <t>(m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/s)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</si>
  <si>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K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3"/>
        <charset val="128"/>
        <scheme val="minor"/>
      </rPr>
      <t>(m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/s)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</si>
  <si>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q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2,i</t>
    </r>
    <r>
      <rPr>
        <sz val="11"/>
        <color theme="1"/>
        <rFont val="游ゴシック"/>
        <family val="3"/>
        <charset val="128"/>
        <scheme val="minor"/>
      </rPr>
      <t>(m)</t>
    </r>
    <phoneticPr fontId="1"/>
  </si>
  <si>
    <t>u*</t>
    <phoneticPr fontId="1"/>
  </si>
  <si>
    <r>
      <rPr>
        <i/>
        <sz val="11"/>
        <color theme="1"/>
        <rFont val="游ゴシック"/>
        <family val="3"/>
        <charset val="128"/>
        <scheme val="minor"/>
      </rPr>
      <t>Δs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i</t>
    </r>
    <r>
      <rPr>
        <sz val="11"/>
        <color theme="1"/>
        <rFont val="游ゴシック"/>
        <family val="3"/>
        <charset val="128"/>
        <scheme val="minor"/>
      </rPr>
      <t>(m)</t>
    </r>
    <phoneticPr fontId="1"/>
  </si>
  <si>
    <t>A</t>
    <phoneticPr fontId="1"/>
  </si>
  <si>
    <t>S</t>
    <phoneticPr fontId="1"/>
  </si>
  <si>
    <t>R</t>
    <phoneticPr fontId="1"/>
  </si>
  <si>
    <t>ks</t>
    <phoneticPr fontId="1"/>
  </si>
  <si>
    <t>m</t>
    <phoneticPr fontId="1"/>
  </si>
  <si>
    <r>
      <rPr>
        <i/>
        <sz val="11"/>
        <color theme="1"/>
        <rFont val="游ゴシック"/>
        <family val="3"/>
        <charset val="128"/>
        <scheme val="minor"/>
      </rPr>
      <t>ΔQ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i</t>
    </r>
    <r>
      <rPr>
        <sz val="11"/>
        <color theme="1"/>
        <rFont val="游ゴシック"/>
        <family val="3"/>
        <charset val="128"/>
        <scheme val="minor"/>
      </rPr>
      <t>(m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3"/>
        <charset val="128"/>
        <scheme val="minor"/>
      </rPr>
      <t>/s)</t>
    </r>
    <phoneticPr fontId="1"/>
  </si>
  <si>
    <t>D</t>
    <phoneticPr fontId="1"/>
  </si>
  <si>
    <t>t(min)</t>
    <phoneticPr fontId="1"/>
  </si>
  <si>
    <t>M</t>
    <phoneticPr fontId="1"/>
  </si>
  <si>
    <t>x</t>
    <phoneticPr fontId="1"/>
  </si>
  <si>
    <t>g</t>
    <phoneticPr fontId="1"/>
  </si>
  <si>
    <t>m2</t>
    <phoneticPr fontId="1"/>
  </si>
  <si>
    <t>m2/s</t>
    <phoneticPr fontId="1"/>
  </si>
  <si>
    <t>C(ppm)</t>
    <phoneticPr fontId="1"/>
  </si>
  <si>
    <t>C(x0.01ppm)</t>
    <phoneticPr fontId="1"/>
  </si>
  <si>
    <t>ー</t>
    <phoneticPr fontId="1"/>
  </si>
  <si>
    <t>n</t>
    <phoneticPr fontId="1"/>
  </si>
  <si>
    <t>I</t>
    <phoneticPr fontId="1"/>
  </si>
  <si>
    <t>(given)</t>
    <phoneticPr fontId="1"/>
  </si>
  <si>
    <r>
      <rPr>
        <i/>
        <sz val="11"/>
        <color theme="1"/>
        <rFont val="游ゴシック"/>
        <family val="3"/>
        <charset val="128"/>
        <scheme val="minor"/>
      </rPr>
      <t>ΔA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i</t>
    </r>
    <r>
      <rPr>
        <sz val="11"/>
        <color theme="1"/>
        <rFont val="游ゴシック"/>
        <family val="3"/>
        <charset val="128"/>
        <scheme val="minor"/>
      </rPr>
      <t>(m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)</t>
    </r>
    <phoneticPr fontId="1"/>
  </si>
  <si>
    <t>Q</t>
    <phoneticPr fontId="1"/>
  </si>
  <si>
    <t>Q(Manning)</t>
    <phoneticPr fontId="1"/>
  </si>
  <si>
    <r>
      <rPr>
        <i/>
        <sz val="11"/>
        <color theme="1"/>
        <rFont val="游ゴシック"/>
        <family val="3"/>
        <charset val="128"/>
        <scheme val="minor"/>
      </rPr>
      <t>q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i</t>
    </r>
    <r>
      <rPr>
        <i/>
        <sz val="11"/>
        <color theme="1"/>
        <rFont val="游ゴシック"/>
        <family val="3"/>
        <charset val="128"/>
        <scheme val="minor"/>
      </rPr>
      <t>''</t>
    </r>
    <r>
      <rPr>
        <sz val="11"/>
        <color theme="1"/>
        <rFont val="游ゴシック"/>
        <family val="3"/>
        <charset val="128"/>
        <scheme val="minor"/>
      </rPr>
      <t>(m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/s)</t>
    </r>
    <phoneticPr fontId="1"/>
  </si>
  <si>
    <r>
      <t>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1"/>
  </si>
  <si>
    <r>
      <t>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/s</t>
    </r>
    <phoneticPr fontId="1"/>
  </si>
  <si>
    <t>（参考）</t>
    <rPh sb="1" eb="3">
      <t>サンコウ</t>
    </rPh>
    <phoneticPr fontId="1"/>
  </si>
  <si>
    <r>
      <rPr>
        <i/>
        <sz val="11"/>
        <color theme="1"/>
        <rFont val="游ゴシック"/>
        <family val="3"/>
        <charset val="128"/>
        <scheme val="minor"/>
      </rPr>
      <t>ΔD</t>
    </r>
    <r>
      <rPr>
        <i/>
        <vertAlign val="subscript"/>
        <sz val="11"/>
        <color theme="1"/>
        <rFont val="游ゴシック"/>
        <family val="3"/>
        <charset val="128"/>
        <scheme val="minor"/>
      </rPr>
      <t>i</t>
    </r>
    <r>
      <rPr>
        <sz val="11"/>
        <color theme="1"/>
        <rFont val="游ゴシック"/>
        <family val="3"/>
        <charset val="128"/>
        <scheme val="minor"/>
      </rPr>
      <t>(m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>/s)</t>
    </r>
    <phoneticPr fontId="1"/>
  </si>
  <si>
    <r>
      <t>m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/s</t>
    </r>
    <phoneticPr fontId="1"/>
  </si>
  <si>
    <r>
      <t>l</t>
    </r>
    <r>
      <rPr>
        <vertAlign val="subscript"/>
        <sz val="11"/>
        <color theme="1"/>
        <rFont val="游ゴシック"/>
        <family val="3"/>
        <charset val="128"/>
        <scheme val="minor"/>
      </rPr>
      <t>c</t>
    </r>
    <phoneticPr fontId="1"/>
  </si>
  <si>
    <t>t(sec)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</si>
</sst>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82" formatCode="0.0000"/>
    <numFmt numFmtId="185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i/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2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4" fillId="0" borderId="2" xfId="0" quotePrefix="1" applyFont="1" applyBorder="1" applyAlignment="1">
      <alignment horizontal="center" vertical="center"/>
    </xf>
    <xf numFmtId="185" fontId="0" fillId="0" borderId="0" xfId="0" applyNumberFormat="1">
      <alignment vertical="center"/>
    </xf>
    <xf numFmtId="177" fontId="0" fillId="2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10km</a:t>
            </a:r>
            <a:r>
              <a:rPr lang="ja-JP"/>
              <a:t>下流</a:t>
            </a:r>
            <a:endParaRPr lang="en-US"/>
          </a:p>
        </c:rich>
      </c:tx>
      <c:layout>
        <c:manualLayout>
          <c:xMode val="edge"/>
          <c:yMode val="edge"/>
          <c:x val="0.7475833333333333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434492563429575"/>
          <c:y val="5.7546296296296297E-2"/>
          <c:w val="0.79332174103237096"/>
          <c:h val="0.73688283756197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理論解!$D$2</c:f>
              <c:strCache>
                <c:ptCount val="1"/>
                <c:pt idx="0">
                  <c:v>C(x0.01ppm)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理論解!$B$3:$B$83</c:f>
              <c:numCache>
                <c:formatCode>General</c:formatCode>
                <c:ptCount val="81"/>
                <c:pt idx="0">
                  <c:v>140</c:v>
                </c:pt>
                <c:pt idx="1">
                  <c:v>141</c:v>
                </c:pt>
                <c:pt idx="2">
                  <c:v>142</c:v>
                </c:pt>
                <c:pt idx="3">
                  <c:v>143</c:v>
                </c:pt>
                <c:pt idx="4">
                  <c:v>144</c:v>
                </c:pt>
                <c:pt idx="5">
                  <c:v>145</c:v>
                </c:pt>
                <c:pt idx="6">
                  <c:v>146</c:v>
                </c:pt>
                <c:pt idx="7">
                  <c:v>147</c:v>
                </c:pt>
                <c:pt idx="8">
                  <c:v>148</c:v>
                </c:pt>
                <c:pt idx="9">
                  <c:v>149</c:v>
                </c:pt>
                <c:pt idx="10">
                  <c:v>150</c:v>
                </c:pt>
                <c:pt idx="11">
                  <c:v>151</c:v>
                </c:pt>
                <c:pt idx="12">
                  <c:v>152</c:v>
                </c:pt>
                <c:pt idx="13">
                  <c:v>153</c:v>
                </c:pt>
                <c:pt idx="14">
                  <c:v>154</c:v>
                </c:pt>
                <c:pt idx="15">
                  <c:v>155</c:v>
                </c:pt>
                <c:pt idx="16">
                  <c:v>156</c:v>
                </c:pt>
                <c:pt idx="17">
                  <c:v>157</c:v>
                </c:pt>
                <c:pt idx="18">
                  <c:v>158</c:v>
                </c:pt>
                <c:pt idx="19">
                  <c:v>159</c:v>
                </c:pt>
                <c:pt idx="20">
                  <c:v>160</c:v>
                </c:pt>
                <c:pt idx="21">
                  <c:v>161</c:v>
                </c:pt>
                <c:pt idx="22">
                  <c:v>162</c:v>
                </c:pt>
                <c:pt idx="23">
                  <c:v>163</c:v>
                </c:pt>
                <c:pt idx="24">
                  <c:v>164</c:v>
                </c:pt>
                <c:pt idx="25">
                  <c:v>165</c:v>
                </c:pt>
                <c:pt idx="26">
                  <c:v>166</c:v>
                </c:pt>
                <c:pt idx="27">
                  <c:v>167</c:v>
                </c:pt>
                <c:pt idx="28">
                  <c:v>168</c:v>
                </c:pt>
                <c:pt idx="29">
                  <c:v>169</c:v>
                </c:pt>
                <c:pt idx="30">
                  <c:v>170</c:v>
                </c:pt>
                <c:pt idx="31">
                  <c:v>171</c:v>
                </c:pt>
                <c:pt idx="32">
                  <c:v>172</c:v>
                </c:pt>
                <c:pt idx="33">
                  <c:v>173</c:v>
                </c:pt>
                <c:pt idx="34">
                  <c:v>174</c:v>
                </c:pt>
                <c:pt idx="35">
                  <c:v>175</c:v>
                </c:pt>
                <c:pt idx="36">
                  <c:v>176</c:v>
                </c:pt>
                <c:pt idx="37">
                  <c:v>177</c:v>
                </c:pt>
                <c:pt idx="38">
                  <c:v>178</c:v>
                </c:pt>
                <c:pt idx="39">
                  <c:v>179</c:v>
                </c:pt>
                <c:pt idx="40">
                  <c:v>180</c:v>
                </c:pt>
                <c:pt idx="41">
                  <c:v>181</c:v>
                </c:pt>
                <c:pt idx="42">
                  <c:v>182</c:v>
                </c:pt>
                <c:pt idx="43">
                  <c:v>183</c:v>
                </c:pt>
                <c:pt idx="44">
                  <c:v>184</c:v>
                </c:pt>
                <c:pt idx="45">
                  <c:v>185</c:v>
                </c:pt>
                <c:pt idx="46">
                  <c:v>186</c:v>
                </c:pt>
                <c:pt idx="47">
                  <c:v>187</c:v>
                </c:pt>
                <c:pt idx="48">
                  <c:v>188</c:v>
                </c:pt>
                <c:pt idx="49">
                  <c:v>189</c:v>
                </c:pt>
                <c:pt idx="50">
                  <c:v>190</c:v>
                </c:pt>
                <c:pt idx="51">
                  <c:v>191</c:v>
                </c:pt>
                <c:pt idx="52">
                  <c:v>192</c:v>
                </c:pt>
                <c:pt idx="53">
                  <c:v>193</c:v>
                </c:pt>
                <c:pt idx="54">
                  <c:v>194</c:v>
                </c:pt>
                <c:pt idx="55">
                  <c:v>195</c:v>
                </c:pt>
                <c:pt idx="56">
                  <c:v>196</c:v>
                </c:pt>
                <c:pt idx="57">
                  <c:v>197</c:v>
                </c:pt>
                <c:pt idx="58">
                  <c:v>198</c:v>
                </c:pt>
                <c:pt idx="59">
                  <c:v>199</c:v>
                </c:pt>
                <c:pt idx="60">
                  <c:v>200</c:v>
                </c:pt>
                <c:pt idx="61">
                  <c:v>201</c:v>
                </c:pt>
                <c:pt idx="62">
                  <c:v>202</c:v>
                </c:pt>
                <c:pt idx="63">
                  <c:v>203</c:v>
                </c:pt>
                <c:pt idx="64">
                  <c:v>204</c:v>
                </c:pt>
                <c:pt idx="65">
                  <c:v>205</c:v>
                </c:pt>
                <c:pt idx="66">
                  <c:v>206</c:v>
                </c:pt>
                <c:pt idx="67">
                  <c:v>207</c:v>
                </c:pt>
                <c:pt idx="68">
                  <c:v>208</c:v>
                </c:pt>
                <c:pt idx="69">
                  <c:v>209</c:v>
                </c:pt>
                <c:pt idx="70">
                  <c:v>210</c:v>
                </c:pt>
                <c:pt idx="71">
                  <c:v>211</c:v>
                </c:pt>
                <c:pt idx="72">
                  <c:v>212</c:v>
                </c:pt>
                <c:pt idx="73">
                  <c:v>213</c:v>
                </c:pt>
                <c:pt idx="74">
                  <c:v>214</c:v>
                </c:pt>
                <c:pt idx="75">
                  <c:v>215</c:v>
                </c:pt>
                <c:pt idx="76">
                  <c:v>216</c:v>
                </c:pt>
                <c:pt idx="77">
                  <c:v>217</c:v>
                </c:pt>
                <c:pt idx="78">
                  <c:v>218</c:v>
                </c:pt>
                <c:pt idx="79">
                  <c:v>219</c:v>
                </c:pt>
                <c:pt idx="80">
                  <c:v>220</c:v>
                </c:pt>
              </c:numCache>
            </c:numRef>
          </c:xVal>
          <c:yVal>
            <c:numRef>
              <c:f>理論解!$D$3:$D$83</c:f>
              <c:numCache>
                <c:formatCode>0.000</c:formatCode>
                <c:ptCount val="81"/>
                <c:pt idx="0">
                  <c:v>3.48403963770062E-2</c:v>
                </c:pt>
                <c:pt idx="1">
                  <c:v>4.8525039601261866E-2</c:v>
                </c:pt>
                <c:pt idx="2">
                  <c:v>6.6666162253526465E-2</c:v>
                </c:pt>
                <c:pt idx="3">
                  <c:v>9.0370464860502167E-2</c:v>
                </c:pt>
                <c:pt idx="4">
                  <c:v>0.1209067020882051</c:v>
                </c:pt>
                <c:pt idx="5">
                  <c:v>0.1596963455332851</c:v>
                </c:pt>
                <c:pt idx="6">
                  <c:v>0.20829317389308377</c:v>
                </c:pt>
                <c:pt idx="7">
                  <c:v>0.26835033730682839</c:v>
                </c:pt>
                <c:pt idx="8">
                  <c:v>0.34157405515837769</c:v>
                </c:pt>
                <c:pt idx="9">
                  <c:v>0.42966392027086464</c:v>
                </c:pt>
                <c:pt idx="10">
                  <c:v>0.53424075864262222</c:v>
                </c:pt>
                <c:pt idx="11">
                  <c:v>0.65676407060826558</c:v>
                </c:pt>
                <c:pt idx="12">
                  <c:v>0.7984421743809611</c:v>
                </c:pt>
                <c:pt idx="13">
                  <c:v>0.96013919033081752</c:v>
                </c:pt>
                <c:pt idx="14">
                  <c:v>1.142283842934795</c:v>
                </c:pt>
                <c:pt idx="15">
                  <c:v>1.3447856210782883</c:v>
                </c:pt>
                <c:pt idx="16">
                  <c:v>1.5669640460954921</c:v>
                </c:pt>
                <c:pt idx="17">
                  <c:v>1.8074965960357261</c:v>
                </c:pt>
                <c:pt idx="18">
                  <c:v>2.0643902029026617</c:v>
                </c:pt>
                <c:pt idx="19">
                  <c:v>2.3349801936589762</c:v>
                </c:pt>
                <c:pt idx="20">
                  <c:v>2.6159591407621532</c:v>
                </c:pt>
                <c:pt idx="21">
                  <c:v>2.9034364141112277</c:v>
                </c:pt>
                <c:pt idx="22">
                  <c:v>3.1930274015433286</c:v>
                </c:pt>
                <c:pt idx="23">
                  <c:v>3.4799695248464211</c:v>
                </c:pt>
                <c:pt idx="24">
                  <c:v>3.7592604631530948</c:v>
                </c:pt>
                <c:pt idx="25">
                  <c:v>4.0258125381664653</c:v>
                </c:pt>
                <c:pt idx="26">
                  <c:v>4.2746161285012816</c:v>
                </c:pt>
                <c:pt idx="27">
                  <c:v>4.5009043459163465</c:v>
                </c:pt>
                <c:pt idx="28">
                  <c:v>4.7003110696498718</c:v>
                </c:pt>
                <c:pt idx="29">
                  <c:v>4.8690148013571637</c:v>
                </c:pt>
                <c:pt idx="30">
                  <c:v>5.0038616375137943</c:v>
                </c:pt>
                <c:pt idx="31">
                  <c:v>5.1024618885010433</c:v>
                </c:pt>
                <c:pt idx="32">
                  <c:v>5.1632564059697881</c:v>
                </c:pt>
                <c:pt idx="33">
                  <c:v>5.1855503962062848</c:v>
                </c:pt>
                <c:pt idx="34">
                  <c:v>5.1695142731330597</c:v>
                </c:pt>
                <c:pt idx="35">
                  <c:v>5.1161528191995282</c:v>
                </c:pt>
                <c:pt idx="36">
                  <c:v>5.027245467101654</c:v>
                </c:pt>
                <c:pt idx="37">
                  <c:v>4.905261801467824</c:v>
                </c:pt>
                <c:pt idx="38">
                  <c:v>4.7532573441791337</c:v>
                </c:pt>
                <c:pt idx="39">
                  <c:v>4.5747552946742429</c:v>
                </c:pt>
                <c:pt idx="40">
                  <c:v>4.3736201402559196</c:v>
                </c:pt>
                <c:pt idx="41">
                  <c:v>4.1539289496157936</c:v>
                </c:pt>
                <c:pt idx="42">
                  <c:v>3.9198457556396429</c:v>
                </c:pt>
                <c:pt idx="43">
                  <c:v>3.6755037773215711</c:v>
                </c:pt>
                <c:pt idx="44">
                  <c:v>3.4248993917038431</c:v>
                </c:pt>
                <c:pt idx="45">
                  <c:v>3.1718008156429001</c:v>
                </c:pt>
                <c:pt idx="46">
                  <c:v>2.9196734628538583</c:v>
                </c:pt>
                <c:pt idx="47">
                  <c:v>2.6716229669034304</c:v>
                </c:pt>
                <c:pt idx="48">
                  <c:v>2.4303559586884362</c:v>
                </c:pt>
                <c:pt idx="49">
                  <c:v>2.1981578985515791</c:v>
                </c:pt>
                <c:pt idx="50">
                  <c:v>1.9768866166309442</c:v>
                </c:pt>
                <c:pt idx="51">
                  <c:v>1.7679797254784086</c:v>
                </c:pt>
                <c:pt idx="52">
                  <c:v>1.5724737396893513</c:v>
                </c:pt>
                <c:pt idx="53">
                  <c:v>1.391032561365797</c:v>
                </c:pt>
                <c:pt idx="54">
                  <c:v>1.2239829527711001</c:v>
                </c:pt>
                <c:pt idx="55">
                  <c:v>1.071354697939805</c:v>
                </c:pt>
                <c:pt idx="56">
                  <c:v>0.93292332934027089</c:v>
                </c:pt>
                <c:pt idx="57">
                  <c:v>0.80825353878581585</c:v>
                </c:pt>
                <c:pt idx="58">
                  <c:v>0.69674167907558393</c:v>
                </c:pt>
                <c:pt idx="59">
                  <c:v>0.59765607175311741</c:v>
                </c:pt>
                <c:pt idx="60">
                  <c:v>0.51017414735341837</c:v>
                </c:pt>
                <c:pt idx="61">
                  <c:v>0.43341574165009866</c:v>
                </c:pt>
                <c:pt idx="62">
                  <c:v>0.36647214266248773</c:v>
                </c:pt>
                <c:pt idx="63">
                  <c:v>0.30843072029686008</c:v>
                </c:pt>
                <c:pt idx="64">
                  <c:v>0.25839516874507029</c:v>
                </c:pt>
                <c:pt idx="65">
                  <c:v>0.21550154947032477</c:v>
                </c:pt>
                <c:pt idx="66">
                  <c:v>0.17893044059532234</c:v>
                </c:pt>
                <c:pt idx="67">
                  <c:v>0.14791557950416784</c:v>
                </c:pt>
                <c:pt idx="68">
                  <c:v>0.12174943354134854</c:v>
                </c:pt>
                <c:pt idx="69">
                  <c:v>9.9786153708538661E-2</c:v>
                </c:pt>
                <c:pt idx="70">
                  <c:v>8.1442363441283958E-2</c:v>
                </c:pt>
                <c:pt idx="71">
                  <c:v>6.6196214088752717E-2</c:v>
                </c:pt>
                <c:pt idx="72">
                  <c:v>5.3585105512555194E-2</c:v>
                </c:pt>
                <c:pt idx="73">
                  <c:v>4.3202428656333912E-2</c:v>
                </c:pt>
                <c:pt idx="74">
                  <c:v>3.4693640788517721E-2</c:v>
                </c:pt>
                <c:pt idx="75">
                  <c:v>2.7751936485432428E-2</c:v>
                </c:pt>
                <c:pt idx="76">
                  <c:v>2.2113730726390321E-2</c:v>
                </c:pt>
                <c:pt idx="77">
                  <c:v>1.75541265064783E-2</c:v>
                </c:pt>
                <c:pt idx="78">
                  <c:v>1.3882499355918348E-2</c:v>
                </c:pt>
                <c:pt idx="79">
                  <c:v>1.0938295816655477E-2</c:v>
                </c:pt>
                <c:pt idx="80">
                  <c:v>8.5871125943036506E-3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7-43F9-9E3C-3200D5F76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53056"/>
        <c:axId val="705256800"/>
      </c:scatterChart>
      <c:valAx>
        <c:axId val="705253056"/>
        <c:scaling>
          <c:orientation val="minMax"/>
          <c:max val="22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t(min)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256800"/>
        <c:crosses val="autoZero"/>
        <c:crossBetween val="midCat"/>
      </c:valAx>
      <c:valAx>
        <c:axId val="705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(x 0.01ppm)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253056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273050</xdr:colOff>
      <xdr:row>1</xdr:row>
      <xdr:rowOff>165100</xdr:rowOff>
    </xdr:from>
    <xdr:to>
      <xdr:col>16</xdr:col>
      <xdr:colOff>406400</xdr:colOff>
      <xdr:row>4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CCC731-96AD-7AC5-EDC1-D62849C61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4150" y="393700"/>
          <a:ext cx="3435350" cy="65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406400</xdr:colOff>
      <xdr:row>6</xdr:row>
      <xdr:rowOff>155575</xdr:rowOff>
    </xdr:from>
    <xdr:to>
      <xdr:col>11</xdr:col>
      <xdr:colOff>355600</xdr:colOff>
      <xdr:row>18</xdr:row>
      <xdr:rowOff>155575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20E51A8-522C-2948-64DE-AB2A28BD5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197B-2CEC-4C37-B0C4-A6EBB80E9DDB}">
  <dimension ref="B1:E23"/>
  <sheetViews>
    <sheetView workbookViewId="0">
      <selection activeCell="H4" sqref="H4"/>
    </sheetView>
  </sheetViews>
  <sheetFormatPr defaultRowHeight="18" x14ac:dyDescent="0.55000000000000004"/>
  <sheetData>
    <row r="1" spans="2:5" ht="18.5" thickBot="1" x14ac:dyDescent="0.6"/>
    <row r="2" spans="2:5" ht="20.5" thickTop="1" x14ac:dyDescent="0.55000000000000004">
      <c r="B2" s="4" t="s">
        <v>0</v>
      </c>
      <c r="C2" s="6" t="s">
        <v>1</v>
      </c>
      <c r="D2" s="5" t="s">
        <v>2</v>
      </c>
      <c r="E2" s="5" t="s">
        <v>3</v>
      </c>
    </row>
    <row r="3" spans="2:5" x14ac:dyDescent="0.55000000000000004">
      <c r="B3">
        <v>1</v>
      </c>
      <c r="C3" s="7">
        <v>0</v>
      </c>
      <c r="D3">
        <v>2</v>
      </c>
      <c r="E3" s="1">
        <v>0</v>
      </c>
    </row>
    <row r="4" spans="2:5" x14ac:dyDescent="0.55000000000000004">
      <c r="B4">
        <v>2</v>
      </c>
      <c r="C4" s="7">
        <v>2</v>
      </c>
      <c r="D4">
        <v>2</v>
      </c>
      <c r="E4" s="1">
        <v>0.6</v>
      </c>
    </row>
    <row r="5" spans="2:5" x14ac:dyDescent="0.55000000000000004">
      <c r="B5">
        <v>3</v>
      </c>
      <c r="C5" s="7">
        <v>4</v>
      </c>
      <c r="D5">
        <v>2</v>
      </c>
      <c r="E5" s="1">
        <v>1</v>
      </c>
    </row>
    <row r="6" spans="2:5" x14ac:dyDescent="0.55000000000000004">
      <c r="B6">
        <v>4</v>
      </c>
      <c r="C6" s="7">
        <v>6</v>
      </c>
      <c r="D6">
        <v>2</v>
      </c>
      <c r="E6" s="1">
        <v>1.3</v>
      </c>
    </row>
    <row r="7" spans="2:5" x14ac:dyDescent="0.55000000000000004">
      <c r="B7">
        <v>5</v>
      </c>
      <c r="C7" s="7">
        <v>8</v>
      </c>
      <c r="D7">
        <v>2</v>
      </c>
      <c r="E7" s="1">
        <v>1.4</v>
      </c>
    </row>
    <row r="8" spans="2:5" x14ac:dyDescent="0.55000000000000004">
      <c r="B8">
        <v>6</v>
      </c>
      <c r="C8" s="7">
        <v>10</v>
      </c>
      <c r="D8">
        <v>2</v>
      </c>
      <c r="E8" s="1">
        <v>1.6</v>
      </c>
    </row>
    <row r="9" spans="2:5" x14ac:dyDescent="0.55000000000000004">
      <c r="B9">
        <v>7</v>
      </c>
      <c r="C9" s="7">
        <v>12</v>
      </c>
      <c r="D9">
        <v>2</v>
      </c>
      <c r="E9" s="1">
        <v>1.8</v>
      </c>
    </row>
    <row r="10" spans="2:5" x14ac:dyDescent="0.55000000000000004">
      <c r="B10">
        <v>8</v>
      </c>
      <c r="C10" s="7">
        <v>14</v>
      </c>
      <c r="D10">
        <v>2</v>
      </c>
      <c r="E10" s="1">
        <v>1.9</v>
      </c>
    </row>
    <row r="11" spans="2:5" x14ac:dyDescent="0.55000000000000004">
      <c r="B11">
        <v>9</v>
      </c>
      <c r="C11" s="7">
        <v>16</v>
      </c>
      <c r="D11">
        <v>2</v>
      </c>
      <c r="E11" s="1">
        <v>2.1</v>
      </c>
    </row>
    <row r="12" spans="2:5" x14ac:dyDescent="0.55000000000000004">
      <c r="B12">
        <v>10</v>
      </c>
      <c r="C12" s="7">
        <v>18</v>
      </c>
      <c r="D12">
        <v>2</v>
      </c>
      <c r="E12" s="1">
        <v>2.4</v>
      </c>
    </row>
    <row r="13" spans="2:5" x14ac:dyDescent="0.55000000000000004">
      <c r="B13">
        <v>11</v>
      </c>
      <c r="C13" s="7">
        <v>20</v>
      </c>
      <c r="D13">
        <v>2</v>
      </c>
      <c r="E13" s="1">
        <v>2.8</v>
      </c>
    </row>
    <row r="14" spans="2:5" x14ac:dyDescent="0.55000000000000004">
      <c r="B14">
        <v>12</v>
      </c>
      <c r="C14" s="7">
        <v>22</v>
      </c>
      <c r="D14">
        <v>2</v>
      </c>
      <c r="E14" s="1">
        <v>3.8</v>
      </c>
    </row>
    <row r="15" spans="2:5" x14ac:dyDescent="0.55000000000000004">
      <c r="B15">
        <v>13</v>
      </c>
      <c r="C15" s="7">
        <v>24</v>
      </c>
      <c r="D15">
        <v>2</v>
      </c>
      <c r="E15" s="1">
        <v>4.5</v>
      </c>
    </row>
    <row r="16" spans="2:5" x14ac:dyDescent="0.55000000000000004">
      <c r="B16">
        <v>14</v>
      </c>
      <c r="C16" s="7">
        <v>26</v>
      </c>
      <c r="D16">
        <v>2</v>
      </c>
      <c r="E16" s="1">
        <v>5.2</v>
      </c>
    </row>
    <row r="17" spans="2:5" x14ac:dyDescent="0.55000000000000004">
      <c r="B17">
        <v>15</v>
      </c>
      <c r="C17" s="7">
        <v>28</v>
      </c>
      <c r="D17">
        <v>2</v>
      </c>
      <c r="E17" s="1">
        <v>5.7</v>
      </c>
    </row>
    <row r="18" spans="2:5" x14ac:dyDescent="0.55000000000000004">
      <c r="B18">
        <v>16</v>
      </c>
      <c r="C18" s="7">
        <v>30</v>
      </c>
      <c r="D18">
        <v>2</v>
      </c>
      <c r="E18" s="1">
        <v>6</v>
      </c>
    </row>
    <row r="19" spans="2:5" x14ac:dyDescent="0.55000000000000004">
      <c r="B19">
        <v>17</v>
      </c>
      <c r="C19" s="7">
        <v>32</v>
      </c>
      <c r="D19">
        <v>2</v>
      </c>
      <c r="E19" s="1">
        <v>5.4</v>
      </c>
    </row>
    <row r="20" spans="2:5" x14ac:dyDescent="0.55000000000000004">
      <c r="B20">
        <v>18</v>
      </c>
      <c r="C20" s="7">
        <v>34</v>
      </c>
      <c r="D20">
        <v>2</v>
      </c>
      <c r="E20" s="1">
        <v>4.4000000000000004</v>
      </c>
    </row>
    <row r="21" spans="2:5" x14ac:dyDescent="0.55000000000000004">
      <c r="B21">
        <v>19</v>
      </c>
      <c r="C21" s="7">
        <v>36</v>
      </c>
      <c r="D21">
        <v>2</v>
      </c>
      <c r="E21" s="1">
        <v>3.9</v>
      </c>
    </row>
    <row r="22" spans="2:5" x14ac:dyDescent="0.55000000000000004">
      <c r="B22">
        <v>20</v>
      </c>
      <c r="C22" s="7">
        <v>38</v>
      </c>
      <c r="D22">
        <v>2</v>
      </c>
      <c r="E22" s="1">
        <v>1.5</v>
      </c>
    </row>
    <row r="23" spans="2:5" ht="18.5" thickBot="1" x14ac:dyDescent="0.6">
      <c r="B23" s="2">
        <v>21</v>
      </c>
      <c r="C23" s="8">
        <v>40</v>
      </c>
      <c r="D23" s="2"/>
      <c r="E23" s="3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A121-82C1-4A5E-BD64-5C03A19349FC}">
  <dimension ref="B1:S25"/>
  <sheetViews>
    <sheetView tabSelected="1" topLeftCell="B1" workbookViewId="0">
      <selection activeCell="L9" sqref="L9"/>
    </sheetView>
  </sheetViews>
  <sheetFormatPr defaultRowHeight="18" x14ac:dyDescent="0.55000000000000004"/>
  <cols>
    <col min="2" max="2" width="5.1640625" customWidth="1"/>
    <col min="3" max="3" width="6.33203125" customWidth="1"/>
    <col min="4" max="4" width="7.4140625" customWidth="1"/>
    <col min="5" max="5" width="6.9140625" customWidth="1"/>
    <col min="8" max="8" width="9.25" customWidth="1"/>
    <col min="9" max="9" width="10.58203125" customWidth="1"/>
    <col min="10" max="10" width="10.83203125" customWidth="1"/>
    <col min="11" max="11" width="10.5" customWidth="1"/>
    <col min="12" max="12" width="9.6640625" bestFit="1" customWidth="1"/>
    <col min="13" max="13" width="7.58203125" customWidth="1"/>
    <col min="14" max="14" width="10.9140625" customWidth="1"/>
    <col min="15" max="15" width="5.08203125" customWidth="1"/>
    <col min="16" max="16" width="11.4140625" customWidth="1"/>
    <col min="17" max="17" width="8.08203125" customWidth="1"/>
    <col min="18" max="18" width="7.4140625" customWidth="1"/>
  </cols>
  <sheetData>
    <row r="1" spans="2:19" ht="18.5" thickBot="1" x14ac:dyDescent="0.6"/>
    <row r="2" spans="2:19" ht="20.5" thickTop="1" x14ac:dyDescent="0.55000000000000004">
      <c r="B2" s="4" t="s">
        <v>0</v>
      </c>
      <c r="C2" s="6" t="s">
        <v>1</v>
      </c>
      <c r="D2" s="5" t="s">
        <v>2</v>
      </c>
      <c r="E2" s="5" t="s">
        <v>3</v>
      </c>
      <c r="F2" s="5" t="s">
        <v>31</v>
      </c>
      <c r="G2" s="5" t="s">
        <v>11</v>
      </c>
      <c r="H2" s="5" t="s">
        <v>4</v>
      </c>
      <c r="I2" s="5" t="s">
        <v>17</v>
      </c>
      <c r="J2" s="5" t="s">
        <v>34</v>
      </c>
      <c r="K2" s="5" t="s">
        <v>7</v>
      </c>
      <c r="L2" s="5" t="s">
        <v>8</v>
      </c>
      <c r="M2" s="5" t="s">
        <v>9</v>
      </c>
      <c r="N2" s="16" t="s">
        <v>38</v>
      </c>
      <c r="P2" t="s">
        <v>28</v>
      </c>
      <c r="Q2">
        <v>0.03</v>
      </c>
      <c r="R2" t="s">
        <v>30</v>
      </c>
    </row>
    <row r="3" spans="2:19" x14ac:dyDescent="0.55000000000000004">
      <c r="B3">
        <v>1</v>
      </c>
      <c r="C3" s="7">
        <v>0</v>
      </c>
      <c r="D3">
        <v>2</v>
      </c>
      <c r="E3" s="1">
        <v>0</v>
      </c>
      <c r="F3" s="1">
        <f>(E3+E4)*0.5*D3</f>
        <v>0.6</v>
      </c>
      <c r="G3" s="1">
        <f>((E4-E3)^2+D3^2)^0.5</f>
        <v>2.0880613017821101</v>
      </c>
      <c r="H3" s="9">
        <v>0</v>
      </c>
      <c r="I3" s="9">
        <f>(H3+H4)/2*D3</f>
        <v>0.38311423439902287</v>
      </c>
      <c r="J3" s="9">
        <f>H3-$Q$12*E3</f>
        <v>0</v>
      </c>
      <c r="K3" s="9">
        <v>0</v>
      </c>
      <c r="L3" s="9">
        <f>0.23*E3*$Q$8</f>
        <v>0</v>
      </c>
      <c r="M3" s="1">
        <v>0</v>
      </c>
      <c r="N3" s="9">
        <f>-1/$Q$5*(J3*M3+J4*M4)*D3/2</f>
        <v>-5.4396186414768226E-2</v>
      </c>
      <c r="P3" t="s">
        <v>29</v>
      </c>
      <c r="Q3">
        <f>1/5000</f>
        <v>2.0000000000000001E-4</v>
      </c>
      <c r="R3" t="s">
        <v>30</v>
      </c>
    </row>
    <row r="4" spans="2:19" x14ac:dyDescent="0.55000000000000004">
      <c r="B4">
        <v>2</v>
      </c>
      <c r="C4" s="7">
        <v>2</v>
      </c>
      <c r="D4">
        <v>2</v>
      </c>
      <c r="E4" s="1">
        <v>0.6</v>
      </c>
      <c r="F4" s="1">
        <f t="shared" ref="F4:F22" si="0">(E4+E5)*0.5*D4</f>
        <v>1.6</v>
      </c>
      <c r="G4" s="1">
        <f t="shared" ref="G4:G22" si="1">((E5-E4)^2+D4^2)^0.5</f>
        <v>2.0396078054371141</v>
      </c>
      <c r="H4" s="9">
        <f>$Q$8*E4/0.4*(LN(E4/$Q$9)-1)+8.5*E4*$Q$8</f>
        <v>0.38311423439902287</v>
      </c>
      <c r="I4" s="9">
        <f t="shared" ref="I4:I22" si="2">(H4+H5)/2*D4</f>
        <v>1.1141369132691099</v>
      </c>
      <c r="J4" s="9">
        <f>H4-$Q$12*E4</f>
        <v>-0.19335427359522045</v>
      </c>
      <c r="K4" s="9">
        <f t="shared" ref="K4:K23" si="3">K3+(J3+J4)*0.5*D3</f>
        <v>-0.19335427359522045</v>
      </c>
      <c r="L4" s="9">
        <f>0.23*E4*$Q$8</f>
        <v>9.9954702179500289E-3</v>
      </c>
      <c r="M4" s="1">
        <f>K4/(L4*E4)*D4/2</f>
        <v>-32.240316426533511</v>
      </c>
      <c r="N4" s="9">
        <f t="shared" ref="N4:N22" si="4">-1/$Q$5*(J4*M4+J5*M5)*D4/2</f>
        <v>-0.17552002910278591</v>
      </c>
    </row>
    <row r="5" spans="2:19" ht="20" x14ac:dyDescent="0.55000000000000004">
      <c r="B5">
        <v>3</v>
      </c>
      <c r="C5" s="7">
        <v>4</v>
      </c>
      <c r="D5">
        <v>2</v>
      </c>
      <c r="E5" s="1">
        <v>1</v>
      </c>
      <c r="F5" s="1">
        <f t="shared" si="0"/>
        <v>2.2999999999999998</v>
      </c>
      <c r="G5" s="1">
        <f t="shared" si="1"/>
        <v>2.0223748416156684</v>
      </c>
      <c r="H5" s="9">
        <f>$Q$8*E5/0.4*(LN(E5/$Q$9)-1)+8.5*E5*$Q$8</f>
        <v>0.73102267887008709</v>
      </c>
      <c r="I5" s="9">
        <f t="shared" si="2"/>
        <v>1.7431128579457824</v>
      </c>
      <c r="J5" s="9">
        <f>H5-$Q$12*E5</f>
        <v>-0.22975816778698521</v>
      </c>
      <c r="K5" s="9">
        <f t="shared" si="3"/>
        <v>-0.61646671497742611</v>
      </c>
      <c r="L5" s="9">
        <f>0.23*E5*$Q$8</f>
        <v>1.6659117029916713E-2</v>
      </c>
      <c r="M5" s="1">
        <f t="shared" ref="M5:M22" si="5">M4+(K4/(L4*D4)+K5/(L5*D5))*D4/2</f>
        <v>-60.41479397988617</v>
      </c>
      <c r="N5" s="9">
        <f t="shared" si="4"/>
        <v>-0.33597767584902644</v>
      </c>
      <c r="P5" t="s">
        <v>12</v>
      </c>
      <c r="Q5" s="15">
        <f>SUM(F3:F22)</f>
        <v>114.60000000000002</v>
      </c>
      <c r="R5" t="s">
        <v>35</v>
      </c>
    </row>
    <row r="6" spans="2:19" x14ac:dyDescent="0.55000000000000004">
      <c r="B6">
        <v>4</v>
      </c>
      <c r="C6" s="7">
        <v>6</v>
      </c>
      <c r="D6">
        <v>2</v>
      </c>
      <c r="E6" s="1">
        <v>1.3</v>
      </c>
      <c r="F6" s="1">
        <f t="shared" si="0"/>
        <v>2.7</v>
      </c>
      <c r="G6" s="1">
        <f t="shared" si="1"/>
        <v>2.0024984394500787</v>
      </c>
      <c r="H6" s="9">
        <f>$Q$8*E6/0.4*(LN(E6/$Q$9)-1)+8.5*E6*$Q$8</f>
        <v>1.0120901790756953</v>
      </c>
      <c r="I6" s="9">
        <f t="shared" si="2"/>
        <v>2.1208204350815008</v>
      </c>
      <c r="J6" s="9">
        <f>H6-$Q$12*E6</f>
        <v>-0.23692492157849876</v>
      </c>
      <c r="K6" s="9">
        <f t="shared" si="3"/>
        <v>-1.0831498043429102</v>
      </c>
      <c r="L6" s="9">
        <f>0.23*E6*$Q$8</f>
        <v>2.1656852138891729E-2</v>
      </c>
      <c r="M6" s="1">
        <f t="shared" si="5"/>
        <v>-103.92426898870444</v>
      </c>
      <c r="N6" s="9">
        <f t="shared" si="4"/>
        <v>-0.54959553368176028</v>
      </c>
      <c r="P6" t="s">
        <v>13</v>
      </c>
      <c r="Q6" s="1">
        <f>SUM(G3:G22)</f>
        <v>42.814650461921467</v>
      </c>
      <c r="R6" t="s">
        <v>16</v>
      </c>
    </row>
    <row r="7" spans="2:19" x14ac:dyDescent="0.55000000000000004">
      <c r="B7">
        <v>5</v>
      </c>
      <c r="C7" s="7">
        <v>8</v>
      </c>
      <c r="D7">
        <v>2</v>
      </c>
      <c r="E7" s="1">
        <v>1.4</v>
      </c>
      <c r="F7" s="1">
        <f t="shared" si="0"/>
        <v>3</v>
      </c>
      <c r="G7" s="1">
        <f t="shared" si="1"/>
        <v>2.0099751242241779</v>
      </c>
      <c r="H7" s="9">
        <f>$Q$8*E7/0.4*(LN(E7/$Q$9)-1)+8.5*E7*$Q$8</f>
        <v>1.1087302560058052</v>
      </c>
      <c r="I7" s="9">
        <f t="shared" si="2"/>
        <v>2.4145377676603843</v>
      </c>
      <c r="J7" s="9">
        <f>H7-$Q$12*E7</f>
        <v>-0.23636292931409586</v>
      </c>
      <c r="K7" s="9">
        <f t="shared" si="3"/>
        <v>-1.5564376552355048</v>
      </c>
      <c r="L7" s="9">
        <f>0.23*E7*$Q$8</f>
        <v>2.33227638418834E-2</v>
      </c>
      <c r="M7" s="1">
        <f t="shared" si="5"/>
        <v>-162.29871152383959</v>
      </c>
      <c r="N7" s="9">
        <f t="shared" si="4"/>
        <v>-0.8065878155001438</v>
      </c>
      <c r="P7" t="s">
        <v>14</v>
      </c>
      <c r="Q7" s="14">
        <f>Q5/Q6</f>
        <v>2.676653873466118</v>
      </c>
      <c r="R7" t="s">
        <v>16</v>
      </c>
    </row>
    <row r="8" spans="2:19" x14ac:dyDescent="0.55000000000000004">
      <c r="B8">
        <v>6</v>
      </c>
      <c r="C8" s="7">
        <v>10</v>
      </c>
      <c r="D8">
        <v>2</v>
      </c>
      <c r="E8" s="1">
        <v>1.6</v>
      </c>
      <c r="F8" s="1">
        <f t="shared" si="0"/>
        <v>3.4000000000000004</v>
      </c>
      <c r="G8" s="1">
        <f t="shared" si="1"/>
        <v>2.0099751242241779</v>
      </c>
      <c r="H8" s="9">
        <f>$Q$8*E8/0.4*(LN(E8/$Q$9)-1)+8.5*E8*$Q$8</f>
        <v>1.3058075116545793</v>
      </c>
      <c r="I8" s="9">
        <f t="shared" si="2"/>
        <v>2.8132310761273875</v>
      </c>
      <c r="J8" s="9">
        <f>H8-$Q$12*E8</f>
        <v>-0.23144184299673642</v>
      </c>
      <c r="K8" s="9">
        <f t="shared" si="3"/>
        <v>-2.0242424275463371</v>
      </c>
      <c r="L8" s="9">
        <f>0.23*E8*$Q$8</f>
        <v>2.6654587247866745E-2</v>
      </c>
      <c r="M8" s="1">
        <f t="shared" si="5"/>
        <v>-233.63780756533666</v>
      </c>
      <c r="N8" s="9">
        <f t="shared" si="4"/>
        <v>-1.0779821982058249</v>
      </c>
      <c r="P8" t="s">
        <v>10</v>
      </c>
      <c r="Q8" s="13">
        <f>(9.8*Q7*1/5000)^0.5</f>
        <v>7.2430943608333534E-2</v>
      </c>
      <c r="R8" t="s">
        <v>6</v>
      </c>
    </row>
    <row r="9" spans="2:19" x14ac:dyDescent="0.55000000000000004">
      <c r="B9">
        <v>7</v>
      </c>
      <c r="C9" s="7">
        <v>12</v>
      </c>
      <c r="D9">
        <v>2</v>
      </c>
      <c r="E9" s="1">
        <v>1.8</v>
      </c>
      <c r="F9" s="1">
        <f t="shared" si="0"/>
        <v>3.7</v>
      </c>
      <c r="G9" s="1">
        <f t="shared" si="1"/>
        <v>2.0024984394500787</v>
      </c>
      <c r="H9" s="9">
        <f>$Q$8*E9/0.4*(LN(E9/$Q$9)-1)+8.5*E9*$Q$8</f>
        <v>1.5074235644728082</v>
      </c>
      <c r="I9" s="9">
        <f t="shared" si="2"/>
        <v>3.1171945468381503</v>
      </c>
      <c r="J9" s="9">
        <f>H9-$Q$12*E9</f>
        <v>-0.22198195950992194</v>
      </c>
      <c r="K9" s="9">
        <f t="shared" si="3"/>
        <v>-2.4776662300529955</v>
      </c>
      <c r="L9" s="9">
        <f>0.23*E9*$Q$8</f>
        <v>2.9986410653850087E-2</v>
      </c>
      <c r="M9" s="1">
        <f t="shared" si="5"/>
        <v>-312.92270457971335</v>
      </c>
      <c r="N9" s="9">
        <f t="shared" si="4"/>
        <v>-1.3596032134127043</v>
      </c>
      <c r="P9" t="s">
        <v>15</v>
      </c>
      <c r="Q9" s="9">
        <f>Q7/10^(1/5.75*(Q7^(1/6)/(Q2*9.8^0.5)-6))</f>
        <v>0.19454847973442288</v>
      </c>
      <c r="R9" t="s">
        <v>16</v>
      </c>
    </row>
    <row r="10" spans="2:19" ht="20" x14ac:dyDescent="0.55000000000000004">
      <c r="B10">
        <v>8</v>
      </c>
      <c r="C10" s="7">
        <v>14</v>
      </c>
      <c r="D10">
        <v>2</v>
      </c>
      <c r="E10" s="1">
        <v>1.9</v>
      </c>
      <c r="F10" s="1">
        <f t="shared" si="0"/>
        <v>4</v>
      </c>
      <c r="G10" s="1">
        <f t="shared" si="1"/>
        <v>2.0099751242241779</v>
      </c>
      <c r="H10" s="9">
        <f>$Q$8*E10/0.4*(LN(E10/$Q$9)-1)+8.5*E10*$Q$8</f>
        <v>1.6097709823653421</v>
      </c>
      <c r="I10" s="9">
        <f t="shared" si="2"/>
        <v>3.4270495233718288</v>
      </c>
      <c r="J10" s="9">
        <f>H10-$Q$12*E10</f>
        <v>-0.21571262628309529</v>
      </c>
      <c r="K10" s="9">
        <f t="shared" si="3"/>
        <v>-2.9153608158460127</v>
      </c>
      <c r="L10" s="9">
        <f>0.23*E10*$Q$8</f>
        <v>3.1652322356841754E-2</v>
      </c>
      <c r="M10" s="1">
        <f t="shared" si="5"/>
        <v>-400.28872953420404</v>
      </c>
      <c r="N10" s="9">
        <f t="shared" si="4"/>
        <v>-1.6170749302617486</v>
      </c>
      <c r="P10" t="s">
        <v>32</v>
      </c>
      <c r="Q10" s="15">
        <f>SUM(I3:I22)</f>
        <v>110.10548502690051</v>
      </c>
      <c r="R10" t="s">
        <v>36</v>
      </c>
    </row>
    <row r="11" spans="2:19" ht="20" x14ac:dyDescent="0.55000000000000004">
      <c r="B11">
        <v>9</v>
      </c>
      <c r="C11" s="7">
        <v>16</v>
      </c>
      <c r="D11">
        <v>2</v>
      </c>
      <c r="E11" s="1">
        <v>2.1</v>
      </c>
      <c r="F11" s="1">
        <f t="shared" si="0"/>
        <v>4.5</v>
      </c>
      <c r="G11" s="1">
        <f t="shared" si="1"/>
        <v>2.0223748416156684</v>
      </c>
      <c r="H11" s="9">
        <f>$Q$8*E11/0.4*(LN(E11/$Q$9)-1)+8.5*E11*$Q$8</f>
        <v>1.8172785410064869</v>
      </c>
      <c r="I11" s="9">
        <f t="shared" si="2"/>
        <v>3.9521991307715316</v>
      </c>
      <c r="J11" s="9">
        <f>H11-$Q$12*E11</f>
        <v>-0.20036123697336516</v>
      </c>
      <c r="K11" s="9">
        <f t="shared" si="3"/>
        <v>-3.3314346791024732</v>
      </c>
      <c r="L11" s="9">
        <f>0.23*E11*$Q$8</f>
        <v>3.4984145762825103E-2</v>
      </c>
      <c r="M11" s="1">
        <f t="shared" si="5"/>
        <v>-493.95509522536076</v>
      </c>
      <c r="N11" s="9">
        <f t="shared" si="4"/>
        <v>-1.7405630515020645</v>
      </c>
      <c r="P11" t="s">
        <v>33</v>
      </c>
      <c r="Q11" s="15">
        <f>Q5*Q7^(2/3)*Q3^0.5/Q2</f>
        <v>104.14533883845361</v>
      </c>
      <c r="R11" t="s">
        <v>36</v>
      </c>
      <c r="S11" t="s">
        <v>37</v>
      </c>
    </row>
    <row r="12" spans="2:19" x14ac:dyDescent="0.55000000000000004">
      <c r="B12">
        <v>10</v>
      </c>
      <c r="C12" s="7">
        <v>18</v>
      </c>
      <c r="D12">
        <v>2</v>
      </c>
      <c r="E12" s="1">
        <v>2.4</v>
      </c>
      <c r="F12" s="1">
        <f t="shared" si="0"/>
        <v>5.1999999999999993</v>
      </c>
      <c r="G12" s="1">
        <f t="shared" si="1"/>
        <v>2.0396078054371141</v>
      </c>
      <c r="H12" s="9">
        <f>$Q$8*E12/0.4*(LN(E12/$Q$9)-1)+8.5*E12*$Q$8</f>
        <v>2.134920589765045</v>
      </c>
      <c r="I12" s="9">
        <f t="shared" si="2"/>
        <v>4.7038182322085449</v>
      </c>
      <c r="J12" s="9">
        <f>H12-$Q$12*E12</f>
        <v>-0.17095344221192832</v>
      </c>
      <c r="K12" s="9">
        <f t="shared" si="3"/>
        <v>-3.7027493582877664</v>
      </c>
      <c r="L12" s="9">
        <f>0.23*E12*$Q$8</f>
        <v>3.9981880871800116E-2</v>
      </c>
      <c r="M12" s="1">
        <f t="shared" si="5"/>
        <v>-587.873929376045</v>
      </c>
      <c r="N12" s="9">
        <f t="shared" si="4"/>
        <v>-1.5934712180858737</v>
      </c>
      <c r="P12" t="s">
        <v>5</v>
      </c>
      <c r="Q12" s="9">
        <f>Q10/Q5</f>
        <v>0.96078084665707231</v>
      </c>
      <c r="R12" t="s">
        <v>6</v>
      </c>
    </row>
    <row r="13" spans="2:19" ht="20" x14ac:dyDescent="0.55000000000000004">
      <c r="B13">
        <v>11</v>
      </c>
      <c r="C13" s="7">
        <v>20</v>
      </c>
      <c r="D13">
        <v>2</v>
      </c>
      <c r="E13" s="1">
        <v>2.8</v>
      </c>
      <c r="F13" s="1">
        <f t="shared" si="0"/>
        <v>6.6</v>
      </c>
      <c r="G13" s="1">
        <f t="shared" si="1"/>
        <v>2.2360679774997898</v>
      </c>
      <c r="H13" s="9">
        <f>$Q$8*E13/0.4*(LN(E13/$Q$9)-1)+8.5*E13*$Q$8</f>
        <v>2.5688976424434999</v>
      </c>
      <c r="I13" s="9">
        <f t="shared" si="2"/>
        <v>6.2653899984746051</v>
      </c>
      <c r="J13" s="9">
        <f>H13-$Q$12*E13</f>
        <v>-0.12128872819630221</v>
      </c>
      <c r="K13" s="9">
        <f t="shared" si="3"/>
        <v>-3.9949915286959969</v>
      </c>
      <c r="L13" s="9">
        <f>0.23*E13*$Q$8</f>
        <v>4.6645527683766799E-2</v>
      </c>
      <c r="M13" s="1">
        <f t="shared" si="5"/>
        <v>-677.00215016070763</v>
      </c>
      <c r="N13" s="9">
        <f t="shared" si="4"/>
        <v>-0.41779115586642579</v>
      </c>
      <c r="P13" t="s">
        <v>18</v>
      </c>
      <c r="Q13" s="1">
        <f>SUM(N3:N22)</f>
        <v>21.684320032334252</v>
      </c>
      <c r="R13" t="s">
        <v>39</v>
      </c>
    </row>
    <row r="14" spans="2:19" ht="20" x14ac:dyDescent="0.55000000000000004">
      <c r="B14">
        <v>12</v>
      </c>
      <c r="C14" s="7">
        <v>22</v>
      </c>
      <c r="D14">
        <v>2</v>
      </c>
      <c r="E14" s="1">
        <v>3.8</v>
      </c>
      <c r="F14" s="1">
        <f t="shared" si="0"/>
        <v>8.3000000000000007</v>
      </c>
      <c r="G14" s="1">
        <f t="shared" si="1"/>
        <v>2.118962010041709</v>
      </c>
      <c r="H14" s="9">
        <f>$Q$8*E14/0.4*(LN(E14/$Q$9)-1)+8.5*E14*$Q$8</f>
        <v>3.6964923560311052</v>
      </c>
      <c r="I14" s="9">
        <f t="shared" si="2"/>
        <v>8.2116890434168006</v>
      </c>
      <c r="J14" s="9">
        <f>H14-$Q$12*E14</f>
        <v>4.5525138734230364E-2</v>
      </c>
      <c r="K14" s="9">
        <f t="shared" si="3"/>
        <v>-4.0707551181580683</v>
      </c>
      <c r="L14" s="9">
        <f>0.23*E14*$Q$8</f>
        <v>6.3304644713683508E-2</v>
      </c>
      <c r="M14" s="1">
        <f t="shared" si="5"/>
        <v>-751.97713326508494</v>
      </c>
      <c r="N14" s="9">
        <f t="shared" si="4"/>
        <v>1.6530459648798372</v>
      </c>
      <c r="P14" t="s">
        <v>40</v>
      </c>
      <c r="Q14" s="15">
        <f>1.8*20^2*Q12/Q7/Q8</f>
        <v>3568.1284087440849</v>
      </c>
      <c r="R14" t="s">
        <v>16</v>
      </c>
    </row>
    <row r="15" spans="2:19" x14ac:dyDescent="0.55000000000000004">
      <c r="B15">
        <v>13</v>
      </c>
      <c r="C15" s="7">
        <v>24</v>
      </c>
      <c r="D15">
        <v>2</v>
      </c>
      <c r="E15" s="1">
        <v>4.5</v>
      </c>
      <c r="F15" s="1">
        <f t="shared" si="0"/>
        <v>9.6999999999999993</v>
      </c>
      <c r="G15" s="1">
        <f t="shared" si="1"/>
        <v>2.118962010041709</v>
      </c>
      <c r="H15" s="9">
        <f>$Q$8*E15/0.4*(LN(E15/$Q$9)-1)+8.5*E15*$Q$8</f>
        <v>4.5151966873856955</v>
      </c>
      <c r="I15" s="9">
        <f t="shared" si="2"/>
        <v>9.8688953167212077</v>
      </c>
      <c r="J15" s="9">
        <f>H15-$Q$12*E15</f>
        <v>0.19168287742887014</v>
      </c>
      <c r="K15" s="9">
        <f t="shared" si="3"/>
        <v>-3.8335471019949678</v>
      </c>
      <c r="L15" s="9">
        <f>0.23*E15*$Q$8</f>
        <v>7.4966026634625219E-2</v>
      </c>
      <c r="M15" s="1">
        <f t="shared" si="5"/>
        <v>-809.69780055582305</v>
      </c>
      <c r="N15" s="9">
        <f t="shared" si="4"/>
        <v>4.0201377952274902</v>
      </c>
    </row>
    <row r="16" spans="2:19" x14ac:dyDescent="0.55000000000000004">
      <c r="B16">
        <v>14</v>
      </c>
      <c r="C16" s="7">
        <v>26</v>
      </c>
      <c r="D16">
        <v>2</v>
      </c>
      <c r="E16" s="1">
        <v>5.2</v>
      </c>
      <c r="F16" s="1">
        <f t="shared" si="0"/>
        <v>10.9</v>
      </c>
      <c r="G16" s="1">
        <f t="shared" si="1"/>
        <v>2.0615528128088303</v>
      </c>
      <c r="H16" s="9">
        <f>$Q$8*E16/0.4*(LN(E16/$Q$9)-1)+8.5*E16*$Q$8</f>
        <v>5.3536986293355131</v>
      </c>
      <c r="I16" s="9">
        <f t="shared" si="2"/>
        <v>11.316934303804715</v>
      </c>
      <c r="J16" s="9">
        <f>H16-$Q$12*E16</f>
        <v>0.3576382267187368</v>
      </c>
      <c r="K16" s="9">
        <f t="shared" si="3"/>
        <v>-3.2842259978473609</v>
      </c>
      <c r="L16" s="9">
        <f>0.23*E16*$Q$8</f>
        <v>8.6627408555566915E-2</v>
      </c>
      <c r="M16" s="1">
        <f t="shared" si="5"/>
        <v>-854.22240759225167</v>
      </c>
      <c r="N16" s="9">
        <f t="shared" si="4"/>
        <v>6.4293743251683688</v>
      </c>
    </row>
    <row r="17" spans="2:14" x14ac:dyDescent="0.55000000000000004">
      <c r="B17">
        <v>15</v>
      </c>
      <c r="C17" s="7">
        <v>28</v>
      </c>
      <c r="D17">
        <v>2</v>
      </c>
      <c r="E17" s="1">
        <v>5.7</v>
      </c>
      <c r="F17" s="1">
        <f t="shared" si="0"/>
        <v>11.7</v>
      </c>
      <c r="G17" s="1">
        <f t="shared" si="1"/>
        <v>2.0223748416156684</v>
      </c>
      <c r="H17" s="9">
        <f>$Q$8*E17/0.4*(LN(E17/$Q$9)-1)+8.5*E17*$Q$8</f>
        <v>5.9632356744692014</v>
      </c>
      <c r="I17" s="9">
        <f t="shared" si="2"/>
        <v>12.296054183820047</v>
      </c>
      <c r="J17" s="9">
        <f>H17-$Q$12*E17</f>
        <v>0.48678484852388948</v>
      </c>
      <c r="K17" s="9">
        <f t="shared" si="3"/>
        <v>-2.4398029226047346</v>
      </c>
      <c r="L17" s="9">
        <f>0.23*E17*$Q$8</f>
        <v>9.4956967070525269E-2</v>
      </c>
      <c r="M17" s="1">
        <f t="shared" si="5"/>
        <v>-886.02533932077745</v>
      </c>
      <c r="N17" s="9">
        <f t="shared" si="4"/>
        <v>8.254091190892046</v>
      </c>
    </row>
    <row r="18" spans="2:14" x14ac:dyDescent="0.55000000000000004">
      <c r="B18">
        <v>16</v>
      </c>
      <c r="C18" s="7">
        <v>30</v>
      </c>
      <c r="D18">
        <v>2</v>
      </c>
      <c r="E18" s="1">
        <v>6</v>
      </c>
      <c r="F18" s="1">
        <f t="shared" si="0"/>
        <v>11.4</v>
      </c>
      <c r="G18" s="1">
        <f t="shared" si="1"/>
        <v>2.0880613017821097</v>
      </c>
      <c r="H18" s="9">
        <f>$Q$8*E18/0.4*(LN(E18/$Q$9)-1)+8.5*E18*$Q$8</f>
        <v>6.3328185093508464</v>
      </c>
      <c r="I18" s="9">
        <f t="shared" si="2"/>
        <v>11.929331786596489</v>
      </c>
      <c r="J18" s="9">
        <f>H18-$Q$12*E18</f>
        <v>0.56813342940841238</v>
      </c>
      <c r="K18" s="9">
        <f t="shared" si="3"/>
        <v>-1.3848846446724328</v>
      </c>
      <c r="L18" s="9">
        <f>0.23*E18*$Q$8</f>
        <v>9.9954702179500282E-2</v>
      </c>
      <c r="M18" s="1">
        <f t="shared" si="5"/>
        <v>-905.79978795209456</v>
      </c>
      <c r="N18" s="9">
        <f t="shared" si="4"/>
        <v>7.7504854518649804</v>
      </c>
    </row>
    <row r="19" spans="2:14" x14ac:dyDescent="0.55000000000000004">
      <c r="B19">
        <v>17</v>
      </c>
      <c r="C19" s="7">
        <v>32</v>
      </c>
      <c r="D19">
        <v>2</v>
      </c>
      <c r="E19" s="1">
        <v>5.4</v>
      </c>
      <c r="F19" s="1">
        <f t="shared" si="0"/>
        <v>9.8000000000000007</v>
      </c>
      <c r="G19" s="1">
        <f t="shared" si="1"/>
        <v>2.2360679774997898</v>
      </c>
      <c r="H19" s="9">
        <f>$Q$8*E19/0.4*(LN(E19/$Q$9)-1)+8.5*E19*$Q$8</f>
        <v>5.5965132772456432</v>
      </c>
      <c r="I19" s="9">
        <f t="shared" si="2"/>
        <v>9.9934672287628885</v>
      </c>
      <c r="J19" s="9">
        <f>H19-$Q$12*E19</f>
        <v>0.40829670529745243</v>
      </c>
      <c r="K19" s="9">
        <f t="shared" si="3"/>
        <v>-0.40845450996656796</v>
      </c>
      <c r="L19" s="9">
        <f>0.23*E19*$Q$8</f>
        <v>8.9959231961550271E-2</v>
      </c>
      <c r="M19" s="1">
        <f t="shared" si="5"/>
        <v>-914.99756929197451</v>
      </c>
      <c r="N19" s="9">
        <f t="shared" si="4"/>
        <v>4.6150808465114324</v>
      </c>
    </row>
    <row r="20" spans="2:14" x14ac:dyDescent="0.55000000000000004">
      <c r="B20">
        <v>18</v>
      </c>
      <c r="C20" s="7">
        <v>34</v>
      </c>
      <c r="D20">
        <v>2</v>
      </c>
      <c r="E20" s="1">
        <v>4.4000000000000004</v>
      </c>
      <c r="F20" s="1">
        <f t="shared" si="0"/>
        <v>8.3000000000000007</v>
      </c>
      <c r="G20" s="1">
        <f t="shared" si="1"/>
        <v>2.0615528128088303</v>
      </c>
      <c r="H20" s="9">
        <f>$Q$8*E20/0.4*(LN(E20/$Q$9)-1)+8.5*E20*$Q$8</f>
        <v>4.3969539515172444</v>
      </c>
      <c r="I20" s="9">
        <f t="shared" si="2"/>
        <v>8.2090663548417648</v>
      </c>
      <c r="J20" s="9">
        <f>H20-$Q$12*E20</f>
        <v>0.16951822622612589</v>
      </c>
      <c r="K20" s="9">
        <f t="shared" si="3"/>
        <v>0.16936042155701037</v>
      </c>
      <c r="L20" s="9">
        <f>0.23*E20*$Q$8</f>
        <v>7.3300114931633548E-2</v>
      </c>
      <c r="M20" s="1">
        <f t="shared" si="5"/>
        <v>-916.11253592261437</v>
      </c>
      <c r="N20" s="9">
        <f t="shared" si="4"/>
        <v>1.8728544271490948</v>
      </c>
    </row>
    <row r="21" spans="2:14" x14ac:dyDescent="0.55000000000000004">
      <c r="B21">
        <v>19</v>
      </c>
      <c r="C21" s="7">
        <v>36</v>
      </c>
      <c r="D21">
        <v>2</v>
      </c>
      <c r="E21" s="1">
        <v>3.9</v>
      </c>
      <c r="F21" s="1">
        <f t="shared" si="0"/>
        <v>5.4</v>
      </c>
      <c r="G21" s="1">
        <f t="shared" si="1"/>
        <v>3.1240998703626617</v>
      </c>
      <c r="H21" s="9">
        <f>$Q$8*E21/0.4*(LN(E21/$Q$9)-1)+8.5*E21*$Q$8</f>
        <v>3.8121124033245208</v>
      </c>
      <c r="I21" s="9">
        <f t="shared" si="2"/>
        <v>5.0187772480566366</v>
      </c>
      <c r="J21" s="9">
        <f>H21-$Q$12*E21</f>
        <v>6.5067101361938828E-2</v>
      </c>
      <c r="K21" s="9">
        <f t="shared" si="3"/>
        <v>0.40394574914507508</v>
      </c>
      <c r="L21" s="9">
        <f>0.23*E21*$Q$8</f>
        <v>6.4970556416675179E-2</v>
      </c>
      <c r="M21" s="1">
        <f t="shared" si="5"/>
        <v>-911.84859931185895</v>
      </c>
      <c r="N21" s="9">
        <f t="shared" si="4"/>
        <v>-1.3322307179187078</v>
      </c>
    </row>
    <row r="22" spans="2:14" x14ac:dyDescent="0.55000000000000004">
      <c r="B22">
        <v>20</v>
      </c>
      <c r="C22" s="7">
        <v>38</v>
      </c>
      <c r="D22">
        <v>2</v>
      </c>
      <c r="E22" s="1">
        <v>1.5</v>
      </c>
      <c r="F22" s="1">
        <f t="shared" si="0"/>
        <v>1.5</v>
      </c>
      <c r="G22" s="1">
        <f t="shared" si="1"/>
        <v>2.5</v>
      </c>
      <c r="H22" s="9">
        <f>$Q$8*E22/0.4*(LN(E22/$Q$9)-1)+8.5*E22*$Q$8</f>
        <v>1.2066648447321158</v>
      </c>
      <c r="I22" s="9">
        <f t="shared" si="2"/>
        <v>1.2066648447321158</v>
      </c>
      <c r="J22" s="9">
        <f>H22-$Q$12*E22</f>
        <v>-0.23450642525349275</v>
      </c>
      <c r="K22" s="9">
        <f t="shared" si="3"/>
        <v>0.23450642525352117</v>
      </c>
      <c r="L22" s="9">
        <f>0.23*E22*$Q$8</f>
        <v>2.4988675544875071E-2</v>
      </c>
      <c r="M22" s="1">
        <f t="shared" si="5"/>
        <v>-904.04766215885604</v>
      </c>
      <c r="N22" s="9">
        <f t="shared" si="4"/>
        <v>-1.8499562435571604</v>
      </c>
    </row>
    <row r="23" spans="2:14" ht="18.5" thickBot="1" x14ac:dyDescent="0.6">
      <c r="B23" s="2">
        <v>21</v>
      </c>
      <c r="C23" s="8">
        <v>40</v>
      </c>
      <c r="D23" s="11" t="s">
        <v>27</v>
      </c>
      <c r="E23" s="3">
        <v>0</v>
      </c>
      <c r="F23" s="12" t="s">
        <v>27</v>
      </c>
      <c r="G23" s="12" t="s">
        <v>27</v>
      </c>
      <c r="H23" s="10">
        <v>0</v>
      </c>
      <c r="I23" s="12" t="s">
        <v>27</v>
      </c>
      <c r="J23" s="10">
        <f>H23-$Q$12*E23</f>
        <v>0</v>
      </c>
      <c r="K23" s="10">
        <f t="shared" si="3"/>
        <v>2.8421709430404007E-14</v>
      </c>
      <c r="L23" s="10">
        <f>0.23*E23*$Q$8</f>
        <v>0</v>
      </c>
      <c r="M23" s="3">
        <f>M22+(K22/(L22*D22)+0)*D22/2</f>
        <v>-899.35540816499406</v>
      </c>
      <c r="N23" s="12" t="s">
        <v>27</v>
      </c>
    </row>
    <row r="24" spans="2:14" x14ac:dyDescent="0.55000000000000004">
      <c r="F24" s="1"/>
      <c r="G24" s="1"/>
      <c r="I24" s="9"/>
    </row>
    <row r="25" spans="2:14" x14ac:dyDescent="0.55000000000000004">
      <c r="G2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012C-D673-4776-BDF4-FD6B6A799CDF}">
  <dimension ref="A2:H83"/>
  <sheetViews>
    <sheetView topLeftCell="A4" workbookViewId="0">
      <selection activeCell="C8" sqref="C8"/>
    </sheetView>
  </sheetViews>
  <sheetFormatPr defaultRowHeight="18" x14ac:dyDescent="0.55000000000000004"/>
  <cols>
    <col min="3" max="3" width="12.1640625" customWidth="1"/>
    <col min="4" max="4" width="12.08203125" customWidth="1"/>
  </cols>
  <sheetData>
    <row r="2" spans="1:8" x14ac:dyDescent="0.55000000000000004">
      <c r="A2" t="s">
        <v>41</v>
      </c>
      <c r="B2" t="s">
        <v>19</v>
      </c>
      <c r="C2" t="s">
        <v>25</v>
      </c>
      <c r="D2" t="s">
        <v>26</v>
      </c>
      <c r="F2" t="s">
        <v>21</v>
      </c>
      <c r="G2">
        <v>10000</v>
      </c>
      <c r="H2" t="s">
        <v>16</v>
      </c>
    </row>
    <row r="3" spans="1:8" x14ac:dyDescent="0.55000000000000004">
      <c r="A3">
        <f>B3*60</f>
        <v>8400</v>
      </c>
      <c r="B3">
        <v>140</v>
      </c>
      <c r="C3" s="17">
        <f>$G$3/$G$4/((4*3.14*$G$5*A3)^0.5)*EXP(-(($G$2-$G$6*A3)^2)/(4*$G$5*A3))</f>
        <v>3.4840396377006197E-4</v>
      </c>
      <c r="D3" s="9">
        <f>C3*100</f>
        <v>3.48403963770062E-2</v>
      </c>
      <c r="F3" t="s">
        <v>20</v>
      </c>
      <c r="G3">
        <v>10000</v>
      </c>
      <c r="H3" t="s">
        <v>22</v>
      </c>
    </row>
    <row r="4" spans="1:8" x14ac:dyDescent="0.55000000000000004">
      <c r="A4">
        <f t="shared" ref="A4:A67" si="0">B4*60</f>
        <v>8460</v>
      </c>
      <c r="B4">
        <v>141</v>
      </c>
      <c r="C4" s="17">
        <f t="shared" ref="C4:C67" si="1">$G$3/$G$4/((4*3.14*$G$5*A4)^0.5)*EXP(-(($G$2-$G$6*A4)^2)/(4*$G$5*A4))</f>
        <v>4.8525039601261864E-4</v>
      </c>
      <c r="D4" s="9">
        <f t="shared" ref="D4:D67" si="2">C4*100</f>
        <v>4.8525039601261866E-2</v>
      </c>
      <c r="F4" t="s">
        <v>12</v>
      </c>
      <c r="G4" s="15">
        <f>表２!Q5</f>
        <v>114.60000000000002</v>
      </c>
      <c r="H4" t="s">
        <v>23</v>
      </c>
    </row>
    <row r="5" spans="1:8" x14ac:dyDescent="0.55000000000000004">
      <c r="A5">
        <f t="shared" si="0"/>
        <v>8520</v>
      </c>
      <c r="B5">
        <v>142</v>
      </c>
      <c r="C5" s="17">
        <f t="shared" si="1"/>
        <v>6.6666162253526458E-4</v>
      </c>
      <c r="D5" s="9">
        <f t="shared" si="2"/>
        <v>6.6666162253526465E-2</v>
      </c>
      <c r="F5" t="s">
        <v>18</v>
      </c>
      <c r="G5" s="1">
        <f>表２!Q13</f>
        <v>21.684320032334252</v>
      </c>
      <c r="H5" t="s">
        <v>24</v>
      </c>
    </row>
    <row r="6" spans="1:8" x14ac:dyDescent="0.55000000000000004">
      <c r="A6">
        <f t="shared" si="0"/>
        <v>8580</v>
      </c>
      <c r="B6">
        <v>143</v>
      </c>
      <c r="C6" s="17">
        <f t="shared" si="1"/>
        <v>9.0370464860502165E-4</v>
      </c>
      <c r="D6" s="9">
        <f t="shared" si="2"/>
        <v>9.0370464860502167E-2</v>
      </c>
      <c r="F6" t="s">
        <v>5</v>
      </c>
      <c r="G6" s="9">
        <f>表２!Q12</f>
        <v>0.96078084665707231</v>
      </c>
      <c r="H6" t="s">
        <v>6</v>
      </c>
    </row>
    <row r="7" spans="1:8" x14ac:dyDescent="0.55000000000000004">
      <c r="A7">
        <f t="shared" si="0"/>
        <v>8640</v>
      </c>
      <c r="B7">
        <v>144</v>
      </c>
      <c r="C7" s="17">
        <f t="shared" si="1"/>
        <v>1.2090670208820509E-3</v>
      </c>
      <c r="D7" s="9">
        <f t="shared" si="2"/>
        <v>0.1209067020882051</v>
      </c>
    </row>
    <row r="8" spans="1:8" x14ac:dyDescent="0.55000000000000004">
      <c r="A8">
        <f t="shared" si="0"/>
        <v>8700</v>
      </c>
      <c r="B8">
        <v>145</v>
      </c>
      <c r="C8" s="17">
        <f t="shared" si="1"/>
        <v>1.5969634553328511E-3</v>
      </c>
      <c r="D8" s="9">
        <f t="shared" si="2"/>
        <v>0.1596963455332851</v>
      </c>
    </row>
    <row r="9" spans="1:8" x14ac:dyDescent="0.55000000000000004">
      <c r="A9">
        <f t="shared" si="0"/>
        <v>8760</v>
      </c>
      <c r="B9">
        <v>146</v>
      </c>
      <c r="C9" s="17">
        <f t="shared" si="1"/>
        <v>2.0829317389308376E-3</v>
      </c>
      <c r="D9" s="9">
        <f t="shared" si="2"/>
        <v>0.20829317389308377</v>
      </c>
    </row>
    <row r="10" spans="1:8" x14ac:dyDescent="0.55000000000000004">
      <c r="A10">
        <f t="shared" si="0"/>
        <v>8820</v>
      </c>
      <c r="B10">
        <v>147</v>
      </c>
      <c r="C10" s="17">
        <f t="shared" si="1"/>
        <v>2.683503373068284E-3</v>
      </c>
      <c r="D10" s="9">
        <f t="shared" si="2"/>
        <v>0.26835033730682839</v>
      </c>
    </row>
    <row r="11" spans="1:8" x14ac:dyDescent="0.55000000000000004">
      <c r="A11">
        <f t="shared" si="0"/>
        <v>8880</v>
      </c>
      <c r="B11">
        <v>148</v>
      </c>
      <c r="C11" s="17">
        <f t="shared" si="1"/>
        <v>3.4157405515837769E-3</v>
      </c>
      <c r="D11" s="9">
        <f t="shared" si="2"/>
        <v>0.34157405515837769</v>
      </c>
    </row>
    <row r="12" spans="1:8" x14ac:dyDescent="0.55000000000000004">
      <c r="A12">
        <f t="shared" si="0"/>
        <v>8940</v>
      </c>
      <c r="B12">
        <v>149</v>
      </c>
      <c r="C12" s="17">
        <f t="shared" si="1"/>
        <v>4.2966392027086464E-3</v>
      </c>
      <c r="D12" s="9">
        <f t="shared" si="2"/>
        <v>0.42966392027086464</v>
      </c>
    </row>
    <row r="13" spans="1:8" x14ac:dyDescent="0.55000000000000004">
      <c r="A13">
        <f t="shared" si="0"/>
        <v>9000</v>
      </c>
      <c r="B13">
        <v>150</v>
      </c>
      <c r="C13" s="17">
        <f t="shared" si="1"/>
        <v>5.3424075864262222E-3</v>
      </c>
      <c r="D13" s="9">
        <f t="shared" si="2"/>
        <v>0.53424075864262222</v>
      </c>
    </row>
    <row r="14" spans="1:8" x14ac:dyDescent="0.55000000000000004">
      <c r="A14">
        <f t="shared" si="0"/>
        <v>9060</v>
      </c>
      <c r="B14">
        <v>151</v>
      </c>
      <c r="C14" s="17">
        <f t="shared" si="1"/>
        <v>6.5676407060826555E-3</v>
      </c>
      <c r="D14" s="9">
        <f t="shared" si="2"/>
        <v>0.65676407060826558</v>
      </c>
    </row>
    <row r="15" spans="1:8" x14ac:dyDescent="0.55000000000000004">
      <c r="A15">
        <f t="shared" si="0"/>
        <v>9120</v>
      </c>
      <c r="B15">
        <v>152</v>
      </c>
      <c r="C15" s="17">
        <f t="shared" si="1"/>
        <v>7.9844217438096114E-3</v>
      </c>
      <c r="D15" s="9">
        <f t="shared" si="2"/>
        <v>0.7984421743809611</v>
      </c>
    </row>
    <row r="16" spans="1:8" x14ac:dyDescent="0.55000000000000004">
      <c r="A16">
        <f t="shared" si="0"/>
        <v>9180</v>
      </c>
      <c r="B16">
        <v>153</v>
      </c>
      <c r="C16" s="17">
        <f t="shared" si="1"/>
        <v>9.6013919033081756E-3</v>
      </c>
      <c r="D16" s="9">
        <f t="shared" si="2"/>
        <v>0.96013919033081752</v>
      </c>
    </row>
    <row r="17" spans="1:4" x14ac:dyDescent="0.55000000000000004">
      <c r="A17">
        <f t="shared" si="0"/>
        <v>9240</v>
      </c>
      <c r="B17">
        <v>154</v>
      </c>
      <c r="C17" s="17">
        <f t="shared" si="1"/>
        <v>1.1422838429347951E-2</v>
      </c>
      <c r="D17" s="9">
        <f t="shared" si="2"/>
        <v>1.142283842934795</v>
      </c>
    </row>
    <row r="18" spans="1:4" x14ac:dyDescent="0.55000000000000004">
      <c r="A18">
        <f t="shared" si="0"/>
        <v>9300</v>
      </c>
      <c r="B18">
        <v>155</v>
      </c>
      <c r="C18" s="17">
        <f t="shared" si="1"/>
        <v>1.3447856210782884E-2</v>
      </c>
      <c r="D18" s="9">
        <f t="shared" si="2"/>
        <v>1.3447856210782883</v>
      </c>
    </row>
    <row r="19" spans="1:4" x14ac:dyDescent="0.55000000000000004">
      <c r="A19">
        <f t="shared" si="0"/>
        <v>9360</v>
      </c>
      <c r="B19">
        <v>156</v>
      </c>
      <c r="C19" s="17">
        <f t="shared" si="1"/>
        <v>1.5669640460954922E-2</v>
      </c>
      <c r="D19" s="9">
        <f t="shared" si="2"/>
        <v>1.5669640460954921</v>
      </c>
    </row>
    <row r="20" spans="1:4" x14ac:dyDescent="0.55000000000000004">
      <c r="A20">
        <f t="shared" si="0"/>
        <v>9420</v>
      </c>
      <c r="B20">
        <v>157</v>
      </c>
      <c r="C20" s="17">
        <f t="shared" si="1"/>
        <v>1.8074965960357261E-2</v>
      </c>
      <c r="D20" s="9">
        <f t="shared" si="2"/>
        <v>1.8074965960357261</v>
      </c>
    </row>
    <row r="21" spans="1:4" x14ac:dyDescent="0.55000000000000004">
      <c r="A21">
        <f t="shared" si="0"/>
        <v>9480</v>
      </c>
      <c r="B21">
        <v>158</v>
      </c>
      <c r="C21" s="17">
        <f t="shared" si="1"/>
        <v>2.0643902029026617E-2</v>
      </c>
      <c r="D21" s="9">
        <f t="shared" si="2"/>
        <v>2.0643902029026617</v>
      </c>
    </row>
    <row r="22" spans="1:4" x14ac:dyDescent="0.55000000000000004">
      <c r="A22">
        <f t="shared" si="0"/>
        <v>9540</v>
      </c>
      <c r="B22">
        <v>159</v>
      </c>
      <c r="C22" s="17">
        <f t="shared" si="1"/>
        <v>2.334980193658976E-2</v>
      </c>
      <c r="D22" s="9">
        <f t="shared" si="2"/>
        <v>2.3349801936589762</v>
      </c>
    </row>
    <row r="23" spans="1:4" x14ac:dyDescent="0.55000000000000004">
      <c r="A23">
        <f t="shared" si="0"/>
        <v>9600</v>
      </c>
      <c r="B23">
        <v>160</v>
      </c>
      <c r="C23" s="17">
        <f t="shared" si="1"/>
        <v>2.6159591407621533E-2</v>
      </c>
      <c r="D23" s="9">
        <f t="shared" si="2"/>
        <v>2.6159591407621532</v>
      </c>
    </row>
    <row r="24" spans="1:4" x14ac:dyDescent="0.55000000000000004">
      <c r="A24">
        <f t="shared" si="0"/>
        <v>9660</v>
      </c>
      <c r="B24">
        <v>161</v>
      </c>
      <c r="C24" s="17">
        <f t="shared" si="1"/>
        <v>2.9034364141112275E-2</v>
      </c>
      <c r="D24" s="9">
        <f t="shared" si="2"/>
        <v>2.9034364141112277</v>
      </c>
    </row>
    <row r="25" spans="1:4" x14ac:dyDescent="0.55000000000000004">
      <c r="A25">
        <f t="shared" si="0"/>
        <v>9720</v>
      </c>
      <c r="B25">
        <v>162</v>
      </c>
      <c r="C25" s="17">
        <f t="shared" si="1"/>
        <v>3.1930274015433288E-2</v>
      </c>
      <c r="D25" s="9">
        <f t="shared" si="2"/>
        <v>3.1930274015433286</v>
      </c>
    </row>
    <row r="26" spans="1:4" x14ac:dyDescent="0.55000000000000004">
      <c r="A26">
        <f t="shared" si="0"/>
        <v>9780</v>
      </c>
      <c r="B26">
        <v>163</v>
      </c>
      <c r="C26" s="17">
        <f t="shared" si="1"/>
        <v>3.4799695248464213E-2</v>
      </c>
      <c r="D26" s="9">
        <f t="shared" si="2"/>
        <v>3.4799695248464211</v>
      </c>
    </row>
    <row r="27" spans="1:4" x14ac:dyDescent="0.55000000000000004">
      <c r="A27">
        <f t="shared" si="0"/>
        <v>9840</v>
      </c>
      <c r="B27">
        <v>164</v>
      </c>
      <c r="C27" s="17">
        <f t="shared" si="1"/>
        <v>3.7592604631530947E-2</v>
      </c>
      <c r="D27" s="9">
        <f t="shared" si="2"/>
        <v>3.7592604631530948</v>
      </c>
    </row>
    <row r="28" spans="1:4" x14ac:dyDescent="0.55000000000000004">
      <c r="A28">
        <f t="shared" si="0"/>
        <v>9900</v>
      </c>
      <c r="B28">
        <v>165</v>
      </c>
      <c r="C28" s="17">
        <f t="shared" si="1"/>
        <v>4.0258125381664657E-2</v>
      </c>
      <c r="D28" s="9">
        <f t="shared" si="2"/>
        <v>4.0258125381664653</v>
      </c>
    </row>
    <row r="29" spans="1:4" x14ac:dyDescent="0.55000000000000004">
      <c r="A29">
        <f t="shared" si="0"/>
        <v>9960</v>
      </c>
      <c r="B29">
        <v>166</v>
      </c>
      <c r="C29" s="17">
        <f t="shared" si="1"/>
        <v>4.2746161285012817E-2</v>
      </c>
      <c r="D29" s="9">
        <f t="shared" si="2"/>
        <v>4.2746161285012816</v>
      </c>
    </row>
    <row r="30" spans="1:4" x14ac:dyDescent="0.55000000000000004">
      <c r="A30">
        <f t="shared" si="0"/>
        <v>10020</v>
      </c>
      <c r="B30">
        <v>167</v>
      </c>
      <c r="C30" s="17">
        <f t="shared" si="1"/>
        <v>4.5009043459163463E-2</v>
      </c>
      <c r="D30" s="9">
        <f t="shared" si="2"/>
        <v>4.5009043459163465</v>
      </c>
    </row>
    <row r="31" spans="1:4" x14ac:dyDescent="0.55000000000000004">
      <c r="A31">
        <f t="shared" si="0"/>
        <v>10080</v>
      </c>
      <c r="B31">
        <v>168</v>
      </c>
      <c r="C31" s="17">
        <f t="shared" si="1"/>
        <v>4.7003110696498714E-2</v>
      </c>
      <c r="D31" s="9">
        <f t="shared" si="2"/>
        <v>4.7003110696498718</v>
      </c>
    </row>
    <row r="32" spans="1:4" x14ac:dyDescent="0.55000000000000004">
      <c r="A32">
        <f t="shared" si="0"/>
        <v>10140</v>
      </c>
      <c r="B32">
        <v>169</v>
      </c>
      <c r="C32" s="17">
        <f t="shared" si="1"/>
        <v>4.8690148013571639E-2</v>
      </c>
      <c r="D32" s="9">
        <f t="shared" si="2"/>
        <v>4.8690148013571637</v>
      </c>
    </row>
    <row r="33" spans="1:4" x14ac:dyDescent="0.55000000000000004">
      <c r="A33">
        <f t="shared" si="0"/>
        <v>10200</v>
      </c>
      <c r="B33">
        <v>170</v>
      </c>
      <c r="C33" s="17">
        <f t="shared" si="1"/>
        <v>5.0038616375137943E-2</v>
      </c>
      <c r="D33" s="9">
        <f t="shared" si="2"/>
        <v>5.0038616375137943</v>
      </c>
    </row>
    <row r="34" spans="1:4" x14ac:dyDescent="0.55000000000000004">
      <c r="A34">
        <f t="shared" si="0"/>
        <v>10260</v>
      </c>
      <c r="B34">
        <v>171</v>
      </c>
      <c r="C34" s="17">
        <f t="shared" si="1"/>
        <v>5.1024618885010434E-2</v>
      </c>
      <c r="D34" s="9">
        <f t="shared" si="2"/>
        <v>5.1024618885010433</v>
      </c>
    </row>
    <row r="35" spans="1:4" x14ac:dyDescent="0.55000000000000004">
      <c r="A35">
        <f t="shared" si="0"/>
        <v>10320</v>
      </c>
      <c r="B35">
        <v>172</v>
      </c>
      <c r="C35" s="17">
        <f t="shared" si="1"/>
        <v>5.1632564059697877E-2</v>
      </c>
      <c r="D35" s="9">
        <f t="shared" si="2"/>
        <v>5.1632564059697881</v>
      </c>
    </row>
    <row r="36" spans="1:4" x14ac:dyDescent="0.55000000000000004">
      <c r="A36">
        <f t="shared" si="0"/>
        <v>10380</v>
      </c>
      <c r="B36">
        <v>173</v>
      </c>
      <c r="C36" s="17">
        <f t="shared" si="1"/>
        <v>5.185550396206285E-2</v>
      </c>
      <c r="D36" s="18">
        <f t="shared" si="2"/>
        <v>5.1855503962062848</v>
      </c>
    </row>
    <row r="37" spans="1:4" x14ac:dyDescent="0.55000000000000004">
      <c r="A37">
        <f t="shared" si="0"/>
        <v>10440</v>
      </c>
      <c r="B37">
        <v>174</v>
      </c>
      <c r="C37" s="17">
        <f t="shared" si="1"/>
        <v>5.1695142731330593E-2</v>
      </c>
      <c r="D37" s="9">
        <f t="shared" si="2"/>
        <v>5.1695142731330597</v>
      </c>
    </row>
    <row r="38" spans="1:4" x14ac:dyDescent="0.55000000000000004">
      <c r="A38">
        <f t="shared" si="0"/>
        <v>10500</v>
      </c>
      <c r="B38">
        <v>175</v>
      </c>
      <c r="C38" s="17">
        <f t="shared" si="1"/>
        <v>5.1161528191995279E-2</v>
      </c>
      <c r="D38" s="9">
        <f t="shared" si="2"/>
        <v>5.1161528191995282</v>
      </c>
    </row>
    <row r="39" spans="1:4" x14ac:dyDescent="0.55000000000000004">
      <c r="A39">
        <f t="shared" si="0"/>
        <v>10560</v>
      </c>
      <c r="B39">
        <v>176</v>
      </c>
      <c r="C39" s="17">
        <f t="shared" si="1"/>
        <v>5.0272454671016542E-2</v>
      </c>
      <c r="D39" s="9">
        <f t="shared" si="2"/>
        <v>5.027245467101654</v>
      </c>
    </row>
    <row r="40" spans="1:4" x14ac:dyDescent="0.55000000000000004">
      <c r="A40">
        <f t="shared" si="0"/>
        <v>10620</v>
      </c>
      <c r="B40">
        <v>177</v>
      </c>
      <c r="C40" s="17">
        <f t="shared" si="1"/>
        <v>4.9052618014678244E-2</v>
      </c>
      <c r="D40" s="9">
        <f t="shared" si="2"/>
        <v>4.905261801467824</v>
      </c>
    </row>
    <row r="41" spans="1:4" x14ac:dyDescent="0.55000000000000004">
      <c r="A41">
        <f t="shared" si="0"/>
        <v>10680</v>
      </c>
      <c r="B41">
        <v>178</v>
      </c>
      <c r="C41" s="17">
        <f t="shared" si="1"/>
        <v>4.7532573441791334E-2</v>
      </c>
      <c r="D41" s="9">
        <f t="shared" si="2"/>
        <v>4.7532573441791337</v>
      </c>
    </row>
    <row r="42" spans="1:4" x14ac:dyDescent="0.55000000000000004">
      <c r="A42">
        <f t="shared" si="0"/>
        <v>10740</v>
      </c>
      <c r="B42">
        <v>179</v>
      </c>
      <c r="C42" s="17">
        <f t="shared" si="1"/>
        <v>4.5747552946742431E-2</v>
      </c>
      <c r="D42" s="9">
        <f t="shared" si="2"/>
        <v>4.5747552946742429</v>
      </c>
    </row>
    <row r="43" spans="1:4" x14ac:dyDescent="0.55000000000000004">
      <c r="A43">
        <f t="shared" si="0"/>
        <v>10800</v>
      </c>
      <c r="B43">
        <v>180</v>
      </c>
      <c r="C43" s="17">
        <f t="shared" si="1"/>
        <v>4.3736201402559197E-2</v>
      </c>
      <c r="D43" s="9">
        <f t="shared" si="2"/>
        <v>4.3736201402559196</v>
      </c>
    </row>
    <row r="44" spans="1:4" x14ac:dyDescent="0.55000000000000004">
      <c r="A44">
        <f t="shared" si="0"/>
        <v>10860</v>
      </c>
      <c r="B44">
        <v>181</v>
      </c>
      <c r="C44" s="17">
        <f t="shared" si="1"/>
        <v>4.1539289496157934E-2</v>
      </c>
      <c r="D44" s="9">
        <f t="shared" si="2"/>
        <v>4.1539289496157936</v>
      </c>
    </row>
    <row r="45" spans="1:4" x14ac:dyDescent="0.55000000000000004">
      <c r="A45">
        <f t="shared" si="0"/>
        <v>10920</v>
      </c>
      <c r="B45">
        <v>182</v>
      </c>
      <c r="C45" s="17">
        <f t="shared" si="1"/>
        <v>3.9198457556396428E-2</v>
      </c>
      <c r="D45" s="9">
        <f t="shared" si="2"/>
        <v>3.9198457556396429</v>
      </c>
    </row>
    <row r="46" spans="1:4" x14ac:dyDescent="0.55000000000000004">
      <c r="A46">
        <f t="shared" si="0"/>
        <v>10980</v>
      </c>
      <c r="B46">
        <v>183</v>
      </c>
      <c r="C46" s="17">
        <f t="shared" si="1"/>
        <v>3.6755037773215711E-2</v>
      </c>
      <c r="D46" s="9">
        <f t="shared" si="2"/>
        <v>3.6755037773215711</v>
      </c>
    </row>
    <row r="47" spans="1:4" x14ac:dyDescent="0.55000000000000004">
      <c r="A47">
        <f t="shared" si="0"/>
        <v>11040</v>
      </c>
      <c r="B47">
        <v>184</v>
      </c>
      <c r="C47" s="17">
        <f t="shared" si="1"/>
        <v>3.424899391703843E-2</v>
      </c>
      <c r="D47" s="9">
        <f t="shared" si="2"/>
        <v>3.4248993917038431</v>
      </c>
    </row>
    <row r="48" spans="1:4" x14ac:dyDescent="0.55000000000000004">
      <c r="A48">
        <f t="shared" si="0"/>
        <v>11100</v>
      </c>
      <c r="B48">
        <v>185</v>
      </c>
      <c r="C48" s="17">
        <f t="shared" si="1"/>
        <v>3.1718008156429001E-2</v>
      </c>
      <c r="D48" s="9">
        <f t="shared" si="2"/>
        <v>3.1718008156429001</v>
      </c>
    </row>
    <row r="49" spans="1:4" x14ac:dyDescent="0.55000000000000004">
      <c r="A49">
        <f t="shared" si="0"/>
        <v>11160</v>
      </c>
      <c r="B49">
        <v>186</v>
      </c>
      <c r="C49" s="17">
        <f t="shared" si="1"/>
        <v>2.9196734628538584E-2</v>
      </c>
      <c r="D49" s="9">
        <f t="shared" si="2"/>
        <v>2.9196734628538583</v>
      </c>
    </row>
    <row r="50" spans="1:4" x14ac:dyDescent="0.55000000000000004">
      <c r="A50">
        <f t="shared" si="0"/>
        <v>11220</v>
      </c>
      <c r="B50">
        <v>187</v>
      </c>
      <c r="C50" s="17">
        <f t="shared" si="1"/>
        <v>2.6716229669034305E-2</v>
      </c>
      <c r="D50" s="9">
        <f t="shared" si="2"/>
        <v>2.6716229669034304</v>
      </c>
    </row>
    <row r="51" spans="1:4" x14ac:dyDescent="0.55000000000000004">
      <c r="A51">
        <f t="shared" si="0"/>
        <v>11280</v>
      </c>
      <c r="B51">
        <v>188</v>
      </c>
      <c r="C51" s="17">
        <f t="shared" si="1"/>
        <v>2.4303559586884363E-2</v>
      </c>
      <c r="D51" s="9">
        <f t="shared" si="2"/>
        <v>2.4303559586884362</v>
      </c>
    </row>
    <row r="52" spans="1:4" x14ac:dyDescent="0.55000000000000004">
      <c r="A52">
        <f t="shared" si="0"/>
        <v>11340</v>
      </c>
      <c r="B52">
        <v>189</v>
      </c>
      <c r="C52" s="17">
        <f t="shared" si="1"/>
        <v>2.1981578985515789E-2</v>
      </c>
      <c r="D52" s="9">
        <f t="shared" si="2"/>
        <v>2.1981578985515791</v>
      </c>
    </row>
    <row r="53" spans="1:4" x14ac:dyDescent="0.55000000000000004">
      <c r="A53">
        <f t="shared" si="0"/>
        <v>11400</v>
      </c>
      <c r="B53">
        <v>190</v>
      </c>
      <c r="C53" s="17">
        <f t="shared" si="1"/>
        <v>1.9768866166309441E-2</v>
      </c>
      <c r="D53" s="9">
        <f t="shared" si="2"/>
        <v>1.9768866166309442</v>
      </c>
    </row>
    <row r="54" spans="1:4" x14ac:dyDescent="0.55000000000000004">
      <c r="A54">
        <f t="shared" si="0"/>
        <v>11460</v>
      </c>
      <c r="B54">
        <v>191</v>
      </c>
      <c r="C54" s="17">
        <f t="shared" si="1"/>
        <v>1.7679797254784087E-2</v>
      </c>
      <c r="D54" s="9">
        <f t="shared" si="2"/>
        <v>1.7679797254784086</v>
      </c>
    </row>
    <row r="55" spans="1:4" x14ac:dyDescent="0.55000000000000004">
      <c r="A55">
        <f t="shared" si="0"/>
        <v>11520</v>
      </c>
      <c r="B55">
        <v>192</v>
      </c>
      <c r="C55" s="17">
        <f t="shared" si="1"/>
        <v>1.5724737396893514E-2</v>
      </c>
      <c r="D55" s="9">
        <f t="shared" si="2"/>
        <v>1.5724737396893513</v>
      </c>
    </row>
    <row r="56" spans="1:4" x14ac:dyDescent="0.55000000000000004">
      <c r="A56">
        <f t="shared" si="0"/>
        <v>11580</v>
      </c>
      <c r="B56">
        <v>193</v>
      </c>
      <c r="C56" s="17">
        <f t="shared" si="1"/>
        <v>1.3910325613657969E-2</v>
      </c>
      <c r="D56" s="9">
        <f t="shared" si="2"/>
        <v>1.391032561365797</v>
      </c>
    </row>
    <row r="57" spans="1:4" x14ac:dyDescent="0.55000000000000004">
      <c r="A57">
        <f t="shared" si="0"/>
        <v>11640</v>
      </c>
      <c r="B57">
        <v>194</v>
      </c>
      <c r="C57" s="17">
        <f t="shared" si="1"/>
        <v>1.2239829527711002E-2</v>
      </c>
      <c r="D57" s="9">
        <f t="shared" si="2"/>
        <v>1.2239829527711001</v>
      </c>
    </row>
    <row r="58" spans="1:4" x14ac:dyDescent="0.55000000000000004">
      <c r="A58">
        <f t="shared" si="0"/>
        <v>11700</v>
      </c>
      <c r="B58">
        <v>195</v>
      </c>
      <c r="C58" s="17">
        <f t="shared" si="1"/>
        <v>1.071354697939805E-2</v>
      </c>
      <c r="D58" s="9">
        <f t="shared" si="2"/>
        <v>1.071354697939805</v>
      </c>
    </row>
    <row r="59" spans="1:4" x14ac:dyDescent="0.55000000000000004">
      <c r="A59">
        <f t="shared" si="0"/>
        <v>11760</v>
      </c>
      <c r="B59">
        <v>196</v>
      </c>
      <c r="C59" s="17">
        <f t="shared" si="1"/>
        <v>9.3292332934027094E-3</v>
      </c>
      <c r="D59" s="9">
        <f t="shared" si="2"/>
        <v>0.93292332934027089</v>
      </c>
    </row>
    <row r="60" spans="1:4" x14ac:dyDescent="0.55000000000000004">
      <c r="A60">
        <f t="shared" si="0"/>
        <v>11820</v>
      </c>
      <c r="B60">
        <v>197</v>
      </c>
      <c r="C60" s="17">
        <f t="shared" si="1"/>
        <v>8.0825353878581589E-3</v>
      </c>
      <c r="D60" s="9">
        <f t="shared" si="2"/>
        <v>0.80825353878581585</v>
      </c>
    </row>
    <row r="61" spans="1:4" x14ac:dyDescent="0.55000000000000004">
      <c r="A61">
        <f t="shared" si="0"/>
        <v>11880</v>
      </c>
      <c r="B61">
        <v>198</v>
      </c>
      <c r="C61" s="17">
        <f t="shared" si="1"/>
        <v>6.967416790755839E-3</v>
      </c>
      <c r="D61" s="9">
        <f t="shared" si="2"/>
        <v>0.69674167907558393</v>
      </c>
    </row>
    <row r="62" spans="1:4" x14ac:dyDescent="0.55000000000000004">
      <c r="A62">
        <f t="shared" si="0"/>
        <v>11940</v>
      </c>
      <c r="B62">
        <v>199</v>
      </c>
      <c r="C62" s="17">
        <f t="shared" si="1"/>
        <v>5.9765607175311739E-3</v>
      </c>
      <c r="D62" s="9">
        <f t="shared" si="2"/>
        <v>0.59765607175311741</v>
      </c>
    </row>
    <row r="63" spans="1:4" x14ac:dyDescent="0.55000000000000004">
      <c r="A63">
        <f t="shared" si="0"/>
        <v>12000</v>
      </c>
      <c r="B63">
        <v>200</v>
      </c>
      <c r="C63" s="17">
        <f t="shared" si="1"/>
        <v>5.101741473534184E-3</v>
      </c>
      <c r="D63" s="9">
        <f t="shared" si="2"/>
        <v>0.51017414735341837</v>
      </c>
    </row>
    <row r="64" spans="1:4" x14ac:dyDescent="0.55000000000000004">
      <c r="A64">
        <f t="shared" si="0"/>
        <v>12060</v>
      </c>
      <c r="B64">
        <v>201</v>
      </c>
      <c r="C64" s="17">
        <f t="shared" si="1"/>
        <v>4.3341574165009864E-3</v>
      </c>
      <c r="D64" s="9">
        <f t="shared" si="2"/>
        <v>0.43341574165009866</v>
      </c>
    </row>
    <row r="65" spans="1:4" x14ac:dyDescent="0.55000000000000004">
      <c r="A65">
        <f t="shared" si="0"/>
        <v>12120</v>
      </c>
      <c r="B65">
        <v>202</v>
      </c>
      <c r="C65" s="17">
        <f t="shared" si="1"/>
        <v>3.6647214266248775E-3</v>
      </c>
      <c r="D65" s="9">
        <f t="shared" si="2"/>
        <v>0.36647214266248773</v>
      </c>
    </row>
    <row r="66" spans="1:4" x14ac:dyDescent="0.55000000000000004">
      <c r="A66">
        <f t="shared" si="0"/>
        <v>12180</v>
      </c>
      <c r="B66">
        <v>203</v>
      </c>
      <c r="C66" s="17">
        <f t="shared" si="1"/>
        <v>3.0843072029686008E-3</v>
      </c>
      <c r="D66" s="9">
        <f t="shared" si="2"/>
        <v>0.30843072029686008</v>
      </c>
    </row>
    <row r="67" spans="1:4" x14ac:dyDescent="0.55000000000000004">
      <c r="A67">
        <f t="shared" si="0"/>
        <v>12240</v>
      </c>
      <c r="B67">
        <v>204</v>
      </c>
      <c r="C67" s="17">
        <f t="shared" si="1"/>
        <v>2.5839516874507028E-3</v>
      </c>
      <c r="D67" s="9">
        <f t="shared" si="2"/>
        <v>0.25839516874507029</v>
      </c>
    </row>
    <row r="68" spans="1:4" x14ac:dyDescent="0.55000000000000004">
      <c r="A68">
        <f t="shared" ref="A68:A83" si="3">B68*60</f>
        <v>12300</v>
      </c>
      <c r="B68">
        <v>205</v>
      </c>
      <c r="C68" s="17">
        <f t="shared" ref="C68:C83" si="4">$G$3/$G$4/((4*3.14*$G$5*A68)^0.5)*EXP(-(($G$2-$G$6*A68)^2)/(4*$G$5*A68))</f>
        <v>2.1550154947032477E-3</v>
      </c>
      <c r="D68" s="9">
        <f t="shared" ref="D68:D82" si="5">C68*100</f>
        <v>0.21550154947032477</v>
      </c>
    </row>
    <row r="69" spans="1:4" x14ac:dyDescent="0.55000000000000004">
      <c r="A69">
        <f t="shared" si="3"/>
        <v>12360</v>
      </c>
      <c r="B69">
        <v>206</v>
      </c>
      <c r="C69" s="17">
        <f t="shared" si="4"/>
        <v>1.7893044059532233E-3</v>
      </c>
      <c r="D69" s="9">
        <f t="shared" si="5"/>
        <v>0.17893044059532234</v>
      </c>
    </row>
    <row r="70" spans="1:4" x14ac:dyDescent="0.55000000000000004">
      <c r="A70">
        <f t="shared" si="3"/>
        <v>12420</v>
      </c>
      <c r="B70">
        <v>207</v>
      </c>
      <c r="C70" s="17">
        <f t="shared" si="4"/>
        <v>1.4791557950416783E-3</v>
      </c>
      <c r="D70" s="9">
        <f t="shared" si="5"/>
        <v>0.14791557950416784</v>
      </c>
    </row>
    <row r="71" spans="1:4" x14ac:dyDescent="0.55000000000000004">
      <c r="A71">
        <f t="shared" si="3"/>
        <v>12480</v>
      </c>
      <c r="B71">
        <v>208</v>
      </c>
      <c r="C71" s="17">
        <f t="shared" si="4"/>
        <v>1.2174943354134854E-3</v>
      </c>
      <c r="D71" s="9">
        <f t="shared" si="5"/>
        <v>0.12174943354134854</v>
      </c>
    </row>
    <row r="72" spans="1:4" x14ac:dyDescent="0.55000000000000004">
      <c r="A72">
        <f t="shared" si="3"/>
        <v>12540</v>
      </c>
      <c r="B72">
        <v>209</v>
      </c>
      <c r="C72" s="17">
        <f t="shared" si="4"/>
        <v>9.9786153708538664E-4</v>
      </c>
      <c r="D72" s="9">
        <f t="shared" si="5"/>
        <v>9.9786153708538661E-2</v>
      </c>
    </row>
    <row r="73" spans="1:4" x14ac:dyDescent="0.55000000000000004">
      <c r="A73">
        <f t="shared" si="3"/>
        <v>12600</v>
      </c>
      <c r="B73">
        <v>210</v>
      </c>
      <c r="C73" s="17">
        <f t="shared" si="4"/>
        <v>8.1442363441283953E-4</v>
      </c>
      <c r="D73" s="9">
        <f t="shared" si="5"/>
        <v>8.1442363441283958E-2</v>
      </c>
    </row>
    <row r="74" spans="1:4" x14ac:dyDescent="0.55000000000000004">
      <c r="A74">
        <f t="shared" si="3"/>
        <v>12660</v>
      </c>
      <c r="B74">
        <v>211</v>
      </c>
      <c r="C74" s="17">
        <f t="shared" si="4"/>
        <v>6.6196214088752722E-4</v>
      </c>
      <c r="D74" s="9">
        <f t="shared" si="5"/>
        <v>6.6196214088752717E-2</v>
      </c>
    </row>
    <row r="75" spans="1:4" x14ac:dyDescent="0.55000000000000004">
      <c r="A75">
        <f t="shared" si="3"/>
        <v>12720</v>
      </c>
      <c r="B75">
        <v>212</v>
      </c>
      <c r="C75" s="17">
        <f t="shared" si="4"/>
        <v>5.3585105512555197E-4</v>
      </c>
      <c r="D75" s="9">
        <f t="shared" si="5"/>
        <v>5.3585105512555194E-2</v>
      </c>
    </row>
    <row r="76" spans="1:4" x14ac:dyDescent="0.55000000000000004">
      <c r="A76">
        <f t="shared" si="3"/>
        <v>12780</v>
      </c>
      <c r="B76">
        <v>213</v>
      </c>
      <c r="C76" s="17">
        <f t="shared" si="4"/>
        <v>4.3202428656333912E-4</v>
      </c>
      <c r="D76" s="9">
        <f t="shared" si="5"/>
        <v>4.3202428656333912E-2</v>
      </c>
    </row>
    <row r="77" spans="1:4" x14ac:dyDescent="0.55000000000000004">
      <c r="A77">
        <f t="shared" si="3"/>
        <v>12840</v>
      </c>
      <c r="B77">
        <v>214</v>
      </c>
      <c r="C77" s="17">
        <f t="shared" si="4"/>
        <v>3.4693640788517719E-4</v>
      </c>
      <c r="D77" s="9">
        <f t="shared" si="5"/>
        <v>3.4693640788517721E-2</v>
      </c>
    </row>
    <row r="78" spans="1:4" x14ac:dyDescent="0.55000000000000004">
      <c r="A78">
        <f t="shared" si="3"/>
        <v>12900</v>
      </c>
      <c r="B78">
        <v>215</v>
      </c>
      <c r="C78" s="17">
        <f t="shared" si="4"/>
        <v>2.7751936485432427E-4</v>
      </c>
      <c r="D78" s="9">
        <f t="shared" si="5"/>
        <v>2.7751936485432428E-2</v>
      </c>
    </row>
    <row r="79" spans="1:4" x14ac:dyDescent="0.55000000000000004">
      <c r="A79">
        <f t="shared" si="3"/>
        <v>12960</v>
      </c>
      <c r="B79">
        <v>216</v>
      </c>
      <c r="C79" s="17">
        <f t="shared" si="4"/>
        <v>2.2113730726390323E-4</v>
      </c>
      <c r="D79" s="9">
        <f t="shared" si="5"/>
        <v>2.2113730726390321E-2</v>
      </c>
    </row>
    <row r="80" spans="1:4" x14ac:dyDescent="0.55000000000000004">
      <c r="A80">
        <f t="shared" si="3"/>
        <v>13020</v>
      </c>
      <c r="B80">
        <v>217</v>
      </c>
      <c r="C80" s="17">
        <f t="shared" si="4"/>
        <v>1.7554126506478301E-4</v>
      </c>
      <c r="D80" s="9">
        <f t="shared" si="5"/>
        <v>1.75541265064783E-2</v>
      </c>
    </row>
    <row r="81" spans="1:4" x14ac:dyDescent="0.55000000000000004">
      <c r="A81">
        <f t="shared" si="3"/>
        <v>13080</v>
      </c>
      <c r="B81">
        <v>218</v>
      </c>
      <c r="C81" s="17">
        <f t="shared" si="4"/>
        <v>1.3882499355918348E-4</v>
      </c>
      <c r="D81" s="9">
        <f t="shared" si="5"/>
        <v>1.3882499355918348E-2</v>
      </c>
    </row>
    <row r="82" spans="1:4" x14ac:dyDescent="0.55000000000000004">
      <c r="A82">
        <f t="shared" si="3"/>
        <v>13140</v>
      </c>
      <c r="B82">
        <v>219</v>
      </c>
      <c r="C82" s="17">
        <f t="shared" si="4"/>
        <v>1.0938295816655477E-4</v>
      </c>
      <c r="D82" s="9">
        <f t="shared" si="5"/>
        <v>1.0938295816655477E-2</v>
      </c>
    </row>
    <row r="83" spans="1:4" x14ac:dyDescent="0.55000000000000004">
      <c r="A83">
        <f t="shared" si="3"/>
        <v>13200</v>
      </c>
      <c r="B83">
        <v>220</v>
      </c>
      <c r="C83" s="17">
        <f t="shared" si="4"/>
        <v>8.5871125943036509E-5</v>
      </c>
      <c r="D83" s="9">
        <f>C83*100</f>
        <v>8.5871125943036506E-3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表１</vt:lpstr>
      <vt:lpstr>表２</vt:lpstr>
      <vt:lpstr>理論解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piccolo</dc:creator>
  <cp:lastModifiedBy>piccolo</cp:lastModifiedBy>
  <dcterms:created xsi:type="dcterms:W3CDTF">2022-12-11T03:14:52Z</dcterms:created>
  <dcterms:modified xsi:type="dcterms:W3CDTF">2022-12-13T13:50:53Z</dcterms:modified>
</cp:coreProperties>
</file>